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9540" windowHeight="9345" tabRatio="872" activeTab="9"/>
  </bookViews>
  <sheets>
    <sheet name="Capital investments" sheetId="1" r:id="rId1"/>
    <sheet name="Equipment+CEW" sheetId="2" r:id="rId2"/>
    <sheet name="Profit and losses" sheetId="3" r:id="rId3"/>
    <sheet name="Volumes" sheetId="4" r:id="rId4"/>
    <sheet name="Revenue" sheetId="5" r:id="rId5"/>
    <sheet name="Materials and electricity" sheetId="6" r:id="rId6"/>
    <sheet name="Costs" sheetId="7" r:id="rId7"/>
    <sheet name="Payroll" sheetId="8" r:id="rId8"/>
    <sheet name="Depreciation" sheetId="9" r:id="rId9"/>
    <sheet name="Financial results" sheetId="10" r:id="rId10"/>
  </sheets>
  <externalReferences>
    <externalReference r:id="rId13"/>
    <externalReference r:id="rId14"/>
  </externalReferences>
  <definedNames>
    <definedName name="_xlnm.Print_Area" localSheetId="0">'Capital investments'!$A$1:$AN$33</definedName>
    <definedName name="_xlnm.Print_Area" localSheetId="6">'Costs'!$A$1:$AQ$59</definedName>
    <definedName name="_xlnm.Print_Area" localSheetId="8">'Depreciation'!$A$2:$L$10</definedName>
    <definedName name="_xlnm.Print_Area" localSheetId="1">'Equipment+CEW'!$A$72:$D$89</definedName>
    <definedName name="_xlnm.Print_Area" localSheetId="9">'Financial results'!$A$1:$H$67</definedName>
    <definedName name="_xlnm.Print_Area" localSheetId="5">'Materials and electricity'!$A$39:$B$59</definedName>
    <definedName name="_xlnm.Print_Area" localSheetId="7">'Payroll'!$A$1:$AQ$128</definedName>
    <definedName name="_xlnm.Print_Area" localSheetId="2">'Profit and losses'!$A$1:$AM$21</definedName>
    <definedName name="_xlnm.Print_Area" localSheetId="4">'Revenue'!$A$1:$AH$21</definedName>
    <definedName name="_xlnm.Print_Titles" localSheetId="0">'Capital investments'!$A:$B</definedName>
    <definedName name="_xlnm.Print_Titles" localSheetId="6">'Costs'!$A:$A</definedName>
    <definedName name="_xlnm.Print_Titles" localSheetId="8">'Depreciation'!$A:$B</definedName>
    <definedName name="_xlnm.Print_Titles" localSheetId="2">'Profit and losses'!$A:$A</definedName>
    <definedName name="_xlnm.Print_Titles" localSheetId="4">'Revenue'!$A:$A</definedName>
    <definedName name="Брак">#REF!</definedName>
    <definedName name="Внепроизв">#REF!</definedName>
    <definedName name="ВнепроизвРасх">#REF!</definedName>
    <definedName name="вода">'[1]Налоги'!#REF!</definedName>
    <definedName name="Возвратные">#REF!</definedName>
    <definedName name="ВозврОтходы">#REF!</definedName>
    <definedName name="Возмещение">#REF!</definedName>
    <definedName name="ДополЗП">#REF!</definedName>
    <definedName name="ДополнитЗП">#REF!</definedName>
    <definedName name="загрязнение">'[1]Налоги'!#REF!</definedName>
    <definedName name="земля">'[1]Налоги'!#REF!</definedName>
    <definedName name="ЗОР">#REF!</definedName>
    <definedName name="Калькуляция">#REF!</definedName>
    <definedName name="налоги">#REF!</definedName>
    <definedName name="НалогиВР">'[1]Налоги'!#REF!</definedName>
    <definedName name="Общепроизв">#REF!</definedName>
    <definedName name="ОбщепроизРасх">#REF!</definedName>
    <definedName name="Общехоз">#REF!</definedName>
    <definedName name="ОбщехозРасх">#REF!</definedName>
    <definedName name="ОснЗп">#REF!</definedName>
    <definedName name="ОсновнЗП">#REF!</definedName>
    <definedName name="ПодготОсв">#REF!</definedName>
    <definedName name="ПодготТов">#REF!</definedName>
    <definedName name="Покупные">#REF!</definedName>
    <definedName name="ПокупПолуф">#REF!</definedName>
    <definedName name="Полуфабрикаты">#REF!</definedName>
    <definedName name="Попутная">#REF!</definedName>
    <definedName name="прогноз">#REF!</definedName>
    <definedName name="Прочие">#REF!</definedName>
    <definedName name="ПрочиеПроив">#REF!</definedName>
    <definedName name="ПрочиепроизРасх">#REF!</definedName>
    <definedName name="Прочпроизрасх">#REF!</definedName>
    <definedName name="Расходы">#REF!</definedName>
    <definedName name="СодержОбор">#REF!</definedName>
    <definedName name="СодРЕм">#REF!</definedName>
    <definedName name="Социальные">#REF!</definedName>
    <definedName name="сроки">'[2]Сроки'!#REF!</definedName>
    <definedName name="Ставка">#REF!</definedName>
    <definedName name="Ставка_дисконтирования">#REF!</definedName>
    <definedName name="Сырье">#REF!</definedName>
    <definedName name="текущее">#REF!</definedName>
    <definedName name="Топливо">#REF!</definedName>
    <definedName name="ТопливоЭнерг">#REF!</definedName>
    <definedName name="транспорт">'[1]Налоги'!#REF!</definedName>
    <definedName name="Цена">'[2]Объем'!#REF!</definedName>
    <definedName name="ЭксплОбор">#REF!</definedName>
    <definedName name="Электроэнергия">#REF!</definedName>
  </definedNames>
  <calcPr fullCalcOnLoad="1"/>
</workbook>
</file>

<file path=xl/comments10.xml><?xml version="1.0" encoding="utf-8"?>
<comments xmlns="http://schemas.openxmlformats.org/spreadsheetml/2006/main">
  <authors>
    <author>Ira</author>
  </authors>
  <commentList>
    <comment ref="L30" authorId="0">
      <text>
        <r>
          <rPr>
            <b/>
            <sz val="8"/>
            <rFont val="Tahoma"/>
            <family val="0"/>
          </rPr>
          <t>Ira:</t>
        </r>
        <r>
          <rPr>
            <sz val="8"/>
            <rFont val="Tahoma"/>
            <family val="0"/>
          </rPr>
          <t xml:space="preserve">
NPV was calculated with a help of table  </t>
        </r>
      </text>
    </comment>
    <comment ref="C35" authorId="0">
      <text>
        <r>
          <rPr>
            <b/>
            <sz val="8"/>
            <rFont val="Tahoma"/>
            <family val="0"/>
          </rPr>
          <t>Ira:</t>
        </r>
        <r>
          <rPr>
            <sz val="8"/>
            <rFont val="Tahoma"/>
            <family val="0"/>
          </rPr>
          <t xml:space="preserve">
not discounted</t>
        </r>
      </text>
    </comment>
    <comment ref="C36" authorId="0">
      <text>
        <r>
          <rPr>
            <b/>
            <sz val="8"/>
            <rFont val="Tahoma"/>
            <family val="0"/>
          </rPr>
          <t>Ira:</t>
        </r>
        <r>
          <rPr>
            <sz val="8"/>
            <rFont val="Tahoma"/>
            <family val="0"/>
          </rPr>
          <t xml:space="preserve">
discounted</t>
        </r>
      </text>
    </comment>
  </commentList>
</comments>
</file>

<file path=xl/comments2.xml><?xml version="1.0" encoding="utf-8"?>
<comments xmlns="http://schemas.openxmlformats.org/spreadsheetml/2006/main">
  <authors>
    <author>Ира</author>
  </authors>
  <commentList>
    <comment ref="C30" authorId="0">
      <text>
        <r>
          <rPr>
            <b/>
            <sz val="8"/>
            <rFont val="Tahoma"/>
            <family val="0"/>
          </rPr>
          <t>Ира:</t>
        </r>
        <r>
          <rPr>
            <sz val="8"/>
            <rFont val="Tahoma"/>
            <family val="0"/>
          </rPr>
          <t xml:space="preserve">
как в аудите по дегаза.трудопроводу</t>
        </r>
      </text>
    </comment>
    <comment ref="D5" authorId="0">
      <text>
        <r>
          <rPr>
            <b/>
            <sz val="8"/>
            <rFont val="Tahoma"/>
            <family val="0"/>
          </rPr>
          <t>Ира:</t>
        </r>
        <r>
          <rPr>
            <sz val="8"/>
            <rFont val="Tahoma"/>
            <family val="0"/>
          </rPr>
          <t xml:space="preserve">
Inflation  20%</t>
        </r>
      </text>
    </comment>
    <comment ref="B99" authorId="0">
      <text>
        <r>
          <rPr>
            <b/>
            <sz val="11"/>
            <rFont val="Tahoma"/>
            <family val="2"/>
          </rPr>
          <t>Ira:</t>
        </r>
        <r>
          <rPr>
            <sz val="11"/>
            <rFont val="Tahoma"/>
            <family val="2"/>
          </rPr>
          <t xml:space="preserve">
according to auditots there are 8525 for 8 mths.</t>
        </r>
      </text>
    </comment>
  </commentList>
</comments>
</file>

<file path=xl/comments3.xml><?xml version="1.0" encoding="utf-8"?>
<comments xmlns="http://schemas.openxmlformats.org/spreadsheetml/2006/main">
  <authors>
    <author>Julia</author>
  </authors>
  <commentList>
    <comment ref="F6" authorId="0">
      <text>
        <r>
          <rPr>
            <b/>
            <sz val="8"/>
            <rFont val="Tahoma"/>
            <family val="0"/>
          </rPr>
          <t>with actual data for 2004-2005 for AGFCS</t>
        </r>
      </text>
    </comment>
    <comment ref="F7" authorId="0">
      <text>
        <r>
          <rPr>
            <b/>
            <sz val="8"/>
            <rFont val="Tahoma"/>
            <family val="0"/>
          </rPr>
          <t>Julia:</t>
        </r>
        <r>
          <rPr>
            <sz val="8"/>
            <rFont val="Tahoma"/>
            <family val="0"/>
          </rPr>
          <t xml:space="preserve">
 actual data for 2004-2005 for AGFCS</t>
        </r>
      </text>
    </comment>
    <comment ref="F8" authorId="0">
      <text>
        <r>
          <rPr>
            <sz val="8"/>
            <rFont val="Tahoma"/>
            <family val="0"/>
          </rPr>
          <t xml:space="preserve">with actual data for 2004-2005 for AGFCS and charges  50,6%
</t>
        </r>
      </text>
    </comment>
  </commentList>
</comments>
</file>

<file path=xl/comments6.xml><?xml version="1.0" encoding="utf-8"?>
<comments xmlns="http://schemas.openxmlformats.org/spreadsheetml/2006/main">
  <authors>
    <author>Ira</author>
  </authors>
  <commentList>
    <comment ref="B10" authorId="0">
      <text>
        <r>
          <rPr>
            <b/>
            <sz val="8"/>
            <rFont val="Tahoma"/>
            <family val="0"/>
          </rPr>
          <t>Ira:
поставщик, а соответсенно и цены, ставка пошлины не известны</t>
        </r>
      </text>
    </comment>
    <comment ref="B11" authorId="0">
      <text>
        <r>
          <rPr>
            <b/>
            <sz val="8"/>
            <rFont val="Tahoma"/>
            <family val="0"/>
          </rPr>
          <t>Ira:
поставщик, а соответсенно и цены, ставка пошлины не известны</t>
        </r>
      </text>
    </comment>
  </commentList>
</comments>
</file>

<file path=xl/comments7.xml><?xml version="1.0" encoding="utf-8"?>
<comments xmlns="http://schemas.openxmlformats.org/spreadsheetml/2006/main">
  <authors>
    <author>Ира</author>
    <author>Julia</author>
  </authors>
  <commentList>
    <comment ref="B3" authorId="0">
      <text>
        <r>
          <rPr>
            <b/>
            <sz val="8"/>
            <rFont val="Tahoma"/>
            <family val="0"/>
          </rPr>
          <t xml:space="preserve">Ира(Ira):
</t>
        </r>
        <r>
          <rPr>
            <sz val="8"/>
            <rFont val="Tahoma"/>
            <family val="2"/>
          </rPr>
          <t>in % ,like TOTAL</t>
        </r>
      </text>
    </comment>
    <comment ref="G32" authorId="1">
      <text>
        <r>
          <rPr>
            <sz val="8"/>
            <rFont val="Tahoma"/>
            <family val="0"/>
          </rPr>
          <t xml:space="preserve">Like year 2005
</t>
        </r>
      </text>
    </comment>
  </commentList>
</comments>
</file>

<file path=xl/sharedStrings.xml><?xml version="1.0" encoding="utf-8"?>
<sst xmlns="http://schemas.openxmlformats.org/spreadsheetml/2006/main" count="1288" uniqueCount="592">
  <si>
    <t>Электроэнергия</t>
  </si>
  <si>
    <t>2005 год</t>
  </si>
  <si>
    <t>Обслуживание рабочих трубопроводов и ВНС</t>
  </si>
  <si>
    <t>Контроль за составом газовоздушной смеси</t>
  </si>
  <si>
    <t>I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</si>
  <si>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</si>
  <si>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</si>
  <si>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</si>
  <si>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</si>
  <si>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</si>
  <si>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</si>
  <si>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</si>
  <si>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</si>
  <si>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1.2</t>
  </si>
  <si>
    <t>Монтажно-демонтажные работы по прокладке трубопроводов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</si>
  <si>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</si>
  <si>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</si>
  <si>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</si>
  <si>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</si>
  <si>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</si>
  <si>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</si>
  <si>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</si>
  <si>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</si>
  <si>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</si>
  <si>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1.3.5</t>
  </si>
  <si>
    <t xml:space="preserve"> 1.3.6</t>
  </si>
  <si>
    <t xml:space="preserve"> 1.3.10</t>
  </si>
  <si>
    <t xml:space="preserve"> 1.3.11</t>
  </si>
  <si>
    <t xml:space="preserve"> 1.4</t>
  </si>
  <si>
    <t xml:space="preserve"> 1.4.1</t>
  </si>
  <si>
    <t xml:space="preserve"> 1.4.2</t>
  </si>
  <si>
    <t xml:space="preserve"> 1.4.3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</si>
  <si>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</si>
  <si>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</si>
  <si>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</si>
  <si>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</si>
  <si>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</si>
  <si>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</si>
  <si>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1.1.8</t>
  </si>
  <si>
    <t xml:space="preserve"> 1.1.9</t>
  </si>
  <si>
    <t>1 кв.</t>
  </si>
  <si>
    <t>2 кв.</t>
  </si>
  <si>
    <t>3 кв.</t>
  </si>
  <si>
    <t>4 кв.</t>
  </si>
  <si>
    <t>Прочие расходы</t>
  </si>
  <si>
    <t>Услуги</t>
  </si>
  <si>
    <t>ФОТ с начислениями</t>
  </si>
  <si>
    <t>ПОДЗЕМНЫЕ РАБОТЫ</t>
  </si>
  <si>
    <t>Бурение дегазац. скважин</t>
  </si>
  <si>
    <t>2014 год</t>
  </si>
  <si>
    <t xml:space="preserve"> 1.3.12</t>
  </si>
  <si>
    <t>Материалы</t>
  </si>
  <si>
    <t xml:space="preserve"> </t>
  </si>
  <si>
    <t>1кв. 2006</t>
  </si>
  <si>
    <t>2 кв. 2013</t>
  </si>
  <si>
    <t>3 кв. 2013</t>
  </si>
  <si>
    <t>-</t>
  </si>
  <si>
    <t>4 кв. 2013</t>
  </si>
  <si>
    <t>1 кв. 2014</t>
  </si>
  <si>
    <t>2 кв. 2014</t>
  </si>
  <si>
    <t>3 кв. 2014</t>
  </si>
  <si>
    <t>4 кв. 2014</t>
  </si>
  <si>
    <t>Investment</t>
  </si>
  <si>
    <t>Discounted value</t>
  </si>
  <si>
    <t>Net profit</t>
  </si>
  <si>
    <t xml:space="preserve">Discounting rate </t>
  </si>
  <si>
    <t>Q. 1</t>
  </si>
  <si>
    <t xml:space="preserve">Q. 2 </t>
  </si>
  <si>
    <t xml:space="preserve">Q. 3 </t>
  </si>
  <si>
    <t xml:space="preserve">Q. 4 </t>
  </si>
  <si>
    <t>TOTAL</t>
  </si>
  <si>
    <t>Gross revenue</t>
  </si>
  <si>
    <t>Electric power</t>
  </si>
  <si>
    <t>Salary with charges</t>
  </si>
  <si>
    <t xml:space="preserve">Total direct costs </t>
  </si>
  <si>
    <t>Gross profit</t>
  </si>
  <si>
    <t>Fact of  2004-2005</t>
  </si>
  <si>
    <t>Taxable profit</t>
  </si>
  <si>
    <t xml:space="preserve"> Profit tax</t>
  </si>
  <si>
    <t>Years</t>
  </si>
  <si>
    <t>Used</t>
  </si>
  <si>
    <t>Total</t>
  </si>
  <si>
    <t>Boiler</t>
  </si>
  <si>
    <t>TOTAL 2004-2005</t>
  </si>
  <si>
    <t>TOTAL:</t>
  </si>
  <si>
    <r>
      <t>Gas price, 1000 m</t>
    </r>
    <r>
      <rPr>
        <vertAlign val="superscript"/>
        <sz val="10"/>
        <rFont val="Times New Roman"/>
        <family val="1"/>
      </rPr>
      <t>3</t>
    </r>
  </si>
  <si>
    <t>Surface boring</t>
  </si>
  <si>
    <t>Real indices</t>
  </si>
  <si>
    <t xml:space="preserve">1 piece for m quantity </t>
  </si>
  <si>
    <t>Bore holes quantity, pieces</t>
  </si>
  <si>
    <t>Depth, m</t>
  </si>
  <si>
    <t>Bars of the 10 m length, pieces</t>
  </si>
  <si>
    <t>Bore bits</t>
  </si>
  <si>
    <t>Costs</t>
  </si>
  <si>
    <t>Price for 1 piece, hrn.</t>
  </si>
  <si>
    <t>TOTAL costs for bars and bore bits</t>
  </si>
  <si>
    <t>Costs for boring casing</t>
  </si>
  <si>
    <t>Costs for POL and reagent РР2С</t>
  </si>
  <si>
    <t xml:space="preserve">TOTAL costs for surface boring materials </t>
  </si>
  <si>
    <t>Pipe</t>
  </si>
  <si>
    <t>diameter 245</t>
  </si>
  <si>
    <t>diameter 324</t>
  </si>
  <si>
    <t>diameter 168</t>
  </si>
  <si>
    <t>Boring casing demand</t>
  </si>
  <si>
    <t>Diesel fuel consumption</t>
  </si>
  <si>
    <t>Diesel oil consumption</t>
  </si>
  <si>
    <t>Reagent РР2С consumption</t>
  </si>
  <si>
    <t>Cement consumption</t>
  </si>
  <si>
    <t>Salary</t>
  </si>
  <si>
    <t>Expense items</t>
  </si>
  <si>
    <t>Charge</t>
  </si>
  <si>
    <t>Raw materials (gas)</t>
  </si>
  <si>
    <t>Materials</t>
  </si>
  <si>
    <t>Electricity</t>
  </si>
  <si>
    <t>Production costs</t>
  </si>
  <si>
    <t>Price for 1 kWh</t>
  </si>
  <si>
    <t>1 qu.</t>
  </si>
  <si>
    <t>2 qu.</t>
  </si>
  <si>
    <t>3 qu.</t>
  </si>
  <si>
    <t>4 qu.</t>
  </si>
  <si>
    <t>Price without VAT for 1 t., hrn.</t>
  </si>
  <si>
    <t>Quantity per 1 - 1250 m bore hole, t.</t>
  </si>
  <si>
    <t>Quantity per 1 - 1500 bore hole m, t.</t>
  </si>
  <si>
    <t>Price for 1 bore hole of 1250 m</t>
  </si>
  <si>
    <t>Price for 1 bore hole of 1500 m</t>
  </si>
  <si>
    <t>Quantity</t>
  </si>
  <si>
    <t>Price, hrn.</t>
  </si>
  <si>
    <t>Sum, hrn.</t>
  </si>
  <si>
    <t>Name</t>
  </si>
  <si>
    <t>SURFACE WORK</t>
  </si>
  <si>
    <t xml:space="preserve">Qu.1 </t>
  </si>
  <si>
    <t xml:space="preserve">Qu.2 </t>
  </si>
  <si>
    <t xml:space="preserve">Qu.3 </t>
  </si>
  <si>
    <t xml:space="preserve">Qu.4 </t>
  </si>
  <si>
    <t>Service</t>
  </si>
  <si>
    <t>Other costs</t>
  </si>
  <si>
    <t>Staff list</t>
  </si>
  <si>
    <t xml:space="preserve">№ </t>
  </si>
  <si>
    <t>Underground work</t>
  </si>
  <si>
    <t>Engineers</t>
  </si>
  <si>
    <t>Workers</t>
  </si>
  <si>
    <t>Surface degasification</t>
  </si>
  <si>
    <t>Mechanic</t>
  </si>
  <si>
    <t>Foreman</t>
  </si>
  <si>
    <t>Deputy mechanic</t>
  </si>
  <si>
    <t xml:space="preserve">Electro locksmith </t>
  </si>
  <si>
    <t>Dump truck driver</t>
  </si>
  <si>
    <t>Loader driver</t>
  </si>
  <si>
    <t>Mounter</t>
  </si>
  <si>
    <t>Concreter of the Vth class</t>
  </si>
  <si>
    <t>Gas-electric welder of the Vth class</t>
  </si>
  <si>
    <t>Crane-operator of the Vth class</t>
  </si>
  <si>
    <t>Locksmith of the V разряда</t>
  </si>
  <si>
    <t>Gas use</t>
  </si>
  <si>
    <t>CHP</t>
  </si>
  <si>
    <t>Technical Director of CHP</t>
  </si>
  <si>
    <t>Director</t>
  </si>
  <si>
    <t>Power engineer</t>
  </si>
  <si>
    <t>Heating engineer</t>
  </si>
  <si>
    <t>Chief dispatcher</t>
  </si>
  <si>
    <t>Principal dispatcher</t>
  </si>
  <si>
    <t>Dispatcher</t>
  </si>
  <si>
    <t>Programmer</t>
  </si>
  <si>
    <t>System administrator</t>
  </si>
  <si>
    <t>Engineer-system analyst</t>
  </si>
  <si>
    <t>Charwoman</t>
  </si>
  <si>
    <t>АGFCS</t>
  </si>
  <si>
    <t xml:space="preserve">Station chief </t>
  </si>
  <si>
    <t>Work places Total</t>
  </si>
  <si>
    <t>New work places</t>
  </si>
  <si>
    <t xml:space="preserve">Corrected for step-by step of AGFCS putting into operation </t>
  </si>
  <si>
    <t>Saved at 2 boilers</t>
  </si>
  <si>
    <t>Profession</t>
  </si>
  <si>
    <t>Panmen CWT</t>
  </si>
  <si>
    <t>Electro welder</t>
  </si>
  <si>
    <t>Pump operators</t>
  </si>
  <si>
    <t>Stokers</t>
  </si>
  <si>
    <t>Period</t>
  </si>
  <si>
    <t>Bank service</t>
  </si>
  <si>
    <t>Charge Total</t>
  </si>
  <si>
    <t>Pension fund</t>
  </si>
  <si>
    <t>Social insurance</t>
  </si>
  <si>
    <t>Unemployment</t>
  </si>
  <si>
    <t>Accident</t>
  </si>
  <si>
    <t>Year</t>
  </si>
  <si>
    <t>Charges</t>
  </si>
  <si>
    <t>Charges TOTAL</t>
  </si>
  <si>
    <t>2004-2014 TOTAL</t>
  </si>
  <si>
    <t>Kinds of basic and fictitious assets</t>
  </si>
  <si>
    <t>2004-2005</t>
  </si>
  <si>
    <t>Residual value</t>
  </si>
  <si>
    <t>1 qu.2006</t>
  </si>
  <si>
    <t>2 qu. 2006</t>
  </si>
  <si>
    <t>3 qu.2006</t>
  </si>
  <si>
    <t>4 qu.2006</t>
  </si>
  <si>
    <t>1 qu.2007</t>
  </si>
  <si>
    <t>2 qu.2007</t>
  </si>
  <si>
    <t>3 qu.2007</t>
  </si>
  <si>
    <t>4 qu.2007</t>
  </si>
  <si>
    <t>1 qu.2008</t>
  </si>
  <si>
    <t>2 qu.2008</t>
  </si>
  <si>
    <t>3 qu.2008</t>
  </si>
  <si>
    <t>4 qu.2008</t>
  </si>
  <si>
    <t>1 qu.2009</t>
  </si>
  <si>
    <t>2 qu.2009</t>
  </si>
  <si>
    <t>3 qu.2009</t>
  </si>
  <si>
    <t>4 qu.2009</t>
  </si>
  <si>
    <t>1 qu.2010</t>
  </si>
  <si>
    <t>2 qu.2010</t>
  </si>
  <si>
    <t>3 qu.2010</t>
  </si>
  <si>
    <t>4 qu.2010</t>
  </si>
  <si>
    <t>1 qu.2011</t>
  </si>
  <si>
    <t>2 qu.2011</t>
  </si>
  <si>
    <t>3 qu.2011</t>
  </si>
  <si>
    <t>4 qu.2011</t>
  </si>
  <si>
    <t>1 qu.2012</t>
  </si>
  <si>
    <t>2 qu.2012</t>
  </si>
  <si>
    <t>3 qu.2012</t>
  </si>
  <si>
    <t>4 qu.2012</t>
  </si>
  <si>
    <t>Buildings</t>
  </si>
  <si>
    <t>Vehicle and office equipment</t>
  </si>
  <si>
    <t xml:space="preserve">Manufacturing equipment </t>
  </si>
  <si>
    <t>Total, thnd. hrn.</t>
  </si>
  <si>
    <t>Project implementation period, months</t>
  </si>
  <si>
    <t>Project implementation period, years</t>
  </si>
  <si>
    <t>Profitability Index PI</t>
  </si>
  <si>
    <t>Payback period РВ, months</t>
  </si>
  <si>
    <t>Calculation of payback period</t>
  </si>
  <si>
    <t>Periods (years)</t>
  </si>
  <si>
    <t>Total cumulative investment</t>
  </si>
  <si>
    <t>Months</t>
  </si>
  <si>
    <t>TOTAL months</t>
  </si>
  <si>
    <t>Peroids (quarters)</t>
  </si>
  <si>
    <t>Quarter investment</t>
  </si>
  <si>
    <t>Periods (months)</t>
  </si>
  <si>
    <t>Month investment</t>
  </si>
  <si>
    <t>TOTAl payback period</t>
  </si>
  <si>
    <t>Calculation of discounted payback period  DPB</t>
  </si>
  <si>
    <t>RLF with charges</t>
  </si>
  <si>
    <t>RLF</t>
  </si>
  <si>
    <t>RLF TOTAL</t>
  </si>
  <si>
    <t>RLF with charges TOTAL</t>
  </si>
  <si>
    <t>Оbject</t>
  </si>
  <si>
    <t>Works</t>
  </si>
  <si>
    <t>Surface wells-boring</t>
  </si>
  <si>
    <t>Equipment</t>
  </si>
  <si>
    <t>BAJ</t>
  </si>
  <si>
    <t>Other basic assets</t>
  </si>
  <si>
    <t>Heat pipelines laying</t>
  </si>
  <si>
    <t>Pipeline length, km</t>
  </si>
  <si>
    <t>Metal price for 1 ton</t>
  </si>
  <si>
    <t>Supports quantity</t>
  </si>
  <si>
    <t>Supports price</t>
  </si>
  <si>
    <t>Gas pipeline cost</t>
  </si>
  <si>
    <t>Gas treatment plant cost</t>
  </si>
  <si>
    <t xml:space="preserve">equipment including </t>
  </si>
  <si>
    <t>equipment including</t>
  </si>
  <si>
    <t>materials including</t>
  </si>
  <si>
    <t>"Electric power generation unit"</t>
  </si>
  <si>
    <t>Heat pipelines length ,m</t>
  </si>
  <si>
    <t>Expenses item</t>
  </si>
  <si>
    <t xml:space="preserve">Equipment </t>
  </si>
  <si>
    <t>AGFCS М-45 (price indicated for 2 units.)</t>
  </si>
  <si>
    <t>Distribution point PR-II-3064</t>
  </si>
  <si>
    <t>Equipment TOTAL</t>
  </si>
  <si>
    <t>Building of AGFCS</t>
  </si>
  <si>
    <t>Power supply of АGFCS</t>
  </si>
  <si>
    <t>Gas treatment facility (GTF)</t>
  </si>
  <si>
    <t>АGFCS fence</t>
  </si>
  <si>
    <t>Ventilation</t>
  </si>
  <si>
    <t>Others</t>
  </si>
  <si>
    <t xml:space="preserve">Expenses TOTAL </t>
  </si>
  <si>
    <t>4 qu. 2006</t>
  </si>
  <si>
    <t>m</t>
  </si>
  <si>
    <t>t</t>
  </si>
  <si>
    <t>pcs.</t>
  </si>
  <si>
    <t>Per 1 m</t>
  </si>
  <si>
    <t>Vostochnaya - Yakovlevskaya</t>
  </si>
  <si>
    <t>Vostochnaya - Tsentralnaya</t>
  </si>
  <si>
    <t>Tsentralnaya - Grigorevskaya</t>
  </si>
  <si>
    <t>Price per 1 unit</t>
  </si>
  <si>
    <t>Quantity, unit</t>
  </si>
  <si>
    <t>Total cost</t>
  </si>
  <si>
    <t>Quantity, units</t>
  </si>
  <si>
    <t>TOTAL CAPITAL INVESTMENTS</t>
  </si>
  <si>
    <t>Total nonproductive costs</t>
  </si>
  <si>
    <t>Internal rate of return IRR,%</t>
  </si>
  <si>
    <t>Return on Investment ROI,%</t>
  </si>
  <si>
    <t>% of depreciation charges</t>
  </si>
  <si>
    <t>Depreciation charges without growing result</t>
  </si>
  <si>
    <t>Depreciation</t>
  </si>
  <si>
    <t>Direct costs</t>
  </si>
  <si>
    <t>Net profit+Annual depreciation charges per month</t>
  </si>
  <si>
    <t>Net profit+depreciation quarter charges</t>
  </si>
  <si>
    <t>For 1 automobile gas-filling station ( 2 units)</t>
  </si>
  <si>
    <t xml:space="preserve">Present value </t>
  </si>
  <si>
    <t>Present value</t>
  </si>
  <si>
    <t>Discounted cash flow</t>
  </si>
  <si>
    <t>Capital investments, UAH, th.</t>
  </si>
  <si>
    <t>Gas pipeline construction</t>
  </si>
  <si>
    <t>CHP unit</t>
  </si>
  <si>
    <t xml:space="preserve">   - equipment and floating assets</t>
  </si>
  <si>
    <t xml:space="preserve">  - Construction and Erection Works (СEW)</t>
  </si>
  <si>
    <t>Construction and Erection Works</t>
  </si>
  <si>
    <t>Machinery and equipment</t>
  </si>
  <si>
    <t xml:space="preserve">Not valuable non-circulating tangible assets </t>
  </si>
  <si>
    <t>Automotive gas-filling station</t>
  </si>
  <si>
    <t>1 quarter</t>
  </si>
  <si>
    <t>2 quarter</t>
  </si>
  <si>
    <t>3 quarter</t>
  </si>
  <si>
    <t>4 quarter</t>
  </si>
  <si>
    <t>"Surface degasification pipeline laying"</t>
  </si>
  <si>
    <t>CEW</t>
  </si>
  <si>
    <t>"Gas pipeline construction"</t>
  </si>
  <si>
    <t>Necessary metal quantity for pipes with wall 9</t>
  </si>
  <si>
    <t>Grigoryevskay site - Yakovlevskaya site interval, 2 pipelines  2,6 km each</t>
  </si>
  <si>
    <t>price of pipe with wall 9</t>
  </si>
  <si>
    <t>Support space</t>
  </si>
  <si>
    <t>1st support installation</t>
  </si>
  <si>
    <t xml:space="preserve">Installation cost </t>
  </si>
  <si>
    <t xml:space="preserve"> cost of 1 support</t>
  </si>
  <si>
    <t>Supports installation cost,total</t>
  </si>
  <si>
    <t>unit of measurement</t>
  </si>
  <si>
    <t>UAH</t>
  </si>
  <si>
    <t>Building works, thnd. UAH</t>
  </si>
  <si>
    <t>Assembling works, thnd. UAH</t>
  </si>
  <si>
    <t>Equipment, furniture, household equipment, thnd. UAH</t>
  </si>
  <si>
    <t>Others, thnd. UAH</t>
  </si>
  <si>
    <t>Price, UAH</t>
  </si>
  <si>
    <t>Equipment for CHP</t>
  </si>
  <si>
    <t xml:space="preserve">not valuable non-circulating tangible assets </t>
  </si>
  <si>
    <t>Heat supply pipeline laying</t>
  </si>
  <si>
    <t>TOTAL for 3:</t>
  </si>
  <si>
    <t>Buildings and facilities</t>
  </si>
  <si>
    <t>description</t>
  </si>
  <si>
    <t xml:space="preserve"> АОGV -19,5 Unit</t>
  </si>
  <si>
    <t>"Automotive gas-filling compressor station"</t>
  </si>
  <si>
    <t>Data of 1998 according to the statement of commissioning</t>
  </si>
  <si>
    <t xml:space="preserve">SHCHG-3 Gas Panel </t>
  </si>
  <si>
    <t>Gas pipeline from well to GTF, and from GTF to АGFCS</t>
  </si>
  <si>
    <t>assembly and commisioning works</t>
  </si>
  <si>
    <t>CEW, total</t>
  </si>
  <si>
    <t>buildings included</t>
  </si>
  <si>
    <t xml:space="preserve">Expenses without VAT, inflation considered </t>
  </si>
  <si>
    <t>CEW (without buildings)</t>
  </si>
  <si>
    <t>Quantity of АGFCS to be put in operation (2 АGFCSМ45 for 1 AGFCS block)</t>
  </si>
  <si>
    <t>1quarter 2004</t>
  </si>
  <si>
    <t>2 quarter 2004</t>
  </si>
  <si>
    <t>3 quarter 2004</t>
  </si>
  <si>
    <t>4 quarter 2004</t>
  </si>
  <si>
    <t>1quarter 2005</t>
  </si>
  <si>
    <t>2 quarter 2005</t>
  </si>
  <si>
    <t>3 quarter 2005</t>
  </si>
  <si>
    <t>4 quarter 2005</t>
  </si>
  <si>
    <t>2 quarter 2006</t>
  </si>
  <si>
    <t>3 quarter 2006</t>
  </si>
  <si>
    <t>4 quarter 2006</t>
  </si>
  <si>
    <t>1 quarter 2007</t>
  </si>
  <si>
    <t>2 quarter 2007</t>
  </si>
  <si>
    <t>3 quarter 2007</t>
  </si>
  <si>
    <t>4 quarter 2007</t>
  </si>
  <si>
    <t>1 quarter 2008</t>
  </si>
  <si>
    <t>2 quarter 2008</t>
  </si>
  <si>
    <t>3 quarter 2008</t>
  </si>
  <si>
    <t>4 quarter 2008</t>
  </si>
  <si>
    <t>1 quarter 2009</t>
  </si>
  <si>
    <t>2 quarter 2009</t>
  </si>
  <si>
    <t>3 quarter 2009</t>
  </si>
  <si>
    <t>4quarter 2009</t>
  </si>
  <si>
    <t>1quarter 2010</t>
  </si>
  <si>
    <t>2 quarter 2010</t>
  </si>
  <si>
    <t>3 quarter 2010</t>
  </si>
  <si>
    <t>4 quarter 2010</t>
  </si>
  <si>
    <t>1quarter 2011</t>
  </si>
  <si>
    <t>2 quarter 2011</t>
  </si>
  <si>
    <t>3 quarter 2011</t>
  </si>
  <si>
    <t>4 quarter 2011</t>
  </si>
  <si>
    <t>Per 1 quarter</t>
  </si>
  <si>
    <t>1 quarter2008</t>
  </si>
  <si>
    <t>1 quarter2009</t>
  </si>
  <si>
    <t>1 quarter2010</t>
  </si>
  <si>
    <t>Materials, components, raw materials, fuel and lubrication materials</t>
  </si>
  <si>
    <t>Administrative costs</t>
  </si>
  <si>
    <t>Total fixed costs</t>
  </si>
  <si>
    <t>Other nonproductive costs</t>
  </si>
  <si>
    <t>Prior period losses</t>
  </si>
  <si>
    <t xml:space="preserve">Taxable profit with taking into account prior period losses </t>
  </si>
  <si>
    <t>Captured</t>
  </si>
  <si>
    <t xml:space="preserve">Number of units </t>
  </si>
  <si>
    <t>Hours of service, hours th.</t>
  </si>
  <si>
    <t>Obtained, kW mln.</t>
  </si>
  <si>
    <t>Main parameters of project implementation</t>
  </si>
  <si>
    <t>Surface drilling, holes</t>
  </si>
  <si>
    <t>AGFCP, units</t>
  </si>
  <si>
    <t>Vacuum-pump station (VPS), units</t>
  </si>
  <si>
    <t>Gas Treatment Plant, units</t>
  </si>
  <si>
    <t>Electric power generation, MW, th.</t>
  </si>
  <si>
    <t>Heat energy production, Gcal, th.</t>
  </si>
  <si>
    <t>Realization through АGFCS, m3,mln.</t>
  </si>
  <si>
    <t>Emission reduction</t>
  </si>
  <si>
    <t>Price, UAH/tCO2</t>
  </si>
  <si>
    <t>Price, UAH/1000kW*h.</t>
  </si>
  <si>
    <t>Price, UAH/Gcal.</t>
  </si>
  <si>
    <t>Emission reduction realization, UAH th.</t>
  </si>
  <si>
    <t>Electric power realization, UAH th.</t>
  </si>
  <si>
    <t>Heat energy realization, UAH th.</t>
  </si>
  <si>
    <t>Gas realization, UAH th.</t>
  </si>
  <si>
    <t>TOTAL, realization,UAH th.</t>
  </si>
  <si>
    <t>Transport and stocking costs</t>
  </si>
  <si>
    <t>TOTAL, depreciation excluded</t>
  </si>
  <si>
    <t>TOTAL , depreciation included</t>
  </si>
  <si>
    <t>Automotive gas-filling compressor station</t>
  </si>
  <si>
    <t>Costs for spare parts and fuel and lubrication materials</t>
  </si>
  <si>
    <r>
      <t>Electric power consumption for 1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kW</t>
    </r>
  </si>
  <si>
    <r>
      <t>Price for 1 m</t>
    </r>
    <r>
      <rPr>
        <vertAlign val="superscript"/>
        <sz val="10"/>
        <rFont val="Times New Roman"/>
        <family val="1"/>
      </rPr>
      <t>3</t>
    </r>
  </si>
  <si>
    <t>acutally for 2005</t>
  </si>
  <si>
    <t>For whole amount, UAH.</t>
  </si>
  <si>
    <t>Sum in UAH for 1 thousand kW*h</t>
  </si>
  <si>
    <t>Electrical power amount, kW*h th.</t>
  </si>
  <si>
    <t>Costs for operation of complex per object, UAH th.</t>
  </si>
  <si>
    <t>salaries with charges</t>
  </si>
  <si>
    <t>Hole drilling from surface, UAH th.</t>
  </si>
  <si>
    <t>Laying of surface degasification pipes</t>
  </si>
  <si>
    <t>Number of employees</t>
  </si>
  <si>
    <t>Monthly Salary , UAH</t>
  </si>
  <si>
    <t>Total, UAH th.</t>
  </si>
  <si>
    <t>Department foremaster</t>
  </si>
  <si>
    <t>Deputy Department mechanic</t>
  </si>
  <si>
    <t>Operator of  VPS</t>
  </si>
  <si>
    <t>Surface hole drilling</t>
  </si>
  <si>
    <t>Deputy  Technical Director, Degasification</t>
  </si>
  <si>
    <t>PROCESSING ENGINEER</t>
  </si>
  <si>
    <t>Operator of drilling rig</t>
  </si>
  <si>
    <t>Assistant operator of drilling rig</t>
  </si>
  <si>
    <t>department foremaster</t>
  </si>
  <si>
    <t>Automatic Control System and Technological Process Department, Chief</t>
  </si>
  <si>
    <t>Electro locksmith in charge, 5th class</t>
  </si>
  <si>
    <t>Person in charge</t>
  </si>
  <si>
    <t>Equipment Electrical device locksmith, 5th grade of skill</t>
  </si>
  <si>
    <t>Equipment Electrical device locksmith, 6th grade of skill</t>
  </si>
  <si>
    <t>Work places quantity saved after boiler shut down</t>
  </si>
  <si>
    <t>Number of Employees in the list</t>
  </si>
  <si>
    <t>Surface locksmiths</t>
  </si>
  <si>
    <t xml:space="preserve"> 4th quarter 2006</t>
  </si>
  <si>
    <t>4quarter</t>
  </si>
  <si>
    <t xml:space="preserve"> put into operation</t>
  </si>
  <si>
    <t>Project depreciation charges, UAH th.</t>
  </si>
  <si>
    <t>Vehicle and office equipment ( put into operation before 2004)</t>
  </si>
  <si>
    <t>Manufacturing equipment (put into operation before 2004)</t>
  </si>
  <si>
    <t>office equipment</t>
  </si>
  <si>
    <t>Figures, UAH th.</t>
  </si>
  <si>
    <t>Net cash flow</t>
  </si>
  <si>
    <t xml:space="preserve">Cash flows per periods </t>
  </si>
  <si>
    <t>Net present value NPV, UAH th.</t>
  </si>
  <si>
    <t xml:space="preserve">Cumulative net profit+monthly depreciation charges  </t>
  </si>
  <si>
    <t xml:space="preserve">Total cumulative investment  </t>
  </si>
  <si>
    <t>Cumulative net profit+depreciation charges</t>
  </si>
  <si>
    <t>cumulative net profit+quarterly depreciation charges</t>
  </si>
  <si>
    <t>1 month</t>
  </si>
  <si>
    <t>2 month</t>
  </si>
  <si>
    <t>3 month</t>
  </si>
  <si>
    <t>Put into operation</t>
  </si>
  <si>
    <t>labor names, profession</t>
  </si>
  <si>
    <t>actually 2004-2005</t>
  </si>
  <si>
    <t xml:space="preserve">Profit and losses prediction (UAH th.) </t>
  </si>
  <si>
    <t>Laying of surface degassification tubes</t>
  </si>
  <si>
    <t>cumulative net profit+depreciation charges</t>
  </si>
  <si>
    <r>
      <t>Captured gas use, mln.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/year</t>
    </r>
  </si>
  <si>
    <t>Total reductions, tCO2e</t>
  </si>
  <si>
    <t>Heat obtained,  th Gcal, total</t>
  </si>
  <si>
    <t>1 quarter, 2009</t>
  </si>
  <si>
    <t>2 quarter, 2009</t>
  </si>
  <si>
    <t>3 quarter, 2009</t>
  </si>
  <si>
    <t>4 quarter, 2009</t>
  </si>
  <si>
    <t>1qw.2004</t>
  </si>
  <si>
    <t>2 qw.2004</t>
  </si>
  <si>
    <t>3 qw.2004</t>
  </si>
  <si>
    <t>4 qw.2004</t>
  </si>
  <si>
    <t>1 qv.2005</t>
  </si>
  <si>
    <t>2 qv.2005</t>
  </si>
  <si>
    <t>3 qv.2005</t>
  </si>
  <si>
    <t xml:space="preserve">Drilling of deagsing wells </t>
  </si>
  <si>
    <t>Boring rig operator IV rank</t>
  </si>
  <si>
    <t>Boring rig operator V rank</t>
  </si>
  <si>
    <t>Massif foreman</t>
  </si>
  <si>
    <t>Electrician IV rank</t>
  </si>
  <si>
    <t>Electrician V rank</t>
  </si>
  <si>
    <t>Mine worker III rank</t>
  </si>
  <si>
    <t>Electrician IV rank for surface works</t>
  </si>
  <si>
    <t>Foreman-michanic</t>
  </si>
  <si>
    <t>Deputy foreman-michanic</t>
  </si>
  <si>
    <t>Pipe-lines Assembimg  (disassembling)  works</t>
  </si>
  <si>
    <t>Senior site engineer</t>
  </si>
  <si>
    <t>Deputy senior site engineer</t>
  </si>
  <si>
    <t>Assistant of senior site engineer</t>
  </si>
  <si>
    <t>Mine fitter V rank</t>
  </si>
  <si>
    <t>Eectricity and gas welder ( surface) IV rank</t>
  </si>
  <si>
    <t>Metalworker V rank</t>
  </si>
  <si>
    <t xml:space="preserve">Maintanence  of operational pipelines and vacuum pump stations </t>
  </si>
  <si>
    <t>Site mechanic</t>
  </si>
  <si>
    <t>Surface Electrician and metalworker IV rank</t>
  </si>
  <si>
    <t>Surface Electrician and metalworker V rank</t>
  </si>
  <si>
    <t>Mine Electrician and metalworke IV rank</t>
  </si>
  <si>
    <t>CMM mixture control unit</t>
  </si>
  <si>
    <t>Mine Electrician and metalworker V rank</t>
  </si>
  <si>
    <t>Electrician and metalworker</t>
  </si>
  <si>
    <t>VSKK Plant</t>
  </si>
  <si>
    <t>Chief mechanic</t>
  </si>
  <si>
    <t>Electrician and metalworker V rank</t>
  </si>
  <si>
    <t>Electrician and metalworker IV rank</t>
  </si>
  <si>
    <t>Total direct salary</t>
  </si>
  <si>
    <t>Wages fund</t>
  </si>
  <si>
    <t>Wages fund with charges</t>
  </si>
  <si>
    <t>Total product.salary</t>
  </si>
  <si>
    <t>Total admin.salary</t>
  </si>
  <si>
    <t>TOTAL  2004-2014yy.</t>
  </si>
  <si>
    <t>TOTAL  2004-2014 .</t>
  </si>
  <si>
    <t>TOTAL  2004-2014 г.</t>
  </si>
  <si>
    <t>TOTAL 2004-2014yy.</t>
  </si>
  <si>
    <t>TOTAL 2004-2014 yy.</t>
  </si>
  <si>
    <t>VSSK Plant</t>
  </si>
  <si>
    <t>Maintenance</t>
  </si>
  <si>
    <t>Services</t>
  </si>
  <si>
    <t>Total coast of spare parts for 1 CHP unit  maintenance,EUR</t>
  </si>
  <si>
    <t>Exchange rate 1EUR to UAH , at the moment of project development</t>
  </si>
  <si>
    <t>Total coast of spare parts for 1 CHP unit maintenance,UAH</t>
  </si>
  <si>
    <t>Total coast of spare parts for 2 CHP units maintenance,UAH</t>
  </si>
  <si>
    <t>Total coast of spare parts for 4 CHP units maintenance ,UAH</t>
  </si>
  <si>
    <t>Total coast of spare parts for 22 CHP units maintenance ,UAH</t>
  </si>
  <si>
    <t>Operating time for 11 CHP units in a year ,h</t>
  </si>
  <si>
    <t>Power of 1 CHP, KW</t>
  </si>
  <si>
    <t>Total, KWh</t>
  </si>
  <si>
    <t>Lubricant consumption g/KWh</t>
  </si>
  <si>
    <t>Total oil consumption</t>
  </si>
  <si>
    <t>Cost of lubricant per 1t,eur</t>
  </si>
  <si>
    <t>Exchange rate 1EUR to UAH</t>
  </si>
  <si>
    <t>Cost of 1g of lubricant ,UAH</t>
  </si>
  <si>
    <t>Cost of the substitution of lubricant , UAH</t>
  </si>
  <si>
    <t>Spare parts</t>
  </si>
  <si>
    <t>Lubricant materials</t>
  </si>
  <si>
    <t>Total:</t>
  </si>
  <si>
    <t>Total coast of spare parts for Jenbacher CHP maintenance</t>
  </si>
  <si>
    <t>Total cost of POL</t>
  </si>
  <si>
    <t xml:space="preserve">Materials and electricity for operational pipelines and vacuum pump stations </t>
  </si>
  <si>
    <t xml:space="preserve">Period </t>
  </si>
  <si>
    <t>1 qv. 2004</t>
  </si>
  <si>
    <t>2 qv. 2004</t>
  </si>
  <si>
    <t>3 qv. 2004</t>
  </si>
  <si>
    <t>4 qv. 2004</t>
  </si>
  <si>
    <t>1  qv. 2005</t>
  </si>
  <si>
    <t>2  qv. 2005</t>
  </si>
  <si>
    <t>3  qv. 2005</t>
  </si>
  <si>
    <t>4  qv. 2005</t>
  </si>
  <si>
    <t>1  qv. 2006</t>
  </si>
  <si>
    <t>2  qv. 2006</t>
  </si>
  <si>
    <t>3 qv. 2006</t>
  </si>
  <si>
    <t>4 qv. 2006</t>
  </si>
  <si>
    <t>1 qv. 2007</t>
  </si>
  <si>
    <t>2 qv. 2007</t>
  </si>
  <si>
    <t>3 qv. 2007</t>
  </si>
  <si>
    <t>4 qv. 2007</t>
  </si>
  <si>
    <t>1 qv. 2008</t>
  </si>
  <si>
    <t>2 qv. 2008</t>
  </si>
  <si>
    <t>3 qv. 2008</t>
  </si>
  <si>
    <t>4 qv. 2008</t>
  </si>
  <si>
    <t>1 qv. 2009</t>
  </si>
  <si>
    <t>2 qv. 2009</t>
  </si>
  <si>
    <t>3 qv. 2009</t>
  </si>
  <si>
    <t>4 qv. 2009</t>
  </si>
  <si>
    <t>1 qv. 2010</t>
  </si>
  <si>
    <t>2 qv. 2010</t>
  </si>
  <si>
    <t>3 qv. 2010</t>
  </si>
  <si>
    <t>4 qv. 2010</t>
  </si>
  <si>
    <t>1 qv. 2011</t>
  </si>
  <si>
    <t>2 qv. 2011</t>
  </si>
  <si>
    <t>3 qv. 2011</t>
  </si>
  <si>
    <t>4 qv. 2011</t>
  </si>
  <si>
    <t>1 qv. 2012</t>
  </si>
  <si>
    <t>2 qv. 2012</t>
  </si>
  <si>
    <t>3 qv. 2012</t>
  </si>
  <si>
    <t>4 qv. 2012</t>
  </si>
  <si>
    <t>per year</t>
  </si>
  <si>
    <t>Selling of CMM,m3,mln.</t>
  </si>
  <si>
    <t>Cost of drilling euipment</t>
  </si>
  <si>
    <t>Cost of equipment</t>
  </si>
  <si>
    <t>Preparation of site</t>
  </si>
  <si>
    <t>Assembling works</t>
  </si>
  <si>
    <t xml:space="preserve">CMM mixture control </t>
  </si>
  <si>
    <t>Total Cost</t>
  </si>
  <si>
    <t>4qv. 2006 - 2 qv. 2007</t>
  </si>
  <si>
    <t>3qv. 2007 - 1qv. 2008</t>
  </si>
  <si>
    <t>Actual  2004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</si>
</sst>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#,##0.000"/>
    <numFmt numFmtId="190" formatCode="0.0%"/>
    <numFmt numFmtId="191" formatCode="0.0"/>
    <numFmt numFmtId="192" formatCode="0.0000"/>
    <numFmt numFmtId="193" formatCode="0.0000000"/>
    <numFmt numFmtId="194" formatCode="#,##0.00_р_."/>
    <numFmt numFmtId="195" formatCode="0.000"/>
    <numFmt numFmtId="196" formatCode="#,##0.0&quot;р.&quot;;[Red]\-#,##0.0&quot;р.&quot;"/>
    <numFmt numFmtId="197" formatCode="0.00000000"/>
    <numFmt numFmtId="198" formatCode="0.000000"/>
    <numFmt numFmtId="199" formatCode="0.00000"/>
    <numFmt numFmtId="200" formatCode="#,##0.0000"/>
    <numFmt numFmtId="201" formatCode="#,##0.00000"/>
    <numFmt numFmtId="202" formatCode="mmm/yyyy"/>
    <numFmt numFmtId="203" formatCode="#,##0.0_р_.;[Red]\-#,##0.0_р_.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0"/>
      <name val="Courier New"/>
      <family val="0"/>
    </font>
    <font>
      <b/>
      <sz val="12"/>
      <color indexed="58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"/>
      <family val="1"/>
    </font>
    <font>
      <sz val="10"/>
      <name val="Times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"/>
      <family val="1"/>
    </font>
    <font>
      <i/>
      <sz val="12"/>
      <name val="Times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color indexed="48"/>
      <name val="Times New Roman"/>
      <family val="1"/>
    </font>
    <font>
      <i/>
      <sz val="10"/>
      <name val="Times"/>
      <family val="1"/>
    </font>
    <font>
      <b/>
      <i/>
      <sz val="10"/>
      <name val="Times"/>
      <family val="1"/>
    </font>
    <font>
      <b/>
      <sz val="10"/>
      <name val="Times"/>
      <family val="1"/>
    </font>
    <font>
      <sz val="10"/>
      <name val="Bookman Old Style"/>
      <family val="1"/>
    </font>
    <font>
      <b/>
      <sz val="12"/>
      <name val="Times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Times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Times"/>
      <family val="1"/>
    </font>
    <font>
      <b/>
      <sz val="12"/>
      <color indexed="12"/>
      <name val="Times New Roman"/>
      <family val="1"/>
    </font>
    <font>
      <b/>
      <sz val="12"/>
      <color indexed="12"/>
      <name val="Times"/>
      <family val="1"/>
    </font>
    <font>
      <b/>
      <sz val="11"/>
      <name val="Tahoma"/>
      <family val="2"/>
    </font>
    <font>
      <sz val="11"/>
      <name val="Tahoma"/>
      <family val="2"/>
    </font>
    <font>
      <b/>
      <i/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145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9" fillId="0" borderId="0" xfId="22" applyBorder="1">
      <alignment/>
      <protection/>
    </xf>
    <xf numFmtId="0" fontId="3" fillId="0" borderId="0" xfId="22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vertical="top"/>
    </xf>
    <xf numFmtId="188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/>
    </xf>
    <xf numFmtId="3" fontId="17" fillId="3" borderId="1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24" applyFont="1">
      <alignment/>
      <protection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5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5" fillId="0" borderId="0" xfId="24" applyFont="1">
      <alignment/>
      <protection/>
    </xf>
    <xf numFmtId="4" fontId="1" fillId="0" borderId="11" xfId="24" applyNumberFormat="1" applyFont="1" applyBorder="1" applyAlignment="1">
      <alignment horizontal="center"/>
      <protection/>
    </xf>
    <xf numFmtId="4" fontId="1" fillId="0" borderId="12" xfId="24" applyNumberFormat="1" applyFont="1" applyBorder="1" applyAlignment="1">
      <alignment horizontal="center"/>
      <protection/>
    </xf>
    <xf numFmtId="4" fontId="1" fillId="0" borderId="13" xfId="24" applyNumberFormat="1" applyFont="1" applyBorder="1" applyAlignment="1">
      <alignment horizontal="center"/>
      <protection/>
    </xf>
    <xf numFmtId="4" fontId="1" fillId="0" borderId="2" xfId="24" applyNumberFormat="1" applyFont="1" applyBorder="1" applyAlignment="1">
      <alignment horizontal="center"/>
      <protection/>
    </xf>
    <xf numFmtId="4" fontId="1" fillId="0" borderId="7" xfId="24" applyNumberFormat="1" applyFont="1" applyBorder="1" applyAlignment="1">
      <alignment horizontal="center"/>
      <protection/>
    </xf>
    <xf numFmtId="4" fontId="1" fillId="0" borderId="1" xfId="24" applyNumberFormat="1" applyFont="1" applyBorder="1" applyAlignment="1">
      <alignment horizontal="center"/>
      <protection/>
    </xf>
    <xf numFmtId="4" fontId="1" fillId="0" borderId="4" xfId="24" applyNumberFormat="1" applyFont="1" applyBorder="1" applyAlignment="1">
      <alignment horizontal="center"/>
      <protection/>
    </xf>
    <xf numFmtId="4" fontId="1" fillId="0" borderId="14" xfId="24" applyNumberFormat="1" applyFont="1" applyBorder="1" applyAlignment="1">
      <alignment horizontal="center"/>
      <protection/>
    </xf>
    <xf numFmtId="4" fontId="1" fillId="4" borderId="15" xfId="24" applyNumberFormat="1" applyFont="1" applyFill="1" applyBorder="1" applyAlignment="1">
      <alignment horizontal="center"/>
      <protection/>
    </xf>
    <xf numFmtId="4" fontId="1" fillId="4" borderId="16" xfId="24" applyNumberFormat="1" applyFont="1" applyFill="1" applyBorder="1" applyAlignment="1">
      <alignment horizontal="center"/>
      <protection/>
    </xf>
    <xf numFmtId="4" fontId="1" fillId="4" borderId="17" xfId="24" applyNumberFormat="1" applyFont="1" applyFill="1" applyBorder="1" applyAlignment="1">
      <alignment horizontal="center"/>
      <protection/>
    </xf>
    <xf numFmtId="0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wrapText="1"/>
    </xf>
    <xf numFmtId="9" fontId="6" fillId="0" borderId="0" xfId="0" applyNumberFormat="1" applyFont="1" applyFill="1" applyBorder="1" applyAlignment="1">
      <alignment horizontal="center" wrapText="1"/>
    </xf>
    <xf numFmtId="9" fontId="6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191" fontId="1" fillId="0" borderId="1" xfId="0" applyNumberFormat="1" applyFont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191" fontId="15" fillId="4" borderId="18" xfId="0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191" fontId="15" fillId="4" borderId="17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191" fontId="1" fillId="0" borderId="2" xfId="0" applyNumberFormat="1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191" fontId="1" fillId="0" borderId="7" xfId="0" applyNumberFormat="1" applyFont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191" fontId="1" fillId="0" borderId="5" xfId="0" applyNumberFormat="1" applyFont="1" applyBorder="1" applyAlignment="1">
      <alignment horizontal="center" vertical="center" wrapText="1"/>
    </xf>
    <xf numFmtId="191" fontId="1" fillId="0" borderId="12" xfId="0" applyNumberFormat="1" applyFont="1" applyBorder="1" applyAlignment="1">
      <alignment horizontal="center" vertical="center" wrapText="1"/>
    </xf>
    <xf numFmtId="191" fontId="1" fillId="0" borderId="4" xfId="0" applyNumberFormat="1" applyFont="1" applyBorder="1" applyAlignment="1">
      <alignment horizontal="center" vertical="center" wrapText="1"/>
    </xf>
    <xf numFmtId="191" fontId="1" fillId="0" borderId="3" xfId="0" applyNumberFormat="1" applyFont="1" applyBorder="1" applyAlignment="1">
      <alignment horizontal="center" vertical="center" wrapText="1"/>
    </xf>
    <xf numFmtId="191" fontId="1" fillId="0" borderId="23" xfId="0" applyNumberFormat="1" applyFont="1" applyBorder="1" applyAlignment="1">
      <alignment horizontal="center" vertical="center"/>
    </xf>
    <xf numFmtId="191" fontId="1" fillId="0" borderId="23" xfId="0" applyNumberFormat="1" applyFont="1" applyBorder="1" applyAlignment="1">
      <alignment horizontal="center" vertical="center" wrapText="1"/>
    </xf>
    <xf numFmtId="191" fontId="1" fillId="0" borderId="24" xfId="0" applyNumberFormat="1" applyFont="1" applyBorder="1" applyAlignment="1">
      <alignment horizontal="center" vertical="center" wrapText="1"/>
    </xf>
    <xf numFmtId="191" fontId="1" fillId="0" borderId="2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23" applyFont="1" applyFill="1" applyBorder="1" applyAlignment="1">
      <alignment horizontal="left" wrapText="1"/>
      <protection/>
    </xf>
    <xf numFmtId="9" fontId="1" fillId="0" borderId="1" xfId="21" applyFont="1" applyFill="1" applyBorder="1" applyAlignment="1">
      <alignment horizontal="center"/>
    </xf>
    <xf numFmtId="0" fontId="1" fillId="0" borderId="1" xfId="23" applyFont="1" applyFill="1" applyBorder="1" applyAlignment="1">
      <alignment horizontal="left"/>
      <protection/>
    </xf>
    <xf numFmtId="0" fontId="1" fillId="0" borderId="0" xfId="23" applyFont="1" applyFill="1" applyAlignment="1">
      <alignment horizontal="center"/>
      <protection/>
    </xf>
    <xf numFmtId="4" fontId="1" fillId="0" borderId="0" xfId="23" applyNumberFormat="1" applyFont="1" applyFill="1" applyAlignment="1">
      <alignment horizontal="center"/>
      <protection/>
    </xf>
    <xf numFmtId="0" fontId="1" fillId="0" borderId="1" xfId="23" applyFont="1" applyFill="1" applyBorder="1">
      <alignment/>
      <protection/>
    </xf>
    <xf numFmtId="2" fontId="1" fillId="0" borderId="1" xfId="23" applyNumberFormat="1" applyFont="1" applyFill="1" applyBorder="1" applyAlignment="1">
      <alignment horizontal="center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9" fontId="1" fillId="0" borderId="0" xfId="23" applyNumberFormat="1" applyFont="1">
      <alignment/>
      <protection/>
    </xf>
    <xf numFmtId="4" fontId="1" fillId="0" borderId="0" xfId="23" applyNumberFormat="1" applyFont="1" applyAlignment="1">
      <alignment horizontal="center"/>
      <protection/>
    </xf>
    <xf numFmtId="193" fontId="1" fillId="0" borderId="0" xfId="23" applyNumberFormat="1" applyFont="1" applyAlignment="1">
      <alignment horizontal="center"/>
      <protection/>
    </xf>
    <xf numFmtId="0" fontId="26" fillId="0" borderId="0" xfId="23" applyFont="1" applyAlignment="1">
      <alignment horizontal="center"/>
      <protection/>
    </xf>
    <xf numFmtId="0" fontId="26" fillId="0" borderId="0" xfId="23" applyFont="1">
      <alignment/>
      <protection/>
    </xf>
    <xf numFmtId="0" fontId="1" fillId="0" borderId="0" xfId="23" applyFont="1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2" fillId="5" borderId="15" xfId="23" applyFont="1" applyFill="1" applyBorder="1" applyAlignment="1">
      <alignment horizontal="center" vertical="center"/>
      <protection/>
    </xf>
    <xf numFmtId="0" fontId="2" fillId="5" borderId="18" xfId="23" applyFont="1" applyFill="1" applyBorder="1" applyAlignment="1">
      <alignment horizontal="center" vertical="center"/>
      <protection/>
    </xf>
    <xf numFmtId="0" fontId="2" fillId="5" borderId="18" xfId="23" applyFont="1" applyFill="1" applyBorder="1" applyAlignment="1">
      <alignment horizontal="center" vertical="center" wrapText="1"/>
      <protection/>
    </xf>
    <xf numFmtId="188" fontId="1" fillId="0" borderId="1" xfId="23" applyNumberFormat="1" applyFont="1" applyBorder="1" applyAlignment="1">
      <alignment horizontal="center"/>
      <protection/>
    </xf>
    <xf numFmtId="188" fontId="1" fillId="6" borderId="1" xfId="23" applyNumberFormat="1" applyFont="1" applyFill="1" applyBorder="1" applyAlignment="1">
      <alignment horizontal="center"/>
      <protection/>
    </xf>
    <xf numFmtId="188" fontId="1" fillId="0" borderId="0" xfId="23" applyNumberFormat="1" applyFont="1" applyAlignment="1">
      <alignment horizontal="center"/>
      <protection/>
    </xf>
    <xf numFmtId="188" fontId="26" fillId="7" borderId="1" xfId="23" applyNumberFormat="1" applyFont="1" applyFill="1" applyBorder="1" applyAlignment="1">
      <alignment horizontal="center"/>
      <protection/>
    </xf>
    <xf numFmtId="188" fontId="26" fillId="3" borderId="1" xfId="23" applyNumberFormat="1" applyFont="1" applyFill="1" applyBorder="1" applyAlignment="1">
      <alignment horizontal="center"/>
      <protection/>
    </xf>
    <xf numFmtId="0" fontId="1" fillId="0" borderId="0" xfId="23" applyFont="1" applyBorder="1" applyAlignment="1">
      <alignment horizontal="center"/>
      <protection/>
    </xf>
    <xf numFmtId="0" fontId="1" fillId="2" borderId="27" xfId="23" applyFont="1" applyFill="1" applyBorder="1" applyAlignment="1">
      <alignment/>
      <protection/>
    </xf>
    <xf numFmtId="188" fontId="26" fillId="0" borderId="0" xfId="23" applyNumberFormat="1" applyFont="1" applyFill="1" applyBorder="1" applyAlignment="1">
      <alignment horizontal="center"/>
      <protection/>
    </xf>
    <xf numFmtId="0" fontId="26" fillId="0" borderId="0" xfId="23" applyFont="1" applyFill="1" applyAlignment="1">
      <alignment horizontal="center"/>
      <protection/>
    </xf>
    <xf numFmtId="0" fontId="26" fillId="0" borderId="0" xfId="23" applyFont="1" applyFill="1">
      <alignment/>
      <protection/>
    </xf>
    <xf numFmtId="0" fontId="26" fillId="0" borderId="0" xfId="23" applyFont="1" applyFill="1" applyBorder="1">
      <alignment/>
      <protection/>
    </xf>
    <xf numFmtId="188" fontId="26" fillId="0" borderId="0" xfId="23" applyNumberFormat="1" applyFont="1" applyFill="1" applyAlignment="1">
      <alignment horizontal="center"/>
      <protection/>
    </xf>
    <xf numFmtId="9" fontId="1" fillId="0" borderId="0" xfId="23" applyNumberFormat="1" applyFont="1" applyAlignment="1">
      <alignment horizontal="center"/>
      <protection/>
    </xf>
    <xf numFmtId="167" fontId="1" fillId="0" borderId="0" xfId="23" applyNumberFormat="1" applyFont="1" applyAlignment="1">
      <alignment horizontal="center"/>
      <protection/>
    </xf>
    <xf numFmtId="9" fontId="1" fillId="0" borderId="1" xfId="23" applyNumberFormat="1" applyFont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9" fontId="1" fillId="0" borderId="0" xfId="0" applyNumberFormat="1" applyFont="1" applyBorder="1" applyAlignment="1">
      <alignment horizontal="center" wrapText="1"/>
    </xf>
    <xf numFmtId="188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90" fontId="1" fillId="0" borderId="0" xfId="0" applyNumberFormat="1" applyFont="1" applyAlignment="1">
      <alignment horizontal="center" wrapText="1"/>
    </xf>
    <xf numFmtId="189" fontId="1" fillId="0" borderId="28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5" fillId="5" borderId="15" xfId="0" applyFont="1" applyFill="1" applyBorder="1" applyAlignment="1">
      <alignment horizontal="left"/>
    </xf>
    <xf numFmtId="0" fontId="15" fillId="5" borderId="30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wrapText="1"/>
    </xf>
    <xf numFmtId="0" fontId="1" fillId="8" borderId="12" xfId="0" applyFont="1" applyFill="1" applyBorder="1" applyAlignment="1">
      <alignment horizontal="center" wrapText="1"/>
    </xf>
    <xf numFmtId="0" fontId="1" fillId="8" borderId="28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189" fontId="1" fillId="4" borderId="28" xfId="0" applyNumberFormat="1" applyFont="1" applyFill="1" applyBorder="1" applyAlignment="1">
      <alignment horizontal="center" wrapText="1"/>
    </xf>
    <xf numFmtId="189" fontId="1" fillId="8" borderId="28" xfId="0" applyNumberFormat="1" applyFont="1" applyFill="1" applyBorder="1" applyAlignment="1">
      <alignment horizontal="center" wrapText="1"/>
    </xf>
    <xf numFmtId="195" fontId="1" fillId="0" borderId="28" xfId="0" applyNumberFormat="1" applyFont="1" applyBorder="1" applyAlignment="1">
      <alignment horizontal="center" wrapText="1"/>
    </xf>
    <xf numFmtId="0" fontId="15" fillId="4" borderId="12" xfId="0" applyFont="1" applyFill="1" applyBorder="1" applyAlignment="1">
      <alignment horizontal="center" wrapText="1"/>
    </xf>
    <xf numFmtId="189" fontId="15" fillId="4" borderId="28" xfId="0" applyNumberFormat="1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95" fontId="1" fillId="0" borderId="4" xfId="0" applyNumberFormat="1" applyFont="1" applyBorder="1" applyAlignment="1">
      <alignment horizontal="center" wrapText="1"/>
    </xf>
    <xf numFmtId="0" fontId="27" fillId="5" borderId="15" xfId="0" applyFont="1" applyFill="1" applyBorder="1" applyAlignment="1" applyProtection="1">
      <alignment horizontal="left" wrapText="1"/>
      <protection/>
    </xf>
    <xf numFmtId="0" fontId="27" fillId="5" borderId="3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textRotation="90"/>
      <protection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9" fontId="1" fillId="0" borderId="1" xfId="0" applyNumberFormat="1" applyFont="1" applyBorder="1" applyAlignment="1">
      <alignment horizontal="center" wrapText="1"/>
    </xf>
    <xf numFmtId="190" fontId="1" fillId="7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2" fontId="1" fillId="7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wrapText="1"/>
    </xf>
    <xf numFmtId="0" fontId="15" fillId="7" borderId="12" xfId="0" applyFont="1" applyFill="1" applyBorder="1" applyAlignment="1">
      <alignment wrapText="1"/>
    </xf>
    <xf numFmtId="0" fontId="15" fillId="7" borderId="12" xfId="0" applyFont="1" applyFill="1" applyBorder="1" applyAlignment="1">
      <alignment horizontal="center" wrapText="1"/>
    </xf>
    <xf numFmtId="188" fontId="1" fillId="4" borderId="1" xfId="0" applyNumberFormat="1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1" fillId="7" borderId="26" xfId="0" applyFont="1" applyFill="1" applyBorder="1" applyAlignment="1">
      <alignment horizontal="center" wrapText="1"/>
    </xf>
    <xf numFmtId="0" fontId="15" fillId="7" borderId="23" xfId="0" applyFont="1" applyFill="1" applyBorder="1" applyAlignment="1">
      <alignment horizontal="center" wrapText="1"/>
    </xf>
    <xf numFmtId="190" fontId="1" fillId="7" borderId="23" xfId="0" applyNumberFormat="1" applyFont="1" applyFill="1" applyBorder="1" applyAlignment="1">
      <alignment horizontal="center" wrapText="1"/>
    </xf>
    <xf numFmtId="0" fontId="1" fillId="7" borderId="23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89" fontId="1" fillId="0" borderId="7" xfId="0" applyNumberFormat="1" applyFont="1" applyBorder="1" applyAlignment="1">
      <alignment horizontal="center" wrapText="1"/>
    </xf>
    <xf numFmtId="189" fontId="1" fillId="7" borderId="7" xfId="0" applyNumberFormat="1" applyFont="1" applyFill="1" applyBorder="1" applyAlignment="1">
      <alignment horizontal="center" wrapText="1"/>
    </xf>
    <xf numFmtId="189" fontId="1" fillId="4" borderId="7" xfId="0" applyNumberFormat="1" applyFont="1" applyFill="1" applyBorder="1" applyAlignment="1">
      <alignment horizontal="center" wrapText="1"/>
    </xf>
    <xf numFmtId="189" fontId="1" fillId="6" borderId="7" xfId="0" applyNumberFormat="1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195" fontId="15" fillId="7" borderId="28" xfId="0" applyNumberFormat="1" applyFont="1" applyFill="1" applyBorder="1" applyAlignment="1">
      <alignment horizontal="center" wrapText="1"/>
    </xf>
    <xf numFmtId="189" fontId="1" fillId="4" borderId="4" xfId="0" applyNumberFormat="1" applyFont="1" applyFill="1" applyBorder="1" applyAlignment="1">
      <alignment horizontal="center" wrapText="1"/>
    </xf>
    <xf numFmtId="189" fontId="1" fillId="6" borderId="28" xfId="0" applyNumberFormat="1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189" fontId="1" fillId="6" borderId="4" xfId="0" applyNumberFormat="1" applyFont="1" applyFill="1" applyBorder="1" applyAlignment="1">
      <alignment horizontal="center" wrapText="1"/>
    </xf>
    <xf numFmtId="195" fontId="15" fillId="7" borderId="29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7" borderId="2" xfId="0" applyNumberFormat="1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88" fontId="1" fillId="0" borderId="20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188" fontId="1" fillId="0" borderId="2" xfId="0" applyNumberFormat="1" applyFont="1" applyBorder="1" applyAlignment="1">
      <alignment horizontal="center" wrapText="1"/>
    </xf>
    <xf numFmtId="188" fontId="1" fillId="0" borderId="9" xfId="0" applyNumberFormat="1" applyFont="1" applyBorder="1" applyAlignment="1">
      <alignment horizontal="center" wrapText="1"/>
    </xf>
    <xf numFmtId="190" fontId="2" fillId="0" borderId="12" xfId="0" applyNumberFormat="1" applyFont="1" applyBorder="1" applyAlignment="1">
      <alignment horizontal="center" wrapText="1"/>
    </xf>
    <xf numFmtId="9" fontId="1" fillId="0" borderId="7" xfId="0" applyNumberFormat="1" applyFont="1" applyBorder="1" applyAlignment="1">
      <alignment horizontal="center" wrapText="1"/>
    </xf>
    <xf numFmtId="190" fontId="1" fillId="0" borderId="7" xfId="0" applyNumberFormat="1" applyFont="1" applyBorder="1" applyAlignment="1">
      <alignment horizontal="center" wrapText="1"/>
    </xf>
    <xf numFmtId="190" fontId="1" fillId="0" borderId="22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95" fontId="1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0" fillId="0" borderId="0" xfId="23">
      <alignment/>
      <protection/>
    </xf>
    <xf numFmtId="4" fontId="29" fillId="0" borderId="0" xfId="0" applyNumberFormat="1" applyFont="1" applyAlignment="1">
      <alignment horizontal="center" wrapText="1"/>
    </xf>
    <xf numFmtId="4" fontId="30" fillId="0" borderId="0" xfId="0" applyNumberFormat="1" applyFont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26" fillId="0" borderId="0" xfId="0" applyFont="1" applyAlignment="1">
      <alignment/>
    </xf>
    <xf numFmtId="0" fontId="33" fillId="2" borderId="15" xfId="0" applyFont="1" applyFill="1" applyBorder="1" applyAlignment="1">
      <alignment/>
    </xf>
    <xf numFmtId="0" fontId="33" fillId="2" borderId="18" xfId="0" applyFont="1" applyFill="1" applyBorder="1" applyAlignment="1">
      <alignment/>
    </xf>
    <xf numFmtId="3" fontId="33" fillId="2" borderId="30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32" fillId="2" borderId="15" xfId="0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7" fillId="0" borderId="2" xfId="0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7" fillId="0" borderId="5" xfId="0" applyFont="1" applyBorder="1" applyAlignment="1">
      <alignment/>
    </xf>
    <xf numFmtId="0" fontId="26" fillId="3" borderId="15" xfId="0" applyFont="1" applyFill="1" applyBorder="1" applyAlignment="1">
      <alignment/>
    </xf>
    <xf numFmtId="3" fontId="1" fillId="3" borderId="18" xfId="0" applyNumberFormat="1" applyFont="1" applyFill="1" applyBorder="1" applyAlignment="1">
      <alignment/>
    </xf>
    <xf numFmtId="0" fontId="17" fillId="0" borderId="26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32" fillId="3" borderId="40" xfId="0" applyFont="1" applyFill="1" applyBorder="1" applyAlignment="1">
      <alignment/>
    </xf>
    <xf numFmtId="0" fontId="26" fillId="3" borderId="41" xfId="0" applyFont="1" applyFill="1" applyBorder="1" applyAlignment="1">
      <alignment horizontal="center"/>
    </xf>
    <xf numFmtId="0" fontId="31" fillId="3" borderId="41" xfId="0" applyFont="1" applyFill="1" applyBorder="1" applyAlignment="1">
      <alignment/>
    </xf>
    <xf numFmtId="0" fontId="31" fillId="3" borderId="42" xfId="0" applyFont="1" applyFill="1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/>
    </xf>
    <xf numFmtId="0" fontId="17" fillId="3" borderId="30" xfId="0" applyFont="1" applyFill="1" applyBorder="1" applyAlignment="1">
      <alignment horizontal="center"/>
    </xf>
    <xf numFmtId="0" fontId="33" fillId="4" borderId="43" xfId="0" applyFont="1" applyFill="1" applyBorder="1" applyAlignment="1">
      <alignment/>
    </xf>
    <xf numFmtId="0" fontId="33" fillId="4" borderId="44" xfId="0" applyFont="1" applyFill="1" applyBorder="1" applyAlignment="1">
      <alignment/>
    </xf>
    <xf numFmtId="3" fontId="33" fillId="4" borderId="45" xfId="0" applyNumberFormat="1" applyFont="1" applyFill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3" fillId="9" borderId="44" xfId="0" applyFont="1" applyFill="1" applyBorder="1" applyAlignment="1">
      <alignment/>
    </xf>
    <xf numFmtId="0" fontId="33" fillId="9" borderId="43" xfId="0" applyFont="1" applyFill="1" applyBorder="1" applyAlignment="1">
      <alignment/>
    </xf>
    <xf numFmtId="3" fontId="33" fillId="9" borderId="45" xfId="0" applyNumberFormat="1" applyFont="1" applyFill="1" applyBorder="1" applyAlignment="1">
      <alignment horizontal="center"/>
    </xf>
    <xf numFmtId="0" fontId="33" fillId="9" borderId="15" xfId="0" applyFont="1" applyFill="1" applyBorder="1" applyAlignment="1">
      <alignment/>
    </xf>
    <xf numFmtId="0" fontId="33" fillId="9" borderId="18" xfId="0" applyFont="1" applyFill="1" applyBorder="1" applyAlignment="1">
      <alignment/>
    </xf>
    <xf numFmtId="3" fontId="33" fillId="9" borderId="30" xfId="0" applyNumberFormat="1" applyFont="1" applyFill="1" applyBorder="1" applyAlignment="1">
      <alignment horizontal="center"/>
    </xf>
    <xf numFmtId="189" fontId="1" fillId="0" borderId="0" xfId="0" applyNumberFormat="1" applyFont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>
      <alignment/>
    </xf>
    <xf numFmtId="0" fontId="15" fillId="0" borderId="17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88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wrapText="1"/>
    </xf>
    <xf numFmtId="3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5" fillId="0" borderId="1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4" borderId="9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3" fontId="2" fillId="4" borderId="20" xfId="0" applyNumberFormat="1" applyFont="1" applyFill="1" applyBorder="1" applyAlignment="1">
      <alignment horizontal="center"/>
    </xf>
    <xf numFmtId="3" fontId="2" fillId="4" borderId="31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1" fillId="4" borderId="41" xfId="0" applyNumberFormat="1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26" fillId="0" borderId="1" xfId="0" applyNumberFormat="1" applyFont="1" applyBorder="1" applyAlignment="1">
      <alignment horizontal="center" wrapText="1"/>
    </xf>
    <xf numFmtId="3" fontId="2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10" borderId="11" xfId="0" applyFont="1" applyFill="1" applyBorder="1" applyAlignment="1">
      <alignment horizontal="center" wrapText="1"/>
    </xf>
    <xf numFmtId="0" fontId="15" fillId="10" borderId="12" xfId="0" applyFont="1" applyFill="1" applyBorder="1" applyAlignment="1">
      <alignment wrapText="1"/>
    </xf>
    <xf numFmtId="0" fontId="15" fillId="10" borderId="12" xfId="0" applyFont="1" applyFill="1" applyBorder="1" applyAlignment="1">
      <alignment horizontal="center" wrapText="1"/>
    </xf>
    <xf numFmtId="195" fontId="15" fillId="10" borderId="28" xfId="0" applyNumberFormat="1" applyFont="1" applyFill="1" applyBorder="1" applyAlignment="1">
      <alignment horizontal="center" wrapText="1"/>
    </xf>
    <xf numFmtId="189" fontId="1" fillId="10" borderId="7" xfId="0" applyNumberFormat="1" applyFont="1" applyFill="1" applyBorder="1" applyAlignment="1">
      <alignment horizontal="center" wrapText="1"/>
    </xf>
    <xf numFmtId="190" fontId="1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2" fontId="1" fillId="10" borderId="1" xfId="0" applyNumberFormat="1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195" fontId="2" fillId="5" borderId="49" xfId="0" applyNumberFormat="1" applyFont="1" applyFill="1" applyBorder="1" applyAlignment="1">
      <alignment horizontal="center" wrapText="1"/>
    </xf>
    <xf numFmtId="0" fontId="2" fillId="5" borderId="50" xfId="0" applyFont="1" applyFill="1" applyBorder="1" applyAlignment="1">
      <alignment horizontal="center" wrapText="1"/>
    </xf>
    <xf numFmtId="0" fontId="1" fillId="5" borderId="48" xfId="0" applyFont="1" applyFill="1" applyBorder="1" applyAlignment="1">
      <alignment horizontal="center" wrapText="1"/>
    </xf>
    <xf numFmtId="2" fontId="1" fillId="5" borderId="48" xfId="0" applyNumberFormat="1" applyFont="1" applyFill="1" applyBorder="1" applyAlignment="1">
      <alignment horizontal="center" wrapText="1"/>
    </xf>
    <xf numFmtId="0" fontId="1" fillId="10" borderId="20" xfId="0" applyFont="1" applyFill="1" applyBorder="1" applyAlignment="1">
      <alignment horizontal="center" wrapText="1"/>
    </xf>
    <xf numFmtId="0" fontId="15" fillId="10" borderId="20" xfId="0" applyFont="1" applyFill="1" applyBorder="1" applyAlignment="1">
      <alignment wrapText="1"/>
    </xf>
    <xf numFmtId="0" fontId="15" fillId="10" borderId="20" xfId="0" applyFont="1" applyFill="1" applyBorder="1" applyAlignment="1">
      <alignment horizontal="center" wrapText="1"/>
    </xf>
    <xf numFmtId="195" fontId="15" fillId="10" borderId="20" xfId="0" applyNumberFormat="1" applyFont="1" applyFill="1" applyBorder="1" applyAlignment="1">
      <alignment horizontal="center" wrapText="1"/>
    </xf>
    <xf numFmtId="2" fontId="1" fillId="5" borderId="51" xfId="0" applyNumberFormat="1" applyFont="1" applyFill="1" applyBorder="1" applyAlignment="1">
      <alignment horizontal="center" wrapText="1"/>
    </xf>
    <xf numFmtId="2" fontId="1" fillId="5" borderId="52" xfId="0" applyNumberFormat="1" applyFont="1" applyFill="1" applyBorder="1" applyAlignment="1">
      <alignment horizontal="center" wrapText="1"/>
    </xf>
    <xf numFmtId="2" fontId="1" fillId="5" borderId="5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5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15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1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0" fillId="7" borderId="0" xfId="0" applyFont="1" applyFill="1" applyAlignment="1">
      <alignment/>
    </xf>
    <xf numFmtId="0" fontId="16" fillId="7" borderId="0" xfId="0" applyFont="1" applyFill="1" applyAlignment="1">
      <alignment/>
    </xf>
    <xf numFmtId="0" fontId="0" fillId="7" borderId="0" xfId="0" applyFill="1" applyAlignment="1">
      <alignment/>
    </xf>
    <xf numFmtId="2" fontId="1" fillId="7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4" fontId="1" fillId="11" borderId="1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3" fontId="1" fillId="0" borderId="5" xfId="0" applyNumberFormat="1" applyFont="1" applyFill="1" applyBorder="1" applyAlignment="1">
      <alignment horizontal="center"/>
    </xf>
    <xf numFmtId="0" fontId="9" fillId="0" borderId="1" xfId="22" applyBorder="1" applyAlignment="1">
      <alignment horizontal="center"/>
      <protection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11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Border="1" applyAlignment="1">
      <alignment horizontal="center" wrapText="1"/>
    </xf>
    <xf numFmtId="191" fontId="1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191" fontId="1" fillId="0" borderId="0" xfId="0" applyNumberFormat="1" applyFont="1" applyBorder="1" applyAlignment="1">
      <alignment horizontal="center" vertical="center" wrapText="1"/>
    </xf>
    <xf numFmtId="19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191" fontId="1" fillId="0" borderId="5" xfId="0" applyNumberFormat="1" applyFont="1" applyBorder="1" applyAlignment="1">
      <alignment horizontal="center" vertical="center"/>
    </xf>
    <xf numFmtId="191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10" fontId="1" fillId="0" borderId="4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 wrapText="1"/>
    </xf>
    <xf numFmtId="188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vertical="center"/>
    </xf>
    <xf numFmtId="0" fontId="1" fillId="0" borderId="55" xfId="0" applyFont="1" applyBorder="1" applyAlignment="1">
      <alignment wrapText="1"/>
    </xf>
    <xf numFmtId="2" fontId="1" fillId="0" borderId="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2" fillId="6" borderId="15" xfId="0" applyFont="1" applyFill="1" applyBorder="1" applyAlignment="1">
      <alignment horizontal="left" vertical="center"/>
    </xf>
    <xf numFmtId="2" fontId="2" fillId="6" borderId="18" xfId="0" applyNumberFormat="1" applyFont="1" applyFill="1" applyBorder="1" applyAlignment="1">
      <alignment horizontal="center"/>
    </xf>
    <xf numFmtId="2" fontId="2" fillId="6" borderId="30" xfId="0" applyNumberFormat="1" applyFont="1" applyFill="1" applyBorder="1" applyAlignment="1">
      <alignment horizontal="center"/>
    </xf>
    <xf numFmtId="0" fontId="25" fillId="0" borderId="0" xfId="24" applyFont="1" applyBorder="1">
      <alignment/>
      <protection/>
    </xf>
    <xf numFmtId="4" fontId="1" fillId="0" borderId="0" xfId="24" applyNumberFormat="1" applyFont="1" applyFill="1" applyBorder="1" applyAlignment="1">
      <alignment horizontal="center"/>
      <protection/>
    </xf>
    <xf numFmtId="4" fontId="1" fillId="0" borderId="0" xfId="24" applyNumberFormat="1" applyFont="1" applyBorder="1" applyAlignment="1">
      <alignment horizontal="center"/>
      <protection/>
    </xf>
    <xf numFmtId="2" fontId="1" fillId="9" borderId="1" xfId="0" applyNumberFormat="1" applyFont="1" applyFill="1" applyBorder="1" applyAlignment="1">
      <alignment horizontal="center"/>
    </xf>
    <xf numFmtId="2" fontId="1" fillId="12" borderId="1" xfId="0" applyNumberFormat="1" applyFont="1" applyFill="1" applyBorder="1" applyAlignment="1">
      <alignment horizontal="center"/>
    </xf>
    <xf numFmtId="2" fontId="1" fillId="12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/>
    </xf>
    <xf numFmtId="0" fontId="1" fillId="0" borderId="0" xfId="24" applyFont="1" applyFill="1">
      <alignment/>
      <protection/>
    </xf>
    <xf numFmtId="2" fontId="1" fillId="12" borderId="0" xfId="0" applyNumberFormat="1" applyFont="1" applyFill="1" applyBorder="1" applyAlignment="1">
      <alignment horizontal="center" wrapText="1"/>
    </xf>
    <xf numFmtId="4" fontId="1" fillId="7" borderId="1" xfId="0" applyNumberFormat="1" applyFont="1" applyFill="1" applyBorder="1" applyAlignment="1">
      <alignment horizontal="center" vertical="center"/>
    </xf>
    <xf numFmtId="0" fontId="1" fillId="0" borderId="0" xfId="24" applyFont="1" applyFill="1" applyBorder="1">
      <alignment/>
      <protection/>
    </xf>
    <xf numFmtId="2" fontId="1" fillId="0" borderId="0" xfId="24" applyNumberFormat="1" applyFont="1" applyFill="1">
      <alignment/>
      <protection/>
    </xf>
    <xf numFmtId="0" fontId="2" fillId="7" borderId="5" xfId="0" applyFont="1" applyFill="1" applyBorder="1" applyAlignment="1">
      <alignment horizontal="center"/>
    </xf>
    <xf numFmtId="2" fontId="1" fillId="13" borderId="23" xfId="0" applyNumberFormat="1" applyFont="1" applyFill="1" applyBorder="1" applyAlignment="1">
      <alignment horizontal="center" wrapText="1"/>
    </xf>
    <xf numFmtId="2" fontId="1" fillId="13" borderId="2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3" fontId="17" fillId="0" borderId="5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24" applyFont="1" applyFill="1" applyAlignment="1">
      <alignment horizontal="center"/>
      <protection/>
    </xf>
    <xf numFmtId="4" fontId="1" fillId="6" borderId="1" xfId="0" applyNumberFormat="1" applyFont="1" applyFill="1" applyBorder="1" applyAlignment="1">
      <alignment horizontal="center"/>
    </xf>
    <xf numFmtId="4" fontId="1" fillId="11" borderId="3" xfId="0" applyNumberFormat="1" applyFont="1" applyFill="1" applyBorder="1" applyAlignment="1">
      <alignment horizontal="center"/>
    </xf>
    <xf numFmtId="2" fontId="1" fillId="1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13" borderId="3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2" fontId="1" fillId="11" borderId="3" xfId="0" applyNumberFormat="1" applyFont="1" applyFill="1" applyBorder="1" applyAlignment="1">
      <alignment horizontal="center"/>
    </xf>
    <xf numFmtId="2" fontId="1" fillId="9" borderId="3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12" borderId="3" xfId="0" applyNumberFormat="1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4" fontId="1" fillId="11" borderId="7" xfId="0" applyNumberFormat="1" applyFont="1" applyFill="1" applyBorder="1" applyAlignment="1">
      <alignment horizontal="center"/>
    </xf>
    <xf numFmtId="2" fontId="1" fillId="1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13" borderId="7" xfId="0" applyNumberFormat="1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2" fontId="2" fillId="7" borderId="7" xfId="0" applyNumberFormat="1" applyFont="1" applyFill="1" applyBorder="1" applyAlignment="1">
      <alignment horizontal="center"/>
    </xf>
    <xf numFmtId="2" fontId="1" fillId="11" borderId="7" xfId="0" applyNumberFormat="1" applyFont="1" applyFill="1" applyBorder="1" applyAlignment="1">
      <alignment horizontal="center"/>
    </xf>
    <xf numFmtId="2" fontId="1" fillId="9" borderId="7" xfId="0" applyNumberFormat="1" applyFont="1" applyFill="1" applyBorder="1" applyAlignment="1">
      <alignment horizontal="center"/>
    </xf>
    <xf numFmtId="2" fontId="1" fillId="12" borderId="7" xfId="0" applyNumberFormat="1" applyFont="1" applyFill="1" applyBorder="1" applyAlignment="1">
      <alignment horizontal="center" wrapText="1"/>
    </xf>
    <xf numFmtId="2" fontId="1" fillId="13" borderId="24" xfId="0" applyNumberFormat="1" applyFont="1" applyFill="1" applyBorder="1" applyAlignment="1">
      <alignment horizontal="center" wrapText="1"/>
    </xf>
    <xf numFmtId="2" fontId="2" fillId="7" borderId="12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4" fontId="1" fillId="11" borderId="2" xfId="0" applyNumberFormat="1" applyFont="1" applyFill="1" applyBorder="1" applyAlignment="1">
      <alignment horizontal="center"/>
    </xf>
    <xf numFmtId="4" fontId="1" fillId="11" borderId="4" xfId="0" applyNumberFormat="1" applyFont="1" applyFill="1" applyBorder="1" applyAlignment="1">
      <alignment horizontal="center"/>
    </xf>
    <xf numFmtId="2" fontId="1" fillId="12" borderId="2" xfId="0" applyNumberFormat="1" applyFont="1" applyFill="1" applyBorder="1" applyAlignment="1">
      <alignment horizontal="center"/>
    </xf>
    <xf numFmtId="2" fontId="1" fillId="12" borderId="4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13" borderId="2" xfId="0" applyNumberFormat="1" applyFont="1" applyFill="1" applyBorder="1" applyAlignment="1">
      <alignment horizontal="center"/>
    </xf>
    <xf numFmtId="2" fontId="1" fillId="13" borderId="4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2" fontId="1" fillId="7" borderId="4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1" fillId="11" borderId="2" xfId="0" applyNumberFormat="1" applyFont="1" applyFill="1" applyBorder="1" applyAlignment="1">
      <alignment horizontal="center"/>
    </xf>
    <xf numFmtId="2" fontId="1" fillId="11" borderId="4" xfId="0" applyNumberFormat="1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9" borderId="4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12" borderId="2" xfId="0" applyNumberFormat="1" applyFont="1" applyFill="1" applyBorder="1" applyAlignment="1">
      <alignment horizontal="center" wrapText="1"/>
    </xf>
    <xf numFmtId="2" fontId="1" fillId="12" borderId="4" xfId="0" applyNumberFormat="1" applyFont="1" applyFill="1" applyBorder="1" applyAlignment="1">
      <alignment horizontal="center" wrapText="1"/>
    </xf>
    <xf numFmtId="2" fontId="1" fillId="13" borderId="29" xfId="0" applyNumberFormat="1" applyFont="1" applyFill="1" applyBorder="1" applyAlignment="1">
      <alignment horizontal="center" wrapText="1"/>
    </xf>
    <xf numFmtId="2" fontId="2" fillId="7" borderId="10" xfId="0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2" fontId="1" fillId="13" borderId="29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4" fontId="1" fillId="0" borderId="3" xfId="24" applyNumberFormat="1" applyFont="1" applyBorder="1" applyAlignment="1">
      <alignment horizontal="center"/>
      <protection/>
    </xf>
    <xf numFmtId="189" fontId="1" fillId="0" borderId="0" xfId="0" applyNumberFormat="1" applyFont="1" applyFill="1" applyBorder="1" applyAlignment="1">
      <alignment horizontal="center"/>
    </xf>
    <xf numFmtId="2" fontId="1" fillId="14" borderId="0" xfId="0" applyNumberFormat="1" applyFont="1" applyFill="1" applyAlignment="1">
      <alignment horizontal="center" wrapText="1"/>
    </xf>
    <xf numFmtId="2" fontId="1" fillId="14" borderId="0" xfId="0" applyNumberFormat="1" applyFont="1" applyFill="1" applyBorder="1" applyAlignment="1">
      <alignment horizontal="center" wrapText="1"/>
    </xf>
    <xf numFmtId="2" fontId="39" fillId="0" borderId="0" xfId="0" applyNumberFormat="1" applyFont="1" applyAlignment="1">
      <alignment horizontal="center" wrapText="1"/>
    </xf>
    <xf numFmtId="3" fontId="38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191" fontId="1" fillId="6" borderId="1" xfId="0" applyNumberFormat="1" applyFont="1" applyFill="1" applyBorder="1" applyAlignment="1">
      <alignment horizontal="center" vertical="center" wrapText="1"/>
    </xf>
    <xf numFmtId="3" fontId="40" fillId="0" borderId="3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4" fontId="1" fillId="0" borderId="24" xfId="24" applyNumberFormat="1" applyFont="1" applyFill="1" applyBorder="1" applyAlignment="1">
      <alignment horizontal="center"/>
      <protection/>
    </xf>
    <xf numFmtId="0" fontId="2" fillId="0" borderId="0" xfId="24" applyFont="1" applyFill="1" applyBorder="1" applyAlignment="1">
      <alignment horizontal="center"/>
      <protection/>
    </xf>
    <xf numFmtId="4" fontId="1" fillId="0" borderId="5" xfId="24" applyNumberFormat="1" applyFont="1" applyBorder="1" applyAlignment="1">
      <alignment horizontal="center"/>
      <protection/>
    </xf>
    <xf numFmtId="4" fontId="1" fillId="0" borderId="10" xfId="24" applyNumberFormat="1" applyFont="1" applyBorder="1" applyAlignment="1">
      <alignment horizontal="center"/>
      <protection/>
    </xf>
    <xf numFmtId="0" fontId="2" fillId="2" borderId="20" xfId="24" applyFont="1" applyFill="1" applyBorder="1" applyAlignment="1">
      <alignment horizontal="center"/>
      <protection/>
    </xf>
    <xf numFmtId="0" fontId="2" fillId="2" borderId="21" xfId="24" applyFont="1" applyFill="1" applyBorder="1" applyAlignment="1">
      <alignment horizontal="center"/>
      <protection/>
    </xf>
    <xf numFmtId="4" fontId="1" fillId="0" borderId="32" xfId="24" applyNumberFormat="1" applyFont="1" applyBorder="1" applyAlignment="1">
      <alignment horizontal="center"/>
      <protection/>
    </xf>
    <xf numFmtId="4" fontId="1" fillId="0" borderId="36" xfId="24" applyNumberFormat="1" applyFont="1" applyBorder="1" applyAlignment="1">
      <alignment horizontal="center"/>
      <protection/>
    </xf>
    <xf numFmtId="0" fontId="2" fillId="2" borderId="22" xfId="24" applyFont="1" applyFill="1" applyBorder="1" applyAlignment="1">
      <alignment horizontal="center"/>
      <protection/>
    </xf>
    <xf numFmtId="0" fontId="2" fillId="2" borderId="9" xfId="24" applyFont="1" applyFill="1" applyBorder="1" applyAlignment="1">
      <alignment horizontal="center"/>
      <protection/>
    </xf>
    <xf numFmtId="0" fontId="2" fillId="2" borderId="31" xfId="24" applyFont="1" applyFill="1" applyBorder="1" applyAlignment="1">
      <alignment horizontal="center"/>
      <protection/>
    </xf>
    <xf numFmtId="4" fontId="1" fillId="4" borderId="18" xfId="24" applyNumberFormat="1" applyFont="1" applyFill="1" applyBorder="1" applyAlignment="1">
      <alignment horizontal="center"/>
      <protection/>
    </xf>
    <xf numFmtId="4" fontId="1" fillId="4" borderId="19" xfId="24" applyNumberFormat="1" applyFont="1" applyFill="1" applyBorder="1" applyAlignment="1">
      <alignment horizontal="center"/>
      <protection/>
    </xf>
    <xf numFmtId="4" fontId="1" fillId="4" borderId="30" xfId="24" applyNumberFormat="1" applyFont="1" applyFill="1" applyBorder="1" applyAlignment="1">
      <alignment horizontal="center"/>
      <protection/>
    </xf>
    <xf numFmtId="4" fontId="1" fillId="3" borderId="16" xfId="24" applyNumberFormat="1" applyFont="1" applyFill="1" applyBorder="1" applyAlignment="1">
      <alignment horizontal="center"/>
      <protection/>
    </xf>
    <xf numFmtId="4" fontId="1" fillId="3" borderId="18" xfId="24" applyNumberFormat="1" applyFont="1" applyFill="1" applyBorder="1" applyAlignment="1">
      <alignment horizontal="center"/>
      <protection/>
    </xf>
    <xf numFmtId="4" fontId="1" fillId="3" borderId="19" xfId="24" applyNumberFormat="1" applyFont="1" applyFill="1" applyBorder="1" applyAlignment="1">
      <alignment horizontal="center"/>
      <protection/>
    </xf>
    <xf numFmtId="4" fontId="1" fillId="3" borderId="15" xfId="24" applyNumberFormat="1" applyFont="1" applyFill="1" applyBorder="1" applyAlignment="1">
      <alignment horizontal="center"/>
      <protection/>
    </xf>
    <xf numFmtId="4" fontId="1" fillId="3" borderId="30" xfId="24" applyNumberFormat="1" applyFont="1" applyFill="1" applyBorder="1" applyAlignment="1">
      <alignment horizontal="center"/>
      <protection/>
    </xf>
    <xf numFmtId="4" fontId="1" fillId="3" borderId="17" xfId="24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horizontal="center" vertical="center" wrapText="1"/>
    </xf>
    <xf numFmtId="191" fontId="1" fillId="0" borderId="0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2" fontId="1" fillId="7" borderId="3" xfId="0" applyNumberFormat="1" applyFont="1" applyFill="1" applyBorder="1" applyAlignment="1">
      <alignment horizontal="center" wrapText="1"/>
    </xf>
    <xf numFmtId="2" fontId="1" fillId="10" borderId="3" xfId="0" applyNumberFormat="1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189" fontId="1" fillId="0" borderId="3" xfId="0" applyNumberFormat="1" applyFont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10" borderId="21" xfId="0" applyFont="1" applyFill="1" applyBorder="1" applyAlignment="1">
      <alignment horizontal="center" wrapText="1"/>
    </xf>
    <xf numFmtId="2" fontId="1" fillId="0" borderId="32" xfId="0" applyNumberFormat="1" applyFont="1" applyBorder="1" applyAlignment="1">
      <alignment horizontal="center" wrapText="1"/>
    </xf>
    <xf numFmtId="188" fontId="1" fillId="0" borderId="3" xfId="0" applyNumberFormat="1" applyFont="1" applyBorder="1" applyAlignment="1">
      <alignment horizontal="center" wrapText="1"/>
    </xf>
    <xf numFmtId="188" fontId="1" fillId="0" borderId="21" xfId="0" applyNumberFormat="1" applyFont="1" applyBorder="1" applyAlignment="1">
      <alignment horizontal="center" wrapText="1"/>
    </xf>
    <xf numFmtId="189" fontId="1" fillId="0" borderId="0" xfId="0" applyNumberFormat="1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8" fontId="1" fillId="0" borderId="3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wrapText="1"/>
    </xf>
    <xf numFmtId="188" fontId="1" fillId="4" borderId="3" xfId="0" applyNumberFormat="1" applyFont="1" applyFill="1" applyBorder="1" applyAlignment="1">
      <alignment horizontal="center" wrapText="1"/>
    </xf>
    <xf numFmtId="195" fontId="1" fillId="0" borderId="3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2" fontId="1" fillId="15" borderId="7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95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2" fontId="1" fillId="14" borderId="7" xfId="0" applyNumberFormat="1" applyFont="1" applyFill="1" applyBorder="1" applyAlignment="1">
      <alignment horizontal="center" wrapText="1"/>
    </xf>
    <xf numFmtId="188" fontId="1" fillId="0" borderId="7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left"/>
    </xf>
    <xf numFmtId="4" fontId="1" fillId="2" borderId="1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2" fontId="39" fillId="14" borderId="1" xfId="0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wrapText="1"/>
    </xf>
    <xf numFmtId="188" fontId="1" fillId="0" borderId="47" xfId="0" applyNumberFormat="1" applyFont="1" applyFill="1" applyBorder="1" applyAlignment="1">
      <alignment horizontal="center" wrapText="1"/>
    </xf>
    <xf numFmtId="188" fontId="1" fillId="0" borderId="58" xfId="0" applyNumberFormat="1" applyFont="1" applyFill="1" applyBorder="1" applyAlignment="1">
      <alignment horizont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8" fontId="1" fillId="0" borderId="4" xfId="0" applyNumberFormat="1" applyFont="1" applyBorder="1" applyAlignment="1">
      <alignment horizontal="center" vertical="center" wrapText="1"/>
    </xf>
    <xf numFmtId="188" fontId="1" fillId="0" borderId="4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2" fontId="1" fillId="7" borderId="4" xfId="0" applyNumberFormat="1" applyFont="1" applyFill="1" applyBorder="1" applyAlignment="1">
      <alignment horizontal="center" wrapText="1"/>
    </xf>
    <xf numFmtId="2" fontId="1" fillId="10" borderId="4" xfId="0" applyNumberFormat="1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188" fontId="1" fillId="4" borderId="4" xfId="0" applyNumberFormat="1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0" fontId="1" fillId="7" borderId="2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31" xfId="0" applyFont="1" applyFill="1" applyBorder="1" applyAlignment="1">
      <alignment horizontal="center" wrapText="1"/>
    </xf>
    <xf numFmtId="2" fontId="1" fillId="5" borderId="49" xfId="0" applyNumberFormat="1" applyFont="1" applyFill="1" applyBorder="1" applyAlignment="1">
      <alignment horizontal="center" wrapText="1"/>
    </xf>
    <xf numFmtId="188" fontId="1" fillId="2" borderId="47" xfId="23" applyNumberFormat="1" applyFont="1" applyFill="1" applyBorder="1" applyAlignment="1">
      <alignment horizontal="center"/>
      <protection/>
    </xf>
    <xf numFmtId="4" fontId="36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/>
    </xf>
    <xf numFmtId="0" fontId="1" fillId="10" borderId="2" xfId="0" applyFont="1" applyFill="1" applyBorder="1" applyAlignment="1">
      <alignment horizontal="center" wrapText="1"/>
    </xf>
    <xf numFmtId="2" fontId="1" fillId="10" borderId="2" xfId="0" applyNumberFormat="1" applyFont="1" applyFill="1" applyBorder="1" applyAlignment="1">
      <alignment horizontal="center" wrapText="1"/>
    </xf>
    <xf numFmtId="195" fontId="1" fillId="0" borderId="2" xfId="0" applyNumberFormat="1" applyFont="1" applyBorder="1" applyAlignment="1">
      <alignment horizontal="center" wrapText="1"/>
    </xf>
    <xf numFmtId="189" fontId="1" fillId="0" borderId="2" xfId="0" applyNumberFormat="1" applyFont="1" applyBorder="1" applyAlignment="1">
      <alignment horizontal="center" wrapText="1"/>
    </xf>
    <xf numFmtId="189" fontId="1" fillId="0" borderId="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1" fillId="4" borderId="56" xfId="0" applyFont="1" applyFill="1" applyBorder="1" applyAlignment="1">
      <alignment horizontal="center" wrapText="1"/>
    </xf>
    <xf numFmtId="2" fontId="1" fillId="7" borderId="56" xfId="0" applyNumberFormat="1" applyFont="1" applyFill="1" applyBorder="1" applyAlignment="1">
      <alignment horizontal="center" wrapText="1"/>
    </xf>
    <xf numFmtId="0" fontId="1" fillId="6" borderId="56" xfId="0" applyFont="1" applyFill="1" applyBorder="1" applyAlignment="1">
      <alignment horizontal="center" wrapText="1"/>
    </xf>
    <xf numFmtId="0" fontId="1" fillId="7" borderId="60" xfId="0" applyFont="1" applyFill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4" borderId="47" xfId="0" applyFont="1" applyFill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2" fontId="1" fillId="7" borderId="47" xfId="0" applyNumberFormat="1" applyFont="1" applyFill="1" applyBorder="1" applyAlignment="1">
      <alignment horizontal="center" wrapText="1"/>
    </xf>
    <xf numFmtId="2" fontId="1" fillId="10" borderId="47" xfId="0" applyNumberFormat="1" applyFont="1" applyFill="1" applyBorder="1" applyAlignment="1">
      <alignment horizontal="center" wrapText="1"/>
    </xf>
    <xf numFmtId="0" fontId="1" fillId="6" borderId="47" xfId="0" applyFont="1" applyFill="1" applyBorder="1" applyAlignment="1">
      <alignment horizontal="center" wrapText="1"/>
    </xf>
    <xf numFmtId="189" fontId="1" fillId="0" borderId="47" xfId="0" applyNumberFormat="1" applyFont="1" applyBorder="1" applyAlignment="1">
      <alignment horizontal="center" wrapText="1"/>
    </xf>
    <xf numFmtId="0" fontId="1" fillId="7" borderId="58" xfId="0" applyFont="1" applyFill="1" applyBorder="1" applyAlignment="1">
      <alignment horizontal="center" wrapText="1"/>
    </xf>
    <xf numFmtId="0" fontId="1" fillId="10" borderId="47" xfId="0" applyFont="1" applyFill="1" applyBorder="1" applyAlignment="1">
      <alignment horizontal="center" wrapText="1"/>
    </xf>
    <xf numFmtId="4" fontId="1" fillId="0" borderId="1" xfId="24" applyNumberFormat="1" applyFont="1" applyFill="1" applyBorder="1" applyAlignment="1">
      <alignment horizontal="center"/>
      <protection/>
    </xf>
    <xf numFmtId="0" fontId="1" fillId="3" borderId="6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2" fontId="2" fillId="8" borderId="18" xfId="0" applyNumberFormat="1" applyFont="1" applyFill="1" applyBorder="1" applyAlignment="1">
      <alignment horizontal="center"/>
    </xf>
    <xf numFmtId="191" fontId="2" fillId="0" borderId="17" xfId="0" applyNumberFormat="1" applyFont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2" fontId="2" fillId="8" borderId="30" xfId="0" applyNumberFormat="1" applyFont="1" applyFill="1" applyBorder="1" applyAlignment="1">
      <alignment horizontal="center"/>
    </xf>
    <xf numFmtId="191" fontId="2" fillId="0" borderId="15" xfId="0" applyNumberFormat="1" applyFont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2" fontId="2" fillId="8" borderId="16" xfId="0" applyNumberFormat="1" applyFont="1" applyFill="1" applyBorder="1" applyAlignment="1">
      <alignment horizontal="center"/>
    </xf>
    <xf numFmtId="0" fontId="1" fillId="11" borderId="36" xfId="0" applyFont="1" applyFill="1" applyBorder="1" applyAlignment="1">
      <alignment wrapText="1"/>
    </xf>
    <xf numFmtId="0" fontId="1" fillId="12" borderId="36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13" borderId="36" xfId="0" applyFont="1" applyFill="1" applyBorder="1" applyAlignment="1">
      <alignment/>
    </xf>
    <xf numFmtId="0" fontId="2" fillId="7" borderId="36" xfId="0" applyFont="1" applyFill="1" applyBorder="1" applyAlignment="1">
      <alignment wrapText="1"/>
    </xf>
    <xf numFmtId="0" fontId="1" fillId="11" borderId="36" xfId="0" applyFont="1" applyFill="1" applyBorder="1" applyAlignment="1">
      <alignment/>
    </xf>
    <xf numFmtId="0" fontId="1" fillId="9" borderId="36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2" fillId="7" borderId="36" xfId="0" applyFont="1" applyFill="1" applyBorder="1" applyAlignment="1">
      <alignment horizontal="left" wrapText="1"/>
    </xf>
    <xf numFmtId="191" fontId="2" fillId="0" borderId="17" xfId="0" applyNumberFormat="1" applyFont="1" applyBorder="1" applyAlignment="1">
      <alignment horizontal="left"/>
    </xf>
    <xf numFmtId="4" fontId="1" fillId="0" borderId="7" xfId="24" applyNumberFormat="1" applyFont="1" applyFill="1" applyBorder="1" applyAlignment="1">
      <alignment horizontal="center"/>
      <protection/>
    </xf>
    <xf numFmtId="4" fontId="1" fillId="0" borderId="3" xfId="24" applyNumberFormat="1" applyFont="1" applyFill="1" applyBorder="1" applyAlignment="1">
      <alignment horizontal="center"/>
      <protection/>
    </xf>
    <xf numFmtId="4" fontId="1" fillId="0" borderId="2" xfId="24" applyNumberFormat="1" applyFont="1" applyFill="1" applyBorder="1" applyAlignment="1">
      <alignment horizontal="center"/>
      <protection/>
    </xf>
    <xf numFmtId="4" fontId="1" fillId="0" borderId="4" xfId="24" applyNumberFormat="1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/>
      <protection/>
    </xf>
    <xf numFmtId="0" fontId="1" fillId="0" borderId="0" xfId="23" applyFont="1" applyFill="1" applyBorder="1" applyAlignment="1">
      <alignment horizontal="center"/>
      <protection/>
    </xf>
    <xf numFmtId="188" fontId="1" fillId="0" borderId="0" xfId="23" applyNumberFormat="1" applyFont="1" applyFill="1" applyBorder="1" applyAlignment="1">
      <alignment horizontal="center"/>
      <protection/>
    </xf>
    <xf numFmtId="188" fontId="1" fillId="0" borderId="4" xfId="23" applyNumberFormat="1" applyFont="1" applyBorder="1" applyAlignment="1">
      <alignment horizontal="center"/>
      <protection/>
    </xf>
    <xf numFmtId="189" fontId="1" fillId="2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2" fillId="4" borderId="2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4" borderId="19" xfId="0" applyFont="1" applyFill="1" applyBorder="1" applyAlignment="1">
      <alignment/>
    </xf>
    <xf numFmtId="3" fontId="1" fillId="0" borderId="3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26" fillId="0" borderId="3" xfId="0" applyNumberFormat="1" applyFont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3" fontId="1" fillId="0" borderId="13" xfId="0" applyNumberFormat="1" applyFont="1" applyBorder="1" applyAlignment="1">
      <alignment horizontal="center" wrapText="1"/>
    </xf>
    <xf numFmtId="3" fontId="26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horizontal="center" wrapText="1"/>
    </xf>
    <xf numFmtId="0" fontId="26" fillId="0" borderId="2" xfId="0" applyFont="1" applyFill="1" applyBorder="1" applyAlignment="1">
      <alignment/>
    </xf>
    <xf numFmtId="0" fontId="15" fillId="0" borderId="23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0" fontId="15" fillId="0" borderId="15" xfId="0" applyFont="1" applyFill="1" applyBorder="1" applyAlignment="1">
      <alignment/>
    </xf>
    <xf numFmtId="0" fontId="15" fillId="0" borderId="18" xfId="0" applyFont="1" applyBorder="1" applyAlignment="1">
      <alignment horizontal="center"/>
    </xf>
    <xf numFmtId="3" fontId="15" fillId="0" borderId="18" xfId="0" applyNumberFormat="1" applyFont="1" applyBorder="1" applyAlignment="1">
      <alignment horizontal="center" wrapText="1"/>
    </xf>
    <xf numFmtId="3" fontId="15" fillId="0" borderId="19" xfId="0" applyNumberFormat="1" applyFont="1" applyBorder="1" applyAlignment="1">
      <alignment horizontal="center" wrapText="1"/>
    </xf>
    <xf numFmtId="3" fontId="15" fillId="0" borderId="17" xfId="0" applyNumberFormat="1" applyFont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4" fillId="0" borderId="0" xfId="24" applyFont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6" fillId="0" borderId="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4" fillId="2" borderId="15" xfId="0" applyFont="1" applyFill="1" applyBorder="1" applyAlignment="1">
      <alignment/>
    </xf>
    <xf numFmtId="0" fontId="16" fillId="2" borderId="18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4" fillId="3" borderId="15" xfId="0" applyFont="1" applyFill="1" applyBorder="1" applyAlignment="1">
      <alignment/>
    </xf>
    <xf numFmtId="0" fontId="16" fillId="3" borderId="18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5" fillId="7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2" fontId="1" fillId="7" borderId="64" xfId="0" applyNumberFormat="1" applyFont="1" applyFill="1" applyBorder="1" applyAlignment="1">
      <alignment horizontal="center"/>
    </xf>
    <xf numFmtId="2" fontId="2" fillId="7" borderId="64" xfId="0" applyNumberFormat="1" applyFont="1" applyFill="1" applyBorder="1" applyAlignment="1">
      <alignment horizontal="center"/>
    </xf>
    <xf numFmtId="2" fontId="2" fillId="8" borderId="63" xfId="0" applyNumberFormat="1" applyFont="1" applyFill="1" applyBorder="1" applyAlignment="1">
      <alignment horizontal="center"/>
    </xf>
    <xf numFmtId="2" fontId="2" fillId="7" borderId="28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3" fontId="15" fillId="0" borderId="0" xfId="0" applyNumberFormat="1" applyFont="1" applyBorder="1" applyAlignment="1">
      <alignment/>
    </xf>
    <xf numFmtId="191" fontId="1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4" fontId="1" fillId="2" borderId="0" xfId="0" applyNumberFormat="1" applyFont="1" applyFill="1" applyAlignment="1">
      <alignment horizontal="center" wrapText="1"/>
    </xf>
    <xf numFmtId="191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14" borderId="23" xfId="24" applyNumberFormat="1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2" fontId="1" fillId="16" borderId="2" xfId="0" applyNumberFormat="1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/>
    </xf>
    <xf numFmtId="2" fontId="1" fillId="16" borderId="4" xfId="0" applyNumberFormat="1" applyFont="1" applyFill="1" applyBorder="1" applyAlignment="1">
      <alignment horizontal="center"/>
    </xf>
    <xf numFmtId="2" fontId="1" fillId="16" borderId="7" xfId="0" applyNumberFormat="1" applyFont="1" applyFill="1" applyBorder="1" applyAlignment="1">
      <alignment horizontal="center"/>
    </xf>
    <xf numFmtId="2" fontId="1" fillId="16" borderId="3" xfId="0" applyNumberFormat="1" applyFont="1" applyFill="1" applyBorder="1" applyAlignment="1">
      <alignment horizontal="center"/>
    </xf>
    <xf numFmtId="0" fontId="39" fillId="9" borderId="36" xfId="0" applyFont="1" applyFill="1" applyBorder="1" applyAlignment="1">
      <alignment/>
    </xf>
    <xf numFmtId="2" fontId="39" fillId="9" borderId="2" xfId="0" applyNumberFormat="1" applyFont="1" applyFill="1" applyBorder="1" applyAlignment="1">
      <alignment horizontal="center"/>
    </xf>
    <xf numFmtId="2" fontId="39" fillId="9" borderId="1" xfId="0" applyNumberFormat="1" applyFont="1" applyFill="1" applyBorder="1" applyAlignment="1">
      <alignment horizontal="center"/>
    </xf>
    <xf numFmtId="2" fontId="39" fillId="9" borderId="4" xfId="0" applyNumberFormat="1" applyFont="1" applyFill="1" applyBorder="1" applyAlignment="1">
      <alignment horizontal="center"/>
    </xf>
    <xf numFmtId="2" fontId="39" fillId="9" borderId="7" xfId="0" applyNumberFormat="1" applyFont="1" applyFill="1" applyBorder="1" applyAlignment="1">
      <alignment horizontal="center"/>
    </xf>
    <xf numFmtId="2" fontId="39" fillId="9" borderId="3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36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189" fontId="1" fillId="0" borderId="7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4" fillId="0" borderId="5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center"/>
    </xf>
    <xf numFmtId="3" fontId="33" fillId="2" borderId="18" xfId="0" applyNumberFormat="1" applyFont="1" applyFill="1" applyBorder="1" applyAlignment="1">
      <alignment horizontal="center"/>
    </xf>
    <xf numFmtId="3" fontId="17" fillId="0" borderId="23" xfId="0" applyNumberFormat="1" applyFont="1" applyBorder="1" applyAlignment="1">
      <alignment horizontal="center"/>
    </xf>
    <xf numFmtId="3" fontId="17" fillId="0" borderId="29" xfId="0" applyNumberFormat="1" applyFont="1" applyBorder="1" applyAlignment="1">
      <alignment horizontal="center"/>
    </xf>
    <xf numFmtId="0" fontId="33" fillId="3" borderId="15" xfId="0" applyFont="1" applyFill="1" applyBorder="1" applyAlignment="1">
      <alignment/>
    </xf>
    <xf numFmtId="3" fontId="33" fillId="3" borderId="18" xfId="0" applyNumberFormat="1" applyFont="1" applyFill="1" applyBorder="1" applyAlignment="1">
      <alignment horizontal="center"/>
    </xf>
    <xf numFmtId="3" fontId="33" fillId="3" borderId="30" xfId="0" applyNumberFormat="1" applyFont="1" applyFill="1" applyBorder="1" applyAlignment="1">
      <alignment horizontal="center"/>
    </xf>
    <xf numFmtId="188" fontId="16" fillId="0" borderId="0" xfId="0" applyNumberFormat="1" applyFont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3" borderId="19" xfId="0" applyNumberFormat="1" applyFont="1" applyFill="1" applyBorder="1" applyAlignment="1">
      <alignment horizontal="center"/>
    </xf>
    <xf numFmtId="0" fontId="1" fillId="0" borderId="32" xfId="0" applyFont="1" applyBorder="1" applyAlignment="1">
      <alignment/>
    </xf>
    <xf numFmtId="4" fontId="15" fillId="0" borderId="63" xfId="0" applyNumberFormat="1" applyFont="1" applyFill="1" applyBorder="1" applyAlignment="1">
      <alignment horizontal="center" vertical="center"/>
    </xf>
    <xf numFmtId="4" fontId="41" fillId="7" borderId="1" xfId="0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189" fontId="15" fillId="2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4" fillId="7" borderId="0" xfId="0" applyFont="1" applyFill="1" applyAlignment="1">
      <alignment/>
    </xf>
    <xf numFmtId="0" fontId="6" fillId="7" borderId="15" xfId="0" applyFont="1" applyFill="1" applyBorder="1" applyAlignment="1">
      <alignment/>
    </xf>
    <xf numFmtId="0" fontId="16" fillId="7" borderId="18" xfId="0" applyFont="1" applyFill="1" applyBorder="1" applyAlignment="1">
      <alignment/>
    </xf>
    <xf numFmtId="3" fontId="16" fillId="7" borderId="3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16" fillId="0" borderId="4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3" fontId="16" fillId="0" borderId="2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5" fillId="3" borderId="30" xfId="0" applyFont="1" applyFill="1" applyBorder="1" applyAlignment="1">
      <alignment horizontal="center"/>
    </xf>
    <xf numFmtId="0" fontId="6" fillId="3" borderId="15" xfId="0" applyFont="1" applyFill="1" applyBorder="1" applyAlignment="1">
      <alignment/>
    </xf>
    <xf numFmtId="3" fontId="16" fillId="3" borderId="30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5" xfId="0" applyFont="1" applyBorder="1" applyAlignment="1">
      <alignment/>
    </xf>
    <xf numFmtId="0" fontId="35" fillId="0" borderId="0" xfId="0" applyFont="1" applyFill="1" applyAlignment="1">
      <alignment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35" fillId="8" borderId="1" xfId="0" applyFont="1" applyFill="1" applyBorder="1" applyAlignment="1">
      <alignment vertical="center" wrapText="1"/>
    </xf>
    <xf numFmtId="0" fontId="35" fillId="8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" fontId="1" fillId="6" borderId="5" xfId="0" applyNumberFormat="1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2" fillId="0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0" fontId="35" fillId="2" borderId="15" xfId="0" applyFont="1" applyFill="1" applyBorder="1" applyAlignment="1">
      <alignment horizontal="center" wrapText="1"/>
    </xf>
    <xf numFmtId="0" fontId="35" fillId="2" borderId="18" xfId="0" applyFont="1" applyFill="1" applyBorder="1" applyAlignment="1">
      <alignment horizontal="center" wrapText="1"/>
    </xf>
    <xf numFmtId="0" fontId="35" fillId="2" borderId="19" xfId="0" applyFont="1" applyFill="1" applyBorder="1" applyAlignment="1">
      <alignment horizontal="center" wrapText="1"/>
    </xf>
    <xf numFmtId="0" fontId="35" fillId="2" borderId="30" xfId="0" applyFont="1" applyFill="1" applyBorder="1" applyAlignment="1">
      <alignment horizontal="center" wrapText="1"/>
    </xf>
    <xf numFmtId="1" fontId="16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9" fontId="17" fillId="0" borderId="0" xfId="2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35" fillId="7" borderId="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7" fillId="3" borderId="51" xfId="0" applyFont="1" applyFill="1" applyBorder="1" applyAlignment="1">
      <alignment/>
    </xf>
    <xf numFmtId="0" fontId="35" fillId="3" borderId="48" xfId="0" applyFont="1" applyFill="1" applyBorder="1" applyAlignment="1">
      <alignment horizontal="center"/>
    </xf>
    <xf numFmtId="3" fontId="35" fillId="3" borderId="49" xfId="0" applyNumberFormat="1" applyFont="1" applyFill="1" applyBorder="1" applyAlignment="1">
      <alignment horizontal="center"/>
    </xf>
    <xf numFmtId="0" fontId="44" fillId="3" borderId="51" xfId="0" applyFont="1" applyFill="1" applyBorder="1" applyAlignment="1">
      <alignment/>
    </xf>
    <xf numFmtId="0" fontId="45" fillId="3" borderId="48" xfId="0" applyFont="1" applyFill="1" applyBorder="1" applyAlignment="1">
      <alignment horizontal="center"/>
    </xf>
    <xf numFmtId="3" fontId="45" fillId="3" borderId="49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7" fillId="4" borderId="40" xfId="0" applyFont="1" applyFill="1" applyBorder="1" applyAlignment="1">
      <alignment/>
    </xf>
    <xf numFmtId="0" fontId="35" fillId="4" borderId="41" xfId="0" applyFont="1" applyFill="1" applyBorder="1" applyAlignment="1">
      <alignment horizontal="center"/>
    </xf>
    <xf numFmtId="3" fontId="35" fillId="4" borderId="42" xfId="0" applyNumberFormat="1" applyFont="1" applyFill="1" applyBorder="1" applyAlignment="1">
      <alignment horizontal="center"/>
    </xf>
    <xf numFmtId="0" fontId="43" fillId="7" borderId="26" xfId="0" applyFont="1" applyFill="1" applyBorder="1" applyAlignment="1">
      <alignment/>
    </xf>
    <xf numFmtId="0" fontId="21" fillId="7" borderId="1" xfId="0" applyFont="1" applyFill="1" applyBorder="1" applyAlignment="1">
      <alignment horizontal="center"/>
    </xf>
    <xf numFmtId="0" fontId="21" fillId="7" borderId="29" xfId="0" applyFont="1" applyFill="1" applyBorder="1" applyAlignment="1">
      <alignment horizontal="center"/>
    </xf>
    <xf numFmtId="0" fontId="43" fillId="7" borderId="2" xfId="0" applyFont="1" applyFill="1" applyBorder="1" applyAlignment="1">
      <alignment/>
    </xf>
    <xf numFmtId="1" fontId="21" fillId="7" borderId="4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/>
    </xf>
    <xf numFmtId="0" fontId="35" fillId="7" borderId="4" xfId="0" applyFont="1" applyFill="1" applyBorder="1" applyAlignment="1">
      <alignment horizontal="center"/>
    </xf>
    <xf numFmtId="0" fontId="46" fillId="2" borderId="8" xfId="0" applyFont="1" applyFill="1" applyBorder="1" applyAlignment="1">
      <alignment/>
    </xf>
    <xf numFmtId="0" fontId="47" fillId="2" borderId="35" xfId="0" applyFont="1" applyFill="1" applyBorder="1" applyAlignment="1">
      <alignment horizontal="center"/>
    </xf>
    <xf numFmtId="3" fontId="47" fillId="2" borderId="6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35" fillId="2" borderId="20" xfId="0" applyFont="1" applyFill="1" applyBorder="1" applyAlignment="1">
      <alignment horizontal="center"/>
    </xf>
    <xf numFmtId="3" fontId="35" fillId="2" borderId="31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7" borderId="0" xfId="0" applyFont="1" applyFill="1" applyAlignment="1">
      <alignment vertical="center"/>
    </xf>
    <xf numFmtId="0" fontId="17" fillId="7" borderId="1" xfId="0" applyFont="1" applyFill="1" applyBorder="1" applyAlignment="1">
      <alignment/>
    </xf>
    <xf numFmtId="4" fontId="1" fillId="7" borderId="1" xfId="0" applyNumberFormat="1" applyFont="1" applyFill="1" applyBorder="1" applyAlignment="1">
      <alignment horizontal="center" vertical="center" wrapText="1"/>
    </xf>
    <xf numFmtId="191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91" fontId="1" fillId="0" borderId="41" xfId="0" applyNumberFormat="1" applyFont="1" applyBorder="1" applyAlignment="1">
      <alignment horizontal="center" vertical="center"/>
    </xf>
    <xf numFmtId="191" fontId="1" fillId="0" borderId="41" xfId="0" applyNumberFormat="1" applyFont="1" applyBorder="1" applyAlignment="1">
      <alignment horizontal="center" vertical="center" wrapText="1"/>
    </xf>
    <xf numFmtId="191" fontId="1" fillId="0" borderId="65" xfId="0" applyNumberFormat="1" applyFont="1" applyBorder="1" applyAlignment="1">
      <alignment horizontal="center" vertical="center"/>
    </xf>
    <xf numFmtId="191" fontId="1" fillId="0" borderId="66" xfId="0" applyNumberFormat="1" applyFont="1" applyBorder="1" applyAlignment="1">
      <alignment horizontal="center" vertical="center" wrapText="1"/>
    </xf>
    <xf numFmtId="191" fontId="1" fillId="1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191" fontId="1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91" fontId="1" fillId="0" borderId="1" xfId="0" applyNumberFormat="1" applyFont="1" applyBorder="1" applyAlignment="1">
      <alignment vertical="center"/>
    </xf>
    <xf numFmtId="191" fontId="2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/>
    </xf>
    <xf numFmtId="1" fontId="16" fillId="0" borderId="23" xfId="0" applyNumberFormat="1" applyFont="1" applyFill="1" applyBorder="1" applyAlignment="1">
      <alignment horizontal="center"/>
    </xf>
    <xf numFmtId="1" fontId="16" fillId="3" borderId="3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37" fillId="0" borderId="0" xfId="0" applyNumberFormat="1" applyFont="1" applyFill="1" applyAlignment="1">
      <alignment horizontal="center" vertical="center"/>
    </xf>
    <xf numFmtId="189" fontId="15" fillId="0" borderId="1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191" fontId="15" fillId="4" borderId="20" xfId="0" applyNumberFormat="1" applyFont="1" applyFill="1" applyBorder="1" applyAlignment="1">
      <alignment horizontal="center" vertical="center" wrapText="1"/>
    </xf>
    <xf numFmtId="191" fontId="1" fillId="0" borderId="7" xfId="0" applyNumberFormat="1" applyFont="1" applyBorder="1" applyAlignment="1">
      <alignment vertical="center"/>
    </xf>
    <xf numFmtId="191" fontId="1" fillId="0" borderId="7" xfId="0" applyNumberFormat="1" applyFont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191" fontId="1" fillId="0" borderId="3" xfId="0" applyNumberFormat="1" applyFont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91" fontId="1" fillId="0" borderId="4" xfId="0" applyNumberFormat="1" applyFont="1" applyBorder="1" applyAlignment="1">
      <alignment horizontal="center" vertical="center"/>
    </xf>
    <xf numFmtId="191" fontId="1" fillId="0" borderId="7" xfId="0" applyNumberFormat="1" applyFont="1" applyFill="1" applyBorder="1" applyAlignment="1">
      <alignment horizontal="center" vertical="center" wrapText="1"/>
    </xf>
    <xf numFmtId="191" fontId="15" fillId="4" borderId="21" xfId="0" applyNumberFormat="1" applyFont="1" applyFill="1" applyBorder="1" applyAlignment="1">
      <alignment horizontal="center" vertical="center" wrapText="1"/>
    </xf>
    <xf numFmtId="191" fontId="15" fillId="4" borderId="31" xfId="0" applyNumberFormat="1" applyFont="1" applyFill="1" applyBorder="1" applyAlignment="1">
      <alignment horizontal="center" vertical="center" wrapText="1"/>
    </xf>
    <xf numFmtId="4" fontId="1" fillId="0" borderId="0" xfId="24" applyNumberFormat="1" applyFont="1">
      <alignment/>
      <protection/>
    </xf>
    <xf numFmtId="1" fontId="1" fillId="0" borderId="23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2" borderId="15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/>
    </xf>
    <xf numFmtId="2" fontId="1" fillId="3" borderId="29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6" borderId="36" xfId="0" applyNumberFormat="1" applyFont="1" applyFill="1" applyBorder="1" applyAlignment="1">
      <alignment horizontal="center"/>
    </xf>
    <xf numFmtId="4" fontId="1" fillId="3" borderId="36" xfId="0" applyNumberFormat="1" applyFont="1" applyFill="1" applyBorder="1" applyAlignment="1">
      <alignment horizontal="center"/>
    </xf>
    <xf numFmtId="4" fontId="1" fillId="7" borderId="1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6" borderId="7" xfId="0" applyNumberFormat="1" applyFont="1" applyFill="1" applyBorder="1" applyAlignment="1">
      <alignment horizontal="center"/>
    </xf>
    <xf numFmtId="4" fontId="1" fillId="3" borderId="7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center"/>
    </xf>
    <xf numFmtId="4" fontId="1" fillId="6" borderId="4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36" xfId="0" applyFont="1" applyFill="1" applyBorder="1" applyAlignment="1">
      <alignment/>
    </xf>
    <xf numFmtId="0" fontId="1" fillId="6" borderId="36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/>
    </xf>
    <xf numFmtId="4" fontId="1" fillId="7" borderId="24" xfId="0" applyNumberFormat="1" applyFont="1" applyFill="1" applyBorder="1" applyAlignment="1">
      <alignment horizontal="center"/>
    </xf>
    <xf numFmtId="4" fontId="1" fillId="7" borderId="23" xfId="0" applyNumberFormat="1" applyFont="1" applyFill="1" applyBorder="1" applyAlignment="1">
      <alignment horizontal="center"/>
    </xf>
    <xf numFmtId="4" fontId="1" fillId="7" borderId="25" xfId="0" applyNumberFormat="1" applyFont="1" applyFill="1" applyBorder="1" applyAlignment="1">
      <alignment horizontal="center"/>
    </xf>
    <xf numFmtId="4" fontId="1" fillId="7" borderId="26" xfId="0" applyNumberFormat="1" applyFont="1" applyFill="1" applyBorder="1" applyAlignment="1">
      <alignment horizontal="center"/>
    </xf>
    <xf numFmtId="4" fontId="1" fillId="7" borderId="29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4" fontId="1" fillId="3" borderId="16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4" fontId="1" fillId="0" borderId="23" xfId="24" applyNumberFormat="1" applyFont="1" applyFill="1" applyBorder="1" applyAlignment="1">
      <alignment horizontal="center"/>
      <protection/>
    </xf>
    <xf numFmtId="4" fontId="1" fillId="0" borderId="41" xfId="24" applyNumberFormat="1" applyFont="1" applyBorder="1" applyAlignment="1">
      <alignment horizontal="center"/>
      <protection/>
    </xf>
    <xf numFmtId="4" fontId="1" fillId="0" borderId="42" xfId="24" applyNumberFormat="1" applyFont="1" applyBorder="1" applyAlignment="1">
      <alignment horizontal="center"/>
      <protection/>
    </xf>
    <xf numFmtId="4" fontId="1" fillId="0" borderId="66" xfId="24" applyNumberFormat="1" applyFont="1" applyBorder="1" applyAlignment="1">
      <alignment horizontal="center"/>
      <protection/>
    </xf>
    <xf numFmtId="4" fontId="1" fillId="0" borderId="25" xfId="24" applyNumberFormat="1" applyFont="1" applyFill="1" applyBorder="1" applyAlignment="1">
      <alignment horizontal="center"/>
      <protection/>
    </xf>
    <xf numFmtId="4" fontId="1" fillId="0" borderId="65" xfId="24" applyNumberFormat="1" applyFont="1" applyBorder="1" applyAlignment="1">
      <alignment horizontal="center"/>
      <protection/>
    </xf>
    <xf numFmtId="4" fontId="1" fillId="0" borderId="26" xfId="24" applyNumberFormat="1" applyFont="1" applyFill="1" applyBorder="1" applyAlignment="1">
      <alignment horizontal="center"/>
      <protection/>
    </xf>
    <xf numFmtId="4" fontId="1" fillId="0" borderId="29" xfId="24" applyNumberFormat="1" applyFont="1" applyFill="1" applyBorder="1" applyAlignment="1">
      <alignment horizontal="center"/>
      <protection/>
    </xf>
    <xf numFmtId="4" fontId="1" fillId="0" borderId="40" xfId="24" applyNumberFormat="1" applyFont="1" applyBorder="1" applyAlignment="1">
      <alignment horizontal="center"/>
      <protection/>
    </xf>
    <xf numFmtId="4" fontId="1" fillId="0" borderId="54" xfId="24" applyNumberFormat="1" applyFont="1" applyBorder="1" applyAlignment="1">
      <alignment horizontal="center"/>
      <protection/>
    </xf>
    <xf numFmtId="0" fontId="1" fillId="2" borderId="67" xfId="23" applyFont="1" applyFill="1" applyBorder="1" applyAlignment="1">
      <alignment/>
      <protection/>
    </xf>
    <xf numFmtId="188" fontId="1" fillId="0" borderId="2" xfId="23" applyNumberFormat="1" applyFont="1" applyBorder="1">
      <alignment/>
      <protection/>
    </xf>
    <xf numFmtId="188" fontId="1" fillId="2" borderId="56" xfId="23" applyNumberFormat="1" applyFont="1" applyFill="1" applyBorder="1" applyAlignment="1">
      <alignment horizontal="center"/>
      <protection/>
    </xf>
    <xf numFmtId="188" fontId="1" fillId="2" borderId="64" xfId="23" applyNumberFormat="1" applyFont="1" applyFill="1" applyBorder="1" applyAlignment="1">
      <alignment horizontal="center"/>
      <protection/>
    </xf>
    <xf numFmtId="188" fontId="26" fillId="7" borderId="2" xfId="23" applyNumberFormat="1" applyFont="1" applyFill="1" applyBorder="1">
      <alignment/>
      <protection/>
    </xf>
    <xf numFmtId="188" fontId="26" fillId="7" borderId="4" xfId="23" applyNumberFormat="1" applyFont="1" applyFill="1" applyBorder="1" applyAlignment="1">
      <alignment horizontal="center"/>
      <protection/>
    </xf>
    <xf numFmtId="188" fontId="26" fillId="3" borderId="2" xfId="23" applyNumberFormat="1" applyFont="1" applyFill="1" applyBorder="1">
      <alignment/>
      <protection/>
    </xf>
    <xf numFmtId="188" fontId="26" fillId="3" borderId="4" xfId="23" applyNumberFormat="1" applyFont="1" applyFill="1" applyBorder="1" applyAlignment="1">
      <alignment horizontal="center"/>
      <protection/>
    </xf>
    <xf numFmtId="0" fontId="26" fillId="5" borderId="9" xfId="23" applyFont="1" applyFill="1" applyBorder="1">
      <alignment/>
      <protection/>
    </xf>
    <xf numFmtId="188" fontId="26" fillId="5" borderId="20" xfId="23" applyNumberFormat="1" applyFont="1" applyFill="1" applyBorder="1" applyAlignment="1">
      <alignment horizontal="center"/>
      <protection/>
    </xf>
    <xf numFmtId="0" fontId="26" fillId="0" borderId="31" xfId="23" applyFont="1" applyBorder="1" applyAlignment="1">
      <alignment horizontal="center"/>
      <protection/>
    </xf>
    <xf numFmtId="3" fontId="1" fillId="0" borderId="0" xfId="23" applyNumberFormat="1" applyFont="1" applyAlignment="1">
      <alignment horizontal="center"/>
      <protection/>
    </xf>
    <xf numFmtId="0" fontId="25" fillId="0" borderId="2" xfId="24" applyFont="1" applyBorder="1">
      <alignment/>
      <protection/>
    </xf>
    <xf numFmtId="0" fontId="25" fillId="0" borderId="2" xfId="24" applyFont="1" applyFill="1" applyBorder="1">
      <alignment/>
      <protection/>
    </xf>
    <xf numFmtId="0" fontId="25" fillId="0" borderId="11" xfId="24" applyFont="1" applyBorder="1">
      <alignment/>
      <protection/>
    </xf>
    <xf numFmtId="0" fontId="25" fillId="0" borderId="26" xfId="24" applyFont="1" applyBorder="1">
      <alignment/>
      <protection/>
    </xf>
    <xf numFmtId="0" fontId="25" fillId="4" borderId="15" xfId="24" applyFont="1" applyFill="1" applyBorder="1">
      <alignment/>
      <protection/>
    </xf>
    <xf numFmtId="0" fontId="25" fillId="0" borderId="40" xfId="24" applyFont="1" applyBorder="1">
      <alignment/>
      <protection/>
    </xf>
    <xf numFmtId="0" fontId="25" fillId="3" borderId="15" xfId="24" applyFont="1" applyFill="1" applyBorder="1">
      <alignment/>
      <protection/>
    </xf>
    <xf numFmtId="4" fontId="1" fillId="14" borderId="25" xfId="24" applyNumberFormat="1" applyFont="1" applyFill="1" applyBorder="1" applyAlignment="1">
      <alignment horizontal="center"/>
      <protection/>
    </xf>
    <xf numFmtId="4" fontId="1" fillId="0" borderId="36" xfId="24" applyNumberFormat="1" applyFont="1" applyFill="1" applyBorder="1" applyAlignment="1">
      <alignment horizontal="center"/>
      <protection/>
    </xf>
    <xf numFmtId="4" fontId="1" fillId="0" borderId="14" xfId="24" applyNumberFormat="1" applyFont="1" applyFill="1" applyBorder="1" applyAlignment="1">
      <alignment horizontal="center"/>
      <protection/>
    </xf>
    <xf numFmtId="191" fontId="1" fillId="0" borderId="10" xfId="0" applyNumberFormat="1" applyFont="1" applyBorder="1" applyAlignment="1">
      <alignment horizontal="center" vertical="center"/>
    </xf>
    <xf numFmtId="191" fontId="1" fillId="0" borderId="29" xfId="0" applyNumberFormat="1" applyFont="1" applyBorder="1" applyAlignment="1">
      <alignment horizontal="center" vertical="center"/>
    </xf>
    <xf numFmtId="191" fontId="1" fillId="0" borderId="42" xfId="0" applyNumberFormat="1" applyFont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17" borderId="36" xfId="0" applyFont="1" applyFill="1" applyBorder="1" applyAlignment="1">
      <alignment/>
    </xf>
    <xf numFmtId="3" fontId="1" fillId="17" borderId="36" xfId="0" applyNumberFormat="1" applyFont="1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9" fontId="1" fillId="0" borderId="1" xfId="23" applyNumberFormat="1" applyFont="1" applyFill="1" applyBorder="1" applyAlignment="1">
      <alignment horizontal="center"/>
      <protection/>
    </xf>
    <xf numFmtId="188" fontId="1" fillId="4" borderId="1" xfId="23" applyNumberFormat="1" applyFont="1" applyFill="1" applyBorder="1" applyAlignment="1">
      <alignment horizontal="center"/>
      <protection/>
    </xf>
    <xf numFmtId="188" fontId="1" fillId="9" borderId="1" xfId="23" applyNumberFormat="1" applyFont="1" applyFill="1" applyBorder="1" applyAlignment="1">
      <alignment horizontal="center"/>
      <protection/>
    </xf>
    <xf numFmtId="2" fontId="1" fillId="0" borderId="1" xfId="0" applyNumberFormat="1" applyFont="1" applyFill="1" applyBorder="1" applyAlignment="1">
      <alignment horizontal="center"/>
    </xf>
    <xf numFmtId="2" fontId="1" fillId="9" borderId="47" xfId="0" applyNumberFormat="1" applyFont="1" applyFill="1" applyBorder="1" applyAlignment="1">
      <alignment horizontal="center"/>
    </xf>
    <xf numFmtId="2" fontId="1" fillId="11" borderId="47" xfId="0" applyNumberFormat="1" applyFont="1" applyFill="1" applyBorder="1" applyAlignment="1">
      <alignment horizontal="center"/>
    </xf>
    <xf numFmtId="2" fontId="1" fillId="5" borderId="47" xfId="0" applyNumberFormat="1" applyFont="1" applyFill="1" applyBorder="1" applyAlignment="1">
      <alignment horizontal="center"/>
    </xf>
    <xf numFmtId="2" fontId="1" fillId="12" borderId="47" xfId="0" applyNumberFormat="1" applyFont="1" applyFill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2" fontId="1" fillId="13" borderId="47" xfId="0" applyNumberFormat="1" applyFont="1" applyFill="1" applyBorder="1" applyAlignment="1">
      <alignment horizontal="center"/>
    </xf>
    <xf numFmtId="191" fontId="2" fillId="0" borderId="16" xfId="0" applyNumberFormat="1" applyFont="1" applyBorder="1" applyAlignment="1">
      <alignment horizontal="center"/>
    </xf>
    <xf numFmtId="0" fontId="2" fillId="8" borderId="68" xfId="0" applyFont="1" applyFill="1" applyBorder="1" applyAlignment="1">
      <alignment horizontal="left" vertic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2" fillId="8" borderId="69" xfId="0" applyFont="1" applyFill="1" applyBorder="1" applyAlignment="1">
      <alignment horizontal="center"/>
    </xf>
    <xf numFmtId="0" fontId="2" fillId="8" borderId="7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1" fillId="13" borderId="1" xfId="0" applyNumberFormat="1" applyFont="1" applyFill="1" applyBorder="1" applyAlignment="1">
      <alignment horizontal="center" wrapText="1"/>
    </xf>
    <xf numFmtId="2" fontId="2" fillId="8" borderId="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 wrapText="1"/>
    </xf>
    <xf numFmtId="4" fontId="1" fillId="17" borderId="56" xfId="0" applyNumberFormat="1" applyFont="1" applyFill="1" applyBorder="1" applyAlignment="1">
      <alignment horizontal="center"/>
    </xf>
    <xf numFmtId="4" fontId="1" fillId="17" borderId="1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17" borderId="47" xfId="0" applyNumberFormat="1" applyFont="1" applyFill="1" applyBorder="1" applyAlignment="1">
      <alignment horizontal="center"/>
    </xf>
    <xf numFmtId="4" fontId="1" fillId="17" borderId="64" xfId="0" applyNumberFormat="1" applyFont="1" applyFill="1" applyBorder="1" applyAlignment="1">
      <alignment horizontal="center"/>
    </xf>
    <xf numFmtId="3" fontId="1" fillId="3" borderId="46" xfId="0" applyNumberFormat="1" applyFont="1" applyFill="1" applyBorder="1" applyAlignment="1">
      <alignment horizontal="center"/>
    </xf>
    <xf numFmtId="3" fontId="1" fillId="3" borderId="30" xfId="0" applyNumberFormat="1" applyFont="1" applyFill="1" applyBorder="1" applyAlignment="1">
      <alignment horizontal="center"/>
    </xf>
    <xf numFmtId="3" fontId="1" fillId="3" borderId="39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2" fontId="1" fillId="13" borderId="3" xfId="0" applyNumberFormat="1" applyFont="1" applyFill="1" applyBorder="1" applyAlignment="1">
      <alignment horizontal="center" wrapText="1"/>
    </xf>
    <xf numFmtId="2" fontId="2" fillId="8" borderId="3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1" fillId="13" borderId="7" xfId="0" applyNumberFormat="1" applyFont="1" applyFill="1" applyBorder="1" applyAlignment="1">
      <alignment horizontal="center" wrapText="1"/>
    </xf>
    <xf numFmtId="2" fontId="2" fillId="8" borderId="7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13" borderId="2" xfId="0" applyNumberFormat="1" applyFont="1" applyFill="1" applyBorder="1" applyAlignment="1">
      <alignment horizontal="center" wrapText="1"/>
    </xf>
    <xf numFmtId="2" fontId="1" fillId="13" borderId="4" xfId="0" applyNumberFormat="1" applyFont="1" applyFill="1" applyBorder="1" applyAlignment="1">
      <alignment horizontal="center" wrapText="1"/>
    </xf>
    <xf numFmtId="2" fontId="2" fillId="8" borderId="2" xfId="0" applyNumberFormat="1" applyFont="1" applyFill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0" fontId="2" fillId="8" borderId="71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wrapText="1"/>
    </xf>
    <xf numFmtId="191" fontId="2" fillId="0" borderId="18" xfId="0" applyNumberFormat="1" applyFont="1" applyBorder="1" applyAlignment="1">
      <alignment horizontal="center"/>
    </xf>
    <xf numFmtId="191" fontId="2" fillId="0" borderId="19" xfId="0" applyNumberFormat="1" applyFont="1" applyBorder="1" applyAlignment="1">
      <alignment horizontal="center"/>
    </xf>
    <xf numFmtId="191" fontId="2" fillId="0" borderId="30" xfId="0" applyNumberFormat="1" applyFont="1" applyBorder="1" applyAlignment="1">
      <alignment horizontal="center"/>
    </xf>
    <xf numFmtId="3" fontId="1" fillId="0" borderId="61" xfId="0" applyNumberFormat="1" applyFont="1" applyFill="1" applyBorder="1" applyAlignment="1">
      <alignment horizontal="center"/>
    </xf>
    <xf numFmtId="3" fontId="1" fillId="0" borderId="57" xfId="0" applyNumberFormat="1" applyFont="1" applyFill="1" applyBorder="1" applyAlignment="1">
      <alignment horizontal="center"/>
    </xf>
    <xf numFmtId="0" fontId="50" fillId="0" borderId="0" xfId="23" applyFont="1">
      <alignment/>
      <protection/>
    </xf>
    <xf numFmtId="0" fontId="1" fillId="6" borderId="30" xfId="23" applyFont="1" applyFill="1" applyBorder="1" applyAlignment="1">
      <alignment horizontal="center"/>
      <protection/>
    </xf>
    <xf numFmtId="3" fontId="1" fillId="0" borderId="0" xfId="23" applyNumberFormat="1" applyFont="1" applyFill="1" applyBorder="1" applyAlignment="1">
      <alignment horizontal="center"/>
      <protection/>
    </xf>
    <xf numFmtId="9" fontId="1" fillId="0" borderId="2" xfId="23" applyNumberFormat="1" applyFont="1" applyFill="1" applyBorder="1" applyAlignment="1">
      <alignment horizontal="left"/>
      <protection/>
    </xf>
    <xf numFmtId="3" fontId="1" fillId="0" borderId="1" xfId="23" applyNumberFormat="1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center"/>
      <protection/>
    </xf>
    <xf numFmtId="188" fontId="1" fillId="0" borderId="0" xfId="23" applyNumberFormat="1" applyFont="1" applyBorder="1" applyAlignment="1">
      <alignment horizontal="center"/>
      <protection/>
    </xf>
    <xf numFmtId="1" fontId="1" fillId="0" borderId="1" xfId="23" applyNumberFormat="1" applyFont="1" applyFill="1" applyBorder="1" applyAlignment="1">
      <alignment horizontal="center"/>
      <protection/>
    </xf>
    <xf numFmtId="0" fontId="1" fillId="0" borderId="4" xfId="23" applyFont="1" applyFill="1" applyBorder="1" applyAlignment="1">
      <alignment horizontal="center"/>
      <protection/>
    </xf>
    <xf numFmtId="0" fontId="1" fillId="0" borderId="20" xfId="23" applyFont="1" applyFill="1" applyBorder="1">
      <alignment/>
      <protection/>
    </xf>
    <xf numFmtId="3" fontId="1" fillId="2" borderId="1" xfId="23" applyNumberFormat="1" applyFont="1" applyFill="1" applyBorder="1" applyAlignment="1">
      <alignment horizontal="center"/>
      <protection/>
    </xf>
    <xf numFmtId="0" fontId="1" fillId="0" borderId="31" xfId="23" applyFont="1" applyFill="1" applyBorder="1" applyAlignment="1">
      <alignment horizontal="center"/>
      <protection/>
    </xf>
    <xf numFmtId="0" fontId="1" fillId="0" borderId="20" xfId="23" applyFont="1" applyFill="1" applyBorder="1" applyAlignment="1">
      <alignment horizontal="center"/>
      <protection/>
    </xf>
    <xf numFmtId="1" fontId="1" fillId="13" borderId="3" xfId="23" applyNumberFormat="1" applyFont="1" applyFill="1" applyBorder="1" applyAlignment="1">
      <alignment horizontal="center"/>
      <protection/>
    </xf>
    <xf numFmtId="2" fontId="1" fillId="0" borderId="23" xfId="23" applyNumberFormat="1" applyFont="1" applyFill="1" applyBorder="1" applyAlignment="1">
      <alignment horizontal="center"/>
      <protection/>
    </xf>
    <xf numFmtId="191" fontId="1" fillId="5" borderId="17" xfId="23" applyNumberFormat="1" applyFont="1" applyFill="1" applyBorder="1" applyAlignment="1">
      <alignment horizontal="center"/>
      <protection/>
    </xf>
    <xf numFmtId="4" fontId="1" fillId="3" borderId="63" xfId="24" applyNumberFormat="1" applyFont="1" applyFill="1" applyBorder="1" applyAlignment="1">
      <alignment horizontal="center"/>
      <protection/>
    </xf>
    <xf numFmtId="4" fontId="1" fillId="0" borderId="59" xfId="24" applyNumberFormat="1" applyFont="1" applyBorder="1" applyAlignment="1">
      <alignment horizontal="center"/>
      <protection/>
    </xf>
    <xf numFmtId="4" fontId="1" fillId="4" borderId="63" xfId="24" applyNumberFormat="1" applyFont="1" applyFill="1" applyBorder="1" applyAlignment="1">
      <alignment horizontal="center"/>
      <protection/>
    </xf>
    <xf numFmtId="0" fontId="6" fillId="0" borderId="12" xfId="0" applyFont="1" applyBorder="1" applyAlignment="1">
      <alignment wrapText="1"/>
    </xf>
    <xf numFmtId="4" fontId="1" fillId="0" borderId="57" xfId="24" applyNumberFormat="1" applyFont="1" applyBorder="1" applyAlignment="1">
      <alignment horizontal="center"/>
      <protection/>
    </xf>
    <xf numFmtId="4" fontId="1" fillId="0" borderId="47" xfId="24" applyNumberFormat="1" applyFont="1" applyFill="1" applyBorder="1" applyAlignment="1">
      <alignment horizontal="center"/>
      <protection/>
    </xf>
    <xf numFmtId="4" fontId="1" fillId="0" borderId="47" xfId="24" applyNumberFormat="1" applyFont="1" applyBorder="1" applyAlignment="1">
      <alignment horizontal="center"/>
      <protection/>
    </xf>
    <xf numFmtId="4" fontId="1" fillId="0" borderId="58" xfId="24" applyNumberFormat="1" applyFont="1" applyFill="1" applyBorder="1" applyAlignment="1">
      <alignment horizontal="center"/>
      <protection/>
    </xf>
    <xf numFmtId="0" fontId="1" fillId="2" borderId="72" xfId="23" applyFont="1" applyFill="1" applyBorder="1" applyAlignment="1">
      <alignment horizontal="center"/>
      <protection/>
    </xf>
    <xf numFmtId="194" fontId="26" fillId="4" borderId="1" xfId="23" applyNumberFormat="1" applyFont="1" applyFill="1" applyBorder="1" applyAlignment="1">
      <alignment horizontal="center"/>
      <protection/>
    </xf>
    <xf numFmtId="203" fontId="1" fillId="4" borderId="1" xfId="23" applyNumberFormat="1" applyFont="1" applyFill="1" applyBorder="1" applyAlignment="1">
      <alignment horizontal="center"/>
      <protection/>
    </xf>
    <xf numFmtId="0" fontId="0" fillId="0" borderId="0" xfId="23" applyAlignment="1">
      <alignment horizontal="center"/>
      <protection/>
    </xf>
    <xf numFmtId="188" fontId="1" fillId="0" borderId="0" xfId="23" applyNumberFormat="1" applyFont="1" applyFill="1" applyAlignment="1">
      <alignment horizontal="center"/>
      <protection/>
    </xf>
    <xf numFmtId="3" fontId="1" fillId="18" borderId="10" xfId="23" applyNumberFormat="1" applyFont="1" applyFill="1" applyBorder="1" applyAlignment="1">
      <alignment horizontal="center"/>
      <protection/>
    </xf>
    <xf numFmtId="3" fontId="1" fillId="18" borderId="4" xfId="23" applyNumberFormat="1" applyFont="1" applyFill="1" applyBorder="1" applyAlignment="1">
      <alignment horizontal="center"/>
      <protection/>
    </xf>
    <xf numFmtId="0" fontId="35" fillId="3" borderId="1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91" fontId="1" fillId="0" borderId="2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2" fontId="1" fillId="6" borderId="22" xfId="0" applyNumberFormat="1" applyFont="1" applyFill="1" applyBorder="1" applyAlignment="1">
      <alignment horizontal="center" vertical="center"/>
    </xf>
    <xf numFmtId="191" fontId="1" fillId="3" borderId="1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2" fontId="1" fillId="6" borderId="12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91" fontId="1" fillId="0" borderId="31" xfId="0" applyNumberFormat="1" applyFont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191" fontId="1" fillId="11" borderId="35" xfId="0" applyNumberFormat="1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91" fontId="1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11" borderId="6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189" fontId="1" fillId="0" borderId="0" xfId="0" applyNumberFormat="1" applyFont="1" applyAlignment="1">
      <alignment horizontal="center"/>
    </xf>
    <xf numFmtId="0" fontId="2" fillId="0" borderId="36" xfId="0" applyFont="1" applyFill="1" applyBorder="1" applyAlignment="1">
      <alignment/>
    </xf>
    <xf numFmtId="4" fontId="2" fillId="0" borderId="7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1" fillId="3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vertical="center"/>
    </xf>
    <xf numFmtId="191" fontId="2" fillId="5" borderId="18" xfId="0" applyNumberFormat="1" applyFont="1" applyFill="1" applyBorder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/>
    </xf>
    <xf numFmtId="3" fontId="1" fillId="0" borderId="64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41" fillId="7" borderId="36" xfId="0" applyNumberFormat="1" applyFont="1" applyFill="1" applyBorder="1" applyAlignment="1">
      <alignment horizontal="center"/>
    </xf>
    <xf numFmtId="4" fontId="41" fillId="7" borderId="26" xfId="0" applyNumberFormat="1" applyFont="1" applyFill="1" applyBorder="1" applyAlignment="1">
      <alignment horizontal="center"/>
    </xf>
    <xf numFmtId="4" fontId="41" fillId="7" borderId="23" xfId="0" applyNumberFormat="1" applyFont="1" applyFill="1" applyBorder="1" applyAlignment="1">
      <alignment horizontal="center"/>
    </xf>
    <xf numFmtId="4" fontId="41" fillId="7" borderId="29" xfId="0" applyNumberFormat="1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 horizontal="center"/>
    </xf>
    <xf numFmtId="4" fontId="41" fillId="0" borderId="4" xfId="0" applyNumberFormat="1" applyFont="1" applyFill="1" applyBorder="1" applyAlignment="1">
      <alignment horizontal="center"/>
    </xf>
    <xf numFmtId="4" fontId="41" fillId="6" borderId="4" xfId="0" applyNumberFormat="1" applyFont="1" applyFill="1" applyBorder="1" applyAlignment="1">
      <alignment horizontal="center"/>
    </xf>
    <xf numFmtId="4" fontId="41" fillId="3" borderId="4" xfId="0" applyNumberFormat="1" applyFont="1" applyFill="1" applyBorder="1" applyAlignment="1">
      <alignment horizontal="center"/>
    </xf>
    <xf numFmtId="4" fontId="41" fillId="6" borderId="2" xfId="0" applyNumberFormat="1" applyFont="1" applyFill="1" applyBorder="1" applyAlignment="1">
      <alignment horizontal="center"/>
    </xf>
    <xf numFmtId="4" fontId="41" fillId="6" borderId="1" xfId="0" applyNumberFormat="1" applyFont="1" applyFill="1" applyBorder="1" applyAlignment="1">
      <alignment horizontal="center"/>
    </xf>
    <xf numFmtId="195" fontId="1" fillId="14" borderId="1" xfId="0" applyNumberFormat="1" applyFont="1" applyFill="1" applyBorder="1" applyAlignment="1">
      <alignment horizontal="center"/>
    </xf>
    <xf numFmtId="4" fontId="1" fillId="7" borderId="36" xfId="24" applyNumberFormat="1" applyFont="1" applyFill="1" applyBorder="1" applyAlignment="1">
      <alignment horizontal="center"/>
      <protection/>
    </xf>
    <xf numFmtId="0" fontId="2" fillId="2" borderId="1" xfId="24" applyFont="1" applyFill="1" applyBorder="1" applyAlignment="1">
      <alignment horizontal="center"/>
      <protection/>
    </xf>
    <xf numFmtId="0" fontId="2" fillId="0" borderId="0" xfId="24" applyFont="1">
      <alignment/>
      <protection/>
    </xf>
    <xf numFmtId="4" fontId="2" fillId="0" borderId="11" xfId="24" applyNumberFormat="1" applyFont="1" applyBorder="1" applyAlignment="1">
      <alignment horizontal="center"/>
      <protection/>
    </xf>
    <xf numFmtId="4" fontId="2" fillId="0" borderId="2" xfId="24" applyNumberFormat="1" applyFont="1" applyFill="1" applyBorder="1" applyAlignment="1">
      <alignment horizontal="center"/>
      <protection/>
    </xf>
    <xf numFmtId="4" fontId="2" fillId="0" borderId="2" xfId="24" applyNumberFormat="1" applyFont="1" applyBorder="1" applyAlignment="1">
      <alignment horizontal="center"/>
      <protection/>
    </xf>
    <xf numFmtId="4" fontId="2" fillId="0" borderId="26" xfId="24" applyNumberFormat="1" applyFont="1" applyFill="1" applyBorder="1" applyAlignment="1">
      <alignment horizontal="center"/>
      <protection/>
    </xf>
    <xf numFmtId="4" fontId="2" fillId="3" borderId="15" xfId="24" applyNumberFormat="1" applyFont="1" applyFill="1" applyBorder="1" applyAlignment="1">
      <alignment horizontal="center"/>
      <protection/>
    </xf>
    <xf numFmtId="4" fontId="2" fillId="0" borderId="0" xfId="24" applyNumberFormat="1" applyFont="1">
      <alignment/>
      <protection/>
    </xf>
    <xf numFmtId="4" fontId="2" fillId="0" borderId="0" xfId="24" applyNumberFormat="1" applyFont="1" applyBorder="1" applyAlignment="1">
      <alignment horizontal="center"/>
      <protection/>
    </xf>
    <xf numFmtId="3" fontId="1" fillId="0" borderId="10" xfId="23" applyNumberFormat="1" applyFont="1" applyFill="1" applyBorder="1" applyAlignment="1">
      <alignment horizontal="center"/>
      <protection/>
    </xf>
    <xf numFmtId="3" fontId="1" fillId="0" borderId="4" xfId="23" applyNumberFormat="1" applyFont="1" applyFill="1" applyBorder="1" applyAlignment="1">
      <alignment horizontal="center"/>
      <protection/>
    </xf>
    <xf numFmtId="0" fontId="1" fillId="0" borderId="20" xfId="23" applyFont="1" applyBorder="1" applyAlignment="1">
      <alignment horizontal="center"/>
      <protection/>
    </xf>
    <xf numFmtId="0" fontId="1" fillId="6" borderId="63" xfId="23" applyFont="1" applyFill="1" applyBorder="1" applyAlignment="1">
      <alignment horizontal="center"/>
      <protection/>
    </xf>
    <xf numFmtId="0" fontId="1" fillId="0" borderId="73" xfId="23" applyFont="1" applyFill="1" applyBorder="1" applyAlignment="1">
      <alignment horizontal="center"/>
      <protection/>
    </xf>
    <xf numFmtId="0" fontId="1" fillId="6" borderId="17" xfId="23" applyFont="1" applyFill="1" applyBorder="1" applyAlignment="1">
      <alignment horizontal="center"/>
      <protection/>
    </xf>
    <xf numFmtId="3" fontId="1" fillId="0" borderId="13" xfId="23" applyNumberFormat="1" applyFont="1" applyFill="1" applyBorder="1" applyAlignment="1">
      <alignment horizontal="center"/>
      <protection/>
    </xf>
    <xf numFmtId="3" fontId="1" fillId="0" borderId="36" xfId="23" applyNumberFormat="1" applyFont="1" applyFill="1" applyBorder="1" applyAlignment="1">
      <alignment horizontal="center"/>
      <protection/>
    </xf>
    <xf numFmtId="0" fontId="1" fillId="0" borderId="37" xfId="23" applyFont="1" applyFill="1" applyBorder="1" applyAlignment="1">
      <alignment horizontal="center"/>
      <protection/>
    </xf>
    <xf numFmtId="0" fontId="1" fillId="6" borderId="39" xfId="23" applyFont="1" applyFill="1" applyBorder="1" applyAlignment="1">
      <alignment horizontal="center"/>
      <protection/>
    </xf>
    <xf numFmtId="3" fontId="1" fillId="0" borderId="57" xfId="23" applyNumberFormat="1" applyFont="1" applyFill="1" applyBorder="1" applyAlignment="1">
      <alignment horizontal="center"/>
      <protection/>
    </xf>
    <xf numFmtId="3" fontId="1" fillId="0" borderId="47" xfId="23" applyNumberFormat="1" applyFont="1" applyFill="1" applyBorder="1" applyAlignment="1">
      <alignment horizontal="center"/>
      <protection/>
    </xf>
    <xf numFmtId="0" fontId="1" fillId="0" borderId="74" xfId="23" applyFont="1" applyFill="1" applyBorder="1" applyAlignment="1">
      <alignment horizontal="center"/>
      <protection/>
    </xf>
    <xf numFmtId="9" fontId="1" fillId="6" borderId="17" xfId="23" applyNumberFormat="1" applyFont="1" applyFill="1" applyBorder="1" applyAlignment="1">
      <alignment horizontal="left"/>
      <protection/>
    </xf>
    <xf numFmtId="9" fontId="1" fillId="0" borderId="13" xfId="23" applyNumberFormat="1" applyFont="1" applyFill="1" applyBorder="1" applyAlignment="1">
      <alignment horizontal="left"/>
      <protection/>
    </xf>
    <xf numFmtId="9" fontId="1" fillId="0" borderId="36" xfId="23" applyNumberFormat="1" applyFont="1" applyFill="1" applyBorder="1" applyAlignment="1">
      <alignment horizontal="left"/>
      <protection/>
    </xf>
    <xf numFmtId="9" fontId="1" fillId="0" borderId="37" xfId="23" applyNumberFormat="1" applyFont="1" applyFill="1" applyBorder="1" applyAlignment="1">
      <alignment horizontal="left"/>
      <protection/>
    </xf>
    <xf numFmtId="0" fontId="1" fillId="6" borderId="1" xfId="23" applyFont="1" applyFill="1" applyBorder="1" applyAlignment="1">
      <alignment horizontal="center"/>
      <protection/>
    </xf>
    <xf numFmtId="0" fontId="1" fillId="11" borderId="75" xfId="23" applyFont="1" applyFill="1" applyBorder="1" applyAlignment="1">
      <alignment horizontal="center"/>
      <protection/>
    </xf>
    <xf numFmtId="0" fontId="1" fillId="0" borderId="1" xfId="23" applyFont="1" applyBorder="1" applyAlignment="1">
      <alignment horizontal="center"/>
      <protection/>
    </xf>
    <xf numFmtId="0" fontId="1" fillId="3" borderId="1" xfId="23" applyFont="1" applyFill="1" applyBorder="1" applyAlignment="1">
      <alignment horizontal="center"/>
      <protection/>
    </xf>
    <xf numFmtId="0" fontId="1" fillId="0" borderId="1" xfId="23" applyFont="1" applyBorder="1">
      <alignment/>
      <protection/>
    </xf>
    <xf numFmtId="0" fontId="1" fillId="6" borderId="1" xfId="23" applyFont="1" applyFill="1" applyBorder="1">
      <alignment/>
      <protection/>
    </xf>
    <xf numFmtId="3" fontId="26" fillId="0" borderId="1" xfId="23" applyNumberFormat="1" applyFont="1" applyFill="1" applyBorder="1" applyAlignment="1">
      <alignment horizontal="center"/>
      <protection/>
    </xf>
    <xf numFmtId="3" fontId="1" fillId="7" borderId="1" xfId="23" applyNumberFormat="1" applyFont="1" applyFill="1" applyBorder="1" applyAlignment="1">
      <alignment horizontal="center"/>
      <protection/>
    </xf>
    <xf numFmtId="0" fontId="1" fillId="7" borderId="1" xfId="23" applyFont="1" applyFill="1" applyBorder="1" applyAlignment="1">
      <alignment horizontal="center"/>
      <protection/>
    </xf>
    <xf numFmtId="9" fontId="1" fillId="6" borderId="8" xfId="23" applyNumberFormat="1" applyFont="1" applyFill="1" applyBorder="1" applyAlignment="1">
      <alignment horizontal="left"/>
      <protection/>
    </xf>
    <xf numFmtId="0" fontId="1" fillId="6" borderId="35" xfId="23" applyFont="1" applyFill="1" applyBorder="1" applyAlignment="1">
      <alignment horizontal="center"/>
      <protection/>
    </xf>
    <xf numFmtId="0" fontId="1" fillId="6" borderId="6" xfId="23" applyFont="1" applyFill="1" applyBorder="1" applyAlignment="1">
      <alignment horizontal="center"/>
      <protection/>
    </xf>
    <xf numFmtId="9" fontId="1" fillId="3" borderId="2" xfId="23" applyNumberFormat="1" applyFont="1" applyFill="1" applyBorder="1">
      <alignment/>
      <protection/>
    </xf>
    <xf numFmtId="0" fontId="1" fillId="0" borderId="4" xfId="23" applyFont="1" applyFill="1" applyBorder="1">
      <alignment/>
      <protection/>
    </xf>
    <xf numFmtId="9" fontId="1" fillId="6" borderId="2" xfId="23" applyNumberFormat="1" applyFont="1" applyFill="1" applyBorder="1">
      <alignment/>
      <protection/>
    </xf>
    <xf numFmtId="188" fontId="1" fillId="0" borderId="4" xfId="23" applyNumberFormat="1" applyFont="1" applyFill="1" applyBorder="1">
      <alignment/>
      <protection/>
    </xf>
    <xf numFmtId="9" fontId="1" fillId="7" borderId="2" xfId="23" applyNumberFormat="1" applyFont="1" applyFill="1" applyBorder="1">
      <alignment/>
      <protection/>
    </xf>
    <xf numFmtId="0" fontId="1" fillId="6" borderId="2" xfId="23" applyFont="1" applyFill="1" applyBorder="1">
      <alignment/>
      <protection/>
    </xf>
    <xf numFmtId="0" fontId="1" fillId="2" borderId="9" xfId="23" applyFont="1" applyFill="1" applyBorder="1">
      <alignment/>
      <protection/>
    </xf>
    <xf numFmtId="0" fontId="1" fillId="2" borderId="20" xfId="23" applyFont="1" applyFill="1" applyBorder="1" applyAlignment="1">
      <alignment horizontal="center"/>
      <protection/>
    </xf>
    <xf numFmtId="0" fontId="1" fillId="6" borderId="4" xfId="23" applyFont="1" applyFill="1" applyBorder="1" applyAlignment="1">
      <alignment horizontal="center"/>
      <protection/>
    </xf>
    <xf numFmtId="0" fontId="1" fillId="6" borderId="4" xfId="23" applyFont="1" applyFill="1" applyBorder="1">
      <alignment/>
      <protection/>
    </xf>
    <xf numFmtId="2" fontId="1" fillId="2" borderId="56" xfId="0" applyNumberFormat="1" applyFont="1" applyFill="1" applyBorder="1" applyAlignment="1">
      <alignment horizontal="center"/>
    </xf>
    <xf numFmtId="2" fontId="1" fillId="16" borderId="64" xfId="0" applyNumberFormat="1" applyFont="1" applyFill="1" applyBorder="1" applyAlignment="1">
      <alignment horizontal="center"/>
    </xf>
    <xf numFmtId="2" fontId="1" fillId="12" borderId="64" xfId="0" applyNumberFormat="1" applyFont="1" applyFill="1" applyBorder="1" applyAlignment="1">
      <alignment horizontal="center" wrapText="1"/>
    </xf>
    <xf numFmtId="2" fontId="39" fillId="9" borderId="64" xfId="0" applyNumberFormat="1" applyFont="1" applyFill="1" applyBorder="1" applyAlignment="1">
      <alignment horizontal="center"/>
    </xf>
    <xf numFmtId="2" fontId="1" fillId="12" borderId="47" xfId="0" applyNumberFormat="1" applyFont="1" applyFill="1" applyBorder="1" applyAlignment="1">
      <alignment horizontal="center" wrapText="1"/>
    </xf>
    <xf numFmtId="4" fontId="1" fillId="0" borderId="56" xfId="24" applyNumberFormat="1" applyFont="1" applyFill="1" applyBorder="1" applyAlignment="1">
      <alignment horizontal="center"/>
      <protection/>
    </xf>
    <xf numFmtId="0" fontId="1" fillId="2" borderId="20" xfId="24" applyFont="1" applyFill="1" applyBorder="1" applyAlignment="1">
      <alignment horizontal="center"/>
      <protection/>
    </xf>
    <xf numFmtId="0" fontId="2" fillId="2" borderId="74" xfId="24" applyFont="1" applyFill="1" applyBorder="1" applyAlignment="1">
      <alignment horizontal="center"/>
      <protection/>
    </xf>
    <xf numFmtId="4" fontId="1" fillId="3" borderId="39" xfId="24" applyNumberFormat="1" applyFont="1" applyFill="1" applyBorder="1" applyAlignment="1">
      <alignment horizontal="center"/>
      <protection/>
    </xf>
    <xf numFmtId="4" fontId="1" fillId="4" borderId="39" xfId="24" applyNumberFormat="1" applyFont="1" applyFill="1" applyBorder="1" applyAlignment="1">
      <alignment horizontal="center"/>
      <protection/>
    </xf>
    <xf numFmtId="4" fontId="2" fillId="0" borderId="40" xfId="24" applyNumberFormat="1" applyFont="1" applyBorder="1" applyAlignment="1">
      <alignment horizontal="center"/>
      <protection/>
    </xf>
    <xf numFmtId="4" fontId="2" fillId="4" borderId="15" xfId="24" applyNumberFormat="1" applyFont="1" applyFill="1" applyBorder="1" applyAlignment="1">
      <alignment horizontal="center"/>
      <protection/>
    </xf>
    <xf numFmtId="3" fontId="1" fillId="3" borderId="1" xfId="23" applyNumberFormat="1" applyFont="1" applyFill="1" applyBorder="1" applyAlignment="1">
      <alignment horizontal="center"/>
      <protection/>
    </xf>
    <xf numFmtId="3" fontId="1" fillId="3" borderId="28" xfId="23" applyNumberFormat="1" applyFont="1" applyFill="1" applyBorder="1" applyAlignment="1">
      <alignment horizontal="center"/>
      <protection/>
    </xf>
    <xf numFmtId="3" fontId="1" fillId="3" borderId="64" xfId="23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6" xfId="0" applyFont="1" applyFill="1" applyBorder="1" applyAlignment="1">
      <alignment wrapText="1"/>
    </xf>
    <xf numFmtId="0" fontId="26" fillId="0" borderId="56" xfId="0" applyFont="1" applyBorder="1" applyAlignment="1">
      <alignment wrapText="1"/>
    </xf>
    <xf numFmtId="0" fontId="14" fillId="4" borderId="1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0" fontId="2" fillId="2" borderId="43" xfId="24" applyFont="1" applyFill="1" applyBorder="1" applyAlignment="1">
      <alignment horizontal="center"/>
      <protection/>
    </xf>
    <xf numFmtId="0" fontId="2" fillId="2" borderId="72" xfId="24" applyFont="1" applyFill="1" applyBorder="1" applyAlignment="1">
      <alignment horizontal="center"/>
      <protection/>
    </xf>
    <xf numFmtId="0" fontId="2" fillId="2" borderId="62" xfId="24" applyFont="1" applyFill="1" applyBorder="1" applyAlignment="1">
      <alignment horizontal="center" vertical="center" wrapText="1"/>
      <protection/>
    </xf>
    <xf numFmtId="0" fontId="2" fillId="2" borderId="37" xfId="24" applyFont="1" applyFill="1" applyBorder="1" applyAlignment="1">
      <alignment horizontal="center" vertical="center" wrapText="1"/>
      <protection/>
    </xf>
    <xf numFmtId="0" fontId="2" fillId="2" borderId="3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5" xfId="24" applyFont="1" applyFill="1" applyBorder="1" applyAlignment="1">
      <alignment horizontal="center"/>
      <protection/>
    </xf>
    <xf numFmtId="0" fontId="2" fillId="2" borderId="38" xfId="24" applyFont="1" applyFill="1" applyBorder="1" applyAlignment="1">
      <alignment horizontal="center"/>
      <protection/>
    </xf>
    <xf numFmtId="0" fontId="2" fillId="2" borderId="8" xfId="24" applyFont="1" applyFill="1" applyBorder="1" applyAlignment="1">
      <alignment horizontal="center"/>
      <protection/>
    </xf>
    <xf numFmtId="0" fontId="2" fillId="2" borderId="6" xfId="24" applyFont="1" applyFill="1" applyBorder="1" applyAlignment="1">
      <alignment horizontal="center"/>
      <protection/>
    </xf>
    <xf numFmtId="0" fontId="2" fillId="2" borderId="62" xfId="24" applyFont="1" applyFill="1" applyBorder="1" applyAlignment="1">
      <alignment horizontal="center"/>
      <protection/>
    </xf>
    <xf numFmtId="0" fontId="2" fillId="2" borderId="37" xfId="24" applyFont="1" applyFill="1" applyBorder="1" applyAlignment="1">
      <alignment horizontal="center"/>
      <protection/>
    </xf>
    <xf numFmtId="0" fontId="23" fillId="2" borderId="8" xfId="24" applyFont="1" applyFill="1" applyBorder="1" applyAlignment="1">
      <alignment horizontal="center"/>
      <protection/>
    </xf>
    <xf numFmtId="0" fontId="23" fillId="2" borderId="9" xfId="24" applyFont="1" applyFill="1" applyBorder="1" applyAlignment="1">
      <alignment horizontal="center"/>
      <protection/>
    </xf>
    <xf numFmtId="0" fontId="2" fillId="2" borderId="27" xfId="24" applyFont="1" applyFill="1" applyBorder="1" applyAlignment="1">
      <alignment horizontal="center"/>
      <protection/>
    </xf>
    <xf numFmtId="0" fontId="2" fillId="2" borderId="67" xfId="24" applyFont="1" applyFill="1" applyBorder="1" applyAlignment="1">
      <alignment horizontal="center"/>
      <protection/>
    </xf>
    <xf numFmtId="1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42" fillId="6" borderId="1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" fontId="1" fillId="0" borderId="6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76" xfId="24" applyFont="1" applyFill="1" applyBorder="1" applyAlignment="1">
      <alignment horizontal="center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3" fillId="2" borderId="62" xfId="24" applyFont="1" applyFill="1" applyBorder="1" applyAlignment="1">
      <alignment horizontal="center"/>
      <protection/>
    </xf>
    <xf numFmtId="0" fontId="23" fillId="2" borderId="37" xfId="24" applyFont="1" applyFill="1" applyBorder="1" applyAlignment="1">
      <alignment horizontal="center"/>
      <protection/>
    </xf>
    <xf numFmtId="0" fontId="2" fillId="2" borderId="68" xfId="24" applyFont="1" applyFill="1" applyBorder="1" applyAlignment="1">
      <alignment horizontal="center" wrapText="1"/>
      <protection/>
    </xf>
    <xf numFmtId="0" fontId="2" fillId="2" borderId="75" xfId="24" applyFont="1" applyFill="1" applyBorder="1" applyAlignment="1">
      <alignment horizontal="center" wrapText="1"/>
      <protection/>
    </xf>
    <xf numFmtId="0" fontId="2" fillId="2" borderId="68" xfId="24" applyFont="1" applyFill="1" applyBorder="1" applyAlignment="1">
      <alignment horizontal="center" vertical="center"/>
      <protection/>
    </xf>
    <xf numFmtId="0" fontId="2" fillId="2" borderId="75" xfId="24" applyFont="1" applyFill="1" applyBorder="1" applyAlignment="1">
      <alignment horizontal="center" vertical="center"/>
      <protection/>
    </xf>
    <xf numFmtId="0" fontId="2" fillId="4" borderId="44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7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2" fillId="4" borderId="72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7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left" wrapText="1"/>
    </xf>
    <xf numFmtId="0" fontId="2" fillId="5" borderId="48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91" fontId="15" fillId="2" borderId="68" xfId="0" applyNumberFormat="1" applyFont="1" applyFill="1" applyBorder="1" applyAlignment="1">
      <alignment horizontal="center" vertical="center" wrapText="1"/>
    </xf>
    <xf numFmtId="191" fontId="15" fillId="2" borderId="75" xfId="0" applyNumberFormat="1" applyFont="1" applyFill="1" applyBorder="1" applyAlignment="1">
      <alignment horizontal="center" vertical="center" wrapText="1"/>
    </xf>
    <xf numFmtId="1" fontId="2" fillId="2" borderId="76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Дегазация" xfId="22"/>
    <cellStyle name="Обычный_ИНТпоказ" xfId="23"/>
    <cellStyle name="Обычный_Приложение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est%20Projects\&#1058;&#1091;&#1088;&#1080;&#1089;&#1090;\&#1044;&#1086;&#1087;\MyDo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tdel\&#1048;&#1085;&#1074;&#1077;&#1089;&#1090;&#1087;&#1088;&#1086;&#1077;&#1082;&#1090;&#1099;\&#1058;&#1091;&#1088;&#1080;&#1089;&#1090;\nach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meta-end"/>
      <sheetName val="Этапы"/>
      <sheetName val="Затр"/>
      <sheetName val="ЗарПл"/>
      <sheetName val="ФОТ"/>
      <sheetName val="Ам"/>
      <sheetName val="Пр-Уб"/>
      <sheetName val="Кэш-фло"/>
      <sheetName val="Налоги"/>
      <sheetName val="Таможня"/>
      <sheetName val="Фин.рез."/>
      <sheetName val="Риски Печ"/>
      <sheetName val="Сводн Пе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Таможня"/>
      <sheetName val="Вводная"/>
      <sheetName val="Описание"/>
      <sheetName val="Сроки"/>
      <sheetName val="Инв"/>
      <sheetName val="Займы"/>
      <sheetName val="Обесп Кр и погашение"/>
      <sheetName val="Дивид"/>
      <sheetName val="АмПредп"/>
      <sheetName val="АмИнв"/>
      <sheetName val="Ам Печ"/>
      <sheetName val="Объем"/>
      <sheetName val="Объем  Печ"/>
      <sheetName val="РасходыПеч"/>
      <sheetName val="НалСтавки"/>
      <sheetName val="Налоги"/>
      <sheetName val="Налоги Печ"/>
      <sheetName val="Финрез Печ"/>
      <sheetName val="Кэш"/>
      <sheetName val="Кэш Печ"/>
      <sheetName val="Риски Печ"/>
      <sheetName val="Инт пок Печ"/>
      <sheetName val="Сводн Печ"/>
      <sheetName val="ФОТ"/>
      <sheetName val="Объяснения_риск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8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4" sqref="A4:IV4"/>
    </sheetView>
  </sheetViews>
  <sheetFormatPr defaultColWidth="9.00390625" defaultRowHeight="12.75"/>
  <cols>
    <col min="1" max="1" width="21.125" style="30" customWidth="1"/>
    <col min="2" max="2" width="39.75390625" style="29" customWidth="1"/>
    <col min="3" max="3" width="11.75390625" style="29" customWidth="1"/>
    <col min="4" max="4" width="10.375" style="29" customWidth="1"/>
    <col min="5" max="5" width="11.375" style="29" customWidth="1"/>
    <col min="6" max="31" width="10.375" style="29" customWidth="1"/>
    <col min="32" max="39" width="10.375" style="29" hidden="1" customWidth="1"/>
    <col min="40" max="40" width="11.875" style="431" customWidth="1"/>
    <col min="41" max="41" width="12.875" style="431" bestFit="1" customWidth="1"/>
    <col min="42" max="42" width="13.25390625" style="431" bestFit="1" customWidth="1"/>
    <col min="43" max="43" width="12.25390625" style="831" bestFit="1" customWidth="1"/>
    <col min="44" max="46" width="10.375" style="431" customWidth="1"/>
    <col min="47" max="47" width="11.00390625" style="29" bestFit="1" customWidth="1"/>
    <col min="48" max="48" width="10.875" style="434" bestFit="1" customWidth="1"/>
    <col min="49" max="50" width="9.125" style="985" customWidth="1"/>
    <col min="51" max="51" width="9.625" style="29" bestFit="1" customWidth="1"/>
    <col min="52" max="52" width="9.75390625" style="29" bestFit="1" customWidth="1"/>
    <col min="53" max="16384" width="9.125" style="29" customWidth="1"/>
  </cols>
  <sheetData>
    <row r="1" spans="1:48" s="452" customFormat="1" ht="26.25" customHeight="1">
      <c r="A1" s="1362" t="s">
        <v>298</v>
      </c>
      <c r="B1" s="1362"/>
      <c r="C1" s="454"/>
      <c r="D1" s="454"/>
      <c r="E1" s="453"/>
      <c r="F1" s="453"/>
      <c r="G1" s="454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609"/>
      <c r="AO1" s="609"/>
      <c r="AP1" s="609"/>
      <c r="AQ1" s="797"/>
      <c r="AR1" s="609"/>
      <c r="AS1" s="609"/>
      <c r="AT1" s="609"/>
      <c r="AU1" s="453"/>
      <c r="AV1" s="455"/>
    </row>
    <row r="2" spans="1:44" s="452" customFormat="1" ht="12.75">
      <c r="A2" s="1357" t="s">
        <v>242</v>
      </c>
      <c r="B2" s="1357" t="s">
        <v>243</v>
      </c>
      <c r="C2" s="1356" t="s">
        <v>463</v>
      </c>
      <c r="D2" s="1357">
        <v>2006</v>
      </c>
      <c r="E2" s="1357"/>
      <c r="F2" s="1357"/>
      <c r="G2" s="1357"/>
      <c r="H2" s="1357">
        <v>2007</v>
      </c>
      <c r="I2" s="1357"/>
      <c r="J2" s="1357"/>
      <c r="K2" s="1357"/>
      <c r="L2" s="1357">
        <v>2008</v>
      </c>
      <c r="M2" s="1357"/>
      <c r="N2" s="1357"/>
      <c r="O2" s="1357"/>
      <c r="P2" s="1357">
        <v>2009</v>
      </c>
      <c r="Q2" s="1357"/>
      <c r="R2" s="1357"/>
      <c r="S2" s="1357"/>
      <c r="T2" s="1357">
        <v>2010</v>
      </c>
      <c r="U2" s="1357"/>
      <c r="V2" s="1357"/>
      <c r="W2" s="1357"/>
      <c r="X2" s="1357">
        <v>2011</v>
      </c>
      <c r="Y2" s="1357"/>
      <c r="Z2" s="1357"/>
      <c r="AA2" s="1357"/>
      <c r="AB2" s="1357">
        <v>2012</v>
      </c>
      <c r="AC2" s="1357"/>
      <c r="AD2" s="1357"/>
      <c r="AE2" s="1357"/>
      <c r="AF2" s="1357">
        <v>2013</v>
      </c>
      <c r="AG2" s="1357"/>
      <c r="AH2" s="1357"/>
      <c r="AI2" s="1357"/>
      <c r="AJ2" s="1357">
        <v>2014</v>
      </c>
      <c r="AK2" s="1357"/>
      <c r="AL2" s="1357"/>
      <c r="AM2" s="1357"/>
      <c r="AN2" s="1357" t="s">
        <v>70</v>
      </c>
      <c r="AO2" s="455"/>
      <c r="AQ2" s="829"/>
      <c r="AR2" s="344"/>
    </row>
    <row r="3" spans="1:44" s="452" customFormat="1" ht="12.75">
      <c r="A3" s="1357"/>
      <c r="B3" s="1357"/>
      <c r="C3" s="1356"/>
      <c r="D3" s="839" t="s">
        <v>307</v>
      </c>
      <c r="E3" s="839" t="s">
        <v>308</v>
      </c>
      <c r="F3" s="839" t="s">
        <v>309</v>
      </c>
      <c r="G3" s="839" t="s">
        <v>310</v>
      </c>
      <c r="H3" s="839" t="s">
        <v>307</v>
      </c>
      <c r="I3" s="839" t="s">
        <v>308</v>
      </c>
      <c r="J3" s="839" t="s">
        <v>309</v>
      </c>
      <c r="K3" s="839" t="s">
        <v>310</v>
      </c>
      <c r="L3" s="839" t="s">
        <v>307</v>
      </c>
      <c r="M3" s="839" t="s">
        <v>308</v>
      </c>
      <c r="N3" s="839" t="s">
        <v>309</v>
      </c>
      <c r="O3" s="839" t="s">
        <v>310</v>
      </c>
      <c r="P3" s="839" t="s">
        <v>307</v>
      </c>
      <c r="Q3" s="839" t="s">
        <v>308</v>
      </c>
      <c r="R3" s="839" t="s">
        <v>309</v>
      </c>
      <c r="S3" s="839" t="s">
        <v>310</v>
      </c>
      <c r="T3" s="839" t="s">
        <v>307</v>
      </c>
      <c r="U3" s="839" t="s">
        <v>308</v>
      </c>
      <c r="V3" s="839" t="s">
        <v>309</v>
      </c>
      <c r="W3" s="839" t="s">
        <v>310</v>
      </c>
      <c r="X3" s="839" t="s">
        <v>307</v>
      </c>
      <c r="Y3" s="839" t="s">
        <v>308</v>
      </c>
      <c r="Z3" s="839" t="s">
        <v>309</v>
      </c>
      <c r="AA3" s="839" t="s">
        <v>310</v>
      </c>
      <c r="AB3" s="839" t="s">
        <v>307</v>
      </c>
      <c r="AC3" s="839" t="s">
        <v>308</v>
      </c>
      <c r="AD3" s="839" t="s">
        <v>309</v>
      </c>
      <c r="AE3" s="839" t="s">
        <v>310</v>
      </c>
      <c r="AF3" s="839" t="s">
        <v>307</v>
      </c>
      <c r="AG3" s="839" t="s">
        <v>308</v>
      </c>
      <c r="AH3" s="839" t="s">
        <v>309</v>
      </c>
      <c r="AI3" s="839" t="s">
        <v>310</v>
      </c>
      <c r="AJ3" s="839" t="s">
        <v>307</v>
      </c>
      <c r="AK3" s="839" t="s">
        <v>308</v>
      </c>
      <c r="AL3" s="839" t="s">
        <v>309</v>
      </c>
      <c r="AM3" s="839" t="s">
        <v>310</v>
      </c>
      <c r="AN3" s="1357"/>
      <c r="AO3" s="455"/>
      <c r="AQ3" s="829"/>
      <c r="AR3" s="344"/>
    </row>
    <row r="4" spans="1:52" s="452" customFormat="1" ht="12.75" hidden="1">
      <c r="A4" s="912" t="s">
        <v>244</v>
      </c>
      <c r="B4" s="456" t="s">
        <v>583</v>
      </c>
      <c r="C4" s="451"/>
      <c r="D4" s="451">
        <v>0</v>
      </c>
      <c r="E4" s="451">
        <v>0</v>
      </c>
      <c r="F4" s="451">
        <v>0</v>
      </c>
      <c r="G4" s="451">
        <v>0</v>
      </c>
      <c r="H4" s="451">
        <v>0</v>
      </c>
      <c r="I4" s="451">
        <v>0</v>
      </c>
      <c r="J4" s="451">
        <v>0</v>
      </c>
      <c r="K4" s="451">
        <v>0</v>
      </c>
      <c r="L4" s="451">
        <v>0</v>
      </c>
      <c r="M4" s="451">
        <v>0</v>
      </c>
      <c r="N4" s="451">
        <v>0</v>
      </c>
      <c r="O4" s="451">
        <v>0</v>
      </c>
      <c r="P4" s="451">
        <v>0</v>
      </c>
      <c r="Q4" s="451">
        <v>0</v>
      </c>
      <c r="R4" s="451">
        <v>0</v>
      </c>
      <c r="S4" s="451">
        <v>0</v>
      </c>
      <c r="T4" s="451">
        <v>0</v>
      </c>
      <c r="U4" s="451">
        <v>0</v>
      </c>
      <c r="V4" s="451">
        <v>0</v>
      </c>
      <c r="W4" s="451">
        <v>0</v>
      </c>
      <c r="X4" s="451">
        <v>0</v>
      </c>
      <c r="Y4" s="451">
        <v>0</v>
      </c>
      <c r="Z4" s="451">
        <v>0</v>
      </c>
      <c r="AA4" s="451">
        <v>0</v>
      </c>
      <c r="AB4" s="451">
        <v>0</v>
      </c>
      <c r="AC4" s="451">
        <v>0</v>
      </c>
      <c r="AD4" s="451">
        <v>0</v>
      </c>
      <c r="AE4" s="451">
        <v>0</v>
      </c>
      <c r="AF4" s="451"/>
      <c r="AG4" s="451"/>
      <c r="AH4" s="451"/>
      <c r="AI4" s="451"/>
      <c r="AJ4" s="451"/>
      <c r="AK4" s="451"/>
      <c r="AL4" s="451"/>
      <c r="AM4" s="451"/>
      <c r="AN4" s="451">
        <f aca="true" t="shared" si="0" ref="AN4:AN33">SUM(C4:AM4)</f>
        <v>0</v>
      </c>
      <c r="AO4" s="837">
        <f>SUM(AN4)</f>
        <v>0</v>
      </c>
      <c r="AP4" s="833"/>
      <c r="AQ4" s="925">
        <f>AP4-AO4</f>
        <v>0</v>
      </c>
      <c r="AR4" s="585"/>
      <c r="AY4" s="582"/>
      <c r="AZ4" s="583"/>
    </row>
    <row r="5" spans="1:52" s="452" customFormat="1" ht="18.75" customHeight="1">
      <c r="A5" s="1358" t="s">
        <v>465</v>
      </c>
      <c r="B5" s="913" t="s">
        <v>112</v>
      </c>
      <c r="C5" s="510"/>
      <c r="D5" s="510">
        <v>0</v>
      </c>
      <c r="E5" s="510">
        <v>0</v>
      </c>
      <c r="F5" s="510">
        <v>0</v>
      </c>
      <c r="G5" s="510">
        <f>'Equipment+CEW'!M11</f>
        <v>87.2337</v>
      </c>
      <c r="H5" s="510">
        <f>'Equipment+CEW'!N11</f>
        <v>87.2337</v>
      </c>
      <c r="I5" s="510">
        <f>'Equipment+CEW'!O11</f>
        <v>87.2337</v>
      </c>
      <c r="J5" s="510">
        <f>'Equipment+CEW'!P11</f>
        <v>87.2337</v>
      </c>
      <c r="K5" s="510">
        <f>'Equipment+CEW'!Q11</f>
        <v>87.2337</v>
      </c>
      <c r="L5" s="510">
        <f>'Equipment+CEW'!R11</f>
        <v>87.2337</v>
      </c>
      <c r="M5" s="510">
        <f>'Equipment+CEW'!S11</f>
        <v>87.2337</v>
      </c>
      <c r="N5" s="510">
        <f>'Equipment+CEW'!T11</f>
        <v>87.2337</v>
      </c>
      <c r="O5" s="510">
        <f>'Equipment+CEW'!U11</f>
        <v>87.2337</v>
      </c>
      <c r="P5" s="510">
        <f>'Equipment+CEW'!V11</f>
        <v>87.2337</v>
      </c>
      <c r="Q5" s="510">
        <f>'Equipment+CEW'!W11</f>
        <v>87.2337</v>
      </c>
      <c r="R5" s="510">
        <f>'Equipment+CEW'!X11</f>
        <v>87.2337</v>
      </c>
      <c r="S5" s="510">
        <f>'Equipment+CEW'!Y11</f>
        <v>87.2337</v>
      </c>
      <c r="T5" s="510">
        <f>'Equipment+CEW'!Z11</f>
        <v>87.2337</v>
      </c>
      <c r="U5" s="510">
        <f>'Equipment+CEW'!AA11</f>
        <v>87.2337</v>
      </c>
      <c r="V5" s="510">
        <f>'Equipment+CEW'!AB11</f>
        <v>87.2337</v>
      </c>
      <c r="W5" s="510">
        <f>'Equipment+CEW'!AC11</f>
        <v>87.2337</v>
      </c>
      <c r="X5" s="510">
        <f>'Equipment+CEW'!AD11</f>
        <v>87.2337</v>
      </c>
      <c r="Y5" s="510">
        <f>'Equipment+CEW'!AE11</f>
        <v>87.2337</v>
      </c>
      <c r="Z5" s="510">
        <f>'Equipment+CEW'!AF11</f>
        <v>87.2337</v>
      </c>
      <c r="AA5" s="510">
        <f>'Equipment+CEW'!AG11</f>
        <v>87.2337</v>
      </c>
      <c r="AB5" s="510">
        <v>0</v>
      </c>
      <c r="AC5" s="510">
        <v>0</v>
      </c>
      <c r="AD5" s="510">
        <v>0</v>
      </c>
      <c r="AE5" s="510">
        <v>0</v>
      </c>
      <c r="AF5" s="510"/>
      <c r="AG5" s="510"/>
      <c r="AH5" s="510"/>
      <c r="AI5" s="510"/>
      <c r="AJ5" s="510"/>
      <c r="AK5" s="510"/>
      <c r="AL5" s="510"/>
      <c r="AM5" s="510"/>
      <c r="AN5" s="510">
        <f t="shared" si="0"/>
        <v>1831.9077</v>
      </c>
      <c r="AO5" s="1355">
        <f>SUM(AN5:AN6)</f>
        <v>3171.0230999999994</v>
      </c>
      <c r="AP5" s="1352">
        <f>'Equipment+CEW'!J7/1000</f>
        <v>3171.0230999999994</v>
      </c>
      <c r="AQ5" s="925">
        <f aca="true" t="shared" si="1" ref="AQ5:AQ30">AP5-AO5</f>
        <v>0</v>
      </c>
      <c r="AR5" s="585"/>
      <c r="AY5" s="582"/>
      <c r="AZ5" s="583"/>
    </row>
    <row r="6" spans="1:52" s="452" customFormat="1" ht="23.25" customHeight="1">
      <c r="A6" s="1358"/>
      <c r="B6" s="913" t="s">
        <v>303</v>
      </c>
      <c r="C6" s="510"/>
      <c r="D6" s="510">
        <v>0</v>
      </c>
      <c r="E6" s="510">
        <v>0</v>
      </c>
      <c r="F6" s="510">
        <v>0</v>
      </c>
      <c r="G6" s="510">
        <f>'Equipment+CEW'!M12</f>
        <v>63.767399999999995</v>
      </c>
      <c r="H6" s="510">
        <f>'Equipment+CEW'!N12</f>
        <v>63.767399999999995</v>
      </c>
      <c r="I6" s="510">
        <f>'Equipment+CEW'!O12</f>
        <v>63.767399999999995</v>
      </c>
      <c r="J6" s="510">
        <f>'Equipment+CEW'!P12</f>
        <v>63.767399999999995</v>
      </c>
      <c r="K6" s="510">
        <f>'Equipment+CEW'!Q12</f>
        <v>63.767399999999995</v>
      </c>
      <c r="L6" s="510">
        <f>'Equipment+CEW'!R12</f>
        <v>63.767399999999995</v>
      </c>
      <c r="M6" s="510">
        <f>'Equipment+CEW'!S12</f>
        <v>63.767399999999995</v>
      </c>
      <c r="N6" s="510">
        <f>'Equipment+CEW'!T12</f>
        <v>63.767399999999995</v>
      </c>
      <c r="O6" s="510">
        <f>'Equipment+CEW'!U12</f>
        <v>63.767399999999995</v>
      </c>
      <c r="P6" s="510">
        <f>'Equipment+CEW'!V12</f>
        <v>63.767399999999995</v>
      </c>
      <c r="Q6" s="510">
        <f>'Equipment+CEW'!W12</f>
        <v>63.767399999999995</v>
      </c>
      <c r="R6" s="510">
        <f>'Equipment+CEW'!X12</f>
        <v>63.767399999999995</v>
      </c>
      <c r="S6" s="510">
        <f>'Equipment+CEW'!Y12</f>
        <v>63.767399999999995</v>
      </c>
      <c r="T6" s="510">
        <f>'Equipment+CEW'!Z12</f>
        <v>63.767399999999995</v>
      </c>
      <c r="U6" s="510">
        <f>'Equipment+CEW'!AA12</f>
        <v>63.767399999999995</v>
      </c>
      <c r="V6" s="510">
        <f>'Equipment+CEW'!AB12</f>
        <v>63.767399999999995</v>
      </c>
      <c r="W6" s="510">
        <f>'Equipment+CEW'!AC12</f>
        <v>63.767399999999995</v>
      </c>
      <c r="X6" s="510">
        <f>'Equipment+CEW'!AD12</f>
        <v>63.767399999999995</v>
      </c>
      <c r="Y6" s="510">
        <f>'Equipment+CEW'!AE12</f>
        <v>63.767399999999995</v>
      </c>
      <c r="Z6" s="510">
        <f>'Equipment+CEW'!AF12</f>
        <v>63.767399999999995</v>
      </c>
      <c r="AA6" s="510">
        <f>'Equipment+CEW'!AG12</f>
        <v>63.767399999999995</v>
      </c>
      <c r="AB6" s="510">
        <v>0</v>
      </c>
      <c r="AC6" s="510">
        <v>0</v>
      </c>
      <c r="AD6" s="510">
        <v>0</v>
      </c>
      <c r="AE6" s="510">
        <v>0</v>
      </c>
      <c r="AF6" s="510"/>
      <c r="AG6" s="510"/>
      <c r="AH6" s="510"/>
      <c r="AI6" s="510"/>
      <c r="AJ6" s="510"/>
      <c r="AK6" s="510"/>
      <c r="AL6" s="510"/>
      <c r="AM6" s="510"/>
      <c r="AN6" s="510">
        <f t="shared" si="0"/>
        <v>1339.1153999999995</v>
      </c>
      <c r="AO6" s="1355"/>
      <c r="AP6" s="1352"/>
      <c r="AQ6" s="925">
        <f t="shared" si="1"/>
        <v>0</v>
      </c>
      <c r="AR6" s="585"/>
      <c r="AY6" s="582"/>
      <c r="AZ6" s="583"/>
    </row>
    <row r="7" spans="1:52" s="452" customFormat="1" ht="23.25" customHeight="1">
      <c r="A7" s="1368" t="s">
        <v>299</v>
      </c>
      <c r="B7" s="456" t="s">
        <v>245</v>
      </c>
      <c r="C7" s="451"/>
      <c r="D7" s="451"/>
      <c r="E7" s="451"/>
      <c r="F7" s="451"/>
      <c r="G7" s="451"/>
      <c r="H7" s="451">
        <f>'Equipment+CEW'!C33/1000/3</f>
        <v>1550</v>
      </c>
      <c r="I7" s="451">
        <f aca="true" t="shared" si="2" ref="I7:J9">H7</f>
        <v>1550</v>
      </c>
      <c r="J7" s="451">
        <f t="shared" si="2"/>
        <v>1550</v>
      </c>
      <c r="K7" s="451">
        <v>0</v>
      </c>
      <c r="L7" s="451">
        <v>0</v>
      </c>
      <c r="M7" s="451">
        <v>0</v>
      </c>
      <c r="N7" s="451">
        <v>0</v>
      </c>
      <c r="O7" s="451">
        <v>0</v>
      </c>
      <c r="P7" s="451">
        <v>0</v>
      </c>
      <c r="Q7" s="451">
        <v>0</v>
      </c>
      <c r="R7" s="451">
        <v>0</v>
      </c>
      <c r="S7" s="451">
        <v>0</v>
      </c>
      <c r="T7" s="451">
        <v>0</v>
      </c>
      <c r="U7" s="451">
        <v>0</v>
      </c>
      <c r="V7" s="451">
        <v>0</v>
      </c>
      <c r="W7" s="451">
        <v>0</v>
      </c>
      <c r="X7" s="451">
        <v>0</v>
      </c>
      <c r="Y7" s="451">
        <v>0</v>
      </c>
      <c r="Z7" s="451">
        <v>0</v>
      </c>
      <c r="AA7" s="451">
        <v>0</v>
      </c>
      <c r="AB7" s="451">
        <v>0</v>
      </c>
      <c r="AC7" s="451">
        <v>0</v>
      </c>
      <c r="AD7" s="451">
        <v>0</v>
      </c>
      <c r="AE7" s="451">
        <v>0</v>
      </c>
      <c r="AF7" s="451"/>
      <c r="AG7" s="451"/>
      <c r="AH7" s="451"/>
      <c r="AI7" s="451"/>
      <c r="AJ7" s="451"/>
      <c r="AK7" s="451"/>
      <c r="AL7" s="451"/>
      <c r="AM7" s="451"/>
      <c r="AN7" s="510">
        <f t="shared" si="0"/>
        <v>4650</v>
      </c>
      <c r="AO7" s="1371">
        <f>SUM(AN7:AN9)</f>
        <v>14253.8301</v>
      </c>
      <c r="AP7" s="1352">
        <f>'Equipment+CEW'!C32/1000</f>
        <v>14253.8301</v>
      </c>
      <c r="AQ7" s="925">
        <f t="shared" si="1"/>
        <v>0</v>
      </c>
      <c r="AR7" s="585"/>
      <c r="AY7" s="582"/>
      <c r="AZ7" s="583"/>
    </row>
    <row r="8" spans="1:60" s="963" customFormat="1" ht="23.25" customHeight="1">
      <c r="A8" s="1369"/>
      <c r="B8" s="913" t="s">
        <v>112</v>
      </c>
      <c r="C8" s="510"/>
      <c r="D8" s="510"/>
      <c r="E8" s="510"/>
      <c r="F8" s="510"/>
      <c r="G8" s="510"/>
      <c r="H8" s="510">
        <f>'Equipment+CEW'!C34/1000/3</f>
        <v>1360.1433666666667</v>
      </c>
      <c r="I8" s="510">
        <f t="shared" si="2"/>
        <v>1360.1433666666667</v>
      </c>
      <c r="J8" s="510">
        <f t="shared" si="2"/>
        <v>1360.1433666666667</v>
      </c>
      <c r="K8" s="510">
        <v>0</v>
      </c>
      <c r="L8" s="510">
        <v>0</v>
      </c>
      <c r="M8" s="510">
        <v>0</v>
      </c>
      <c r="N8" s="510">
        <v>0</v>
      </c>
      <c r="O8" s="510">
        <v>0</v>
      </c>
      <c r="P8" s="510">
        <v>0</v>
      </c>
      <c r="Q8" s="510">
        <v>0</v>
      </c>
      <c r="R8" s="510">
        <v>0</v>
      </c>
      <c r="S8" s="510">
        <v>0</v>
      </c>
      <c r="T8" s="510">
        <v>0</v>
      </c>
      <c r="U8" s="510">
        <v>0</v>
      </c>
      <c r="V8" s="510">
        <v>0</v>
      </c>
      <c r="W8" s="510">
        <v>0</v>
      </c>
      <c r="X8" s="510">
        <v>0</v>
      </c>
      <c r="Y8" s="510">
        <v>0</v>
      </c>
      <c r="Z8" s="510">
        <v>0</v>
      </c>
      <c r="AA8" s="510">
        <v>0</v>
      </c>
      <c r="AB8" s="510">
        <v>0</v>
      </c>
      <c r="AC8" s="510">
        <v>0</v>
      </c>
      <c r="AD8" s="510">
        <v>0</v>
      </c>
      <c r="AE8" s="510">
        <v>0</v>
      </c>
      <c r="AF8" s="510"/>
      <c r="AG8" s="510"/>
      <c r="AH8" s="510"/>
      <c r="AI8" s="510"/>
      <c r="AJ8" s="510"/>
      <c r="AK8" s="510"/>
      <c r="AL8" s="510"/>
      <c r="AM8" s="510"/>
      <c r="AN8" s="510">
        <f t="shared" si="0"/>
        <v>4080.4301</v>
      </c>
      <c r="AO8" s="1371"/>
      <c r="AP8" s="1352"/>
      <c r="AQ8" s="925">
        <f t="shared" si="1"/>
        <v>0</v>
      </c>
      <c r="AR8" s="585"/>
      <c r="AS8" s="452"/>
      <c r="AT8" s="452"/>
      <c r="AU8" s="452"/>
      <c r="AV8" s="452"/>
      <c r="AW8" s="452"/>
      <c r="AX8" s="452"/>
      <c r="AY8" s="582"/>
      <c r="AZ8" s="583"/>
      <c r="BA8" s="452"/>
      <c r="BB8" s="452"/>
      <c r="BC8" s="452"/>
      <c r="BD8" s="452"/>
      <c r="BE8" s="452"/>
      <c r="BF8" s="452"/>
      <c r="BG8" s="452"/>
      <c r="BH8" s="452"/>
    </row>
    <row r="9" spans="1:60" s="963" customFormat="1" ht="23.25" customHeight="1">
      <c r="A9" s="1370"/>
      <c r="B9" s="913" t="s">
        <v>303</v>
      </c>
      <c r="C9" s="510"/>
      <c r="D9" s="510"/>
      <c r="E9" s="510"/>
      <c r="F9" s="510"/>
      <c r="G9" s="510"/>
      <c r="H9" s="510">
        <f>'Equipment+CEW'!C35/1000/3</f>
        <v>1841.1333333333332</v>
      </c>
      <c r="I9" s="510">
        <f t="shared" si="2"/>
        <v>1841.1333333333332</v>
      </c>
      <c r="J9" s="510">
        <f t="shared" si="2"/>
        <v>1841.1333333333332</v>
      </c>
      <c r="K9" s="510">
        <v>0</v>
      </c>
      <c r="L9" s="510">
        <v>0</v>
      </c>
      <c r="M9" s="510">
        <v>0</v>
      </c>
      <c r="N9" s="510">
        <v>0</v>
      </c>
      <c r="O9" s="510">
        <v>0</v>
      </c>
      <c r="P9" s="510">
        <v>0</v>
      </c>
      <c r="Q9" s="510">
        <v>0</v>
      </c>
      <c r="R9" s="510">
        <v>0</v>
      </c>
      <c r="S9" s="510">
        <v>0</v>
      </c>
      <c r="T9" s="510">
        <v>0</v>
      </c>
      <c r="U9" s="510">
        <v>0</v>
      </c>
      <c r="V9" s="510">
        <v>0</v>
      </c>
      <c r="W9" s="510">
        <v>0</v>
      </c>
      <c r="X9" s="510">
        <v>0</v>
      </c>
      <c r="Y9" s="510">
        <v>0</v>
      </c>
      <c r="Z9" s="510">
        <v>0</v>
      </c>
      <c r="AA9" s="510">
        <v>0</v>
      </c>
      <c r="AB9" s="510">
        <v>0</v>
      </c>
      <c r="AC9" s="510">
        <v>0</v>
      </c>
      <c r="AD9" s="510">
        <v>0</v>
      </c>
      <c r="AE9" s="510">
        <v>0</v>
      </c>
      <c r="AF9" s="510"/>
      <c r="AG9" s="510"/>
      <c r="AH9" s="510"/>
      <c r="AI9" s="510"/>
      <c r="AJ9" s="510"/>
      <c r="AK9" s="510"/>
      <c r="AL9" s="510"/>
      <c r="AM9" s="510"/>
      <c r="AN9" s="510">
        <f t="shared" si="0"/>
        <v>5523.4</v>
      </c>
      <c r="AO9" s="1371"/>
      <c r="AP9" s="1352"/>
      <c r="AQ9" s="925">
        <f t="shared" si="1"/>
        <v>0</v>
      </c>
      <c r="AR9" s="585"/>
      <c r="AS9" s="452"/>
      <c r="AT9" s="452"/>
      <c r="AU9" s="452"/>
      <c r="AV9" s="452"/>
      <c r="AW9" s="452"/>
      <c r="AX9" s="452"/>
      <c r="AY9" s="582"/>
      <c r="AZ9" s="583"/>
      <c r="BA9" s="452"/>
      <c r="BB9" s="452"/>
      <c r="BC9" s="452"/>
      <c r="BD9" s="452"/>
      <c r="BE9" s="452"/>
      <c r="BF9" s="452"/>
      <c r="BG9" s="452"/>
      <c r="BH9" s="452"/>
    </row>
    <row r="10" spans="1:60" s="963" customFormat="1" ht="38.25" customHeight="1">
      <c r="A10" s="1360" t="s">
        <v>300</v>
      </c>
      <c r="B10" s="964" t="s">
        <v>219</v>
      </c>
      <c r="C10" s="965"/>
      <c r="D10" s="965">
        <v>0</v>
      </c>
      <c r="E10" s="965">
        <f>'Equipment+CEW'!B43/1000</f>
        <v>23086.816</v>
      </c>
      <c r="F10" s="965"/>
      <c r="G10" s="965"/>
      <c r="H10" s="965">
        <v>0</v>
      </c>
      <c r="I10" s="965">
        <v>0</v>
      </c>
      <c r="J10" s="510">
        <v>0</v>
      </c>
      <c r="K10" s="510">
        <f>'Equipment+CEW'!C43/1000</f>
        <v>23086.816</v>
      </c>
      <c r="L10" s="510">
        <v>0</v>
      </c>
      <c r="M10" s="510">
        <v>0</v>
      </c>
      <c r="N10" s="510">
        <v>0</v>
      </c>
      <c r="O10" s="510">
        <v>0</v>
      </c>
      <c r="P10" s="510">
        <v>0</v>
      </c>
      <c r="Q10" s="510">
        <v>0</v>
      </c>
      <c r="R10" s="510">
        <v>0</v>
      </c>
      <c r="S10" s="510">
        <v>0</v>
      </c>
      <c r="T10" s="510">
        <v>0</v>
      </c>
      <c r="U10" s="510">
        <v>0</v>
      </c>
      <c r="V10" s="510">
        <v>0</v>
      </c>
      <c r="W10" s="510">
        <v>0</v>
      </c>
      <c r="X10" s="510">
        <v>0</v>
      </c>
      <c r="Y10" s="510">
        <v>0</v>
      </c>
      <c r="Z10" s="510">
        <v>0</v>
      </c>
      <c r="AA10" s="510">
        <v>0</v>
      </c>
      <c r="AB10" s="510">
        <v>0</v>
      </c>
      <c r="AC10" s="510">
        <v>0</v>
      </c>
      <c r="AD10" s="510">
        <v>0</v>
      </c>
      <c r="AE10" s="510">
        <v>0</v>
      </c>
      <c r="AF10" s="510"/>
      <c r="AG10" s="510"/>
      <c r="AH10" s="510"/>
      <c r="AI10" s="510"/>
      <c r="AJ10" s="510"/>
      <c r="AK10" s="510"/>
      <c r="AL10" s="510"/>
      <c r="AM10" s="510"/>
      <c r="AN10" s="510">
        <f t="shared" si="0"/>
        <v>46173.632</v>
      </c>
      <c r="AO10" s="1355">
        <f>SUM(AN10:AN13)</f>
        <v>217567.91600000003</v>
      </c>
      <c r="AP10" s="1353">
        <f>'Equipment+CEW'!D47/1000</f>
        <v>217567.916</v>
      </c>
      <c r="AQ10" s="925">
        <f t="shared" si="1"/>
        <v>0</v>
      </c>
      <c r="AR10" s="585"/>
      <c r="AS10" s="1355"/>
      <c r="AT10" s="452"/>
      <c r="AU10" s="452"/>
      <c r="AV10" s="452"/>
      <c r="AW10" s="452"/>
      <c r="AX10" s="452"/>
      <c r="AY10" s="582"/>
      <c r="AZ10" s="583"/>
      <c r="BA10" s="452"/>
      <c r="BB10" s="452"/>
      <c r="BC10" s="452"/>
      <c r="BD10" s="452"/>
      <c r="BE10" s="452"/>
      <c r="BF10" s="452"/>
      <c r="BG10" s="452"/>
      <c r="BH10" s="452"/>
    </row>
    <row r="11" spans="1:52" s="452" customFormat="1" ht="12.75">
      <c r="A11" s="1360"/>
      <c r="B11" s="40" t="s">
        <v>304</v>
      </c>
      <c r="C11" s="451"/>
      <c r="D11" s="448">
        <v>0</v>
      </c>
      <c r="E11" s="448">
        <f>'Equipment+CEW'!B44/1000</f>
        <v>84948.873</v>
      </c>
      <c r="F11" s="451"/>
      <c r="G11" s="451"/>
      <c r="H11" s="451">
        <v>0</v>
      </c>
      <c r="I11" s="451">
        <v>0</v>
      </c>
      <c r="J11" s="451">
        <v>0</v>
      </c>
      <c r="K11" s="451">
        <f>'Equipment+CEW'!C44/1000</f>
        <v>84948.873</v>
      </c>
      <c r="L11" s="451">
        <v>0</v>
      </c>
      <c r="M11" s="451">
        <v>0</v>
      </c>
      <c r="N11" s="451">
        <v>0</v>
      </c>
      <c r="O11" s="451">
        <v>0</v>
      </c>
      <c r="P11" s="451">
        <v>0</v>
      </c>
      <c r="Q11" s="451">
        <v>0</v>
      </c>
      <c r="R11" s="451">
        <v>0</v>
      </c>
      <c r="S11" s="451">
        <v>0</v>
      </c>
      <c r="T11" s="451">
        <v>0</v>
      </c>
      <c r="U11" s="451">
        <v>0</v>
      </c>
      <c r="V11" s="451">
        <v>0</v>
      </c>
      <c r="W11" s="451">
        <v>0</v>
      </c>
      <c r="X11" s="451">
        <v>0</v>
      </c>
      <c r="Y11" s="451">
        <v>0</v>
      </c>
      <c r="Z11" s="451">
        <v>0</v>
      </c>
      <c r="AA11" s="451">
        <v>0</v>
      </c>
      <c r="AB11" s="451">
        <v>0</v>
      </c>
      <c r="AC11" s="451">
        <v>0</v>
      </c>
      <c r="AD11" s="451">
        <v>0</v>
      </c>
      <c r="AE11" s="451">
        <v>0</v>
      </c>
      <c r="AF11" s="451"/>
      <c r="AG11" s="451"/>
      <c r="AH11" s="451"/>
      <c r="AI11" s="451"/>
      <c r="AJ11" s="451"/>
      <c r="AK11" s="451"/>
      <c r="AL11" s="451"/>
      <c r="AM11" s="451"/>
      <c r="AN11" s="451">
        <f t="shared" si="0"/>
        <v>169897.746</v>
      </c>
      <c r="AO11" s="1355"/>
      <c r="AP11" s="1354"/>
      <c r="AQ11" s="925">
        <f t="shared" si="1"/>
        <v>0</v>
      </c>
      <c r="AR11" s="583"/>
      <c r="AS11" s="1355"/>
      <c r="AY11" s="582"/>
      <c r="AZ11" s="583"/>
    </row>
    <row r="12" spans="1:52" s="452" customFormat="1" ht="12.75">
      <c r="A12" s="1360"/>
      <c r="B12" s="40" t="s">
        <v>247</v>
      </c>
      <c r="C12" s="451"/>
      <c r="D12" s="448">
        <v>0</v>
      </c>
      <c r="E12" s="448">
        <f>'Equipment+CEW'!B45/1000</f>
        <v>399.67</v>
      </c>
      <c r="F12" s="451"/>
      <c r="G12" s="451"/>
      <c r="H12" s="451">
        <v>0</v>
      </c>
      <c r="I12" s="451">
        <v>0</v>
      </c>
      <c r="J12" s="451">
        <v>0</v>
      </c>
      <c r="K12" s="451">
        <f>'Equipment+CEW'!C45/1000</f>
        <v>399.67</v>
      </c>
      <c r="L12" s="451">
        <v>0</v>
      </c>
      <c r="M12" s="451">
        <v>0</v>
      </c>
      <c r="N12" s="451">
        <v>0</v>
      </c>
      <c r="O12" s="451">
        <v>0</v>
      </c>
      <c r="P12" s="451">
        <v>0</v>
      </c>
      <c r="Q12" s="451">
        <v>0</v>
      </c>
      <c r="R12" s="451">
        <v>0</v>
      </c>
      <c r="S12" s="451">
        <v>0</v>
      </c>
      <c r="T12" s="451">
        <v>0</v>
      </c>
      <c r="U12" s="451">
        <v>0</v>
      </c>
      <c r="V12" s="451">
        <v>0</v>
      </c>
      <c r="W12" s="451">
        <v>0</v>
      </c>
      <c r="X12" s="451">
        <v>0</v>
      </c>
      <c r="Y12" s="451">
        <v>0</v>
      </c>
      <c r="Z12" s="451">
        <v>0</v>
      </c>
      <c r="AA12" s="451">
        <v>0</v>
      </c>
      <c r="AB12" s="451">
        <v>0</v>
      </c>
      <c r="AC12" s="451">
        <v>0</v>
      </c>
      <c r="AD12" s="451">
        <v>0</v>
      </c>
      <c r="AE12" s="451">
        <v>0</v>
      </c>
      <c r="AF12" s="451"/>
      <c r="AG12" s="451"/>
      <c r="AH12" s="451"/>
      <c r="AI12" s="451"/>
      <c r="AJ12" s="451"/>
      <c r="AK12" s="451"/>
      <c r="AL12" s="451"/>
      <c r="AM12" s="451"/>
      <c r="AN12" s="451">
        <f t="shared" si="0"/>
        <v>799.34</v>
      </c>
      <c r="AO12" s="1355"/>
      <c r="AP12" s="1354"/>
      <c r="AQ12" s="925">
        <f t="shared" si="1"/>
        <v>0</v>
      </c>
      <c r="AR12" s="585"/>
      <c r="AS12" s="1355"/>
      <c r="AT12" s="833"/>
      <c r="AY12" s="582"/>
      <c r="AZ12" s="583"/>
    </row>
    <row r="13" spans="1:52" s="452" customFormat="1" ht="12.75">
      <c r="A13" s="1360"/>
      <c r="B13" s="40" t="s">
        <v>305</v>
      </c>
      <c r="C13" s="451"/>
      <c r="D13" s="448">
        <v>0</v>
      </c>
      <c r="E13" s="448">
        <f>'Equipment+CEW'!B46/1000</f>
        <v>348.599</v>
      </c>
      <c r="F13" s="451"/>
      <c r="G13" s="451"/>
      <c r="H13" s="451">
        <v>0</v>
      </c>
      <c r="I13" s="451">
        <v>0</v>
      </c>
      <c r="J13" s="451">
        <v>0</v>
      </c>
      <c r="K13" s="451">
        <f>'Equipment+CEW'!C46/1000</f>
        <v>348.599</v>
      </c>
      <c r="L13" s="451">
        <v>0</v>
      </c>
      <c r="M13" s="451">
        <v>0</v>
      </c>
      <c r="N13" s="451">
        <v>0</v>
      </c>
      <c r="O13" s="451">
        <v>0</v>
      </c>
      <c r="P13" s="451">
        <v>0</v>
      </c>
      <c r="Q13" s="451">
        <v>0</v>
      </c>
      <c r="R13" s="451">
        <v>0</v>
      </c>
      <c r="S13" s="451">
        <v>0</v>
      </c>
      <c r="T13" s="451">
        <v>0</v>
      </c>
      <c r="U13" s="451">
        <v>0</v>
      </c>
      <c r="V13" s="451">
        <v>0</v>
      </c>
      <c r="W13" s="451">
        <v>0</v>
      </c>
      <c r="X13" s="451">
        <v>0</v>
      </c>
      <c r="Y13" s="451">
        <v>0</v>
      </c>
      <c r="Z13" s="451">
        <v>0</v>
      </c>
      <c r="AA13" s="451">
        <v>0</v>
      </c>
      <c r="AB13" s="451">
        <v>0</v>
      </c>
      <c r="AC13" s="451">
        <v>0</v>
      </c>
      <c r="AD13" s="451">
        <v>0</v>
      </c>
      <c r="AE13" s="451">
        <v>0</v>
      </c>
      <c r="AF13" s="451"/>
      <c r="AG13" s="451"/>
      <c r="AH13" s="451"/>
      <c r="AI13" s="451"/>
      <c r="AJ13" s="451"/>
      <c r="AK13" s="451"/>
      <c r="AL13" s="451"/>
      <c r="AM13" s="451"/>
      <c r="AN13" s="451">
        <f t="shared" si="0"/>
        <v>697.198</v>
      </c>
      <c r="AO13" s="1355"/>
      <c r="AP13" s="1354"/>
      <c r="AQ13" s="925">
        <f t="shared" si="1"/>
        <v>0</v>
      </c>
      <c r="AR13" s="585"/>
      <c r="AS13" s="1355"/>
      <c r="AY13" s="582"/>
      <c r="AZ13" s="583"/>
    </row>
    <row r="14" spans="1:52" s="452" customFormat="1" ht="12.75">
      <c r="A14" s="1358" t="s">
        <v>248</v>
      </c>
      <c r="B14" s="913" t="s">
        <v>112</v>
      </c>
      <c r="C14" s="510"/>
      <c r="D14" s="510">
        <v>0</v>
      </c>
      <c r="E14" s="510">
        <v>0</v>
      </c>
      <c r="F14" s="510">
        <f>E14</f>
        <v>0</v>
      </c>
      <c r="G14" s="510">
        <f>F14</f>
        <v>0</v>
      </c>
      <c r="H14" s="510">
        <f>'Equipment+CEW'!C63/1000</f>
        <v>1893.75</v>
      </c>
      <c r="I14" s="510">
        <f>H14</f>
        <v>1893.75</v>
      </c>
      <c r="J14" s="510">
        <f>I14</f>
        <v>1893.75</v>
      </c>
      <c r="K14" s="510">
        <f>'Equipment+CEW'!E63/1000</f>
        <v>1893.75</v>
      </c>
      <c r="L14" s="510">
        <f aca="true" t="shared" si="3" ref="L14:M19">K14</f>
        <v>1893.75</v>
      </c>
      <c r="M14" s="510">
        <f t="shared" si="3"/>
        <v>1893.75</v>
      </c>
      <c r="N14" s="510">
        <v>0</v>
      </c>
      <c r="O14" s="510">
        <v>0</v>
      </c>
      <c r="P14" s="510">
        <v>0</v>
      </c>
      <c r="Q14" s="510">
        <v>0</v>
      </c>
      <c r="R14" s="510">
        <v>0</v>
      </c>
      <c r="S14" s="510">
        <v>0</v>
      </c>
      <c r="T14" s="510">
        <v>0</v>
      </c>
      <c r="U14" s="510">
        <v>0</v>
      </c>
      <c r="V14" s="510">
        <v>0</v>
      </c>
      <c r="W14" s="510">
        <v>0</v>
      </c>
      <c r="X14" s="510">
        <v>0</v>
      </c>
      <c r="Y14" s="510">
        <v>0</v>
      </c>
      <c r="Z14" s="510">
        <v>0</v>
      </c>
      <c r="AA14" s="510">
        <v>0</v>
      </c>
      <c r="AB14" s="510">
        <v>0</v>
      </c>
      <c r="AC14" s="510">
        <v>0</v>
      </c>
      <c r="AD14" s="510">
        <v>0</v>
      </c>
      <c r="AE14" s="510">
        <v>0</v>
      </c>
      <c r="AF14" s="510"/>
      <c r="AG14" s="510"/>
      <c r="AH14" s="510"/>
      <c r="AI14" s="510"/>
      <c r="AJ14" s="510"/>
      <c r="AK14" s="510"/>
      <c r="AL14" s="510"/>
      <c r="AM14" s="510"/>
      <c r="AN14" s="510">
        <f t="shared" si="0"/>
        <v>11362.5</v>
      </c>
      <c r="AO14" s="1355">
        <f>SUM(AN14:AN15)</f>
        <v>25250</v>
      </c>
      <c r="AP14" s="1352">
        <f>'Equipment+CEW'!F65/1000</f>
        <v>25250</v>
      </c>
      <c r="AQ14" s="925">
        <f t="shared" si="1"/>
        <v>0</v>
      </c>
      <c r="AR14" s="585"/>
      <c r="AY14" s="582"/>
      <c r="AZ14" s="583"/>
    </row>
    <row r="15" spans="1:52" s="452" customFormat="1" ht="12.75">
      <c r="A15" s="1358"/>
      <c r="B15" s="913" t="s">
        <v>303</v>
      </c>
      <c r="C15" s="510"/>
      <c r="D15" s="510">
        <v>0</v>
      </c>
      <c r="E15" s="510">
        <v>0</v>
      </c>
      <c r="F15" s="510">
        <f>E15</f>
        <v>0</v>
      </c>
      <c r="G15" s="510">
        <f>F15</f>
        <v>0</v>
      </c>
      <c r="H15" s="510">
        <f>'Equipment+CEW'!C64/1000</f>
        <v>2314.5833333333335</v>
      </c>
      <c r="I15" s="510">
        <f>H15</f>
        <v>2314.5833333333335</v>
      </c>
      <c r="J15" s="510">
        <f>I15</f>
        <v>2314.5833333333335</v>
      </c>
      <c r="K15" s="510">
        <f>'Equipment+CEW'!E64/1000</f>
        <v>2314.5833333333335</v>
      </c>
      <c r="L15" s="510">
        <f t="shared" si="3"/>
        <v>2314.5833333333335</v>
      </c>
      <c r="M15" s="510">
        <f t="shared" si="3"/>
        <v>2314.5833333333335</v>
      </c>
      <c r="N15" s="510">
        <v>0</v>
      </c>
      <c r="O15" s="510">
        <v>0</v>
      </c>
      <c r="P15" s="510">
        <v>0</v>
      </c>
      <c r="Q15" s="510">
        <v>0</v>
      </c>
      <c r="R15" s="510">
        <v>0</v>
      </c>
      <c r="S15" s="510">
        <v>0</v>
      </c>
      <c r="T15" s="510">
        <v>0</v>
      </c>
      <c r="U15" s="510">
        <v>0</v>
      </c>
      <c r="V15" s="510">
        <v>0</v>
      </c>
      <c r="W15" s="510">
        <v>0</v>
      </c>
      <c r="X15" s="510">
        <v>0</v>
      </c>
      <c r="Y15" s="510">
        <v>0</v>
      </c>
      <c r="Z15" s="510">
        <v>0</v>
      </c>
      <c r="AA15" s="510">
        <v>0</v>
      </c>
      <c r="AB15" s="510">
        <v>0</v>
      </c>
      <c r="AC15" s="510">
        <v>0</v>
      </c>
      <c r="AD15" s="510">
        <v>0</v>
      </c>
      <c r="AE15" s="510">
        <v>0</v>
      </c>
      <c r="AF15" s="510"/>
      <c r="AG15" s="510"/>
      <c r="AH15" s="510"/>
      <c r="AI15" s="510"/>
      <c r="AJ15" s="510"/>
      <c r="AK15" s="510"/>
      <c r="AL15" s="510"/>
      <c r="AM15" s="510"/>
      <c r="AN15" s="863">
        <f t="shared" si="0"/>
        <v>13887.500000000002</v>
      </c>
      <c r="AO15" s="1355"/>
      <c r="AP15" s="1352"/>
      <c r="AQ15" s="925">
        <f t="shared" si="1"/>
        <v>0</v>
      </c>
      <c r="AR15" s="585"/>
      <c r="AY15" s="582"/>
      <c r="AZ15" s="583"/>
    </row>
    <row r="16" spans="1:52" s="452" customFormat="1" ht="12.75" hidden="1">
      <c r="A16" s="1363" t="s">
        <v>506</v>
      </c>
      <c r="B16" s="456" t="s">
        <v>584</v>
      </c>
      <c r="C16" s="451"/>
      <c r="D16" s="451">
        <v>0</v>
      </c>
      <c r="E16" s="451"/>
      <c r="F16" s="451"/>
      <c r="G16" s="451"/>
      <c r="H16" s="451"/>
      <c r="I16" s="451"/>
      <c r="J16" s="451"/>
      <c r="K16" s="451"/>
      <c r="L16" s="510">
        <f t="shared" si="3"/>
        <v>0</v>
      </c>
      <c r="M16" s="510">
        <f t="shared" si="3"/>
        <v>0</v>
      </c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>
        <f t="shared" si="0"/>
        <v>0</v>
      </c>
      <c r="AO16" s="1355">
        <f>SUM(AN16:AN19)</f>
        <v>0</v>
      </c>
      <c r="AQ16" s="925">
        <f t="shared" si="1"/>
        <v>0</v>
      </c>
      <c r="AR16" s="585"/>
      <c r="AY16" s="582"/>
      <c r="AZ16" s="583"/>
    </row>
    <row r="17" spans="1:52" s="452" customFormat="1" ht="12.75" hidden="1">
      <c r="A17" s="1363"/>
      <c r="B17" s="913" t="s">
        <v>585</v>
      </c>
      <c r="C17" s="510"/>
      <c r="D17" s="510">
        <v>0</v>
      </c>
      <c r="E17" s="510"/>
      <c r="F17" s="510"/>
      <c r="G17" s="510"/>
      <c r="H17" s="510"/>
      <c r="I17" s="510"/>
      <c r="J17" s="510"/>
      <c r="K17" s="510"/>
      <c r="L17" s="510">
        <f t="shared" si="3"/>
        <v>0</v>
      </c>
      <c r="M17" s="510">
        <f t="shared" si="3"/>
        <v>0</v>
      </c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863">
        <f t="shared" si="0"/>
        <v>0</v>
      </c>
      <c r="AO17" s="1355"/>
      <c r="AQ17" s="925">
        <f t="shared" si="1"/>
        <v>0</v>
      </c>
      <c r="AR17" s="585"/>
      <c r="AY17" s="582"/>
      <c r="AZ17" s="583"/>
    </row>
    <row r="18" spans="1:52" s="452" customFormat="1" ht="12.75" hidden="1">
      <c r="A18" s="1363"/>
      <c r="B18" s="913" t="s">
        <v>112</v>
      </c>
      <c r="C18" s="510"/>
      <c r="D18" s="510">
        <v>0</v>
      </c>
      <c r="E18" s="510"/>
      <c r="F18" s="510"/>
      <c r="G18" s="510"/>
      <c r="H18" s="510"/>
      <c r="I18" s="510"/>
      <c r="J18" s="510"/>
      <c r="K18" s="510"/>
      <c r="L18" s="510">
        <f t="shared" si="3"/>
        <v>0</v>
      </c>
      <c r="M18" s="510">
        <f t="shared" si="3"/>
        <v>0</v>
      </c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>
        <f t="shared" si="0"/>
        <v>0</v>
      </c>
      <c r="AO18" s="1355"/>
      <c r="AQ18" s="925">
        <f t="shared" si="1"/>
        <v>0</v>
      </c>
      <c r="AR18" s="585"/>
      <c r="AY18" s="582"/>
      <c r="AZ18" s="583"/>
    </row>
    <row r="19" spans="1:52" s="452" customFormat="1" ht="12.75" hidden="1">
      <c r="A19" s="1363"/>
      <c r="B19" s="913" t="s">
        <v>586</v>
      </c>
      <c r="C19" s="510"/>
      <c r="D19" s="510">
        <v>0</v>
      </c>
      <c r="E19" s="510"/>
      <c r="F19" s="510"/>
      <c r="G19" s="510"/>
      <c r="H19" s="510"/>
      <c r="I19" s="510"/>
      <c r="J19" s="510"/>
      <c r="K19" s="510"/>
      <c r="L19" s="510">
        <f t="shared" si="3"/>
        <v>0</v>
      </c>
      <c r="M19" s="510">
        <f t="shared" si="3"/>
        <v>0</v>
      </c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863">
        <f t="shared" si="0"/>
        <v>0</v>
      </c>
      <c r="AO19" s="1355"/>
      <c r="AQ19" s="925">
        <f t="shared" si="1"/>
        <v>0</v>
      </c>
      <c r="AR19" s="585"/>
      <c r="AY19" s="582"/>
      <c r="AZ19" s="583"/>
    </row>
    <row r="20" spans="1:52" s="452" customFormat="1" ht="12.75">
      <c r="A20" s="1360" t="s">
        <v>306</v>
      </c>
      <c r="B20" s="456" t="s">
        <v>245</v>
      </c>
      <c r="C20" s="451"/>
      <c r="D20" s="451">
        <v>0</v>
      </c>
      <c r="E20" s="451">
        <v>0</v>
      </c>
      <c r="F20" s="451">
        <v>0</v>
      </c>
      <c r="G20" s="451">
        <v>0</v>
      </c>
      <c r="H20" s="451">
        <f>'Equipment+CEW'!F75/1000</f>
        <v>907.0515</v>
      </c>
      <c r="I20" s="451">
        <v>0</v>
      </c>
      <c r="J20" s="451">
        <v>0</v>
      </c>
      <c r="K20" s="451">
        <v>0</v>
      </c>
      <c r="L20" s="451">
        <f>'Equipment+CEW'!H75/1000</f>
        <v>907.0515</v>
      </c>
      <c r="M20" s="451">
        <v>0</v>
      </c>
      <c r="N20" s="451">
        <v>0</v>
      </c>
      <c r="O20" s="451">
        <v>0</v>
      </c>
      <c r="P20" s="451">
        <f>'Equipment+CEW'!J75/1000</f>
        <v>907.0515</v>
      </c>
      <c r="Q20" s="451">
        <v>0</v>
      </c>
      <c r="R20" s="451">
        <v>0</v>
      </c>
      <c r="S20" s="451">
        <v>0</v>
      </c>
      <c r="T20" s="451">
        <f>'Equipment+CEW'!L75/1000</f>
        <v>907.0515</v>
      </c>
      <c r="U20" s="451">
        <v>0</v>
      </c>
      <c r="V20" s="451">
        <v>0</v>
      </c>
      <c r="W20" s="451">
        <v>0</v>
      </c>
      <c r="X20" s="451">
        <v>0</v>
      </c>
      <c r="Y20" s="451">
        <v>0</v>
      </c>
      <c r="Z20" s="451">
        <v>0</v>
      </c>
      <c r="AA20" s="451">
        <v>0</v>
      </c>
      <c r="AB20" s="451">
        <v>0</v>
      </c>
      <c r="AC20" s="451">
        <v>0</v>
      </c>
      <c r="AD20" s="451">
        <v>0</v>
      </c>
      <c r="AE20" s="451">
        <v>0</v>
      </c>
      <c r="AF20" s="451"/>
      <c r="AG20" s="451"/>
      <c r="AH20" s="451"/>
      <c r="AI20" s="451"/>
      <c r="AJ20" s="451"/>
      <c r="AK20" s="451"/>
      <c r="AL20" s="451"/>
      <c r="AM20" s="451"/>
      <c r="AN20" s="451">
        <f t="shared" si="0"/>
        <v>3628.206</v>
      </c>
      <c r="AO20" s="1355">
        <f>SUM(AN20:AN22)</f>
        <v>8848.836</v>
      </c>
      <c r="AP20" s="1352">
        <f>'Equipment+CEW'!D95*4/1000</f>
        <v>8848.836</v>
      </c>
      <c r="AQ20" s="925">
        <f t="shared" si="1"/>
        <v>0</v>
      </c>
      <c r="AR20" s="585"/>
      <c r="AY20" s="582"/>
      <c r="AZ20" s="583"/>
    </row>
    <row r="21" spans="1:52" s="452" customFormat="1" ht="12.75">
      <c r="A21" s="1360"/>
      <c r="B21" s="913" t="s">
        <v>219</v>
      </c>
      <c r="C21" s="510"/>
      <c r="D21" s="510">
        <v>0</v>
      </c>
      <c r="E21" s="510">
        <v>0</v>
      </c>
      <c r="F21" s="510">
        <v>0</v>
      </c>
      <c r="G21" s="510">
        <v>0</v>
      </c>
      <c r="H21" s="510">
        <f>'Equipment+CEW'!F79/1000</f>
        <v>284.5605</v>
      </c>
      <c r="I21" s="510">
        <v>0</v>
      </c>
      <c r="J21" s="510">
        <v>0</v>
      </c>
      <c r="K21" s="510">
        <v>0</v>
      </c>
      <c r="L21" s="510">
        <f>'Equipment+CEW'!H79/1000</f>
        <v>284.5605</v>
      </c>
      <c r="M21" s="510">
        <v>0</v>
      </c>
      <c r="N21" s="510">
        <v>0</v>
      </c>
      <c r="O21" s="510">
        <v>0</v>
      </c>
      <c r="P21" s="510">
        <f>'Equipment+CEW'!J79/1000</f>
        <v>284.5605</v>
      </c>
      <c r="Q21" s="510">
        <v>0</v>
      </c>
      <c r="R21" s="510">
        <v>0</v>
      </c>
      <c r="S21" s="510">
        <v>0</v>
      </c>
      <c r="T21" s="510">
        <f>'Equipment+CEW'!L79/1000</f>
        <v>284.5605</v>
      </c>
      <c r="U21" s="510">
        <v>0</v>
      </c>
      <c r="V21" s="510">
        <v>0</v>
      </c>
      <c r="W21" s="510">
        <v>0</v>
      </c>
      <c r="X21" s="510">
        <v>0</v>
      </c>
      <c r="Y21" s="510">
        <v>0</v>
      </c>
      <c r="Z21" s="510">
        <v>0</v>
      </c>
      <c r="AA21" s="510">
        <v>0</v>
      </c>
      <c r="AB21" s="510">
        <v>0</v>
      </c>
      <c r="AC21" s="510">
        <v>0</v>
      </c>
      <c r="AD21" s="510">
        <v>0</v>
      </c>
      <c r="AE21" s="510">
        <v>0</v>
      </c>
      <c r="AF21" s="510"/>
      <c r="AG21" s="510"/>
      <c r="AH21" s="510"/>
      <c r="AI21" s="510"/>
      <c r="AJ21" s="510"/>
      <c r="AK21" s="510"/>
      <c r="AL21" s="510"/>
      <c r="AM21" s="510"/>
      <c r="AN21" s="510">
        <f t="shared" si="0"/>
        <v>1138.242</v>
      </c>
      <c r="AO21" s="1355"/>
      <c r="AP21" s="1352"/>
      <c r="AQ21" s="925">
        <f t="shared" si="1"/>
        <v>0</v>
      </c>
      <c r="AR21" s="585"/>
      <c r="AY21" s="582"/>
      <c r="AZ21" s="583"/>
    </row>
    <row r="22" spans="1:52" s="452" customFormat="1" ht="13.5" customHeight="1" thickBot="1">
      <c r="A22" s="1360"/>
      <c r="B22" s="913" t="s">
        <v>303</v>
      </c>
      <c r="C22" s="510"/>
      <c r="D22" s="510">
        <v>0</v>
      </c>
      <c r="E22" s="510">
        <v>0</v>
      </c>
      <c r="F22" s="510">
        <v>0</v>
      </c>
      <c r="G22" s="510">
        <v>0</v>
      </c>
      <c r="H22" s="510">
        <f>'Equipment+CEW'!F77/1000</f>
        <v>1020.597</v>
      </c>
      <c r="I22" s="510">
        <v>0</v>
      </c>
      <c r="J22" s="510">
        <v>0</v>
      </c>
      <c r="K22" s="510">
        <v>0</v>
      </c>
      <c r="L22" s="510">
        <f>'Equipment+CEW'!H77/1000</f>
        <v>1020.597</v>
      </c>
      <c r="M22" s="510">
        <v>0</v>
      </c>
      <c r="N22" s="510">
        <v>0</v>
      </c>
      <c r="O22" s="510">
        <v>0</v>
      </c>
      <c r="P22" s="510">
        <f>'Equipment+CEW'!J77/1000</f>
        <v>1020.597</v>
      </c>
      <c r="Q22" s="510">
        <v>0</v>
      </c>
      <c r="R22" s="510">
        <v>0</v>
      </c>
      <c r="S22" s="510">
        <v>0</v>
      </c>
      <c r="T22" s="510">
        <f>'Equipment+CEW'!L77/1000</f>
        <v>1020.597</v>
      </c>
      <c r="U22" s="510">
        <v>0</v>
      </c>
      <c r="V22" s="510">
        <v>0</v>
      </c>
      <c r="W22" s="510">
        <v>0</v>
      </c>
      <c r="X22" s="510">
        <v>0</v>
      </c>
      <c r="Y22" s="510">
        <v>0</v>
      </c>
      <c r="Z22" s="510">
        <v>0</v>
      </c>
      <c r="AA22" s="510">
        <v>0</v>
      </c>
      <c r="AB22" s="510">
        <v>0</v>
      </c>
      <c r="AC22" s="510">
        <v>0</v>
      </c>
      <c r="AD22" s="510">
        <v>0</v>
      </c>
      <c r="AE22" s="510">
        <v>0</v>
      </c>
      <c r="AF22" s="510"/>
      <c r="AG22" s="510"/>
      <c r="AH22" s="510"/>
      <c r="AI22" s="510"/>
      <c r="AJ22" s="510"/>
      <c r="AK22" s="510"/>
      <c r="AL22" s="510"/>
      <c r="AM22" s="510"/>
      <c r="AN22" s="863">
        <f t="shared" si="0"/>
        <v>4082.388</v>
      </c>
      <c r="AO22" s="1355"/>
      <c r="AP22" s="1352"/>
      <c r="AQ22" s="925">
        <f t="shared" si="1"/>
        <v>0</v>
      </c>
      <c r="AR22" s="585"/>
      <c r="AY22" s="582"/>
      <c r="AZ22" s="583"/>
    </row>
    <row r="23" spans="1:52" s="452" customFormat="1" ht="12.75" customHeight="1" hidden="1">
      <c r="A23" s="1365" t="s">
        <v>481</v>
      </c>
      <c r="B23" s="456" t="s">
        <v>245</v>
      </c>
      <c r="C23" s="451"/>
      <c r="D23" s="451">
        <v>0</v>
      </c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>
        <f t="shared" si="0"/>
        <v>0</v>
      </c>
      <c r="AO23" s="1361">
        <f>SUM(AN23:AN24)</f>
        <v>0</v>
      </c>
      <c r="AQ23" s="925">
        <f t="shared" si="1"/>
        <v>0</v>
      </c>
      <c r="AR23" s="585"/>
      <c r="AY23" s="582"/>
      <c r="AZ23" s="583"/>
    </row>
    <row r="24" spans="1:52" s="452" customFormat="1" ht="22.5" customHeight="1" hidden="1">
      <c r="A24" s="1366"/>
      <c r="B24" s="913" t="s">
        <v>586</v>
      </c>
      <c r="C24" s="451"/>
      <c r="D24" s="451">
        <v>0</v>
      </c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864">
        <f t="shared" si="0"/>
        <v>0</v>
      </c>
      <c r="AO24" s="1361"/>
      <c r="AQ24" s="925">
        <f t="shared" si="1"/>
        <v>0</v>
      </c>
      <c r="AR24" s="585"/>
      <c r="AT24" s="583"/>
      <c r="AY24" s="582"/>
      <c r="AZ24" s="583"/>
    </row>
    <row r="25" spans="1:52" s="452" customFormat="1" ht="25.5" customHeight="1" hidden="1">
      <c r="A25" s="1358" t="s">
        <v>491</v>
      </c>
      <c r="B25" s="456" t="s">
        <v>245</v>
      </c>
      <c r="C25" s="510"/>
      <c r="D25" s="510">
        <v>0</v>
      </c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>
        <f t="shared" si="0"/>
        <v>0</v>
      </c>
      <c r="AO25" s="1361">
        <f>SUM(AN25:AN26)</f>
        <v>0</v>
      </c>
      <c r="AQ25" s="925">
        <f t="shared" si="1"/>
        <v>0</v>
      </c>
      <c r="AR25" s="585"/>
      <c r="AT25" s="583"/>
      <c r="AY25" s="582"/>
      <c r="AZ25" s="583"/>
    </row>
    <row r="26" spans="1:52" s="452" customFormat="1" ht="25.5" customHeight="1" hidden="1">
      <c r="A26" s="1358"/>
      <c r="B26" s="913" t="s">
        <v>586</v>
      </c>
      <c r="C26" s="510"/>
      <c r="D26" s="510">
        <v>0</v>
      </c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863">
        <f t="shared" si="0"/>
        <v>0</v>
      </c>
      <c r="AO26" s="1361"/>
      <c r="AQ26" s="925">
        <f t="shared" si="1"/>
        <v>0</v>
      </c>
      <c r="AR26" s="585"/>
      <c r="AY26" s="582"/>
      <c r="AZ26" s="583"/>
    </row>
    <row r="27" spans="1:52" s="452" customFormat="1" ht="12.75" customHeight="1" hidden="1">
      <c r="A27" s="1367" t="s">
        <v>498</v>
      </c>
      <c r="B27" s="456" t="s">
        <v>245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>
        <f t="shared" si="0"/>
        <v>0</v>
      </c>
      <c r="AO27" s="1361">
        <f>SUM(AN27:AN28)</f>
        <v>0</v>
      </c>
      <c r="AP27" s="1352">
        <f>'Equipment+CEW'!E99</f>
        <v>24927</v>
      </c>
      <c r="AQ27" s="925">
        <f t="shared" si="1"/>
        <v>24927</v>
      </c>
      <c r="AR27" s="585"/>
      <c r="AY27" s="582"/>
      <c r="AZ27" s="583"/>
    </row>
    <row r="28" spans="1:60" s="963" customFormat="1" ht="15.75" customHeight="1" hidden="1">
      <c r="A28" s="1367"/>
      <c r="B28" s="913" t="s">
        <v>586</v>
      </c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863">
        <f t="shared" si="0"/>
        <v>0</v>
      </c>
      <c r="AO28" s="1361"/>
      <c r="AP28" s="1354"/>
      <c r="AQ28" s="925">
        <f t="shared" si="1"/>
        <v>0</v>
      </c>
      <c r="AR28" s="585"/>
      <c r="AS28" s="452"/>
      <c r="AT28" s="452"/>
      <c r="AU28" s="452"/>
      <c r="AV28" s="452"/>
      <c r="AW28" s="452"/>
      <c r="AX28" s="452"/>
      <c r="AY28" s="582"/>
      <c r="AZ28" s="583"/>
      <c r="BA28" s="452"/>
      <c r="BB28" s="452"/>
      <c r="BC28" s="452"/>
      <c r="BD28" s="452"/>
      <c r="BE28" s="452"/>
      <c r="BF28" s="452"/>
      <c r="BG28" s="452"/>
      <c r="BH28" s="452"/>
    </row>
    <row r="29" spans="1:52" s="452" customFormat="1" ht="12.75" customHeight="1" hidden="1">
      <c r="A29" s="1363" t="s">
        <v>587</v>
      </c>
      <c r="B29" s="456" t="s">
        <v>245</v>
      </c>
      <c r="C29" s="451"/>
      <c r="D29" s="451">
        <f>'Equipment+CEW'!D102</f>
        <v>0</v>
      </c>
      <c r="E29" s="451"/>
      <c r="F29" s="451"/>
      <c r="G29" s="451"/>
      <c r="H29" s="451"/>
      <c r="I29" s="451">
        <f>'Equipment+CEW'!C102</f>
        <v>0</v>
      </c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>
        <f t="shared" si="0"/>
        <v>0</v>
      </c>
      <c r="AO29" s="1361">
        <f>SUM(AN29:AN30)</f>
        <v>0</v>
      </c>
      <c r="AQ29" s="925">
        <f t="shared" si="1"/>
        <v>0</v>
      </c>
      <c r="AR29" s="585"/>
      <c r="AT29" s="583"/>
      <c r="AY29" s="582"/>
      <c r="AZ29" s="583"/>
    </row>
    <row r="30" spans="1:52" s="452" customFormat="1" ht="13.5" hidden="1" thickBot="1">
      <c r="A30" s="1363"/>
      <c r="B30" s="913" t="s">
        <v>586</v>
      </c>
      <c r="C30" s="451"/>
      <c r="D30" s="451">
        <f>'Equipment+CEW'!D103</f>
        <v>0</v>
      </c>
      <c r="E30" s="451"/>
      <c r="F30" s="451"/>
      <c r="G30" s="451"/>
      <c r="H30" s="451"/>
      <c r="I30" s="451">
        <f>'Equipment+CEW'!C103</f>
        <v>0</v>
      </c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864">
        <f t="shared" si="0"/>
        <v>0</v>
      </c>
      <c r="AO30" s="1361"/>
      <c r="AQ30" s="925">
        <f t="shared" si="1"/>
        <v>0</v>
      </c>
      <c r="AR30" s="585"/>
      <c r="AY30" s="582"/>
      <c r="AZ30" s="583"/>
    </row>
    <row r="31" spans="1:51" s="457" customFormat="1" ht="14.25" thickBot="1">
      <c r="A31" s="1359" t="s">
        <v>284</v>
      </c>
      <c r="B31" s="1359"/>
      <c r="C31" s="865">
        <f>SUM(C32:C33)</f>
        <v>12903.5376</v>
      </c>
      <c r="D31" s="865">
        <f>SUM(D32:D33)</f>
        <v>4914.8107199999995</v>
      </c>
      <c r="E31" s="865">
        <f>SUM(E32:E33)</f>
        <v>110332.42008000001</v>
      </c>
      <c r="F31" s="980">
        <f aca="true" t="shared" si="4" ref="F31:AE31">SUM(F4:F30)</f>
        <v>0</v>
      </c>
      <c r="G31" s="865">
        <f t="shared" si="4"/>
        <v>151.0011</v>
      </c>
      <c r="H31" s="865">
        <f t="shared" si="4"/>
        <v>11322.820133333333</v>
      </c>
      <c r="I31" s="865">
        <f t="shared" si="4"/>
        <v>9110.611133333334</v>
      </c>
      <c r="J31" s="865">
        <f t="shared" si="4"/>
        <v>9110.611133333334</v>
      </c>
      <c r="K31" s="865">
        <f t="shared" si="4"/>
        <v>113143.29243333334</v>
      </c>
      <c r="L31" s="865">
        <f t="shared" si="4"/>
        <v>6571.543433333332</v>
      </c>
      <c r="M31" s="865">
        <f t="shared" si="4"/>
        <v>4359.334433333333</v>
      </c>
      <c r="N31" s="865">
        <f t="shared" si="4"/>
        <v>151.0011</v>
      </c>
      <c r="O31" s="865">
        <f t="shared" si="4"/>
        <v>151.0011</v>
      </c>
      <c r="P31" s="865">
        <f t="shared" si="4"/>
        <v>2363.2101000000002</v>
      </c>
      <c r="Q31" s="865">
        <f t="shared" si="4"/>
        <v>151.0011</v>
      </c>
      <c r="R31" s="865">
        <f t="shared" si="4"/>
        <v>151.0011</v>
      </c>
      <c r="S31" s="865">
        <f t="shared" si="4"/>
        <v>151.0011</v>
      </c>
      <c r="T31" s="865">
        <f t="shared" si="4"/>
        <v>2363.2101000000002</v>
      </c>
      <c r="U31" s="865">
        <f t="shared" si="4"/>
        <v>151.0011</v>
      </c>
      <c r="V31" s="865">
        <f t="shared" si="4"/>
        <v>151.0011</v>
      </c>
      <c r="W31" s="865">
        <f t="shared" si="4"/>
        <v>151.0011</v>
      </c>
      <c r="X31" s="865">
        <f t="shared" si="4"/>
        <v>151.0011</v>
      </c>
      <c r="Y31" s="865">
        <f t="shared" si="4"/>
        <v>151.0011</v>
      </c>
      <c r="Z31" s="865">
        <f t="shared" si="4"/>
        <v>151.0011</v>
      </c>
      <c r="AA31" s="865">
        <f t="shared" si="4"/>
        <v>151.0011</v>
      </c>
      <c r="AB31" s="865">
        <f t="shared" si="4"/>
        <v>0</v>
      </c>
      <c r="AC31" s="865">
        <f t="shared" si="4"/>
        <v>0</v>
      </c>
      <c r="AD31" s="865">
        <f t="shared" si="4"/>
        <v>0</v>
      </c>
      <c r="AE31" s="865">
        <f t="shared" si="4"/>
        <v>0</v>
      </c>
      <c r="AF31" s="865"/>
      <c r="AG31" s="865"/>
      <c r="AH31" s="865"/>
      <c r="AI31" s="865"/>
      <c r="AJ31" s="865"/>
      <c r="AK31" s="865"/>
      <c r="AL31" s="865"/>
      <c r="AM31" s="865"/>
      <c r="AN31" s="866">
        <f t="shared" si="0"/>
        <v>288458.41559999995</v>
      </c>
      <c r="AO31" s="862">
        <f>SUM(AN4:AN30)</f>
        <v>269091.6052</v>
      </c>
      <c r="AP31" s="862">
        <f>SUM(AO4:AO30)</f>
        <v>269091.60520000005</v>
      </c>
      <c r="AQ31" s="986"/>
      <c r="AR31" s="610"/>
      <c r="AY31" s="582"/>
    </row>
    <row r="32" spans="1:51" s="458" customFormat="1" ht="15" customHeight="1">
      <c r="A32" s="1364" t="s">
        <v>301</v>
      </c>
      <c r="B32" s="1364"/>
      <c r="C32" s="867">
        <f>(7647048+100848.16)/1000</f>
        <v>7747.89616</v>
      </c>
      <c r="D32" s="867">
        <f>3657810/1000</f>
        <v>3657.81</v>
      </c>
      <c r="E32" s="867">
        <f>SUM(E4,E5,E11,E12,E13,E14,E20,E27)+3742363/1000-D32</f>
        <v>85781.695</v>
      </c>
      <c r="F32" s="981">
        <f aca="true" t="shared" si="5" ref="F32:AE32">SUM(F4,F5,F11,F12,F13,F14,F20,F27)</f>
        <v>0</v>
      </c>
      <c r="G32" s="867">
        <f t="shared" si="5"/>
        <v>87.2337</v>
      </c>
      <c r="H32" s="867">
        <f t="shared" si="5"/>
        <v>2888.0352000000003</v>
      </c>
      <c r="I32" s="867">
        <f t="shared" si="5"/>
        <v>1980.9837</v>
      </c>
      <c r="J32" s="867">
        <f t="shared" si="5"/>
        <v>1980.9837</v>
      </c>
      <c r="K32" s="867">
        <f t="shared" si="5"/>
        <v>87678.1257</v>
      </c>
      <c r="L32" s="867">
        <f t="shared" si="5"/>
        <v>2888.0352000000003</v>
      </c>
      <c r="M32" s="867">
        <f t="shared" si="5"/>
        <v>1980.9837</v>
      </c>
      <c r="N32" s="867">
        <f t="shared" si="5"/>
        <v>87.2337</v>
      </c>
      <c r="O32" s="867">
        <f t="shared" si="5"/>
        <v>87.2337</v>
      </c>
      <c r="P32" s="867">
        <f t="shared" si="5"/>
        <v>994.2852</v>
      </c>
      <c r="Q32" s="867">
        <f t="shared" si="5"/>
        <v>87.2337</v>
      </c>
      <c r="R32" s="867">
        <f t="shared" si="5"/>
        <v>87.2337</v>
      </c>
      <c r="S32" s="867">
        <f t="shared" si="5"/>
        <v>87.2337</v>
      </c>
      <c r="T32" s="867">
        <f t="shared" si="5"/>
        <v>994.2852</v>
      </c>
      <c r="U32" s="867">
        <f t="shared" si="5"/>
        <v>87.2337</v>
      </c>
      <c r="V32" s="867">
        <f t="shared" si="5"/>
        <v>87.2337</v>
      </c>
      <c r="W32" s="867">
        <f t="shared" si="5"/>
        <v>87.2337</v>
      </c>
      <c r="X32" s="867">
        <f t="shared" si="5"/>
        <v>87.2337</v>
      </c>
      <c r="Y32" s="867">
        <f t="shared" si="5"/>
        <v>87.2337</v>
      </c>
      <c r="Z32" s="867">
        <f t="shared" si="5"/>
        <v>87.2337</v>
      </c>
      <c r="AA32" s="867">
        <f t="shared" si="5"/>
        <v>87.2337</v>
      </c>
      <c r="AB32" s="867">
        <f t="shared" si="5"/>
        <v>0</v>
      </c>
      <c r="AC32" s="867">
        <f t="shared" si="5"/>
        <v>0</v>
      </c>
      <c r="AD32" s="867">
        <f t="shared" si="5"/>
        <v>0</v>
      </c>
      <c r="AE32" s="867">
        <f t="shared" si="5"/>
        <v>0</v>
      </c>
      <c r="AF32" s="867"/>
      <c r="AG32" s="867"/>
      <c r="AH32" s="867"/>
      <c r="AI32" s="867"/>
      <c r="AJ32" s="867"/>
      <c r="AK32" s="867"/>
      <c r="AL32" s="867"/>
      <c r="AM32" s="867"/>
      <c r="AN32" s="987">
        <f t="shared" si="0"/>
        <v>199707.1568600002</v>
      </c>
      <c r="AO32" s="867"/>
      <c r="AQ32" s="830"/>
      <c r="AR32" s="611"/>
      <c r="AY32" s="582"/>
    </row>
    <row r="33" spans="1:44" s="458" customFormat="1" ht="16.5" customHeight="1">
      <c r="A33" s="1364" t="s">
        <v>302</v>
      </c>
      <c r="B33" s="1364"/>
      <c r="C33" s="867">
        <f>5155641.44/1000</f>
        <v>5155.64144</v>
      </c>
      <c r="D33" s="867">
        <f>1257000.72/1000</f>
        <v>1257.00072</v>
      </c>
      <c r="E33" s="867">
        <f>SUM(E5,E6,E8:E10,E14:E15,E21:E22,E28)+2720909.8/1000-D33</f>
        <v>24550.72508</v>
      </c>
      <c r="F33" s="981">
        <f aca="true" t="shared" si="6" ref="F33:AA33">F31-F32</f>
        <v>0</v>
      </c>
      <c r="G33" s="867">
        <f t="shared" si="6"/>
        <v>63.76740000000001</v>
      </c>
      <c r="H33" s="867">
        <f t="shared" si="6"/>
        <v>8434.784933333332</v>
      </c>
      <c r="I33" s="867">
        <f t="shared" si="6"/>
        <v>7129.627433333334</v>
      </c>
      <c r="J33" s="867">
        <f t="shared" si="6"/>
        <v>7129.627433333334</v>
      </c>
      <c r="K33" s="867">
        <f t="shared" si="6"/>
        <v>25465.16673333333</v>
      </c>
      <c r="L33" s="867">
        <f t="shared" si="6"/>
        <v>3683.508233333332</v>
      </c>
      <c r="M33" s="867">
        <f t="shared" si="6"/>
        <v>2378.3507333333337</v>
      </c>
      <c r="N33" s="867">
        <f t="shared" si="6"/>
        <v>63.76740000000001</v>
      </c>
      <c r="O33" s="867">
        <f t="shared" si="6"/>
        <v>63.76740000000001</v>
      </c>
      <c r="P33" s="867">
        <f t="shared" si="6"/>
        <v>1368.9249000000002</v>
      </c>
      <c r="Q33" s="867">
        <f t="shared" si="6"/>
        <v>63.76740000000001</v>
      </c>
      <c r="R33" s="867">
        <f t="shared" si="6"/>
        <v>63.76740000000001</v>
      </c>
      <c r="S33" s="867">
        <f t="shared" si="6"/>
        <v>63.76740000000001</v>
      </c>
      <c r="T33" s="867">
        <f t="shared" si="6"/>
        <v>1368.9249000000002</v>
      </c>
      <c r="U33" s="867">
        <f t="shared" si="6"/>
        <v>63.76740000000001</v>
      </c>
      <c r="V33" s="867">
        <f t="shared" si="6"/>
        <v>63.76740000000001</v>
      </c>
      <c r="W33" s="867">
        <f t="shared" si="6"/>
        <v>63.76740000000001</v>
      </c>
      <c r="X33" s="867">
        <f t="shared" si="6"/>
        <v>63.76740000000001</v>
      </c>
      <c r="Y33" s="867">
        <f t="shared" si="6"/>
        <v>63.76740000000001</v>
      </c>
      <c r="Z33" s="867">
        <f t="shared" si="6"/>
        <v>63.76740000000001</v>
      </c>
      <c r="AA33" s="867">
        <f t="shared" si="6"/>
        <v>63.76740000000001</v>
      </c>
      <c r="AB33" s="867">
        <f>AB31-AB32</f>
        <v>0</v>
      </c>
      <c r="AC33" s="867">
        <f>AC31-AC32</f>
        <v>0</v>
      </c>
      <c r="AD33" s="867">
        <f>AD31-AD32</f>
        <v>0</v>
      </c>
      <c r="AE33" s="867">
        <f>AE31-AE32</f>
        <v>0</v>
      </c>
      <c r="AF33" s="867"/>
      <c r="AG33" s="867"/>
      <c r="AH33" s="867"/>
      <c r="AI33" s="867"/>
      <c r="AJ33" s="867"/>
      <c r="AK33" s="867"/>
      <c r="AL33" s="867"/>
      <c r="AM33" s="867"/>
      <c r="AN33" s="987">
        <f t="shared" si="0"/>
        <v>88751.25873999996</v>
      </c>
      <c r="AO33" s="867"/>
      <c r="AP33" s="687"/>
      <c r="AQ33" s="832"/>
      <c r="AR33" s="611"/>
    </row>
    <row r="34" spans="1:44" ht="12.75">
      <c r="A34" s="420"/>
      <c r="B34" s="341"/>
      <c r="C34" s="688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741">
        <f>AN31/5.05</f>
        <v>57120.478336633656</v>
      </c>
      <c r="AO34" s="434"/>
      <c r="AP34" s="835"/>
      <c r="AQ34" s="836"/>
      <c r="AR34" s="834"/>
    </row>
    <row r="35" spans="5:48" ht="12.75">
      <c r="E35" s="584"/>
      <c r="AO35" s="273"/>
      <c r="AP35" s="835"/>
      <c r="AQ35" s="838"/>
      <c r="AR35" s="742"/>
      <c r="AV35" s="29"/>
    </row>
    <row r="36" spans="42:43" ht="12.75">
      <c r="AP36" s="835"/>
      <c r="AQ36" s="836"/>
    </row>
    <row r="37" spans="40:43" ht="12.75">
      <c r="AN37" s="742"/>
      <c r="AP37" s="835"/>
      <c r="AQ37" s="836"/>
    </row>
    <row r="46" spans="1:48" s="431" customFormat="1" ht="12.75">
      <c r="A46" s="430"/>
      <c r="B46" s="340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</row>
    <row r="47" spans="1:48" s="431" customFormat="1" ht="12.75">
      <c r="A47" s="430"/>
      <c r="B47" s="340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413"/>
      <c r="AL47" s="413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</row>
    <row r="57" ht="12.75">
      <c r="D57" s="31"/>
    </row>
    <row r="58" ht="12.75">
      <c r="D58" s="31"/>
    </row>
  </sheetData>
  <mergeCells count="44">
    <mergeCell ref="AO7:AO9"/>
    <mergeCell ref="AP7:AP9"/>
    <mergeCell ref="L2:O2"/>
    <mergeCell ref="P2:S2"/>
    <mergeCell ref="AN2:AN3"/>
    <mergeCell ref="AP5:AP6"/>
    <mergeCell ref="H2:K2"/>
    <mergeCell ref="A33:B33"/>
    <mergeCell ref="A5:A6"/>
    <mergeCell ref="A23:A24"/>
    <mergeCell ref="A25:A26"/>
    <mergeCell ref="A27:A28"/>
    <mergeCell ref="A29:A30"/>
    <mergeCell ref="A32:B32"/>
    <mergeCell ref="A7:A9"/>
    <mergeCell ref="A1:B1"/>
    <mergeCell ref="A2:A3"/>
    <mergeCell ref="B2:B3"/>
    <mergeCell ref="A16:A19"/>
    <mergeCell ref="A10:A13"/>
    <mergeCell ref="AO14:AO15"/>
    <mergeCell ref="AO16:AO19"/>
    <mergeCell ref="A14:A15"/>
    <mergeCell ref="A31:B31"/>
    <mergeCell ref="A20:A22"/>
    <mergeCell ref="AO29:AO30"/>
    <mergeCell ref="AO20:AO22"/>
    <mergeCell ref="AO23:AO24"/>
    <mergeCell ref="AO25:AO26"/>
    <mergeCell ref="AO27:AO28"/>
    <mergeCell ref="AS10:AS13"/>
    <mergeCell ref="C2:C3"/>
    <mergeCell ref="AF2:AI2"/>
    <mergeCell ref="AJ2:AM2"/>
    <mergeCell ref="AO5:AO6"/>
    <mergeCell ref="AO10:AO13"/>
    <mergeCell ref="T2:W2"/>
    <mergeCell ref="X2:AA2"/>
    <mergeCell ref="AB2:AE2"/>
    <mergeCell ref="D2:G2"/>
    <mergeCell ref="AP14:AP15"/>
    <mergeCell ref="AP10:AP13"/>
    <mergeCell ref="AP27:AP28"/>
    <mergeCell ref="AP20:AP22"/>
  </mergeCells>
  <printOptions/>
  <pageMargins left="0.2" right="0.2" top="0.32" bottom="0.21" header="0.17" footer="0.2"/>
  <pageSetup horizontalDpi="600" verticalDpi="600" orientation="landscape" paperSize="9" r:id="rId1"/>
  <headerFooter alignWithMargins="0">
    <oddHeader>&amp;RПриложение 2</oddHeader>
  </headerFooter>
  <rowBreaks count="1" manualBreakCount="1">
    <brk id="33" max="255" man="1"/>
  </rowBreaks>
  <colBreaks count="2" manualBreakCount="2">
    <brk id="3" max="65535" man="1"/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selection activeCell="F15" sqref="A15:IV26"/>
    </sheetView>
  </sheetViews>
  <sheetFormatPr defaultColWidth="9.00390625" defaultRowHeight="12.75"/>
  <cols>
    <col min="1" max="1" width="55.375" style="124" bestFit="1" customWidth="1"/>
    <col min="2" max="2" width="22.00390625" style="125" bestFit="1" customWidth="1"/>
    <col min="3" max="3" width="10.875" style="125" customWidth="1"/>
    <col min="4" max="4" width="11.75390625" style="125" bestFit="1" customWidth="1"/>
    <col min="5" max="6" width="11.625" style="125" bestFit="1" customWidth="1"/>
    <col min="7" max="7" width="11.125" style="125" customWidth="1"/>
    <col min="8" max="9" width="11.625" style="125" bestFit="1" customWidth="1"/>
    <col min="10" max="11" width="11.625" style="125" customWidth="1"/>
    <col min="12" max="13" width="11.625" style="125" bestFit="1" customWidth="1"/>
    <col min="14" max="16" width="9.25390625" style="125" bestFit="1" customWidth="1"/>
    <col min="17" max="23" width="9.125" style="125" customWidth="1"/>
    <col min="24" max="16384" width="9.125" style="124" customWidth="1"/>
  </cols>
  <sheetData>
    <row r="1" spans="1:23" s="132" customFormat="1" ht="26.25" thickBot="1">
      <c r="A1" s="133" t="s">
        <v>450</v>
      </c>
      <c r="B1" s="134">
        <v>2004</v>
      </c>
      <c r="C1" s="134">
        <v>2005</v>
      </c>
      <c r="D1" s="134">
        <v>2006</v>
      </c>
      <c r="E1" s="134">
        <v>2007</v>
      </c>
      <c r="F1" s="134">
        <v>2008</v>
      </c>
      <c r="G1" s="134">
        <v>2009</v>
      </c>
      <c r="H1" s="134">
        <v>2010</v>
      </c>
      <c r="I1" s="134">
        <v>2011</v>
      </c>
      <c r="J1" s="134">
        <v>2012</v>
      </c>
      <c r="K1" s="135" t="s">
        <v>222</v>
      </c>
      <c r="L1" s="135" t="s">
        <v>222</v>
      </c>
      <c r="O1" s="131"/>
      <c r="P1" s="131"/>
      <c r="Q1" s="131"/>
      <c r="R1" s="131"/>
      <c r="S1" s="131"/>
      <c r="T1" s="131"/>
      <c r="U1" s="131"/>
      <c r="V1" s="131"/>
      <c r="W1" s="131"/>
    </row>
    <row r="2" spans="1:14" ht="12.75">
      <c r="A2" s="1168" t="s">
        <v>62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064"/>
      <c r="M2" s="737"/>
      <c r="N2" s="738"/>
    </row>
    <row r="3" spans="1:13" ht="12.75">
      <c r="A3" s="1065" t="s">
        <v>295</v>
      </c>
      <c r="B3" s="136">
        <v>2865.6678</v>
      </c>
      <c r="C3" s="136">
        <f>'Capital investments'!C31-B3</f>
        <v>10037.8698</v>
      </c>
      <c r="D3" s="136">
        <f>SUM('Capital investments'!D31:G31)</f>
        <v>115398.2319</v>
      </c>
      <c r="E3" s="136">
        <f>SUM('Capital investments'!H31:K31)</f>
        <v>142687.33483333333</v>
      </c>
      <c r="F3" s="136">
        <f>SUM('Capital investments'!L31:O31)</f>
        <v>11232.880066666665</v>
      </c>
      <c r="G3" s="136">
        <f>SUM('Capital investments'!P31:S31)</f>
        <v>2816.2134</v>
      </c>
      <c r="H3" s="136">
        <f>SUM('Capital investments'!T31:W31)</f>
        <v>2816.2134</v>
      </c>
      <c r="I3" s="136">
        <f>SUM('Capital investments'!X31:AA31)</f>
        <v>604.0044</v>
      </c>
      <c r="J3" s="136">
        <f>SUM('Capital investments'!AB31:AE31)</f>
        <v>0</v>
      </c>
      <c r="K3" s="137">
        <f>SUM(B3:J3)</f>
        <v>288458.41559999995</v>
      </c>
      <c r="L3" s="740">
        <f>K3/5.05</f>
        <v>57120.478336633656</v>
      </c>
      <c r="M3" s="1075">
        <f>'Capital investments'!AN31</f>
        <v>288458.41559999995</v>
      </c>
    </row>
    <row r="4" spans="1:12" ht="12.75">
      <c r="A4" s="1065" t="s">
        <v>63</v>
      </c>
      <c r="B4" s="136">
        <f>B3</f>
        <v>2865.6678</v>
      </c>
      <c r="C4" s="136">
        <f>C3*C27</f>
        <v>8653.3363806162</v>
      </c>
      <c r="D4" s="136">
        <f aca="true" t="shared" si="0" ref="D4:J4">D3*D27</f>
        <v>85759.6962134997</v>
      </c>
      <c r="E4" s="136">
        <f t="shared" si="0"/>
        <v>91413.78255965366</v>
      </c>
      <c r="F4" s="136">
        <f t="shared" si="0"/>
        <v>6203.818564899399</v>
      </c>
      <c r="G4" s="136">
        <f t="shared" si="0"/>
        <v>1340.8358105142001</v>
      </c>
      <c r="H4" s="136">
        <f t="shared" si="0"/>
        <v>1155.8922603228</v>
      </c>
      <c r="I4" s="136">
        <f t="shared" si="0"/>
        <v>213.714876852</v>
      </c>
      <c r="J4" s="136">
        <f t="shared" si="0"/>
        <v>0</v>
      </c>
      <c r="K4" s="137">
        <f>SUM(B4:J4)</f>
        <v>197606.74446635798</v>
      </c>
      <c r="L4" s="740">
        <f>K4/5.05</f>
        <v>39130.0484091798</v>
      </c>
    </row>
    <row r="5" spans="1:14" ht="12.75">
      <c r="A5" s="1066" t="s">
        <v>64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1067"/>
      <c r="M5" s="739"/>
      <c r="N5" s="739"/>
    </row>
    <row r="6" spans="1:14" ht="12.75">
      <c r="A6" s="1065" t="s">
        <v>296</v>
      </c>
      <c r="B6" s="136">
        <f>SUM('Profit and losses'!B21:E21)</f>
        <v>0</v>
      </c>
      <c r="C6" s="136">
        <f>SUM('Profit and losses'!G21:J21)</f>
        <v>0</v>
      </c>
      <c r="D6" s="136">
        <f>SUM('Profit and losses'!K21:N21)</f>
        <v>0</v>
      </c>
      <c r="E6" s="136">
        <f>SUM('Profit and losses'!O21:R21)</f>
        <v>0</v>
      </c>
      <c r="F6" s="136">
        <f>SUM('Profit and losses'!S21:V21)</f>
        <v>144214.048565733</v>
      </c>
      <c r="G6" s="136">
        <f>SUM('Profit and losses'!W21:Z21)</f>
        <v>117316.68265261706</v>
      </c>
      <c r="H6" s="136">
        <f>SUM('Profit and losses'!AA21:AD21)</f>
        <v>131124.9025416393</v>
      </c>
      <c r="I6" s="136">
        <f>SUM('Profit and losses'!AE21:AH21)</f>
        <v>143986.6921322402</v>
      </c>
      <c r="J6" s="136">
        <f>SUM('Profit and losses'!AI21:AL21)</f>
        <v>155881.96592144686</v>
      </c>
      <c r="K6" s="1095">
        <f>SUM(B6:J6)</f>
        <v>692524.2918136765</v>
      </c>
      <c r="L6" s="740">
        <f>K6/5.05</f>
        <v>137133.5231314211</v>
      </c>
      <c r="M6" s="1075">
        <f>'Profit and losses'!AM21</f>
        <v>692524.2918136765</v>
      </c>
      <c r="N6" s="125">
        <f>K6/9</f>
        <v>76947.14353485295</v>
      </c>
    </row>
    <row r="7" spans="1:14" ht="12.75">
      <c r="A7" s="1065" t="s">
        <v>63</v>
      </c>
      <c r="B7" s="136">
        <f>B6</f>
        <v>0</v>
      </c>
      <c r="C7" s="136">
        <f>C6*C27</f>
        <v>0</v>
      </c>
      <c r="D7" s="136">
        <f aca="true" t="shared" si="1" ref="D7:J7">D6*D27</f>
        <v>0</v>
      </c>
      <c r="E7" s="136">
        <f t="shared" si="1"/>
        <v>0</v>
      </c>
      <c r="F7" s="136">
        <f t="shared" si="1"/>
        <v>79648.12109641725</v>
      </c>
      <c r="G7" s="136">
        <f t="shared" si="1"/>
        <v>55855.99772778547</v>
      </c>
      <c r="H7" s="136">
        <f t="shared" si="1"/>
        <v>53819.167248995516</v>
      </c>
      <c r="I7" s="136">
        <f t="shared" si="1"/>
        <v>50946.81127715054</v>
      </c>
      <c r="J7" s="136">
        <f t="shared" si="1"/>
        <v>47547.967861762736</v>
      </c>
      <c r="K7" s="1095">
        <f>SUM(B7:J7)</f>
        <v>287818.0652121115</v>
      </c>
      <c r="L7" s="740">
        <f>K7/5.05</f>
        <v>56993.676279626045</v>
      </c>
      <c r="N7" s="125">
        <f>K7/9</f>
        <v>31979.785023567947</v>
      </c>
    </row>
    <row r="8" spans="1:17" ht="12.75">
      <c r="A8" s="1066" t="s">
        <v>290</v>
      </c>
      <c r="B8" s="686"/>
      <c r="C8" s="686"/>
      <c r="D8" s="686"/>
      <c r="E8" s="686"/>
      <c r="F8" s="686"/>
      <c r="G8" s="686"/>
      <c r="H8" s="686"/>
      <c r="I8" s="686"/>
      <c r="J8" s="686"/>
      <c r="K8" s="686"/>
      <c r="L8" s="1067"/>
      <c r="M8" s="739"/>
      <c r="N8" s="739"/>
      <c r="Q8" s="141"/>
    </row>
    <row r="9" spans="1:13" ht="12.75">
      <c r="A9" s="1065" t="s">
        <v>296</v>
      </c>
      <c r="B9" s="136">
        <v>564.6</v>
      </c>
      <c r="C9" s="136">
        <f>'Profit and losses'!F14-B9</f>
        <v>1633.2040000000002</v>
      </c>
      <c r="D9" s="136">
        <f>SUM('Profit and losses'!K14:N14)</f>
        <v>10184.54495</v>
      </c>
      <c r="E9" s="136">
        <f>SUM('Profit and losses'!O14:R14)</f>
        <v>17457.220208866587</v>
      </c>
      <c r="F9" s="136">
        <f>SUM('Profit and losses'!S14:V14)</f>
        <v>37058.097955411315</v>
      </c>
      <c r="G9" s="136">
        <f>SUM('Profit and losses'!W14:Z14)</f>
        <v>30423.369970850992</v>
      </c>
      <c r="H9" s="136">
        <f>SUM('Profit and losses'!AA14:AD14)</f>
        <v>24993.148528272388</v>
      </c>
      <c r="I9" s="136">
        <f>SUM('Profit and losses'!AE14:AH14)</f>
        <v>20476.286217146542</v>
      </c>
      <c r="J9" s="136">
        <f>SUM('Profit and losses'!AI14:AL14)</f>
        <v>16806.650977747227</v>
      </c>
      <c r="K9" s="1096">
        <f>SUM(B9:J9)</f>
        <v>159597.12280829504</v>
      </c>
      <c r="L9" s="740">
        <f>K9/5.05</f>
        <v>31603.39065510793</v>
      </c>
      <c r="M9" s="1075">
        <f>Depreciation!EF10</f>
        <v>159597.12280829507</v>
      </c>
    </row>
    <row r="10" spans="1:12" ht="12.75">
      <c r="A10" s="1065" t="s">
        <v>63</v>
      </c>
      <c r="B10" s="136">
        <f>B9</f>
        <v>564.6</v>
      </c>
      <c r="C10" s="136">
        <f>C9*C27</f>
        <v>1407.9345390760002</v>
      </c>
      <c r="D10" s="136">
        <f aca="true" t="shared" si="2" ref="D10:J10">D9*D27</f>
        <v>7568.7769786768495</v>
      </c>
      <c r="E10" s="136">
        <f t="shared" si="2"/>
        <v>11184.107784572048</v>
      </c>
      <c r="F10" s="136">
        <f t="shared" si="2"/>
        <v>20466.85397789207</v>
      </c>
      <c r="G10" s="136">
        <f t="shared" si="2"/>
        <v>14484.961946931779</v>
      </c>
      <c r="H10" s="136">
        <f t="shared" si="2"/>
        <v>10258.237868241175</v>
      </c>
      <c r="I10" s="136">
        <f t="shared" si="2"/>
        <v>7245.124352212961</v>
      </c>
      <c r="J10" s="136">
        <f t="shared" si="2"/>
        <v>5126.456391732239</v>
      </c>
      <c r="K10" s="1096">
        <f>SUM(B10:J10)</f>
        <v>78307.05383933512</v>
      </c>
      <c r="L10" s="740">
        <f>K10/5.05</f>
        <v>15506.347294917845</v>
      </c>
    </row>
    <row r="11" spans="1:23" s="130" customFormat="1" ht="12.75">
      <c r="A11" s="1068" t="s">
        <v>297</v>
      </c>
      <c r="B11" s="139">
        <f aca="true" t="shared" si="3" ref="B11:J11">B7+B10</f>
        <v>564.6</v>
      </c>
      <c r="C11" s="139">
        <f t="shared" si="3"/>
        <v>1407.9345390760002</v>
      </c>
      <c r="D11" s="139">
        <f t="shared" si="3"/>
        <v>7568.7769786768495</v>
      </c>
      <c r="E11" s="139">
        <f t="shared" si="3"/>
        <v>11184.107784572048</v>
      </c>
      <c r="F11" s="139">
        <f t="shared" si="3"/>
        <v>100114.97507430932</v>
      </c>
      <c r="G11" s="139">
        <f t="shared" si="3"/>
        <v>70340.95967471725</v>
      </c>
      <c r="H11" s="139">
        <f t="shared" si="3"/>
        <v>64077.40511723669</v>
      </c>
      <c r="I11" s="139">
        <f t="shared" si="3"/>
        <v>58191.9356293635</v>
      </c>
      <c r="J11" s="139">
        <f t="shared" si="3"/>
        <v>52674.42425349497</v>
      </c>
      <c r="K11" s="139">
        <f>SUM(B11:J11)</f>
        <v>366125.1190514467</v>
      </c>
      <c r="L11" s="1069">
        <f>K11/5.05</f>
        <v>72500.0235745439</v>
      </c>
      <c r="O11" s="129"/>
      <c r="P11" s="129">
        <f>F11/12</f>
        <v>8342.914589525777</v>
      </c>
      <c r="Q11" s="129"/>
      <c r="R11" s="129"/>
      <c r="S11" s="129"/>
      <c r="T11" s="129"/>
      <c r="U11" s="129"/>
      <c r="V11" s="129"/>
      <c r="W11" s="129"/>
    </row>
    <row r="12" spans="1:23" s="130" customFormat="1" ht="12.75">
      <c r="A12" s="1070" t="s">
        <v>451</v>
      </c>
      <c r="B12" s="140">
        <f aca="true" t="shared" si="4" ref="B12:I12">B6+B9</f>
        <v>564.6</v>
      </c>
      <c r="C12" s="140">
        <f t="shared" si="4"/>
        <v>1633.2040000000002</v>
      </c>
      <c r="D12" s="140">
        <f t="shared" si="4"/>
        <v>10184.54495</v>
      </c>
      <c r="E12" s="140">
        <f t="shared" si="4"/>
        <v>17457.220208866587</v>
      </c>
      <c r="F12" s="140">
        <f t="shared" si="4"/>
        <v>181272.1465211443</v>
      </c>
      <c r="G12" s="140">
        <f t="shared" si="4"/>
        <v>147740.05262346804</v>
      </c>
      <c r="H12" s="140">
        <f t="shared" si="4"/>
        <v>156118.0510699117</v>
      </c>
      <c r="I12" s="140">
        <f t="shared" si="4"/>
        <v>164462.97834938674</v>
      </c>
      <c r="J12" s="140">
        <f>J6+J9</f>
        <v>172688.61689919408</v>
      </c>
      <c r="K12" s="140">
        <f>SUM(B12:J12)</f>
        <v>852121.4146219714</v>
      </c>
      <c r="L12" s="1071">
        <f>K12/5.05</f>
        <v>168736.913786529</v>
      </c>
      <c r="O12" s="129"/>
      <c r="P12" s="129">
        <f>E12/12</f>
        <v>1454.7683507388822</v>
      </c>
      <c r="Q12" s="129"/>
      <c r="R12" s="129"/>
      <c r="S12" s="129"/>
      <c r="T12" s="129"/>
      <c r="U12" s="129"/>
      <c r="V12" s="129"/>
      <c r="W12" s="129"/>
    </row>
    <row r="13" spans="1:23" s="130" customFormat="1" ht="13.5" thickBot="1">
      <c r="A13" s="1072" t="s">
        <v>452</v>
      </c>
      <c r="B13" s="1073">
        <f>B12-B3</f>
        <v>-2301.0678000000003</v>
      </c>
      <c r="C13" s="1073">
        <f aca="true" t="shared" si="5" ref="C13:J13">C12-C3</f>
        <v>-8404.6658</v>
      </c>
      <c r="D13" s="1073">
        <f t="shared" si="5"/>
        <v>-105213.68695</v>
      </c>
      <c r="E13" s="1073">
        <f t="shared" si="5"/>
        <v>-125230.11462446675</v>
      </c>
      <c r="F13" s="1073">
        <f t="shared" si="5"/>
        <v>170039.26645447765</v>
      </c>
      <c r="G13" s="1073">
        <f t="shared" si="5"/>
        <v>144923.83922346804</v>
      </c>
      <c r="H13" s="1073">
        <f t="shared" si="5"/>
        <v>153301.83766991168</v>
      </c>
      <c r="I13" s="1073">
        <f t="shared" si="5"/>
        <v>163858.97394938674</v>
      </c>
      <c r="J13" s="1073">
        <f t="shared" si="5"/>
        <v>172688.61689919408</v>
      </c>
      <c r="K13" s="1073">
        <f>K12-K3</f>
        <v>563662.9990219715</v>
      </c>
      <c r="L13" s="1074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3" s="145" customFormat="1" ht="12.75">
      <c r="A14" s="146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7"/>
      <c r="M14" s="147"/>
      <c r="N14" s="144"/>
      <c r="O14" s="144"/>
      <c r="P14" s="144"/>
      <c r="Q14" s="144"/>
      <c r="R14" s="144"/>
      <c r="S14" s="144"/>
      <c r="T14" s="144"/>
      <c r="U14" s="144"/>
      <c r="V14" s="144"/>
      <c r="W14" s="144"/>
    </row>
    <row r="15" spans="1:13" ht="12.75" hidden="1">
      <c r="A15" s="148">
        <v>1.6</v>
      </c>
      <c r="C15" s="125">
        <v>0.384615</v>
      </c>
      <c r="D15" s="125">
        <v>0.147929</v>
      </c>
      <c r="E15" s="125">
        <v>0.056896</v>
      </c>
      <c r="F15" s="125">
        <v>0.021883</v>
      </c>
      <c r="G15" s="125">
        <v>0.008417</v>
      </c>
      <c r="H15" s="125">
        <v>0.003237</v>
      </c>
      <c r="I15" s="125">
        <v>0.001245</v>
      </c>
      <c r="K15" s="128">
        <v>7.08E-05</v>
      </c>
      <c r="M15" s="138"/>
    </row>
    <row r="16" spans="1:11" ht="12.75" hidden="1">
      <c r="A16" s="148">
        <v>1.3</v>
      </c>
      <c r="C16" s="125">
        <v>0.434783</v>
      </c>
      <c r="D16" s="125">
        <v>0.189036</v>
      </c>
      <c r="E16" s="125">
        <v>0.08219</v>
      </c>
      <c r="F16" s="125">
        <v>0.035735</v>
      </c>
      <c r="G16" s="125">
        <v>0.015537</v>
      </c>
      <c r="H16" s="125">
        <v>0.006755</v>
      </c>
      <c r="I16" s="125">
        <v>0.002937</v>
      </c>
      <c r="K16" s="125">
        <v>0.000241</v>
      </c>
    </row>
    <row r="17" spans="1:13" ht="12.75" hidden="1">
      <c r="A17" s="148">
        <v>1</v>
      </c>
      <c r="C17" s="125">
        <v>0.5</v>
      </c>
      <c r="D17" s="125">
        <v>0.25</v>
      </c>
      <c r="E17" s="125">
        <v>0.125</v>
      </c>
      <c r="F17" s="125">
        <v>0.0625</v>
      </c>
      <c r="G17" s="125">
        <v>0.03125</v>
      </c>
      <c r="H17" s="125">
        <v>0.015625</v>
      </c>
      <c r="I17" s="125">
        <v>0.007813</v>
      </c>
      <c r="K17" s="125">
        <v>0.000977</v>
      </c>
      <c r="M17" s="127">
        <f>SUM(B12:F12)</f>
        <v>211111.7156800109</v>
      </c>
    </row>
    <row r="18" spans="1:14" ht="12.75" hidden="1">
      <c r="A18" s="148">
        <v>0.8</v>
      </c>
      <c r="C18" s="125">
        <v>0.555556</v>
      </c>
      <c r="D18" s="125">
        <v>0.308642</v>
      </c>
      <c r="E18" s="125">
        <v>0.171468</v>
      </c>
      <c r="F18" s="125">
        <v>0.09526</v>
      </c>
      <c r="G18" s="125">
        <v>0.052922</v>
      </c>
      <c r="H18" s="125">
        <v>0.029401</v>
      </c>
      <c r="I18" s="125">
        <v>0.016334</v>
      </c>
      <c r="K18" s="125">
        <v>0.002801</v>
      </c>
      <c r="M18" s="125">
        <f>G12/12</f>
        <v>12311.671051955671</v>
      </c>
      <c r="N18" s="125">
        <v>542</v>
      </c>
    </row>
    <row r="19" spans="1:13" ht="12.75" hidden="1">
      <c r="A19" s="148">
        <v>0.5</v>
      </c>
      <c r="C19" s="125">
        <v>0.666667</v>
      </c>
      <c r="D19" s="125">
        <v>0.444444</v>
      </c>
      <c r="E19" s="125">
        <v>0.296296</v>
      </c>
      <c r="F19" s="125">
        <v>0.197531</v>
      </c>
      <c r="G19" s="125">
        <v>0.131687</v>
      </c>
      <c r="H19" s="125">
        <v>0.087791</v>
      </c>
      <c r="I19" s="125">
        <v>0.058528</v>
      </c>
      <c r="K19" s="125">
        <v>0.017342</v>
      </c>
      <c r="M19" s="125">
        <f>M17+M18*8</f>
        <v>309605.0840956563</v>
      </c>
    </row>
    <row r="20" spans="1:11" ht="12.75" hidden="1">
      <c r="A20" s="148">
        <v>0.4</v>
      </c>
      <c r="C20" s="125">
        <v>0.714286</v>
      </c>
      <c r="D20" s="125">
        <v>0.510204</v>
      </c>
      <c r="E20" s="125">
        <v>0.364431</v>
      </c>
      <c r="F20" s="125">
        <v>0.260308</v>
      </c>
      <c r="G20" s="125">
        <v>0.185934</v>
      </c>
      <c r="H20" s="125">
        <v>0.13281</v>
      </c>
      <c r="I20" s="125">
        <v>0.094865</v>
      </c>
      <c r="K20" s="125">
        <v>0.034572</v>
      </c>
    </row>
    <row r="21" spans="1:11" ht="12.75" hidden="1">
      <c r="A21" s="148">
        <v>0.34</v>
      </c>
      <c r="C21" s="125">
        <v>0.746269</v>
      </c>
      <c r="D21" s="125">
        <v>0.556917</v>
      </c>
      <c r="E21" s="125">
        <v>0.41561</v>
      </c>
      <c r="F21" s="125">
        <v>0.310156</v>
      </c>
      <c r="G21" s="125">
        <v>0.23146</v>
      </c>
      <c r="H21" s="125">
        <v>0.172731</v>
      </c>
      <c r="I21" s="125">
        <v>0.128904</v>
      </c>
      <c r="K21" s="125">
        <v>0.053574</v>
      </c>
    </row>
    <row r="22" spans="1:13" ht="12.75" hidden="1">
      <c r="A22" s="148">
        <v>0.3</v>
      </c>
      <c r="C22" s="125">
        <v>0.769231</v>
      </c>
      <c r="D22" s="125">
        <v>0.591716</v>
      </c>
      <c r="E22" s="125">
        <v>0.455166</v>
      </c>
      <c r="F22" s="125">
        <v>0.350128</v>
      </c>
      <c r="G22" s="125">
        <v>0.269329</v>
      </c>
      <c r="H22" s="125">
        <v>0.207176</v>
      </c>
      <c r="I22" s="125">
        <v>0.159366</v>
      </c>
      <c r="K22" s="125">
        <v>0.072538</v>
      </c>
      <c r="M22" s="127">
        <f>SUM(C11:I11)+B12</f>
        <v>313450.6947979516</v>
      </c>
    </row>
    <row r="23" spans="1:11" ht="12.75" hidden="1">
      <c r="A23" s="148">
        <v>0.28</v>
      </c>
      <c r="C23" s="125">
        <v>0.78125</v>
      </c>
      <c r="D23" s="125">
        <v>0.610352</v>
      </c>
      <c r="E23" s="125">
        <v>0.476837</v>
      </c>
      <c r="F23" s="125">
        <v>0.372529</v>
      </c>
      <c r="G23" s="125">
        <v>0.291038</v>
      </c>
      <c r="H23" s="125">
        <v>0.227374</v>
      </c>
      <c r="I23" s="125">
        <v>0.177636</v>
      </c>
      <c r="K23" s="125">
        <v>0.084703</v>
      </c>
    </row>
    <row r="24" spans="1:11" ht="12.75" hidden="1">
      <c r="A24" s="148">
        <v>0.24</v>
      </c>
      <c r="C24" s="125">
        <v>0.806452</v>
      </c>
      <c r="D24" s="125">
        <v>0.650364</v>
      </c>
      <c r="E24" s="125">
        <v>0.524487</v>
      </c>
      <c r="F24" s="125">
        <v>0.422974</v>
      </c>
      <c r="G24" s="125">
        <v>0.341108</v>
      </c>
      <c r="H24" s="125">
        <v>0.275087</v>
      </c>
      <c r="I24" s="125">
        <v>0.221844</v>
      </c>
      <c r="K24" s="125">
        <v>0.116354</v>
      </c>
    </row>
    <row r="25" spans="1:15" ht="12.75" hidden="1">
      <c r="A25" s="148">
        <v>0.2</v>
      </c>
      <c r="C25" s="125">
        <v>0.833333</v>
      </c>
      <c r="D25" s="125">
        <v>0.694444</v>
      </c>
      <c r="E25" s="125">
        <v>0.578704</v>
      </c>
      <c r="F25" s="125">
        <v>0.482253</v>
      </c>
      <c r="G25" s="125">
        <v>0.401878</v>
      </c>
      <c r="H25" s="125">
        <v>0.334898</v>
      </c>
      <c r="I25" s="125">
        <v>0.279082</v>
      </c>
      <c r="K25" s="125">
        <v>0.161506</v>
      </c>
      <c r="O25" s="127"/>
    </row>
    <row r="26" spans="1:11" ht="12.75" hidden="1">
      <c r="A26" s="148">
        <v>0.18</v>
      </c>
      <c r="C26" s="125">
        <v>0.847458</v>
      </c>
      <c r="D26" s="125">
        <v>0.718184</v>
      </c>
      <c r="E26" s="125">
        <v>0.608631</v>
      </c>
      <c r="F26" s="125">
        <v>0.515789</v>
      </c>
      <c r="G26" s="125">
        <v>0.437109</v>
      </c>
      <c r="H26" s="125">
        <v>0.370432</v>
      </c>
      <c r="I26" s="125">
        <v>0.313925</v>
      </c>
      <c r="K26" s="125">
        <v>0.191064</v>
      </c>
    </row>
    <row r="27" spans="2:11" ht="12.75">
      <c r="B27" s="150">
        <v>0.16</v>
      </c>
      <c r="C27" s="277">
        <v>0.862069</v>
      </c>
      <c r="D27" s="1171">
        <v>0.743163</v>
      </c>
      <c r="E27" s="1171">
        <v>0.640658</v>
      </c>
      <c r="F27" s="1171">
        <v>0.552291</v>
      </c>
      <c r="G27" s="1171">
        <v>0.476113</v>
      </c>
      <c r="H27" s="1171">
        <v>0.410442</v>
      </c>
      <c r="I27" s="1171">
        <v>0.35383</v>
      </c>
      <c r="J27" s="1171">
        <f>1/(1.16*1.16*1.16*1.16*1.16*1.16*1.16*1.16)</f>
        <v>0.3050254567980201</v>
      </c>
      <c r="K27" s="277"/>
    </row>
    <row r="28" spans="1:11" ht="12.75" hidden="1">
      <c r="A28" s="148">
        <v>0.1</v>
      </c>
      <c r="C28" s="125">
        <v>0.909091</v>
      </c>
      <c r="D28" s="125">
        <v>0.826446</v>
      </c>
      <c r="E28" s="125">
        <v>0.751315</v>
      </c>
      <c r="F28" s="125">
        <v>0.683013</v>
      </c>
      <c r="G28" s="125">
        <v>0.620921</v>
      </c>
      <c r="H28" s="125">
        <v>0.564474</v>
      </c>
      <c r="I28" s="125">
        <v>0.513158</v>
      </c>
      <c r="K28" s="125">
        <v>0.385543</v>
      </c>
    </row>
    <row r="29" ht="12.75">
      <c r="A29" s="126"/>
    </row>
    <row r="30" spans="1:12" ht="12.75">
      <c r="A30" s="116" t="s">
        <v>65</v>
      </c>
      <c r="B30" s="117">
        <v>0.16</v>
      </c>
      <c r="C30" s="277">
        <v>0.862069</v>
      </c>
      <c r="D30" s="1171">
        <v>0.743163</v>
      </c>
      <c r="E30" s="1171">
        <v>0.640658</v>
      </c>
      <c r="F30" s="1171">
        <v>0.552291</v>
      </c>
      <c r="G30" s="1171">
        <v>0.476113</v>
      </c>
      <c r="H30" s="1171">
        <v>0.410442</v>
      </c>
      <c r="I30" s="1171">
        <v>0.35383</v>
      </c>
      <c r="J30" s="1171">
        <v>0.35383</v>
      </c>
      <c r="K30" s="277"/>
      <c r="L30" s="1169">
        <f>K11-K4</f>
        <v>168518.3745850887</v>
      </c>
    </row>
    <row r="31" spans="1:10" ht="12.75">
      <c r="A31" s="118" t="s">
        <v>453</v>
      </c>
      <c r="B31" s="1170">
        <f>NPV(B30,C13:J13)+B13</f>
        <v>168518.40702705755</v>
      </c>
      <c r="C31" s="119"/>
      <c r="D31" s="119"/>
      <c r="E31" s="119"/>
      <c r="F31" s="119"/>
      <c r="G31" s="119"/>
      <c r="H31" s="119"/>
      <c r="I31" s="120"/>
      <c r="J31" s="120"/>
    </row>
    <row r="32" spans="1:10" ht="12.75">
      <c r="A32" s="121" t="s">
        <v>286</v>
      </c>
      <c r="B32" s="1094">
        <f>IRR(B13:J13,B30)</f>
        <v>0.4468084257246296</v>
      </c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21" t="s">
        <v>223</v>
      </c>
      <c r="B33" s="123">
        <f>9*12</f>
        <v>108</v>
      </c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21" t="s">
        <v>224</v>
      </c>
      <c r="B34" s="122">
        <f>B33/12</f>
        <v>9</v>
      </c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21" t="s">
        <v>287</v>
      </c>
      <c r="B35" s="117">
        <f>K6/B34/K3</f>
        <v>0.26675298543397036</v>
      </c>
      <c r="C35" s="117">
        <f>K7/B34/K4</f>
        <v>0.16183549357047589</v>
      </c>
      <c r="D35" s="119"/>
      <c r="E35" s="119"/>
      <c r="F35" s="119"/>
      <c r="G35" s="119"/>
      <c r="H35" s="119"/>
      <c r="I35" s="119"/>
      <c r="J35" s="1172"/>
    </row>
    <row r="36" spans="1:10" ht="13.5" thickBot="1">
      <c r="A36" s="121" t="s">
        <v>225</v>
      </c>
      <c r="B36" s="122">
        <f>K12/K3</f>
        <v>2.9540528843630365</v>
      </c>
      <c r="C36" s="1158">
        <f>K11/K4</f>
        <v>1.8527966747297864</v>
      </c>
      <c r="D36" s="119"/>
      <c r="E36" s="119"/>
      <c r="F36" s="119"/>
      <c r="G36" s="119"/>
      <c r="H36" s="119"/>
      <c r="I36" s="119"/>
      <c r="J36" s="1172"/>
    </row>
    <row r="37" spans="1:10" ht="13.5" thickBot="1">
      <c r="A37" s="121" t="s">
        <v>226</v>
      </c>
      <c r="B37" s="1157">
        <f>G60</f>
        <v>62</v>
      </c>
      <c r="C37" s="1159">
        <f>B37/12</f>
        <v>5.166666666666667</v>
      </c>
      <c r="D37" s="119"/>
      <c r="E37" s="119"/>
      <c r="F37" s="119"/>
      <c r="G37" s="119"/>
      <c r="H37" s="119"/>
      <c r="I37" s="119"/>
      <c r="J37" s="1172"/>
    </row>
    <row r="38" spans="4:10" ht="12.75">
      <c r="D38" s="119"/>
      <c r="E38" s="119"/>
      <c r="F38" s="119"/>
      <c r="G38" s="119"/>
      <c r="H38" s="119"/>
      <c r="I38" s="120"/>
      <c r="J38" s="1172"/>
    </row>
    <row r="39" spans="1:10" ht="19.5">
      <c r="A39" s="1144" t="s">
        <v>227</v>
      </c>
      <c r="D39" s="149"/>
      <c r="J39" s="1172"/>
    </row>
    <row r="40" spans="10:11" ht="13.5" thickBot="1">
      <c r="J40" s="1172"/>
      <c r="K40" s="138"/>
    </row>
    <row r="41" spans="1:25" ht="12.75">
      <c r="A41" s="1293" t="s">
        <v>228</v>
      </c>
      <c r="B41" s="1294">
        <v>2004</v>
      </c>
      <c r="C41" s="1294">
        <v>2005</v>
      </c>
      <c r="D41" s="1294">
        <v>2006</v>
      </c>
      <c r="E41" s="1294">
        <v>2007</v>
      </c>
      <c r="F41" s="1294">
        <v>2008</v>
      </c>
      <c r="G41" s="1294">
        <v>2009</v>
      </c>
      <c r="H41" s="1294">
        <v>2010</v>
      </c>
      <c r="I41" s="1294">
        <v>2001</v>
      </c>
      <c r="J41" s="1295">
        <v>2012</v>
      </c>
      <c r="K41" s="738"/>
      <c r="L41" s="739"/>
      <c r="M41" s="738"/>
      <c r="N41" s="138"/>
      <c r="X41" s="125"/>
      <c r="Y41" s="125"/>
    </row>
    <row r="42" spans="1:25" ht="12.75">
      <c r="A42" s="1147" t="s">
        <v>229</v>
      </c>
      <c r="B42" s="1148">
        <f>B3</f>
        <v>2865.6678</v>
      </c>
      <c r="C42" s="1148">
        <f aca="true" t="shared" si="6" ref="C42:H42">B42+C3</f>
        <v>12903.5376</v>
      </c>
      <c r="D42" s="1148">
        <f t="shared" si="6"/>
        <v>128301.7695</v>
      </c>
      <c r="E42" s="1148">
        <f t="shared" si="6"/>
        <v>270989.1043333333</v>
      </c>
      <c r="F42" s="1148">
        <f t="shared" si="6"/>
        <v>282221.98439999996</v>
      </c>
      <c r="G42" s="1318">
        <f t="shared" si="6"/>
        <v>285038.19779999997</v>
      </c>
      <c r="H42" s="1148">
        <f t="shared" si="6"/>
        <v>287854.4112</v>
      </c>
      <c r="I42" s="1148">
        <f>H42+I3</f>
        <v>288458.41559999995</v>
      </c>
      <c r="J42" s="1268">
        <f>I42+J3</f>
        <v>288458.41559999995</v>
      </c>
      <c r="K42" s="1146"/>
      <c r="L42" s="1146"/>
      <c r="M42" s="1146"/>
      <c r="N42" s="138"/>
      <c r="X42" s="125"/>
      <c r="Y42" s="125"/>
    </row>
    <row r="43" spans="1:25" ht="12.75">
      <c r="A43" s="1147" t="s">
        <v>466</v>
      </c>
      <c r="B43" s="1148">
        <f>B12</f>
        <v>564.6</v>
      </c>
      <c r="C43" s="1148">
        <f aca="true" t="shared" si="7" ref="C43:H43">B43+C12</f>
        <v>2197.804</v>
      </c>
      <c r="D43" s="1148">
        <f t="shared" si="7"/>
        <v>12382.34895</v>
      </c>
      <c r="E43" s="1148">
        <f t="shared" si="7"/>
        <v>29839.569158866587</v>
      </c>
      <c r="F43" s="1148">
        <f t="shared" si="7"/>
        <v>211111.7156800109</v>
      </c>
      <c r="G43" s="1318">
        <f t="shared" si="7"/>
        <v>358851.76830347895</v>
      </c>
      <c r="H43" s="1148">
        <f t="shared" si="7"/>
        <v>514969.81937339064</v>
      </c>
      <c r="I43" s="1148">
        <f>H43+I12</f>
        <v>679432.7977227774</v>
      </c>
      <c r="J43" s="1268">
        <f>I43+J12</f>
        <v>852121.4146219714</v>
      </c>
      <c r="K43" s="1146"/>
      <c r="L43" s="1146"/>
      <c r="M43" s="1146"/>
      <c r="N43" s="138"/>
      <c r="X43" s="125"/>
      <c r="Y43" s="125"/>
    </row>
    <row r="44" spans="1:25" ht="12.75">
      <c r="A44" s="1147" t="s">
        <v>230</v>
      </c>
      <c r="B44" s="1149">
        <v>12</v>
      </c>
      <c r="C44" s="1149">
        <v>12</v>
      </c>
      <c r="D44" s="1149">
        <v>12</v>
      </c>
      <c r="E44" s="1149">
        <v>12</v>
      </c>
      <c r="F44" s="1149">
        <v>12</v>
      </c>
      <c r="G44" s="1149"/>
      <c r="H44" s="1149"/>
      <c r="I44" s="1149"/>
      <c r="J44" s="1152"/>
      <c r="K44" s="739"/>
      <c r="L44" s="1150"/>
      <c r="M44" s="138"/>
      <c r="N44" s="138"/>
      <c r="X44" s="125"/>
      <c r="Y44" s="125"/>
    </row>
    <row r="45" spans="1:25" ht="12.75">
      <c r="A45" s="1296" t="s">
        <v>231</v>
      </c>
      <c r="B45" s="121"/>
      <c r="C45" s="121"/>
      <c r="D45" s="1286"/>
      <c r="E45" s="1149"/>
      <c r="F45" s="1286"/>
      <c r="G45" s="1287">
        <f>SUM(B44:J44)</f>
        <v>60</v>
      </c>
      <c r="H45" s="1288"/>
      <c r="I45" s="121"/>
      <c r="J45" s="1297"/>
      <c r="K45" s="739"/>
      <c r="L45" s="1150"/>
      <c r="M45" s="138"/>
      <c r="N45" s="138"/>
      <c r="X45" s="125"/>
      <c r="Y45" s="125"/>
    </row>
    <row r="46" spans="1:25" ht="12.75">
      <c r="A46" s="1298" t="s">
        <v>232</v>
      </c>
      <c r="B46" s="1289"/>
      <c r="C46" s="1289"/>
      <c r="D46" s="1289"/>
      <c r="E46" s="1284" t="s">
        <v>470</v>
      </c>
      <c r="F46" s="1284" t="s">
        <v>471</v>
      </c>
      <c r="G46" s="1284" t="s">
        <v>472</v>
      </c>
      <c r="H46" s="1284" t="s">
        <v>473</v>
      </c>
      <c r="I46" s="1289"/>
      <c r="J46" s="1305"/>
      <c r="K46" s="1150"/>
      <c r="L46" s="1150"/>
      <c r="M46" s="138"/>
      <c r="N46" s="138"/>
      <c r="X46" s="125"/>
      <c r="Y46" s="125"/>
    </row>
    <row r="47" spans="1:25" ht="12.75">
      <c r="A47" s="1147" t="s">
        <v>233</v>
      </c>
      <c r="B47" s="121"/>
      <c r="C47" s="121"/>
      <c r="D47" s="1149"/>
      <c r="E47" s="1148">
        <f>'Capital investments'!P31</f>
        <v>2363.2101000000002</v>
      </c>
      <c r="F47" s="1148">
        <f>'Capital investments'!Q31</f>
        <v>151.0011</v>
      </c>
      <c r="G47" s="1148">
        <f>'Capital investments'!R31</f>
        <v>151.0011</v>
      </c>
      <c r="H47" s="1148">
        <f>'Capital investments'!S31</f>
        <v>151.0011</v>
      </c>
      <c r="I47" s="1290"/>
      <c r="J47" s="1297"/>
      <c r="K47" s="141"/>
      <c r="L47" s="141"/>
      <c r="N47" s="138"/>
      <c r="X47" s="125"/>
      <c r="Y47" s="125"/>
    </row>
    <row r="48" spans="1:25" ht="12.75">
      <c r="A48" s="1147" t="s">
        <v>293</v>
      </c>
      <c r="B48" s="121"/>
      <c r="C48" s="121"/>
      <c r="D48" s="1151"/>
      <c r="E48" s="1148">
        <f>'Profit and losses'!W14+'Profit and losses'!W21</f>
        <v>103131.01437349143</v>
      </c>
      <c r="F48" s="1148">
        <f>'Profit and losses'!X14+'Profit and losses'!X21</f>
        <v>14672.43720075484</v>
      </c>
      <c r="G48" s="1148">
        <f>'Profit and losses'!Y14+'Profit and losses'!Y21</f>
        <v>14873.51955460303</v>
      </c>
      <c r="H48" s="1148">
        <f>'Profit and losses'!Z14+'Profit and losses'!Z21</f>
        <v>15063.081494618764</v>
      </c>
      <c r="I48" s="1290"/>
      <c r="J48" s="1299"/>
      <c r="K48" s="1150"/>
      <c r="L48" s="1150"/>
      <c r="M48" s="138"/>
      <c r="N48" s="138"/>
      <c r="X48" s="125"/>
      <c r="Y48" s="125"/>
    </row>
    <row r="49" spans="1:25" ht="12.75">
      <c r="A49" s="1147" t="s">
        <v>229</v>
      </c>
      <c r="B49" s="121"/>
      <c r="C49" s="121"/>
      <c r="D49" s="122"/>
      <c r="E49" s="1291">
        <f>F42+E47</f>
        <v>284585.1945</v>
      </c>
      <c r="F49" s="1148">
        <f aca="true" t="shared" si="8" ref="F49:H50">E49+F47</f>
        <v>284736.1956</v>
      </c>
      <c r="G49" s="1148">
        <f t="shared" si="8"/>
        <v>284887.1967</v>
      </c>
      <c r="H49" s="1148">
        <f t="shared" si="8"/>
        <v>285038.19779999997</v>
      </c>
      <c r="I49" s="121"/>
      <c r="J49" s="1297"/>
      <c r="K49" s="1150"/>
      <c r="L49" s="1150"/>
      <c r="M49" s="138"/>
      <c r="N49" s="138"/>
      <c r="X49" s="125"/>
      <c r="Y49" s="125"/>
    </row>
    <row r="50" spans="1:25" ht="12.75">
      <c r="A50" s="1147" t="s">
        <v>457</v>
      </c>
      <c r="B50" s="121"/>
      <c r="C50" s="121"/>
      <c r="D50" s="122"/>
      <c r="E50" s="1291">
        <f>F43+E48</f>
        <v>314242.73005350237</v>
      </c>
      <c r="F50" s="1148">
        <f t="shared" si="8"/>
        <v>328915.1672542572</v>
      </c>
      <c r="G50" s="1148">
        <f t="shared" si="8"/>
        <v>343788.6868088602</v>
      </c>
      <c r="H50" s="1148">
        <f t="shared" si="8"/>
        <v>358851.768303479</v>
      </c>
      <c r="I50" s="121"/>
      <c r="J50" s="1297"/>
      <c r="K50" s="141"/>
      <c r="L50" s="141"/>
      <c r="X50" s="125"/>
      <c r="Y50" s="125"/>
    </row>
    <row r="51" spans="1:25" ht="12.75">
      <c r="A51" s="1147" t="s">
        <v>230</v>
      </c>
      <c r="B51" s="121"/>
      <c r="C51" s="121"/>
      <c r="D51" s="121"/>
      <c r="E51" s="1149"/>
      <c r="F51" s="1149"/>
      <c r="G51" s="1149"/>
      <c r="H51" s="1149"/>
      <c r="I51" s="1149"/>
      <c r="J51" s="1297"/>
      <c r="K51" s="141"/>
      <c r="L51" s="141"/>
      <c r="X51" s="125"/>
      <c r="Y51" s="125"/>
    </row>
    <row r="52" spans="1:25" ht="12.75">
      <c r="A52" s="1300" t="s">
        <v>231</v>
      </c>
      <c r="B52" s="121"/>
      <c r="C52" s="121"/>
      <c r="D52" s="121"/>
      <c r="E52" s="1288"/>
      <c r="F52" s="1149"/>
      <c r="G52" s="1292">
        <f>SUM(E51:H51)</f>
        <v>0</v>
      </c>
      <c r="H52" s="121"/>
      <c r="I52" s="121"/>
      <c r="J52" s="1297"/>
      <c r="K52" s="141"/>
      <c r="L52" s="141"/>
      <c r="X52" s="125"/>
      <c r="Y52" s="125"/>
    </row>
    <row r="53" spans="1:25" ht="12.75">
      <c r="A53" s="1301" t="s">
        <v>234</v>
      </c>
      <c r="B53" s="1289"/>
      <c r="C53" s="1289"/>
      <c r="D53" s="1289"/>
      <c r="E53" s="1284" t="s">
        <v>458</v>
      </c>
      <c r="F53" s="1284" t="s">
        <v>459</v>
      </c>
      <c r="G53" s="1284" t="s">
        <v>460</v>
      </c>
      <c r="H53" s="1284"/>
      <c r="I53" s="1284"/>
      <c r="J53" s="1304"/>
      <c r="K53" s="141"/>
      <c r="L53" s="141"/>
      <c r="X53" s="125"/>
      <c r="Y53" s="125"/>
    </row>
    <row r="54" spans="1:25" ht="12.75">
      <c r="A54" s="1147" t="s">
        <v>235</v>
      </c>
      <c r="B54" s="121"/>
      <c r="C54" s="121"/>
      <c r="D54" s="121"/>
      <c r="E54" s="1148">
        <f>E47/3</f>
        <v>787.7367</v>
      </c>
      <c r="F54" s="1148">
        <f>E54</f>
        <v>787.7367</v>
      </c>
      <c r="G54" s="1148">
        <f>F54</f>
        <v>787.7367</v>
      </c>
      <c r="H54" s="1286"/>
      <c r="I54" s="1149"/>
      <c r="J54" s="1152"/>
      <c r="K54" s="141"/>
      <c r="L54" s="141"/>
      <c r="X54" s="125"/>
      <c r="Y54" s="125"/>
    </row>
    <row r="55" spans="1:25" ht="12.75">
      <c r="A55" s="1147" t="s">
        <v>292</v>
      </c>
      <c r="B55" s="121"/>
      <c r="C55" s="121"/>
      <c r="D55" s="121"/>
      <c r="E55" s="1148">
        <f>E48/3</f>
        <v>34377.00479116381</v>
      </c>
      <c r="F55" s="1148">
        <f>E55</f>
        <v>34377.00479116381</v>
      </c>
      <c r="G55" s="1148">
        <f>F55</f>
        <v>34377.00479116381</v>
      </c>
      <c r="H55" s="1286"/>
      <c r="I55" s="1149"/>
      <c r="J55" s="1152"/>
      <c r="K55" s="141"/>
      <c r="L55" s="141"/>
      <c r="X55" s="125"/>
      <c r="Y55" s="125"/>
    </row>
    <row r="56" spans="1:25" ht="12.75">
      <c r="A56" s="1147" t="s">
        <v>229</v>
      </c>
      <c r="B56" s="121"/>
      <c r="C56" s="121"/>
      <c r="D56" s="121"/>
      <c r="E56" s="1154">
        <f>F42+E54</f>
        <v>283009.72109999997</v>
      </c>
      <c r="F56" s="1148">
        <f>E56+F54</f>
        <v>283797.4578</v>
      </c>
      <c r="G56" s="1148">
        <f>F56+G54</f>
        <v>284585.1945</v>
      </c>
      <c r="H56" s="1286"/>
      <c r="I56" s="1149"/>
      <c r="J56" s="1152"/>
      <c r="K56" s="141"/>
      <c r="L56" s="141"/>
      <c r="X56" s="125"/>
      <c r="Y56" s="125"/>
    </row>
    <row r="57" spans="1:25" ht="12.75">
      <c r="A57" s="1147" t="s">
        <v>454</v>
      </c>
      <c r="B57" s="121"/>
      <c r="C57" s="121"/>
      <c r="D57" s="121"/>
      <c r="E57" s="1154">
        <f>F43+E55</f>
        <v>245488.72047117472</v>
      </c>
      <c r="F57" s="1148">
        <f>E57+F55</f>
        <v>279865.7252623385</v>
      </c>
      <c r="G57" s="1148">
        <f>F57+G55</f>
        <v>314242.73005350237</v>
      </c>
      <c r="H57" s="1286"/>
      <c r="I57" s="1149"/>
      <c r="J57" s="1152"/>
      <c r="K57" s="141"/>
      <c r="L57" s="141"/>
      <c r="X57" s="125"/>
      <c r="Y57" s="125"/>
    </row>
    <row r="58" spans="1:25" ht="12.75">
      <c r="A58" s="1147" t="s">
        <v>230</v>
      </c>
      <c r="B58" s="121"/>
      <c r="C58" s="121"/>
      <c r="D58" s="121"/>
      <c r="E58" s="1149">
        <v>1</v>
      </c>
      <c r="F58" s="1148">
        <v>1</v>
      </c>
      <c r="G58" s="1148"/>
      <c r="H58" s="1286"/>
      <c r="I58" s="1149"/>
      <c r="J58" s="1152"/>
      <c r="K58" s="141"/>
      <c r="L58" s="141"/>
      <c r="X58" s="125"/>
      <c r="Y58" s="125"/>
    </row>
    <row r="59" spans="1:25" ht="13.5" thickBot="1">
      <c r="A59" s="1302" t="s">
        <v>236</v>
      </c>
      <c r="B59" s="1153"/>
      <c r="C59" s="1153"/>
      <c r="D59" s="1153"/>
      <c r="E59" s="1269"/>
      <c r="F59" s="1303">
        <f>SUM(E58:G58)</f>
        <v>2</v>
      </c>
      <c r="G59" s="1269"/>
      <c r="H59" s="1269"/>
      <c r="I59" s="1156"/>
      <c r="J59" s="1155"/>
      <c r="K59" s="141"/>
      <c r="L59" s="141"/>
      <c r="X59" s="125"/>
      <c r="Y59" s="125"/>
    </row>
    <row r="60" spans="7:11" ht="13.5" thickBot="1">
      <c r="G60" s="1285">
        <f>SUM(G45,G52,F59)</f>
        <v>62</v>
      </c>
      <c r="K60" s="141"/>
    </row>
    <row r="61" ht="12.75">
      <c r="D61" s="149"/>
    </row>
    <row r="62" spans="1:4" ht="19.5">
      <c r="A62" s="1144" t="s">
        <v>237</v>
      </c>
      <c r="D62" s="149"/>
    </row>
    <row r="63" ht="13.5" thickBot="1"/>
    <row r="64" spans="1:25" ht="13.5" thickBot="1">
      <c r="A64" s="1280" t="s">
        <v>228</v>
      </c>
      <c r="B64" s="1276">
        <v>2004</v>
      </c>
      <c r="C64" s="1272">
        <v>2005</v>
      </c>
      <c r="D64" s="1276">
        <v>2006</v>
      </c>
      <c r="E64" s="1272">
        <v>2007</v>
      </c>
      <c r="F64" s="1276">
        <v>2008</v>
      </c>
      <c r="G64" s="1272">
        <v>2009</v>
      </c>
      <c r="H64" s="1270">
        <v>2010</v>
      </c>
      <c r="I64" s="1145">
        <v>2011</v>
      </c>
      <c r="J64" s="1145">
        <v>2012</v>
      </c>
      <c r="K64" s="738"/>
      <c r="L64" s="738"/>
      <c r="M64" s="738"/>
      <c r="N64" s="138"/>
      <c r="X64" s="125"/>
      <c r="Y64" s="125"/>
    </row>
    <row r="65" spans="1:25" ht="12.75">
      <c r="A65" s="1281" t="s">
        <v>455</v>
      </c>
      <c r="B65" s="1277">
        <f>B4</f>
        <v>2865.6678</v>
      </c>
      <c r="C65" s="1273">
        <f aca="true" t="shared" si="9" ref="C65:H65">B65+C4</f>
        <v>11519.0041806162</v>
      </c>
      <c r="D65" s="1277">
        <f t="shared" si="9"/>
        <v>97278.7003941159</v>
      </c>
      <c r="E65" s="1273">
        <f t="shared" si="9"/>
        <v>188692.48295376956</v>
      </c>
      <c r="F65" s="1277">
        <f t="shared" si="9"/>
        <v>194896.30151866897</v>
      </c>
      <c r="G65" s="1273">
        <f t="shared" si="9"/>
        <v>196237.13732918317</v>
      </c>
      <c r="H65" s="1319">
        <f t="shared" si="9"/>
        <v>197393.02958950598</v>
      </c>
      <c r="I65" s="1173">
        <f>H65+I4</f>
        <v>197606.74446635798</v>
      </c>
      <c r="J65" s="1267">
        <f>I65+J4</f>
        <v>197606.74446635798</v>
      </c>
      <c r="K65" s="1146"/>
      <c r="L65" s="1146"/>
      <c r="M65" s="1146"/>
      <c r="N65" s="138"/>
      <c r="X65" s="125"/>
      <c r="Y65" s="125"/>
    </row>
    <row r="66" spans="1:25" ht="12.75">
      <c r="A66" s="1282" t="s">
        <v>456</v>
      </c>
      <c r="B66" s="1278">
        <f>B11</f>
        <v>564.6</v>
      </c>
      <c r="C66" s="1274">
        <f aca="true" t="shared" si="10" ref="C66:H66">B66+C11</f>
        <v>1972.5345390760003</v>
      </c>
      <c r="D66" s="1278">
        <f t="shared" si="10"/>
        <v>9541.311517752849</v>
      </c>
      <c r="E66" s="1274">
        <f t="shared" si="10"/>
        <v>20725.419302324895</v>
      </c>
      <c r="F66" s="1278">
        <f t="shared" si="10"/>
        <v>120840.39437663421</v>
      </c>
      <c r="G66" s="1274">
        <f t="shared" si="10"/>
        <v>191181.35405135146</v>
      </c>
      <c r="H66" s="1320">
        <f t="shared" si="10"/>
        <v>255258.75916858815</v>
      </c>
      <c r="I66" s="1174">
        <f>H66+I11</f>
        <v>313450.69479795167</v>
      </c>
      <c r="J66" s="1268">
        <f>I66+J11</f>
        <v>366125.1190514467</v>
      </c>
      <c r="K66" s="1146"/>
      <c r="L66" s="1146"/>
      <c r="M66" s="1146"/>
      <c r="N66" s="138"/>
      <c r="X66" s="125"/>
      <c r="Y66" s="125"/>
    </row>
    <row r="67" spans="1:25" ht="13.5" thickBot="1">
      <c r="A67" s="1283" t="s">
        <v>230</v>
      </c>
      <c r="B67" s="1279">
        <v>12</v>
      </c>
      <c r="C67" s="1275">
        <v>12</v>
      </c>
      <c r="D67" s="1279">
        <v>12</v>
      </c>
      <c r="E67" s="1275">
        <v>12</v>
      </c>
      <c r="F67" s="1279">
        <v>12</v>
      </c>
      <c r="G67" s="1275">
        <v>12</v>
      </c>
      <c r="H67" s="1271">
        <v>12</v>
      </c>
      <c r="I67" s="1155">
        <v>12</v>
      </c>
      <c r="J67" s="1155">
        <v>12</v>
      </c>
      <c r="K67" s="739"/>
      <c r="L67" s="1150"/>
      <c r="M67" s="138"/>
      <c r="N67" s="138"/>
      <c r="X67" s="125"/>
      <c r="Y67" s="125"/>
    </row>
  </sheetData>
  <printOptions/>
  <pageMargins left="0.2" right="0.19" top="0.39" bottom="0.21" header="0.17" footer="0.16"/>
  <pageSetup horizontalDpi="600" verticalDpi="600" orientation="landscape" paperSize="9" scale="75" r:id="rId3"/>
  <headerFooter alignWithMargins="0"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34"/>
  <sheetViews>
    <sheetView workbookViewId="0" topLeftCell="A1">
      <selection activeCell="A97" sqref="A97"/>
    </sheetView>
  </sheetViews>
  <sheetFormatPr defaultColWidth="9.00390625" defaultRowHeight="12.75"/>
  <cols>
    <col min="1" max="1" width="81.125" style="38" bestFit="1" customWidth="1"/>
    <col min="2" max="2" width="16.375" style="38" customWidth="1"/>
    <col min="3" max="3" width="16.25390625" style="38" customWidth="1"/>
    <col min="4" max="4" width="16.00390625" style="38" customWidth="1"/>
    <col min="5" max="5" width="16.125" style="440" customWidth="1"/>
    <col min="6" max="6" width="19.00390625" style="440" customWidth="1"/>
    <col min="7" max="7" width="17.875" style="440" customWidth="1"/>
    <col min="8" max="8" width="13.375" style="440" customWidth="1"/>
    <col min="9" max="9" width="18.00390625" style="440" customWidth="1"/>
    <col min="10" max="10" width="14.25390625" style="440" customWidth="1"/>
    <col min="11" max="11" width="17.25390625" style="38" customWidth="1"/>
    <col min="12" max="12" width="13.25390625" style="38" bestFit="1" customWidth="1"/>
    <col min="13" max="13" width="21.00390625" style="38" customWidth="1"/>
    <col min="14" max="14" width="11.25390625" style="38" bestFit="1" customWidth="1"/>
    <col min="15" max="15" width="10.125" style="38" bestFit="1" customWidth="1"/>
    <col min="16" max="16" width="12.75390625" style="38" bestFit="1" customWidth="1"/>
    <col min="17" max="17" width="9.125" style="38" customWidth="1"/>
    <col min="18" max="18" width="12.375" style="38" bestFit="1" customWidth="1"/>
    <col min="19" max="19" width="13.75390625" style="38" bestFit="1" customWidth="1"/>
    <col min="20" max="20" width="12.375" style="38" bestFit="1" customWidth="1"/>
    <col min="21" max="21" width="10.375" style="38" bestFit="1" customWidth="1"/>
    <col min="22" max="22" width="12.375" style="38" bestFit="1" customWidth="1"/>
    <col min="23" max="24" width="11.625" style="38" bestFit="1" customWidth="1"/>
    <col min="25" max="25" width="9.125" style="38" customWidth="1"/>
    <col min="26" max="26" width="10.125" style="38" bestFit="1" customWidth="1"/>
    <col min="27" max="29" width="9.125" style="38" customWidth="1"/>
    <col min="30" max="30" width="10.375" style="38" bestFit="1" customWidth="1"/>
    <col min="31" max="31" width="9.125" style="38" customWidth="1"/>
    <col min="32" max="32" width="10.375" style="38" bestFit="1" customWidth="1"/>
    <col min="33" max="33" width="9.125" style="38" customWidth="1"/>
    <col min="34" max="34" width="10.125" style="38" bestFit="1" customWidth="1"/>
    <col min="35" max="37" width="9.125" style="38" customWidth="1"/>
    <col min="38" max="38" width="10.375" style="38" bestFit="1" customWidth="1"/>
    <col min="39" max="39" width="9.125" style="38" customWidth="1"/>
    <col min="40" max="40" width="10.00390625" style="38" customWidth="1"/>
    <col min="41" max="41" width="9.125" style="38" customWidth="1"/>
    <col min="42" max="44" width="10.125" style="38" bestFit="1" customWidth="1"/>
    <col min="45" max="45" width="9.125" style="38" customWidth="1"/>
    <col min="46" max="46" width="10.375" style="38" bestFit="1" customWidth="1"/>
    <col min="47" max="47" width="9.125" style="38" customWidth="1"/>
    <col min="48" max="48" width="10.375" style="38" bestFit="1" customWidth="1"/>
    <col min="49" max="49" width="9.125" style="38" customWidth="1"/>
    <col min="50" max="50" width="10.375" style="38" bestFit="1" customWidth="1"/>
    <col min="51" max="51" width="9.125" style="38" customWidth="1"/>
    <col min="52" max="52" width="10.375" style="38" bestFit="1" customWidth="1"/>
    <col min="53" max="53" width="9.125" style="38" customWidth="1"/>
    <col min="54" max="54" width="10.375" style="38" bestFit="1" customWidth="1"/>
    <col min="55" max="55" width="9.125" style="38" customWidth="1"/>
    <col min="56" max="56" width="10.375" style="38" bestFit="1" customWidth="1"/>
    <col min="57" max="57" width="9.125" style="38" customWidth="1"/>
    <col min="58" max="58" width="10.375" style="38" bestFit="1" customWidth="1"/>
    <col min="59" max="59" width="9.125" style="38" customWidth="1"/>
    <col min="60" max="60" width="10.375" style="38" bestFit="1" customWidth="1"/>
    <col min="61" max="61" width="9.125" style="38" customWidth="1"/>
    <col min="62" max="62" width="10.375" style="38" bestFit="1" customWidth="1"/>
    <col min="63" max="63" width="9.125" style="38" customWidth="1"/>
    <col min="64" max="64" width="10.375" style="38" bestFit="1" customWidth="1"/>
    <col min="65" max="65" width="9.125" style="38" customWidth="1"/>
    <col min="66" max="66" width="10.375" style="38" bestFit="1" customWidth="1"/>
    <col min="67" max="67" width="11.25390625" style="38" bestFit="1" customWidth="1"/>
    <col min="68" max="68" width="10.375" style="38" bestFit="1" customWidth="1"/>
    <col min="69" max="69" width="9.125" style="38" customWidth="1"/>
    <col min="70" max="70" width="10.375" style="38" bestFit="1" customWidth="1"/>
    <col min="71" max="71" width="9.125" style="38" customWidth="1"/>
    <col min="72" max="72" width="10.375" style="38" bestFit="1" customWidth="1"/>
    <col min="73" max="73" width="9.125" style="38" customWidth="1"/>
    <col min="74" max="74" width="10.375" style="38" bestFit="1" customWidth="1"/>
    <col min="75" max="79" width="10.375" style="38" customWidth="1"/>
    <col min="80" max="80" width="10.375" style="38" bestFit="1" customWidth="1"/>
    <col min="81" max="81" width="11.625" style="38" bestFit="1" customWidth="1"/>
    <col min="82" max="82" width="10.375" style="38" bestFit="1" customWidth="1"/>
    <col min="83" max="83" width="9.125" style="38" customWidth="1"/>
    <col min="84" max="84" width="10.375" style="38" bestFit="1" customWidth="1"/>
    <col min="85" max="85" width="9.125" style="38" customWidth="1"/>
    <col min="86" max="86" width="10.375" style="38" bestFit="1" customWidth="1"/>
    <col min="87" max="87" width="9.125" style="38" customWidth="1"/>
    <col min="88" max="88" width="10.375" style="38" bestFit="1" customWidth="1"/>
    <col min="89" max="89" width="9.125" style="38" customWidth="1"/>
    <col min="90" max="90" width="10.375" style="38" bestFit="1" customWidth="1"/>
    <col min="91" max="91" width="11.625" style="38" bestFit="1" customWidth="1"/>
    <col min="92" max="16384" width="9.125" style="38" customWidth="1"/>
  </cols>
  <sheetData>
    <row r="1" spans="1:10" s="436" customFormat="1" ht="15.75">
      <c r="A1" s="869" t="s">
        <v>311</v>
      </c>
      <c r="E1" s="441"/>
      <c r="F1" s="441"/>
      <c r="G1" s="441"/>
      <c r="H1" s="441"/>
      <c r="I1" s="441"/>
      <c r="J1" s="441"/>
    </row>
    <row r="2" spans="1:10" s="767" customFormat="1" ht="15.75">
      <c r="A2" s="766"/>
      <c r="E2" s="795"/>
      <c r="F2" s="795"/>
      <c r="G2" s="795"/>
      <c r="H2" s="795"/>
      <c r="I2" s="795"/>
      <c r="J2" s="795"/>
    </row>
    <row r="3" spans="1:10" s="767" customFormat="1" ht="16.5" thickBot="1">
      <c r="A3" s="766"/>
      <c r="E3" s="795"/>
      <c r="F3" s="795"/>
      <c r="G3" s="795"/>
      <c r="H3" s="795"/>
      <c r="I3" s="795"/>
      <c r="J3" s="795"/>
    </row>
    <row r="4" spans="1:11" s="767" customFormat="1" ht="16.5" thickBot="1">
      <c r="A4" s="780"/>
      <c r="B4" s="781">
        <v>2004</v>
      </c>
      <c r="C4" s="781">
        <v>2005</v>
      </c>
      <c r="D4" s="781" t="s">
        <v>272</v>
      </c>
      <c r="E4" s="781">
        <v>2007</v>
      </c>
      <c r="F4" s="781">
        <v>2008</v>
      </c>
      <c r="G4" s="781">
        <v>2009</v>
      </c>
      <c r="H4" s="781">
        <v>2010</v>
      </c>
      <c r="I4" s="782">
        <v>2011</v>
      </c>
      <c r="J4" s="782" t="s">
        <v>84</v>
      </c>
      <c r="K4" s="450"/>
    </row>
    <row r="5" spans="1:11" s="767" customFormat="1" ht="15">
      <c r="A5" s="777" t="s">
        <v>112</v>
      </c>
      <c r="B5" s="778"/>
      <c r="C5" s="778"/>
      <c r="D5" s="982">
        <f>290779/4*1.2</f>
        <v>87233.7</v>
      </c>
      <c r="E5" s="982">
        <f>290779*1.2</f>
        <v>348934.8</v>
      </c>
      <c r="F5" s="982">
        <f aca="true" t="shared" si="0" ref="F5:I6">E5</f>
        <v>348934.8</v>
      </c>
      <c r="G5" s="982">
        <f t="shared" si="0"/>
        <v>348934.8</v>
      </c>
      <c r="H5" s="982">
        <f t="shared" si="0"/>
        <v>348934.8</v>
      </c>
      <c r="I5" s="982">
        <f t="shared" si="0"/>
        <v>348934.8</v>
      </c>
      <c r="J5" s="779"/>
      <c r="K5" s="450"/>
    </row>
    <row r="6" spans="1:11" s="767" customFormat="1" ht="15.75" thickBot="1">
      <c r="A6" s="783" t="s">
        <v>312</v>
      </c>
      <c r="B6" s="784"/>
      <c r="C6" s="784"/>
      <c r="D6" s="983">
        <f>212558/4*1.2</f>
        <v>63767.399999999994</v>
      </c>
      <c r="E6" s="983">
        <f>212558*1.2</f>
        <v>255069.59999999998</v>
      </c>
      <c r="F6" s="983">
        <f t="shared" si="0"/>
        <v>255069.59999999998</v>
      </c>
      <c r="G6" s="983">
        <f t="shared" si="0"/>
        <v>255069.59999999998</v>
      </c>
      <c r="H6" s="983">
        <f t="shared" si="0"/>
        <v>255069.59999999998</v>
      </c>
      <c r="I6" s="983">
        <f t="shared" si="0"/>
        <v>255069.59999999998</v>
      </c>
      <c r="J6" s="785"/>
      <c r="K6" s="450"/>
    </row>
    <row r="7" spans="1:11" s="767" customFormat="1" ht="16.5" thickBot="1">
      <c r="A7" s="786" t="s">
        <v>81</v>
      </c>
      <c r="B7" s="787">
        <f aca="true" t="shared" si="1" ref="B7:I7">SUM(B5:B6)</f>
        <v>0</v>
      </c>
      <c r="C7" s="787">
        <f t="shared" si="1"/>
        <v>0</v>
      </c>
      <c r="D7" s="787">
        <f t="shared" si="1"/>
        <v>151001.09999999998</v>
      </c>
      <c r="E7" s="787">
        <f t="shared" si="1"/>
        <v>604004.3999999999</v>
      </c>
      <c r="F7" s="787">
        <f t="shared" si="1"/>
        <v>604004.3999999999</v>
      </c>
      <c r="G7" s="787">
        <f t="shared" si="1"/>
        <v>604004.3999999999</v>
      </c>
      <c r="H7" s="787">
        <f t="shared" si="1"/>
        <v>604004.3999999999</v>
      </c>
      <c r="I7" s="788">
        <f t="shared" si="1"/>
        <v>604004.3999999999</v>
      </c>
      <c r="J7" s="984">
        <f>SUM(B7:I7)</f>
        <v>3171023.0999999996</v>
      </c>
      <c r="K7" s="450"/>
    </row>
    <row r="8" ht="15"/>
    <row r="9" spans="1:45" ht="15">
      <c r="A9" s="421" t="s">
        <v>249</v>
      </c>
      <c r="B9" s="1375">
        <v>3</v>
      </c>
      <c r="C9" s="1376"/>
      <c r="D9" s="1376"/>
      <c r="E9" s="1377"/>
      <c r="F9" s="1375">
        <v>3</v>
      </c>
      <c r="G9" s="1376"/>
      <c r="H9" s="1376"/>
      <c r="I9" s="1377"/>
      <c r="J9" s="1372">
        <v>3</v>
      </c>
      <c r="K9" s="1372"/>
      <c r="L9" s="1372"/>
      <c r="M9" s="1372"/>
      <c r="N9" s="1372">
        <v>3</v>
      </c>
      <c r="O9" s="1372"/>
      <c r="P9" s="1372"/>
      <c r="Q9" s="1372"/>
      <c r="R9" s="1372">
        <v>3</v>
      </c>
      <c r="S9" s="1372"/>
      <c r="T9" s="1372"/>
      <c r="U9" s="1372"/>
      <c r="V9" s="1372">
        <v>3</v>
      </c>
      <c r="W9" s="1372"/>
      <c r="X9" s="1372"/>
      <c r="Y9" s="1372"/>
      <c r="Z9" s="1372">
        <v>3</v>
      </c>
      <c r="AA9" s="1372"/>
      <c r="AB9" s="1372"/>
      <c r="AC9" s="1372"/>
      <c r="AD9" s="1372">
        <v>3</v>
      </c>
      <c r="AE9" s="1372"/>
      <c r="AF9" s="1372"/>
      <c r="AG9" s="1375"/>
      <c r="AH9" s="1372"/>
      <c r="AI9" s="1372"/>
      <c r="AJ9" s="1372"/>
      <c r="AK9" s="1372"/>
      <c r="AL9" s="1372"/>
      <c r="AM9" s="1372"/>
      <c r="AN9" s="1372"/>
      <c r="AO9" s="1372"/>
      <c r="AP9" s="1372"/>
      <c r="AQ9" s="1372"/>
      <c r="AR9" s="1372"/>
      <c r="AS9" s="1372"/>
    </row>
    <row r="10" spans="1:45" ht="15">
      <c r="A10" s="421"/>
      <c r="B10" s="422" t="s">
        <v>346</v>
      </c>
      <c r="C10" s="422" t="s">
        <v>347</v>
      </c>
      <c r="D10" s="422" t="s">
        <v>348</v>
      </c>
      <c r="E10" s="422" t="s">
        <v>349</v>
      </c>
      <c r="F10" s="422" t="s">
        <v>350</v>
      </c>
      <c r="G10" s="422" t="s">
        <v>351</v>
      </c>
      <c r="H10" s="422" t="s">
        <v>352</v>
      </c>
      <c r="I10" s="422" t="s">
        <v>353</v>
      </c>
      <c r="J10" s="422" t="s">
        <v>53</v>
      </c>
      <c r="K10" s="422" t="s">
        <v>354</v>
      </c>
      <c r="L10" s="422" t="s">
        <v>355</v>
      </c>
      <c r="M10" s="422" t="s">
        <v>356</v>
      </c>
      <c r="N10" s="422" t="s">
        <v>357</v>
      </c>
      <c r="O10" s="422" t="s">
        <v>358</v>
      </c>
      <c r="P10" s="422" t="s">
        <v>359</v>
      </c>
      <c r="Q10" s="422" t="s">
        <v>360</v>
      </c>
      <c r="R10" s="422" t="s">
        <v>361</v>
      </c>
      <c r="S10" s="422" t="s">
        <v>362</v>
      </c>
      <c r="T10" s="422" t="s">
        <v>363</v>
      </c>
      <c r="U10" s="422" t="s">
        <v>364</v>
      </c>
      <c r="V10" s="422" t="s">
        <v>365</v>
      </c>
      <c r="W10" s="422" t="s">
        <v>366</v>
      </c>
      <c r="X10" s="422" t="s">
        <v>367</v>
      </c>
      <c r="Y10" s="422" t="s">
        <v>368</v>
      </c>
      <c r="Z10" s="422" t="s">
        <v>369</v>
      </c>
      <c r="AA10" s="422" t="s">
        <v>370</v>
      </c>
      <c r="AB10" s="422" t="s">
        <v>371</v>
      </c>
      <c r="AC10" s="422" t="s">
        <v>372</v>
      </c>
      <c r="AD10" s="422" t="s">
        <v>373</v>
      </c>
      <c r="AE10" s="422" t="s">
        <v>374</v>
      </c>
      <c r="AF10" s="422" t="s">
        <v>375</v>
      </c>
      <c r="AG10" s="789" t="s">
        <v>376</v>
      </c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</row>
    <row r="11" spans="1:45" ht="15">
      <c r="A11" s="421" t="s">
        <v>112</v>
      </c>
      <c r="B11" s="90"/>
      <c r="C11" s="90"/>
      <c r="D11" s="424"/>
      <c r="E11" s="424"/>
      <c r="F11" s="424"/>
      <c r="G11" s="423"/>
      <c r="H11" s="423"/>
      <c r="I11" s="423"/>
      <c r="J11" s="423"/>
      <c r="K11" s="423"/>
      <c r="L11" s="423"/>
      <c r="M11" s="423">
        <f>D5/1000</f>
        <v>87.2337</v>
      </c>
      <c r="N11" s="423">
        <f>E5/1000/4</f>
        <v>87.2337</v>
      </c>
      <c r="O11" s="423">
        <f aca="true" t="shared" si="2" ref="O11:Q12">N11</f>
        <v>87.2337</v>
      </c>
      <c r="P11" s="423">
        <f t="shared" si="2"/>
        <v>87.2337</v>
      </c>
      <c r="Q11" s="423">
        <f t="shared" si="2"/>
        <v>87.2337</v>
      </c>
      <c r="R11" s="423">
        <f>F5/4/1000</f>
        <v>87.2337</v>
      </c>
      <c r="S11" s="423">
        <f aca="true" t="shared" si="3" ref="S11:U12">R11</f>
        <v>87.2337</v>
      </c>
      <c r="T11" s="423">
        <f t="shared" si="3"/>
        <v>87.2337</v>
      </c>
      <c r="U11" s="423">
        <f t="shared" si="3"/>
        <v>87.2337</v>
      </c>
      <c r="V11" s="423">
        <f>G5/1000/4</f>
        <v>87.2337</v>
      </c>
      <c r="W11" s="423">
        <f aca="true" t="shared" si="4" ref="W11:Y12">V11</f>
        <v>87.2337</v>
      </c>
      <c r="X11" s="423">
        <f t="shared" si="4"/>
        <v>87.2337</v>
      </c>
      <c r="Y11" s="423">
        <f t="shared" si="4"/>
        <v>87.2337</v>
      </c>
      <c r="Z11" s="423">
        <f>H5/4/1000</f>
        <v>87.2337</v>
      </c>
      <c r="AA11" s="423">
        <f aca="true" t="shared" si="5" ref="AA11:AC12">Z11</f>
        <v>87.2337</v>
      </c>
      <c r="AB11" s="423">
        <f t="shared" si="5"/>
        <v>87.2337</v>
      </c>
      <c r="AC11" s="423">
        <f t="shared" si="5"/>
        <v>87.2337</v>
      </c>
      <c r="AD11" s="423">
        <f>I5/4/1000</f>
        <v>87.2337</v>
      </c>
      <c r="AE11" s="423">
        <f aca="true" t="shared" si="6" ref="AE11:AG12">AD11</f>
        <v>87.2337</v>
      </c>
      <c r="AF11" s="423">
        <f t="shared" si="6"/>
        <v>87.2337</v>
      </c>
      <c r="AG11" s="790">
        <f t="shared" si="6"/>
        <v>87.2337</v>
      </c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</row>
    <row r="12" spans="1:45" ht="15">
      <c r="A12" s="421" t="s">
        <v>312</v>
      </c>
      <c r="B12" s="90"/>
      <c r="C12" s="90"/>
      <c r="D12" s="424"/>
      <c r="E12" s="424"/>
      <c r="F12" s="424"/>
      <c r="G12" s="423"/>
      <c r="H12" s="423"/>
      <c r="I12" s="423"/>
      <c r="J12" s="423"/>
      <c r="K12" s="423"/>
      <c r="L12" s="423"/>
      <c r="M12" s="423">
        <f>D6/1000</f>
        <v>63.767399999999995</v>
      </c>
      <c r="N12" s="423">
        <f>E6/1000/4</f>
        <v>63.767399999999995</v>
      </c>
      <c r="O12" s="423">
        <f t="shared" si="2"/>
        <v>63.767399999999995</v>
      </c>
      <c r="P12" s="423">
        <f t="shared" si="2"/>
        <v>63.767399999999995</v>
      </c>
      <c r="Q12" s="423">
        <f t="shared" si="2"/>
        <v>63.767399999999995</v>
      </c>
      <c r="R12" s="423">
        <f>F6/4/1000</f>
        <v>63.767399999999995</v>
      </c>
      <c r="S12" s="423">
        <f t="shared" si="3"/>
        <v>63.767399999999995</v>
      </c>
      <c r="T12" s="423">
        <f t="shared" si="3"/>
        <v>63.767399999999995</v>
      </c>
      <c r="U12" s="423">
        <f t="shared" si="3"/>
        <v>63.767399999999995</v>
      </c>
      <c r="V12" s="423">
        <f>U12</f>
        <v>63.767399999999995</v>
      </c>
      <c r="W12" s="423">
        <f t="shared" si="4"/>
        <v>63.767399999999995</v>
      </c>
      <c r="X12" s="423">
        <f t="shared" si="4"/>
        <v>63.767399999999995</v>
      </c>
      <c r="Y12" s="423">
        <f t="shared" si="4"/>
        <v>63.767399999999995</v>
      </c>
      <c r="Z12" s="423">
        <f>H6/4/1000</f>
        <v>63.767399999999995</v>
      </c>
      <c r="AA12" s="423">
        <f t="shared" si="5"/>
        <v>63.767399999999995</v>
      </c>
      <c r="AB12" s="423">
        <f t="shared" si="5"/>
        <v>63.767399999999995</v>
      </c>
      <c r="AC12" s="423">
        <f t="shared" si="5"/>
        <v>63.767399999999995</v>
      </c>
      <c r="AD12" s="423">
        <f>I6/4/1000</f>
        <v>63.767399999999995</v>
      </c>
      <c r="AE12" s="423">
        <f t="shared" si="6"/>
        <v>63.767399999999995</v>
      </c>
      <c r="AF12" s="423">
        <f t="shared" si="6"/>
        <v>63.767399999999995</v>
      </c>
      <c r="AG12" s="790">
        <f t="shared" si="6"/>
        <v>63.767399999999995</v>
      </c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</row>
    <row r="13" spans="1:45" ht="15">
      <c r="A13" s="884"/>
      <c r="B13" s="885"/>
      <c r="C13" s="886"/>
      <c r="D13" s="882"/>
      <c r="E13" s="882"/>
      <c r="F13" s="882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883"/>
      <c r="AM13" s="883"/>
      <c r="AN13" s="883"/>
      <c r="AO13" s="883"/>
      <c r="AP13" s="883"/>
      <c r="AQ13" s="883"/>
      <c r="AR13" s="883"/>
      <c r="AS13" s="883"/>
    </row>
    <row r="14" spans="1:10" s="436" customFormat="1" ht="15.75">
      <c r="A14" s="869" t="s">
        <v>313</v>
      </c>
      <c r="E14" s="441"/>
      <c r="F14" s="441"/>
      <c r="G14" s="441"/>
      <c r="H14" s="441"/>
      <c r="I14" s="441"/>
      <c r="J14" s="441"/>
    </row>
    <row r="15" spans="1:45" ht="15.75" thickBot="1">
      <c r="A15" s="884"/>
      <c r="B15" s="885"/>
      <c r="C15" s="886"/>
      <c r="D15" s="882"/>
      <c r="E15" s="882"/>
      <c r="F15" s="882"/>
      <c r="G15" s="883"/>
      <c r="H15" s="883"/>
      <c r="I15" s="883"/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3"/>
      <c r="W15" s="883"/>
      <c r="X15" s="883"/>
      <c r="Y15" s="883"/>
      <c r="Z15" s="883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3"/>
      <c r="AL15" s="883"/>
      <c r="AM15" s="883"/>
      <c r="AN15" s="883"/>
      <c r="AO15" s="883"/>
      <c r="AP15" s="883"/>
      <c r="AQ15" s="883"/>
      <c r="AR15" s="883"/>
      <c r="AS15" s="883"/>
    </row>
    <row r="16" spans="1:10" s="767" customFormat="1" ht="32.25" thickBot="1">
      <c r="A16" s="881" t="s">
        <v>128</v>
      </c>
      <c r="B16" s="1175" t="s">
        <v>322</v>
      </c>
      <c r="C16" s="878"/>
      <c r="E16" s="795"/>
      <c r="F16" s="795"/>
      <c r="G16" s="795"/>
      <c r="H16" s="795"/>
      <c r="I16" s="795"/>
      <c r="J16" s="795"/>
    </row>
    <row r="17" spans="1:10" s="767" customFormat="1" ht="15.75">
      <c r="A17" s="877" t="s">
        <v>315</v>
      </c>
      <c r="B17" s="778" t="s">
        <v>273</v>
      </c>
      <c r="C17" s="779">
        <v>5200</v>
      </c>
      <c r="E17" s="795"/>
      <c r="F17" s="795"/>
      <c r="G17" s="795"/>
      <c r="H17" s="795"/>
      <c r="I17" s="795"/>
      <c r="J17" s="795"/>
    </row>
    <row r="18" spans="1:10" s="767" customFormat="1" ht="15.75">
      <c r="A18" s="873" t="s">
        <v>314</v>
      </c>
      <c r="B18" s="868" t="s">
        <v>274</v>
      </c>
      <c r="C18" s="874">
        <v>716.7</v>
      </c>
      <c r="E18" s="795"/>
      <c r="F18" s="795"/>
      <c r="G18" s="795"/>
      <c r="H18" s="795"/>
      <c r="I18" s="795"/>
      <c r="J18" s="795"/>
    </row>
    <row r="19" spans="1:10" s="767" customFormat="1" ht="15.75">
      <c r="A19" s="873" t="s">
        <v>250</v>
      </c>
      <c r="B19" s="868" t="s">
        <v>323</v>
      </c>
      <c r="C19" s="874">
        <v>4403</v>
      </c>
      <c r="E19" s="795"/>
      <c r="F19" s="795"/>
      <c r="G19" s="795"/>
      <c r="H19" s="795"/>
      <c r="I19" s="795"/>
      <c r="J19" s="795"/>
    </row>
    <row r="20" spans="1:10" s="930" customFormat="1" ht="15.75">
      <c r="A20" s="947" t="s">
        <v>316</v>
      </c>
      <c r="B20" s="945" t="s">
        <v>323</v>
      </c>
      <c r="C20" s="948">
        <f>C18*C19</f>
        <v>3155630.1</v>
      </c>
      <c r="E20" s="931"/>
      <c r="F20" s="931"/>
      <c r="G20" s="931"/>
      <c r="H20" s="931"/>
      <c r="I20" s="931"/>
      <c r="J20" s="931"/>
    </row>
    <row r="21" spans="1:10" s="767" customFormat="1" ht="15.75">
      <c r="A21" s="873" t="s">
        <v>317</v>
      </c>
      <c r="B21" s="868" t="s">
        <v>273</v>
      </c>
      <c r="C21" s="874">
        <v>18</v>
      </c>
      <c r="E21" s="795"/>
      <c r="F21" s="795"/>
      <c r="G21" s="795"/>
      <c r="H21" s="795"/>
      <c r="I21" s="795"/>
      <c r="J21" s="795"/>
    </row>
    <row r="22" spans="1:10" s="767" customFormat="1" ht="15.75">
      <c r="A22" s="873" t="s">
        <v>251</v>
      </c>
      <c r="B22" s="868" t="s">
        <v>275</v>
      </c>
      <c r="C22" s="874">
        <f>ROUND(C17/C21,0)</f>
        <v>289</v>
      </c>
      <c r="E22" s="795"/>
      <c r="F22" s="795"/>
      <c r="G22" s="795"/>
      <c r="H22" s="795"/>
      <c r="I22" s="795"/>
      <c r="J22" s="795"/>
    </row>
    <row r="23" spans="1:10" s="767" customFormat="1" ht="15.75">
      <c r="A23" s="873" t="s">
        <v>318</v>
      </c>
      <c r="B23" s="868" t="s">
        <v>323</v>
      </c>
      <c r="C23" s="874">
        <v>600</v>
      </c>
      <c r="E23" s="795"/>
      <c r="F23" s="795"/>
      <c r="G23" s="795"/>
      <c r="H23" s="795"/>
      <c r="I23" s="795"/>
      <c r="J23" s="795"/>
    </row>
    <row r="24" spans="1:10" s="887" customFormat="1" ht="15.75">
      <c r="A24" s="949" t="s">
        <v>319</v>
      </c>
      <c r="B24" s="929" t="s">
        <v>323</v>
      </c>
      <c r="C24" s="950">
        <f>C22*C23</f>
        <v>173400</v>
      </c>
      <c r="E24" s="932"/>
      <c r="F24" s="932"/>
      <c r="G24" s="932"/>
      <c r="H24" s="932"/>
      <c r="I24" s="932"/>
      <c r="J24" s="932"/>
    </row>
    <row r="25" spans="1:10" s="767" customFormat="1" ht="15.75">
      <c r="A25" s="873" t="s">
        <v>320</v>
      </c>
      <c r="B25" s="868" t="s">
        <v>323</v>
      </c>
      <c r="C25" s="874">
        <f>3800-C23</f>
        <v>3200</v>
      </c>
      <c r="E25" s="795"/>
      <c r="F25" s="795"/>
      <c r="G25" s="795"/>
      <c r="H25" s="795"/>
      <c r="I25" s="795"/>
      <c r="J25" s="795"/>
    </row>
    <row r="26" spans="1:10" s="930" customFormat="1" ht="15.75">
      <c r="A26" s="944" t="s">
        <v>252</v>
      </c>
      <c r="B26" s="945" t="s">
        <v>323</v>
      </c>
      <c r="C26" s="946">
        <f>C22*C25</f>
        <v>924800</v>
      </c>
      <c r="E26" s="931"/>
      <c r="F26" s="931"/>
      <c r="G26" s="931"/>
      <c r="H26" s="931"/>
      <c r="I26" s="931"/>
      <c r="J26" s="931"/>
    </row>
    <row r="27" spans="1:10" s="767" customFormat="1" ht="16.5" thickBot="1">
      <c r="A27" s="875" t="s">
        <v>321</v>
      </c>
      <c r="B27" s="868" t="s">
        <v>323</v>
      </c>
      <c r="C27" s="876">
        <f>SUM(C24,C26)</f>
        <v>1098200</v>
      </c>
      <c r="E27" s="795"/>
      <c r="F27" s="795"/>
      <c r="G27" s="795"/>
      <c r="H27" s="795"/>
      <c r="I27" s="795"/>
      <c r="J27" s="795"/>
    </row>
    <row r="28" spans="1:10" s="767" customFormat="1" ht="16.5" thickBot="1">
      <c r="A28" s="870" t="s">
        <v>253</v>
      </c>
      <c r="B28" s="871"/>
      <c r="C28" s="872">
        <f>SUM(C20,C27)</f>
        <v>4253830.1</v>
      </c>
      <c r="E28" s="795"/>
      <c r="F28" s="795"/>
      <c r="G28" s="795"/>
      <c r="H28" s="795"/>
      <c r="I28" s="795"/>
      <c r="J28" s="795"/>
    </row>
    <row r="29" spans="1:10" s="767" customFormat="1" ht="16.5" thickBot="1">
      <c r="A29" s="879" t="s">
        <v>254</v>
      </c>
      <c r="B29" s="787" t="s">
        <v>323</v>
      </c>
      <c r="C29" s="880">
        <v>10000000</v>
      </c>
      <c r="E29" s="795"/>
      <c r="F29" s="795"/>
      <c r="G29" s="795"/>
      <c r="H29" s="795"/>
      <c r="I29" s="795"/>
      <c r="J29" s="795"/>
    </row>
    <row r="30" spans="1:10" s="939" customFormat="1" ht="16.5" thickBot="1">
      <c r="A30" s="936" t="s">
        <v>255</v>
      </c>
      <c r="B30" s="937" t="s">
        <v>323</v>
      </c>
      <c r="C30" s="938">
        <f>C29*0.465</f>
        <v>4650000</v>
      </c>
      <c r="E30" s="940"/>
      <c r="F30" s="940"/>
      <c r="G30" s="940"/>
      <c r="H30" s="940"/>
      <c r="I30" s="940"/>
      <c r="J30" s="940"/>
    </row>
    <row r="31" spans="1:10" s="887" customFormat="1" ht="16.5" thickBot="1">
      <c r="A31" s="933" t="s">
        <v>312</v>
      </c>
      <c r="B31" s="934" t="s">
        <v>323</v>
      </c>
      <c r="C31" s="935">
        <f>C29-C30</f>
        <v>5350000</v>
      </c>
      <c r="E31" s="932"/>
      <c r="F31" s="932"/>
      <c r="G31" s="932"/>
      <c r="H31" s="932"/>
      <c r="I31" s="932"/>
      <c r="J31" s="932"/>
    </row>
    <row r="32" spans="1:10" s="767" customFormat="1" ht="16.5" thickBot="1">
      <c r="A32" s="941" t="s">
        <v>84</v>
      </c>
      <c r="B32" s="942" t="s">
        <v>323</v>
      </c>
      <c r="C32" s="943">
        <f>SUM(C28:C29)</f>
        <v>14253830.1</v>
      </c>
      <c r="E32" s="795"/>
      <c r="F32" s="795"/>
      <c r="G32" s="795"/>
      <c r="H32" s="795"/>
      <c r="I32" s="795"/>
      <c r="J32" s="795"/>
    </row>
    <row r="33" spans="1:10" s="939" customFormat="1" ht="15.75">
      <c r="A33" s="951" t="s">
        <v>256</v>
      </c>
      <c r="B33" s="952"/>
      <c r="C33" s="953">
        <f>C30</f>
        <v>4650000</v>
      </c>
      <c r="E33" s="940"/>
      <c r="F33" s="940"/>
      <c r="G33" s="940"/>
      <c r="H33" s="940"/>
      <c r="I33" s="940"/>
      <c r="J33" s="940"/>
    </row>
    <row r="34" spans="1:10" s="930" customFormat="1" ht="15.75">
      <c r="A34" s="954" t="s">
        <v>257</v>
      </c>
      <c r="B34" s="955" t="s">
        <v>323</v>
      </c>
      <c r="C34" s="956">
        <f>SUM(C20,C26)</f>
        <v>4080430.1</v>
      </c>
      <c r="E34" s="931"/>
      <c r="F34" s="931"/>
      <c r="G34" s="931"/>
      <c r="H34" s="931"/>
      <c r="I34" s="931"/>
      <c r="J34" s="931"/>
    </row>
    <row r="35" spans="1:10" s="767" customFormat="1" ht="16.5" thickBot="1">
      <c r="A35" s="957" t="s">
        <v>312</v>
      </c>
      <c r="B35" s="958" t="s">
        <v>323</v>
      </c>
      <c r="C35" s="959">
        <f>C32-C34-C33</f>
        <v>5523400</v>
      </c>
      <c r="D35" s="960">
        <f>SUM(C31,C24)</f>
        <v>5523400</v>
      </c>
      <c r="E35" s="795"/>
      <c r="F35" s="795"/>
      <c r="G35" s="795"/>
      <c r="H35" s="795"/>
      <c r="I35" s="795"/>
      <c r="J35" s="795"/>
    </row>
    <row r="36" spans="5:9" ht="15">
      <c r="E36" s="855"/>
      <c r="I36" s="855"/>
    </row>
    <row r="37" spans="1:10" s="436" customFormat="1" ht="15.75">
      <c r="A37" s="435" t="s">
        <v>258</v>
      </c>
      <c r="E37" s="441"/>
      <c r="F37" s="441"/>
      <c r="G37" s="441"/>
      <c r="H37" s="441"/>
      <c r="I37" s="441"/>
      <c r="J37" s="441"/>
    </row>
    <row r="38" ht="15"/>
    <row r="39" spans="1:24" ht="15">
      <c r="A39" s="45" t="s">
        <v>329</v>
      </c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</row>
    <row r="40" spans="11:24" ht="15">
      <c r="K40" s="427"/>
      <c r="L40" s="427"/>
      <c r="M40" s="427"/>
      <c r="N40" s="427"/>
      <c r="O40" s="1373"/>
      <c r="P40" s="1373"/>
      <c r="Q40" s="1373"/>
      <c r="R40" s="1373"/>
      <c r="S40" s="1373"/>
      <c r="T40" s="1373"/>
      <c r="U40" s="1373"/>
      <c r="V40" s="1373"/>
      <c r="W40" s="1373"/>
      <c r="X40" s="1373"/>
    </row>
    <row r="41" spans="1:24" s="39" customFormat="1" ht="13.5" thickBot="1">
      <c r="A41" s="33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81"/>
      <c r="Q41" s="429"/>
      <c r="R41" s="429"/>
      <c r="S41" s="429"/>
      <c r="T41" s="429"/>
      <c r="U41" s="429"/>
      <c r="V41" s="429"/>
      <c r="W41" s="429"/>
      <c r="X41" s="429"/>
    </row>
    <row r="42" spans="1:24" s="39" customFormat="1" ht="13.5" thickBot="1">
      <c r="A42" s="283"/>
      <c r="B42" s="849" t="s">
        <v>354</v>
      </c>
      <c r="C42" s="285" t="s">
        <v>360</v>
      </c>
      <c r="D42" s="285" t="s">
        <v>84</v>
      </c>
      <c r="E42" s="52"/>
      <c r="F42" s="52"/>
      <c r="G42" s="52"/>
      <c r="H42" s="52"/>
      <c r="I42" s="52"/>
      <c r="J42" s="52"/>
      <c r="K42" s="52"/>
      <c r="L42" s="52"/>
      <c r="M42" s="581"/>
      <c r="N42" s="428"/>
      <c r="O42" s="429"/>
      <c r="P42" s="429"/>
      <c r="Q42" s="429"/>
      <c r="R42" s="429"/>
      <c r="S42" s="429"/>
      <c r="T42" s="429"/>
      <c r="U42" s="429"/>
      <c r="V42" s="429"/>
      <c r="W42" s="429"/>
      <c r="X42" s="429"/>
    </row>
    <row r="43" spans="1:24" s="39" customFormat="1" ht="12.75">
      <c r="A43" s="519" t="s">
        <v>333</v>
      </c>
      <c r="B43" s="520">
        <v>23086816</v>
      </c>
      <c r="C43" s="848">
        <f>B43</f>
        <v>23086816</v>
      </c>
      <c r="D43" s="848"/>
      <c r="E43" s="52"/>
      <c r="F43" s="52"/>
      <c r="G43" s="52"/>
      <c r="H43" s="52"/>
      <c r="I43" s="52"/>
      <c r="J43" s="52"/>
      <c r="K43" s="52"/>
      <c r="L43" s="52"/>
      <c r="M43" s="581"/>
      <c r="N43" s="428"/>
      <c r="O43" s="429"/>
      <c r="P43" s="429"/>
      <c r="Q43" s="429"/>
      <c r="R43" s="429"/>
      <c r="S43" s="429"/>
      <c r="T43" s="429"/>
      <c r="U43" s="429"/>
      <c r="V43" s="429"/>
      <c r="W43" s="429"/>
      <c r="X43" s="429"/>
    </row>
    <row r="44" spans="1:24" s="39" customFormat="1" ht="12.75">
      <c r="A44" s="290" t="s">
        <v>304</v>
      </c>
      <c r="B44" s="42">
        <v>84948873</v>
      </c>
      <c r="C44" s="521">
        <f>B44</f>
        <v>84948873</v>
      </c>
      <c r="D44" s="521"/>
      <c r="E44" s="52"/>
      <c r="F44" s="52"/>
      <c r="G44" s="52"/>
      <c r="H44" s="52"/>
      <c r="I44" s="52"/>
      <c r="J44" s="52"/>
      <c r="K44" s="52"/>
      <c r="L44" s="52"/>
      <c r="M44" s="581"/>
      <c r="N44" s="428"/>
      <c r="O44" s="429"/>
      <c r="P44" s="429"/>
      <c r="Q44" s="429"/>
      <c r="R44" s="429"/>
      <c r="S44" s="429"/>
      <c r="T44" s="429"/>
      <c r="U44" s="429"/>
      <c r="V44" s="429"/>
      <c r="W44" s="429"/>
      <c r="X44" s="429"/>
    </row>
    <row r="45" spans="1:24" s="39" customFormat="1" ht="12.75">
      <c r="A45" s="290" t="s">
        <v>247</v>
      </c>
      <c r="B45" s="42">
        <v>399670</v>
      </c>
      <c r="C45" s="521">
        <f>B45</f>
        <v>399670</v>
      </c>
      <c r="D45" s="521"/>
      <c r="E45" s="52"/>
      <c r="F45" s="52"/>
      <c r="G45" s="52"/>
      <c r="H45" s="52"/>
      <c r="I45" s="52"/>
      <c r="J45" s="52"/>
      <c r="K45" s="52"/>
      <c r="L45" s="52"/>
      <c r="M45" s="581"/>
      <c r="N45" s="428"/>
      <c r="O45" s="429"/>
      <c r="P45" s="429"/>
      <c r="Q45" s="429"/>
      <c r="R45" s="429"/>
      <c r="S45" s="429"/>
      <c r="T45" s="429"/>
      <c r="U45" s="429"/>
      <c r="V45" s="429"/>
      <c r="W45" s="429"/>
      <c r="X45" s="429"/>
    </row>
    <row r="46" spans="1:24" s="39" customFormat="1" ht="13.5" thickBot="1">
      <c r="A46" s="40" t="s">
        <v>330</v>
      </c>
      <c r="B46" s="850">
        <v>348599</v>
      </c>
      <c r="C46" s="851">
        <f>B46</f>
        <v>348599</v>
      </c>
      <c r="D46" s="851"/>
      <c r="E46" s="52"/>
      <c r="F46" s="52"/>
      <c r="G46" s="52"/>
      <c r="H46" s="52"/>
      <c r="I46" s="52"/>
      <c r="J46" s="52"/>
      <c r="K46" s="52"/>
      <c r="L46" s="52"/>
      <c r="M46" s="581"/>
      <c r="N46" s="428"/>
      <c r="O46" s="429"/>
      <c r="P46" s="429"/>
      <c r="Q46" s="429"/>
      <c r="R46" s="429"/>
      <c r="S46" s="429"/>
      <c r="T46" s="429"/>
      <c r="U46" s="429"/>
      <c r="V46" s="429"/>
      <c r="W46" s="429"/>
      <c r="X46" s="429"/>
    </row>
    <row r="47" spans="1:24" s="39" customFormat="1" ht="13.5" thickBot="1">
      <c r="A47" s="852" t="s">
        <v>84</v>
      </c>
      <c r="B47" s="853">
        <f>SUM(B43:B46)</f>
        <v>108783958</v>
      </c>
      <c r="C47" s="854">
        <f>SUM(C43:C46)</f>
        <v>108783958</v>
      </c>
      <c r="D47" s="854">
        <f>SUM(B47:C47)</f>
        <v>217567916</v>
      </c>
      <c r="E47" s="52"/>
      <c r="F47" s="52"/>
      <c r="G47" s="52"/>
      <c r="H47" s="52"/>
      <c r="I47" s="52"/>
      <c r="J47" s="52"/>
      <c r="K47" s="52"/>
      <c r="L47" s="52"/>
      <c r="M47" s="581"/>
      <c r="N47" s="428"/>
      <c r="O47" s="429"/>
      <c r="P47" s="429"/>
      <c r="Q47" s="429"/>
      <c r="R47" s="429"/>
      <c r="S47" s="429"/>
      <c r="T47" s="429"/>
      <c r="U47" s="429"/>
      <c r="V47" s="429"/>
      <c r="W47" s="429"/>
      <c r="X47" s="429"/>
    </row>
    <row r="48" spans="11:24" ht="15">
      <c r="K48" s="427"/>
      <c r="L48" s="427"/>
      <c r="M48" s="427"/>
      <c r="N48" s="427"/>
      <c r="O48" s="450"/>
      <c r="P48" s="450"/>
      <c r="Q48" s="450"/>
      <c r="R48" s="450"/>
      <c r="S48" s="450"/>
      <c r="T48" s="450"/>
      <c r="U48" s="450"/>
      <c r="V48" s="450"/>
      <c r="W48" s="450"/>
      <c r="X48" s="450"/>
    </row>
    <row r="49" spans="1:14" ht="15">
      <c r="A49" s="34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1" s="767" customFormat="1" ht="15">
      <c r="A50" s="20"/>
      <c r="B50" s="439"/>
      <c r="C50" s="343"/>
      <c r="D50" s="439"/>
      <c r="E50" s="793"/>
      <c r="F50" s="439"/>
      <c r="G50" s="856"/>
      <c r="H50" s="795"/>
      <c r="I50" s="795"/>
      <c r="J50" s="795"/>
      <c r="K50" s="795"/>
    </row>
    <row r="51" spans="1:6" ht="15">
      <c r="A51" s="5"/>
      <c r="B51" s="432"/>
      <c r="C51" s="433"/>
      <c r="D51" s="433"/>
      <c r="E51" s="432"/>
      <c r="F51" s="433"/>
    </row>
    <row r="52" spans="1:10" s="436" customFormat="1" ht="15.75">
      <c r="A52" s="794" t="s">
        <v>331</v>
      </c>
      <c r="E52" s="441"/>
      <c r="F52" s="441"/>
      <c r="G52" s="441"/>
      <c r="H52" s="441"/>
      <c r="I52" s="441"/>
      <c r="J52" s="441"/>
    </row>
    <row r="53" spans="1:10" s="767" customFormat="1" ht="15.75">
      <c r="A53" s="887"/>
      <c r="E53" s="795"/>
      <c r="F53" s="795"/>
      <c r="G53" s="795"/>
      <c r="H53" s="795"/>
      <c r="I53" s="795"/>
      <c r="J53" s="795"/>
    </row>
    <row r="54" spans="1:10" s="896" customFormat="1" ht="63">
      <c r="A54" s="893" t="s">
        <v>334</v>
      </c>
      <c r="B54" s="894" t="s">
        <v>276</v>
      </c>
      <c r="C54" s="894" t="s">
        <v>277</v>
      </c>
      <c r="D54" s="894" t="s">
        <v>278</v>
      </c>
      <c r="E54" s="894" t="s">
        <v>279</v>
      </c>
      <c r="F54" s="894" t="s">
        <v>332</v>
      </c>
      <c r="G54" s="895"/>
      <c r="H54" s="895"/>
      <c r="I54" s="895"/>
      <c r="J54" s="895"/>
    </row>
    <row r="55" spans="1:10" s="767" customFormat="1" ht="15">
      <c r="A55" s="889" t="s">
        <v>259</v>
      </c>
      <c r="B55" s="889"/>
      <c r="C55" s="888">
        <v>5600</v>
      </c>
      <c r="D55" s="889">
        <v>3000</v>
      </c>
      <c r="E55" s="889">
        <v>1500</v>
      </c>
      <c r="F55" s="888">
        <f aca="true" t="shared" si="7" ref="F55:F60">SUM(C55:E55)</f>
        <v>10100</v>
      </c>
      <c r="G55" s="795"/>
      <c r="H55" s="795"/>
      <c r="I55" s="795"/>
      <c r="J55" s="795"/>
    </row>
    <row r="56" spans="1:6" ht="15.75">
      <c r="A56" s="890" t="s">
        <v>324</v>
      </c>
      <c r="B56" s="897">
        <f>C56/$C$55</f>
        <v>1.2956810714285716</v>
      </c>
      <c r="C56" s="891">
        <v>7255.814</v>
      </c>
      <c r="D56" s="892">
        <f>B56*$D$55</f>
        <v>3887.043214285715</v>
      </c>
      <c r="E56" s="892">
        <f>B56*$E$55</f>
        <v>1943.5216071428574</v>
      </c>
      <c r="F56" s="888">
        <f t="shared" si="7"/>
        <v>13086.378821428572</v>
      </c>
    </row>
    <row r="57" spans="1:6" ht="15.75">
      <c r="A57" s="890" t="s">
        <v>325</v>
      </c>
      <c r="B57" s="897">
        <f>C57/$C$55</f>
        <v>0.09034053571428571</v>
      </c>
      <c r="C57" s="891">
        <v>505.907</v>
      </c>
      <c r="D57" s="892">
        <f>B57*$D$55</f>
        <v>271.02160714285714</v>
      </c>
      <c r="E57" s="892">
        <f>B57*$E$55</f>
        <v>135.51080357142857</v>
      </c>
      <c r="F57" s="888">
        <f t="shared" si="7"/>
        <v>912.4394107142857</v>
      </c>
    </row>
    <row r="58" spans="1:6" ht="15.75">
      <c r="A58" s="890" t="s">
        <v>326</v>
      </c>
      <c r="B58" s="897">
        <f>C58/$C$55</f>
        <v>0.09372714285714286</v>
      </c>
      <c r="C58" s="891">
        <v>524.872</v>
      </c>
      <c r="D58" s="892">
        <f>B58*$D$55</f>
        <v>281.18142857142857</v>
      </c>
      <c r="E58" s="892">
        <f>B58*$E$55</f>
        <v>140.59071428571428</v>
      </c>
      <c r="F58" s="888">
        <f t="shared" si="7"/>
        <v>946.6441428571428</v>
      </c>
    </row>
    <row r="59" spans="1:6" ht="15.75">
      <c r="A59" s="890" t="s">
        <v>327</v>
      </c>
      <c r="B59" s="897">
        <f>C59/$C$55</f>
        <v>0.16989660714285715</v>
      </c>
      <c r="C59" s="891">
        <v>951.421</v>
      </c>
      <c r="D59" s="892">
        <f>B59*$D$55</f>
        <v>509.68982142857146</v>
      </c>
      <c r="E59" s="892">
        <f>B59*$E$55</f>
        <v>254.84491071428573</v>
      </c>
      <c r="F59" s="888">
        <f t="shared" si="7"/>
        <v>1715.9557321428572</v>
      </c>
    </row>
    <row r="60" spans="1:10" s="902" customFormat="1" ht="15.75">
      <c r="A60" s="898" t="s">
        <v>84</v>
      </c>
      <c r="B60" s="899">
        <f>SUM(B56:B59)</f>
        <v>1.6496453571428573</v>
      </c>
      <c r="C60" s="900">
        <f>SUM(C56:C59)</f>
        <v>9238.014000000001</v>
      </c>
      <c r="D60" s="900">
        <f>SUM(D56:D59)</f>
        <v>4948.936071428571</v>
      </c>
      <c r="E60" s="900">
        <f>SUM(E56:E59)</f>
        <v>2474.4680357142856</v>
      </c>
      <c r="F60" s="900">
        <f t="shared" si="7"/>
        <v>16661.418107142857</v>
      </c>
      <c r="G60" s="901"/>
      <c r="H60" s="901"/>
      <c r="I60" s="901"/>
      <c r="J60" s="901"/>
    </row>
    <row r="61" ht="15.75">
      <c r="A61" s="44"/>
    </row>
    <row r="62" spans="1:10" s="39" customFormat="1" ht="12.75">
      <c r="A62" s="47" t="s">
        <v>260</v>
      </c>
      <c r="B62" s="48">
        <v>2007</v>
      </c>
      <c r="C62" s="49" t="s">
        <v>377</v>
      </c>
      <c r="D62" s="49">
        <v>2008</v>
      </c>
      <c r="E62" s="49" t="s">
        <v>377</v>
      </c>
      <c r="F62" s="49" t="s">
        <v>84</v>
      </c>
      <c r="G62" s="919"/>
      <c r="H62" s="919"/>
      <c r="I62" s="919"/>
      <c r="J62" s="429"/>
    </row>
    <row r="63" spans="1:10" s="39" customFormat="1" ht="12.75">
      <c r="A63" s="40" t="s">
        <v>112</v>
      </c>
      <c r="B63" s="46">
        <v>5681250</v>
      </c>
      <c r="C63" s="41">
        <f>B63/3</f>
        <v>1893750</v>
      </c>
      <c r="D63" s="41">
        <f>B63</f>
        <v>5681250</v>
      </c>
      <c r="E63" s="41">
        <f>D63/3</f>
        <v>1893750</v>
      </c>
      <c r="F63" s="41"/>
      <c r="G63" s="920"/>
      <c r="H63" s="921"/>
      <c r="I63" s="922"/>
      <c r="J63" s="429"/>
    </row>
    <row r="64" spans="1:10" s="39" customFormat="1" ht="12.75">
      <c r="A64" s="40" t="s">
        <v>312</v>
      </c>
      <c r="B64" s="46">
        <v>6943750</v>
      </c>
      <c r="C64" s="41">
        <f>B64/3</f>
        <v>2314583.3333333335</v>
      </c>
      <c r="D64" s="41">
        <f>B64</f>
        <v>6943750</v>
      </c>
      <c r="E64" s="41">
        <f>D64/3</f>
        <v>2314583.3333333335</v>
      </c>
      <c r="F64" s="41"/>
      <c r="G64" s="920"/>
      <c r="H64" s="921"/>
      <c r="I64" s="922"/>
      <c r="J64" s="429"/>
    </row>
    <row r="65" spans="1:10" s="39" customFormat="1" ht="12.75">
      <c r="A65" s="50" t="s">
        <v>70</v>
      </c>
      <c r="B65" s="51">
        <f>SUM(B63:B64)</f>
        <v>12625000</v>
      </c>
      <c r="C65" s="51">
        <f>SUM(C63:C64)</f>
        <v>4208333.333333334</v>
      </c>
      <c r="D65" s="51">
        <f>B65</f>
        <v>12625000</v>
      </c>
      <c r="E65" s="51">
        <f>SUM(E63:E64)</f>
        <v>4208333.333333334</v>
      </c>
      <c r="F65" s="51">
        <f>SUM(B65,D65)</f>
        <v>25250000</v>
      </c>
      <c r="G65" s="921"/>
      <c r="H65" s="921"/>
      <c r="I65" s="922"/>
      <c r="J65" s="429"/>
    </row>
    <row r="66" spans="2:10" ht="15">
      <c r="B66" s="918"/>
      <c r="D66" s="427"/>
      <c r="E66" s="923"/>
      <c r="F66" s="450"/>
      <c r="G66" s="450"/>
      <c r="H66" s="450"/>
      <c r="I66" s="450"/>
      <c r="J66" s="450"/>
    </row>
    <row r="67" ht="15"/>
    <row r="68" ht="15"/>
    <row r="69" spans="1:11" s="436" customFormat="1" ht="15.75">
      <c r="A69" s="435" t="s">
        <v>336</v>
      </c>
      <c r="E69" s="441"/>
      <c r="F69" s="857"/>
      <c r="G69" s="857"/>
      <c r="H69" s="857"/>
      <c r="I69" s="857"/>
      <c r="J69" s="857"/>
      <c r="K69" s="437"/>
    </row>
    <row r="70" ht="15"/>
    <row r="71" spans="1:6" ht="15.75" thickBot="1">
      <c r="A71" s="282" t="s">
        <v>337</v>
      </c>
      <c r="B71" s="39"/>
      <c r="C71" s="39"/>
      <c r="D71" s="39"/>
      <c r="E71" s="33"/>
      <c r="F71" s="33"/>
    </row>
    <row r="72" spans="1:12" ht="15.75" thickBot="1">
      <c r="A72" s="287" t="s">
        <v>261</v>
      </c>
      <c r="B72" s="288" t="s">
        <v>280</v>
      </c>
      <c r="C72" s="288" t="s">
        <v>281</v>
      </c>
      <c r="D72" s="310" t="s">
        <v>282</v>
      </c>
      <c r="E72" s="1374" t="s">
        <v>345</v>
      </c>
      <c r="F72" s="1374"/>
      <c r="G72" s="1374"/>
      <c r="H72" s="1374"/>
      <c r="I72" s="1374"/>
      <c r="J72" s="1374"/>
      <c r="K72" s="1374"/>
      <c r="L72" s="1374"/>
    </row>
    <row r="73" spans="1:12" ht="15">
      <c r="A73" s="289" t="s">
        <v>262</v>
      </c>
      <c r="B73" s="37">
        <v>515811</v>
      </c>
      <c r="C73" s="37">
        <v>2</v>
      </c>
      <c r="D73" s="309">
        <f>B73</f>
        <v>515811</v>
      </c>
      <c r="E73" s="412" t="s">
        <v>357</v>
      </c>
      <c r="F73" s="412"/>
      <c r="G73" s="1379" t="s">
        <v>378</v>
      </c>
      <c r="H73" s="1379"/>
      <c r="I73" s="1379" t="s">
        <v>379</v>
      </c>
      <c r="J73" s="1379"/>
      <c r="K73" s="1379" t="s">
        <v>380</v>
      </c>
      <c r="L73" s="1379"/>
    </row>
    <row r="74" spans="1:12" ht="15">
      <c r="A74" s="23" t="s">
        <v>335</v>
      </c>
      <c r="B74" s="24">
        <v>450</v>
      </c>
      <c r="C74" s="24">
        <v>1</v>
      </c>
      <c r="D74" s="25">
        <f>B74*C74</f>
        <v>450</v>
      </c>
      <c r="E74" s="48" t="s">
        <v>283</v>
      </c>
      <c r="F74" s="48" t="s">
        <v>328</v>
      </c>
      <c r="G74" s="48" t="s">
        <v>283</v>
      </c>
      <c r="H74" s="48" t="s">
        <v>328</v>
      </c>
      <c r="I74" s="48" t="s">
        <v>283</v>
      </c>
      <c r="J74" s="48" t="s">
        <v>328</v>
      </c>
      <c r="K74" s="48" t="s">
        <v>283</v>
      </c>
      <c r="L74" s="48" t="s">
        <v>328</v>
      </c>
    </row>
    <row r="75" spans="1:12" ht="15">
      <c r="A75" s="23" t="s">
        <v>267</v>
      </c>
      <c r="B75" s="24">
        <v>85000</v>
      </c>
      <c r="C75" s="24">
        <v>1</v>
      </c>
      <c r="D75" s="25">
        <f>B75*C75</f>
        <v>85000</v>
      </c>
      <c r="E75" s="41">
        <v>1</v>
      </c>
      <c r="F75" s="24">
        <f>E75*D92</f>
        <v>907051.5</v>
      </c>
      <c r="G75" s="22">
        <v>1</v>
      </c>
      <c r="H75" s="24">
        <f>G75*D92</f>
        <v>907051.5</v>
      </c>
      <c r="I75" s="22">
        <v>1</v>
      </c>
      <c r="J75" s="24">
        <f>I75*D92</f>
        <v>907051.5</v>
      </c>
      <c r="K75" s="22">
        <v>1</v>
      </c>
      <c r="L75" s="24">
        <f>K75*D92</f>
        <v>907051.5</v>
      </c>
    </row>
    <row r="76" spans="1:12" ht="15">
      <c r="A76" s="23" t="s">
        <v>263</v>
      </c>
      <c r="B76" s="24">
        <v>1400</v>
      </c>
      <c r="C76" s="24">
        <v>1</v>
      </c>
      <c r="D76" s="25">
        <f>B76*C76</f>
        <v>1400</v>
      </c>
      <c r="E76" s="1378" t="s">
        <v>246</v>
      </c>
      <c r="F76" s="1378"/>
      <c r="G76" s="1378"/>
      <c r="H76" s="1378"/>
      <c r="I76" s="1378"/>
      <c r="J76" s="1378"/>
      <c r="K76" s="1378"/>
      <c r="L76" s="1378"/>
    </row>
    <row r="77" spans="1:12" ht="15.75" thickBot="1">
      <c r="A77" s="112" t="s">
        <v>338</v>
      </c>
      <c r="B77" s="291">
        <v>2040</v>
      </c>
      <c r="C77" s="291">
        <v>1</v>
      </c>
      <c r="D77" s="859">
        <f>B77*C77</f>
        <v>2040</v>
      </c>
      <c r="E77" s="41"/>
      <c r="F77" s="42">
        <f>D93</f>
        <v>1020597</v>
      </c>
      <c r="G77" s="22"/>
      <c r="H77" s="24">
        <f>D93</f>
        <v>1020597</v>
      </c>
      <c r="I77" s="41"/>
      <c r="J77" s="42">
        <f>D93</f>
        <v>1020597</v>
      </c>
      <c r="K77" s="43"/>
      <c r="L77" s="24">
        <f>D93</f>
        <v>1020597</v>
      </c>
    </row>
    <row r="78" spans="1:12" ht="15.75" thickBot="1">
      <c r="A78" s="294" t="s">
        <v>264</v>
      </c>
      <c r="B78" s="295"/>
      <c r="C78" s="295"/>
      <c r="D78" s="860">
        <f>SUM(D73:D77)</f>
        <v>604701</v>
      </c>
      <c r="E78" s="1378" t="s">
        <v>219</v>
      </c>
      <c r="F78" s="1378"/>
      <c r="G78" s="1378"/>
      <c r="H78" s="1378"/>
      <c r="I78" s="1378"/>
      <c r="J78" s="1378"/>
      <c r="K78" s="1378"/>
      <c r="L78" s="1378"/>
    </row>
    <row r="79" spans="1:12" ht="15">
      <c r="A79" s="292" t="s">
        <v>312</v>
      </c>
      <c r="B79" s="293"/>
      <c r="C79" s="286"/>
      <c r="D79" s="861"/>
      <c r="E79" s="41"/>
      <c r="F79" s="42">
        <f>D94</f>
        <v>284560.5</v>
      </c>
      <c r="G79" s="22"/>
      <c r="H79" s="24">
        <f>D94</f>
        <v>284560.5</v>
      </c>
      <c r="I79" s="41"/>
      <c r="J79" s="42">
        <f>D94</f>
        <v>284560.5</v>
      </c>
      <c r="K79" s="43"/>
      <c r="L79" s="24">
        <f>D94</f>
        <v>284560.5</v>
      </c>
    </row>
    <row r="80" spans="1:6" ht="15">
      <c r="A80" s="23" t="s">
        <v>265</v>
      </c>
      <c r="B80" s="41">
        <v>177983</v>
      </c>
      <c r="C80" s="36"/>
      <c r="D80" s="26">
        <f>B80</f>
        <v>177983</v>
      </c>
      <c r="E80" s="33"/>
      <c r="F80" s="33"/>
    </row>
    <row r="81" spans="1:6" ht="15">
      <c r="A81" s="23" t="s">
        <v>266</v>
      </c>
      <c r="B81" s="41">
        <v>7092</v>
      </c>
      <c r="C81" s="36"/>
      <c r="D81" s="26">
        <f aca="true" t="shared" si="8" ref="D81:D86">B81</f>
        <v>7092</v>
      </c>
      <c r="E81" s="33"/>
      <c r="F81" s="33"/>
    </row>
    <row r="82" spans="1:6" ht="15">
      <c r="A82" s="58" t="s">
        <v>339</v>
      </c>
      <c r="B82" s="41">
        <v>10700</v>
      </c>
      <c r="C82" s="36"/>
      <c r="D82" s="26">
        <f t="shared" si="8"/>
        <v>10700</v>
      </c>
      <c r="E82" s="33"/>
      <c r="F82" s="33"/>
    </row>
    <row r="83" spans="1:6" ht="15">
      <c r="A83" s="23" t="s">
        <v>267</v>
      </c>
      <c r="B83" s="41">
        <v>123000</v>
      </c>
      <c r="C83" s="22"/>
      <c r="D83" s="26">
        <f t="shared" si="8"/>
        <v>123000</v>
      </c>
      <c r="E83" s="33"/>
      <c r="F83" s="33"/>
    </row>
    <row r="84" spans="1:4" ht="15">
      <c r="A84" s="290" t="s">
        <v>340</v>
      </c>
      <c r="B84" s="41">
        <v>23109</v>
      </c>
      <c r="C84" s="22"/>
      <c r="D84" s="26">
        <f t="shared" si="8"/>
        <v>23109</v>
      </c>
    </row>
    <row r="85" spans="1:4" ht="15">
      <c r="A85" s="290" t="s">
        <v>268</v>
      </c>
      <c r="B85" s="41">
        <v>11724</v>
      </c>
      <c r="C85" s="22"/>
      <c r="D85" s="26">
        <f t="shared" si="8"/>
        <v>11724</v>
      </c>
    </row>
    <row r="86" spans="1:4" ht="15.75" thickBot="1">
      <c r="A86" s="296" t="s">
        <v>269</v>
      </c>
      <c r="B86" s="297">
        <v>332</v>
      </c>
      <c r="C86" s="113"/>
      <c r="D86" s="162">
        <f t="shared" si="8"/>
        <v>332</v>
      </c>
    </row>
    <row r="87" spans="1:4" ht="15.75" thickBot="1">
      <c r="A87" s="302" t="s">
        <v>341</v>
      </c>
      <c r="B87" s="303"/>
      <c r="C87" s="304"/>
      <c r="D87" s="305">
        <f>SUM(D80:D86)</f>
        <v>353940</v>
      </c>
    </row>
    <row r="88" spans="1:4" ht="15.75" thickBot="1">
      <c r="A88" s="302" t="s">
        <v>342</v>
      </c>
      <c r="B88" s="303"/>
      <c r="C88" s="304"/>
      <c r="D88" s="305">
        <f>D80+D85</f>
        <v>189707</v>
      </c>
    </row>
    <row r="89" spans="1:4" ht="15.75" thickBot="1">
      <c r="A89" s="298" t="s">
        <v>270</v>
      </c>
      <c r="B89" s="299"/>
      <c r="C89" s="300"/>
      <c r="D89" s="301">
        <v>516165</v>
      </c>
    </row>
    <row r="90" spans="1:4" ht="15.75" thickBot="1">
      <c r="A90" s="283" t="s">
        <v>271</v>
      </c>
      <c r="B90" s="284"/>
      <c r="C90" s="284"/>
      <c r="D90" s="285">
        <f>SUM(D78,D87,D89)</f>
        <v>1474806</v>
      </c>
    </row>
    <row r="91" spans="1:4" ht="15.75" thickBot="1">
      <c r="A91" s="307" t="s">
        <v>343</v>
      </c>
      <c r="B91" s="306"/>
      <c r="C91" s="306"/>
      <c r="D91" s="308">
        <f>D90*1.5</f>
        <v>2212209</v>
      </c>
    </row>
    <row r="92" spans="1:4" ht="15.75" thickBot="1">
      <c r="A92" s="311" t="s">
        <v>261</v>
      </c>
      <c r="B92" s="312"/>
      <c r="C92" s="312"/>
      <c r="D92" s="313">
        <f>D78*1.5</f>
        <v>907051.5</v>
      </c>
    </row>
    <row r="93" spans="1:4" ht="15.75" thickBot="1">
      <c r="A93" s="314" t="s">
        <v>344</v>
      </c>
      <c r="B93" s="315"/>
      <c r="C93" s="315"/>
      <c r="D93" s="316">
        <f>((D87-D88)+D89)*1.5</f>
        <v>1020597</v>
      </c>
    </row>
    <row r="94" spans="1:4" ht="15.75" thickBot="1">
      <c r="A94" s="314" t="s">
        <v>219</v>
      </c>
      <c r="B94" s="315"/>
      <c r="C94" s="315"/>
      <c r="D94" s="316">
        <f>D88*1.5</f>
        <v>284560.5</v>
      </c>
    </row>
    <row r="95" ht="15">
      <c r="D95" s="333">
        <f>SUM(D92:D94)</f>
        <v>2212209</v>
      </c>
    </row>
    <row r="96" spans="1:67" ht="15.75">
      <c r="A96" s="1326" t="s">
        <v>498</v>
      </c>
      <c r="E96" s="38"/>
      <c r="F96" s="38"/>
      <c r="G96" s="38"/>
      <c r="H96" s="38"/>
      <c r="I96" s="38"/>
      <c r="J96" s="333"/>
      <c r="R96" s="426"/>
      <c r="Z96" s="426"/>
      <c r="AH96" s="426"/>
      <c r="AP96" s="426"/>
      <c r="AX96" s="333"/>
      <c r="BF96" s="426"/>
      <c r="BN96" s="426"/>
      <c r="BO96" s="426"/>
    </row>
    <row r="97" spans="1:67" ht="16.5" thickBot="1">
      <c r="A97" s="44"/>
      <c r="E97" s="38"/>
      <c r="F97" s="38"/>
      <c r="G97" s="38"/>
      <c r="H97" s="38"/>
      <c r="I97" s="38"/>
      <c r="J97" s="333"/>
      <c r="R97" s="426"/>
      <c r="Z97" s="426"/>
      <c r="AH97" s="426"/>
      <c r="AP97" s="426"/>
      <c r="AX97" s="333"/>
      <c r="BF97" s="426"/>
      <c r="BN97" s="426"/>
      <c r="BO97" s="426"/>
    </row>
    <row r="98" spans="1:67" s="443" customFormat="1" ht="32.25" thickBot="1">
      <c r="A98" s="914" t="s">
        <v>177</v>
      </c>
      <c r="B98" s="915" t="s">
        <v>555</v>
      </c>
      <c r="C98" s="915" t="s">
        <v>589</v>
      </c>
      <c r="D98" s="916" t="s">
        <v>590</v>
      </c>
      <c r="E98" s="917" t="s">
        <v>81</v>
      </c>
      <c r="F98" s="772"/>
      <c r="G98" s="772"/>
      <c r="J98" s="444"/>
      <c r="R98" s="445"/>
      <c r="Z98" s="445"/>
      <c r="AH98" s="445"/>
      <c r="AP98" s="445"/>
      <c r="AX98" s="444"/>
      <c r="BF98" s="445"/>
      <c r="BN98" s="445"/>
      <c r="BO98" s="445"/>
    </row>
    <row r="99" spans="1:67" ht="15">
      <c r="A99" s="908" t="s">
        <v>588</v>
      </c>
      <c r="B99" s="909">
        <v>8309</v>
      </c>
      <c r="C99" s="353">
        <f>B99</f>
        <v>8309</v>
      </c>
      <c r="D99" s="910">
        <f>C99</f>
        <v>8309</v>
      </c>
      <c r="E99" s="911">
        <f>SUM(B99:D99)</f>
        <v>24927</v>
      </c>
      <c r="F99" s="273"/>
      <c r="G99" s="273"/>
      <c r="J99" s="333"/>
      <c r="R99" s="426"/>
      <c r="Z99" s="426"/>
      <c r="AH99" s="426"/>
      <c r="AP99" s="426"/>
      <c r="AX99" s="333"/>
      <c r="BF99" s="426"/>
      <c r="BN99" s="426"/>
      <c r="BO99" s="426"/>
    </row>
    <row r="100" spans="1:67" ht="15">
      <c r="A100" s="456" t="s">
        <v>586</v>
      </c>
      <c r="B100" s="354">
        <f>B99*0.465</f>
        <v>3863.6850000000004</v>
      </c>
      <c r="C100" s="354">
        <f>C99*0.465</f>
        <v>3863.6850000000004</v>
      </c>
      <c r="D100" s="903">
        <f>D99*0.465</f>
        <v>3863.6850000000004</v>
      </c>
      <c r="E100" s="904">
        <f>SUM(B100:D100)</f>
        <v>11591.055</v>
      </c>
      <c r="F100" s="273"/>
      <c r="G100" s="273"/>
      <c r="J100" s="333"/>
      <c r="R100" s="426"/>
      <c r="Z100" s="426"/>
      <c r="AH100" s="426"/>
      <c r="AP100" s="426"/>
      <c r="AX100" s="333"/>
      <c r="BF100" s="426"/>
      <c r="BN100" s="426"/>
      <c r="BO100" s="426"/>
    </row>
    <row r="101" spans="1:67" ht="15.75" thickBot="1">
      <c r="A101" s="456" t="s">
        <v>245</v>
      </c>
      <c r="B101" s="905">
        <f>B99-B100</f>
        <v>4445.315</v>
      </c>
      <c r="C101" s="905">
        <f>C99-C100</f>
        <v>4445.315</v>
      </c>
      <c r="D101" s="906">
        <f>D99-D100</f>
        <v>4445.315</v>
      </c>
      <c r="E101" s="907">
        <f>SUM(B101:D101)</f>
        <v>13335.945</v>
      </c>
      <c r="F101" s="273"/>
      <c r="G101" s="273"/>
      <c r="J101" s="333"/>
      <c r="R101" s="426"/>
      <c r="Z101" s="426"/>
      <c r="AH101" s="426"/>
      <c r="AP101" s="426"/>
      <c r="AX101" s="333"/>
      <c r="BF101" s="426"/>
      <c r="BN101" s="426"/>
      <c r="BO101" s="426"/>
    </row>
    <row r="102" spans="1:67" ht="15">
      <c r="A102" s="53"/>
      <c r="E102" s="38"/>
      <c r="F102" s="38"/>
      <c r="G102" s="38"/>
      <c r="H102" s="38"/>
      <c r="I102" s="38"/>
      <c r="J102" s="333"/>
      <c r="R102" s="426"/>
      <c r="Z102" s="426"/>
      <c r="AH102" s="426"/>
      <c r="AP102" s="426"/>
      <c r="AX102" s="333"/>
      <c r="BF102" s="426"/>
      <c r="BN102" s="426"/>
      <c r="BO102" s="426"/>
    </row>
    <row r="103" ht="15"/>
    <row r="104" ht="15"/>
    <row r="107" spans="1:11" s="427" customFormat="1" ht="15.75">
      <c r="A107" s="771"/>
      <c r="B107" s="772"/>
      <c r="C107" s="772"/>
      <c r="D107" s="772"/>
      <c r="E107" s="772"/>
      <c r="F107" s="772"/>
      <c r="G107" s="772"/>
      <c r="H107" s="772"/>
      <c r="I107" s="772"/>
      <c r="J107" s="772"/>
      <c r="K107" s="772"/>
    </row>
    <row r="108" spans="1:47" s="427" customFormat="1" ht="15.75">
      <c r="A108" s="773"/>
      <c r="B108" s="769"/>
      <c r="C108" s="769"/>
      <c r="D108" s="769"/>
      <c r="E108" s="769"/>
      <c r="F108" s="769"/>
      <c r="G108" s="769"/>
      <c r="H108" s="769"/>
      <c r="I108" s="769"/>
      <c r="J108" s="769"/>
      <c r="K108" s="769"/>
      <c r="L108" s="769"/>
      <c r="M108" s="769"/>
      <c r="N108" s="769"/>
      <c r="O108" s="769"/>
      <c r="P108" s="769"/>
      <c r="Q108" s="769"/>
      <c r="R108" s="769"/>
      <c r="S108" s="769"/>
      <c r="T108" s="769"/>
      <c r="U108" s="769"/>
      <c r="V108" s="769"/>
      <c r="W108" s="769"/>
      <c r="X108" s="769"/>
      <c r="Y108" s="769"/>
      <c r="Z108" s="769"/>
      <c r="AA108" s="769"/>
      <c r="AB108" s="769"/>
      <c r="AC108" s="769"/>
      <c r="AD108" s="769"/>
      <c r="AE108" s="769"/>
      <c r="AF108" s="769"/>
      <c r="AG108" s="769"/>
      <c r="AH108" s="770"/>
      <c r="AI108" s="770"/>
      <c r="AJ108" s="770"/>
      <c r="AK108" s="770"/>
      <c r="AL108" s="770"/>
      <c r="AM108" s="770"/>
      <c r="AN108" s="770"/>
      <c r="AO108" s="770"/>
      <c r="AP108" s="770"/>
      <c r="AQ108" s="770"/>
      <c r="AR108" s="770"/>
      <c r="AS108" s="770"/>
      <c r="AT108" s="770"/>
      <c r="AU108" s="770"/>
    </row>
    <row r="109" spans="1:11" s="427" customFormat="1" ht="15.75">
      <c r="A109" s="773"/>
      <c r="B109" s="774"/>
      <c r="C109" s="774"/>
      <c r="D109" s="774"/>
      <c r="E109" s="774"/>
      <c r="F109" s="774"/>
      <c r="G109" s="774"/>
      <c r="H109" s="774"/>
      <c r="I109" s="774"/>
      <c r="J109" s="774"/>
      <c r="K109" s="774"/>
    </row>
    <row r="110" spans="1:11" s="427" customFormat="1" ht="15.75">
      <c r="A110" s="773"/>
      <c r="B110" s="774"/>
      <c r="C110" s="774"/>
      <c r="D110" s="774"/>
      <c r="E110" s="774"/>
      <c r="F110" s="774"/>
      <c r="G110" s="774"/>
      <c r="H110" s="774"/>
      <c r="I110" s="774"/>
      <c r="J110" s="774"/>
      <c r="K110" s="774"/>
    </row>
    <row r="111" spans="1:11" s="776" customFormat="1" ht="15.75">
      <c r="A111" s="771"/>
      <c r="B111" s="775"/>
      <c r="C111" s="775"/>
      <c r="D111" s="775"/>
      <c r="E111" s="775"/>
      <c r="F111" s="775"/>
      <c r="G111" s="775"/>
      <c r="H111" s="775"/>
      <c r="I111" s="775"/>
      <c r="J111" s="775"/>
      <c r="K111" s="775"/>
    </row>
    <row r="114" spans="1:14" s="427" customFormat="1" ht="15.75">
      <c r="A114" s="346"/>
      <c r="B114" s="340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</row>
    <row r="115" spans="1:14" s="427" customFormat="1" ht="15.75">
      <c r="A115" s="346"/>
      <c r="B115" s="340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</row>
    <row r="116" spans="1:14" s="427" customFormat="1" ht="15.75">
      <c r="A116" s="273"/>
      <c r="B116" s="811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</row>
    <row r="117" spans="1:14" s="427" customFormat="1" ht="15.75">
      <c r="A117" s="20"/>
      <c r="B117" s="439"/>
      <c r="C117" s="439"/>
      <c r="D117" s="439"/>
      <c r="E117" s="439"/>
      <c r="F117" s="439"/>
      <c r="G117" s="273"/>
      <c r="H117" s="273"/>
      <c r="I117" s="273"/>
      <c r="J117" s="273"/>
      <c r="K117" s="273"/>
      <c r="L117" s="273"/>
      <c r="M117" s="273"/>
      <c r="N117" s="273"/>
    </row>
    <row r="118" spans="1:14" s="427" customFormat="1" ht="15.75">
      <c r="A118" s="20"/>
      <c r="B118" s="439"/>
      <c r="C118" s="439"/>
      <c r="D118" s="439"/>
      <c r="E118" s="439"/>
      <c r="F118" s="439"/>
      <c r="G118" s="273"/>
      <c r="H118" s="273"/>
      <c r="I118" s="273"/>
      <c r="J118" s="273"/>
      <c r="K118" s="273"/>
      <c r="L118" s="273"/>
      <c r="M118" s="273"/>
      <c r="N118" s="273"/>
    </row>
    <row r="119" spans="1:14" s="427" customFormat="1" ht="15.75">
      <c r="A119" s="20"/>
      <c r="B119" s="439"/>
      <c r="C119" s="439"/>
      <c r="D119" s="439"/>
      <c r="E119" s="439"/>
      <c r="F119" s="439"/>
      <c r="G119" s="273"/>
      <c r="H119" s="273"/>
      <c r="I119" s="273"/>
      <c r="J119" s="273"/>
      <c r="K119" s="273"/>
      <c r="L119" s="273"/>
      <c r="M119" s="273"/>
      <c r="N119" s="273"/>
    </row>
    <row r="120" spans="1:14" s="427" customFormat="1" ht="15.75">
      <c r="A120" s="20"/>
      <c r="B120" s="439"/>
      <c r="C120" s="439"/>
      <c r="D120" s="577"/>
      <c r="E120" s="439"/>
      <c r="F120" s="439"/>
      <c r="G120" s="273"/>
      <c r="H120" s="273"/>
      <c r="I120" s="273"/>
      <c r="J120" s="273"/>
      <c r="K120" s="273"/>
      <c r="L120" s="273"/>
      <c r="M120" s="273"/>
      <c r="N120" s="273"/>
    </row>
    <row r="121" spans="1:14" s="427" customFormat="1" ht="15.75">
      <c r="A121" s="20"/>
      <c r="B121" s="439"/>
      <c r="C121" s="439"/>
      <c r="D121" s="439"/>
      <c r="E121" s="439"/>
      <c r="F121" s="439"/>
      <c r="G121" s="273"/>
      <c r="H121" s="273"/>
      <c r="I121" s="273"/>
      <c r="J121" s="273"/>
      <c r="K121" s="273"/>
      <c r="L121" s="273"/>
      <c r="M121" s="273"/>
      <c r="N121" s="273"/>
    </row>
    <row r="122" spans="1:14" s="427" customFormat="1" ht="15.75">
      <c r="A122" s="792"/>
      <c r="B122" s="793"/>
      <c r="C122" s="793"/>
      <c r="D122" s="793"/>
      <c r="E122" s="793"/>
      <c r="F122" s="793"/>
      <c r="G122" s="273"/>
      <c r="H122" s="273"/>
      <c r="I122" s="273"/>
      <c r="J122" s="273"/>
      <c r="K122" s="273"/>
      <c r="L122" s="273"/>
      <c r="M122" s="273"/>
      <c r="N122" s="273"/>
    </row>
    <row r="123" spans="1:14" s="427" customFormat="1" ht="15.75">
      <c r="A123" s="273"/>
      <c r="B123" s="812"/>
      <c r="C123" s="439"/>
      <c r="D123" s="439"/>
      <c r="E123" s="439"/>
      <c r="F123" s="439"/>
      <c r="G123" s="273"/>
      <c r="H123" s="273"/>
      <c r="I123" s="273"/>
      <c r="J123" s="273"/>
      <c r="K123" s="273"/>
      <c r="L123" s="273"/>
      <c r="M123" s="273"/>
      <c r="N123" s="273"/>
    </row>
    <row r="124" spans="1:14" s="427" customFormat="1" ht="15.75">
      <c r="A124" s="811"/>
      <c r="B124" s="439"/>
      <c r="C124" s="439"/>
      <c r="D124" s="439"/>
      <c r="E124" s="439"/>
      <c r="F124" s="439"/>
      <c r="G124" s="273"/>
      <c r="H124" s="273"/>
      <c r="I124" s="273"/>
      <c r="J124" s="273"/>
      <c r="K124" s="273"/>
      <c r="L124" s="273"/>
      <c r="M124" s="273"/>
      <c r="N124" s="273"/>
    </row>
    <row r="125" spans="1:14" s="427" customFormat="1" ht="15.75">
      <c r="A125" s="811"/>
      <c r="B125" s="439"/>
      <c r="C125" s="439"/>
      <c r="D125" s="439"/>
      <c r="E125" s="439"/>
      <c r="F125" s="439"/>
      <c r="G125" s="273"/>
      <c r="H125" s="273"/>
      <c r="I125" s="273"/>
      <c r="J125" s="273"/>
      <c r="K125" s="273"/>
      <c r="L125" s="273"/>
      <c r="M125" s="273"/>
      <c r="N125" s="273"/>
    </row>
    <row r="126" spans="1:14" s="427" customFormat="1" ht="15.75">
      <c r="A126" s="20"/>
      <c r="B126" s="439"/>
      <c r="C126" s="439"/>
      <c r="D126" s="439"/>
      <c r="E126" s="439"/>
      <c r="F126" s="439"/>
      <c r="G126" s="273"/>
      <c r="H126" s="273"/>
      <c r="I126" s="273"/>
      <c r="J126" s="273"/>
      <c r="K126" s="273"/>
      <c r="L126" s="273"/>
      <c r="M126" s="273"/>
      <c r="N126" s="273"/>
    </row>
    <row r="127" spans="1:14" s="427" customFormat="1" ht="15.75">
      <c r="A127" s="20"/>
      <c r="B127" s="439"/>
      <c r="C127" s="439"/>
      <c r="D127" s="439"/>
      <c r="E127" s="439"/>
      <c r="F127" s="439"/>
      <c r="G127" s="273"/>
      <c r="H127" s="273"/>
      <c r="I127" s="273"/>
      <c r="J127" s="273"/>
      <c r="K127" s="273"/>
      <c r="L127" s="273"/>
      <c r="M127" s="273"/>
      <c r="N127" s="273"/>
    </row>
    <row r="128" spans="1:14" s="427" customFormat="1" ht="15.75">
      <c r="A128" s="792"/>
      <c r="B128" s="793"/>
      <c r="C128" s="439"/>
      <c r="D128" s="439"/>
      <c r="E128" s="439"/>
      <c r="F128" s="439"/>
      <c r="G128" s="273"/>
      <c r="H128" s="273"/>
      <c r="I128" s="273"/>
      <c r="J128" s="273"/>
      <c r="K128" s="273"/>
      <c r="L128" s="273"/>
      <c r="M128" s="273"/>
      <c r="N128" s="273"/>
    </row>
    <row r="129" spans="1:14" s="427" customFormat="1" ht="15.75">
      <c r="A129" s="273"/>
      <c r="B129" s="811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</row>
    <row r="130" spans="1:14" s="427" customFormat="1" ht="15.75">
      <c r="A130" s="811"/>
      <c r="B130" s="439"/>
      <c r="C130" s="439"/>
      <c r="D130" s="439"/>
      <c r="E130" s="439"/>
      <c r="F130" s="439"/>
      <c r="G130" s="273"/>
      <c r="H130" s="273"/>
      <c r="I130" s="273"/>
      <c r="J130" s="273"/>
      <c r="K130" s="273"/>
      <c r="L130" s="273"/>
      <c r="M130" s="273"/>
      <c r="N130" s="273"/>
    </row>
    <row r="131" spans="1:14" s="427" customFormat="1" ht="15.75">
      <c r="A131" s="811"/>
      <c r="B131" s="439"/>
      <c r="C131" s="439"/>
      <c r="D131" s="439"/>
      <c r="E131" s="439"/>
      <c r="F131" s="439"/>
      <c r="G131" s="273"/>
      <c r="H131" s="273"/>
      <c r="I131" s="273"/>
      <c r="J131" s="273"/>
      <c r="K131" s="273"/>
      <c r="L131" s="273"/>
      <c r="M131" s="273"/>
      <c r="N131" s="273"/>
    </row>
    <row r="132" spans="1:14" s="427" customFormat="1" ht="15.75">
      <c r="A132" s="20"/>
      <c r="B132" s="439"/>
      <c r="C132" s="439"/>
      <c r="D132" s="439"/>
      <c r="E132" s="439"/>
      <c r="F132" s="439"/>
      <c r="G132" s="273"/>
      <c r="H132" s="273"/>
      <c r="I132" s="273"/>
      <c r="J132" s="273"/>
      <c r="K132" s="273"/>
      <c r="L132" s="273"/>
      <c r="M132" s="273"/>
      <c r="N132" s="273"/>
    </row>
    <row r="133" spans="1:14" s="427" customFormat="1" ht="15.75">
      <c r="A133" s="20"/>
      <c r="B133" s="439"/>
      <c r="C133" s="439"/>
      <c r="D133" s="439"/>
      <c r="E133" s="439"/>
      <c r="F133" s="439"/>
      <c r="G133" s="273"/>
      <c r="H133" s="273"/>
      <c r="I133" s="273"/>
      <c r="J133" s="273"/>
      <c r="K133" s="273"/>
      <c r="L133" s="273"/>
      <c r="M133" s="273"/>
      <c r="N133" s="273"/>
    </row>
    <row r="134" spans="1:10" s="427" customFormat="1" ht="15.75">
      <c r="A134" s="792"/>
      <c r="B134" s="793"/>
      <c r="C134" s="439"/>
      <c r="D134" s="439"/>
      <c r="E134" s="793"/>
      <c r="F134" s="439"/>
      <c r="G134" s="858"/>
      <c r="H134" s="450"/>
      <c r="I134" s="450"/>
      <c r="J134" s="450"/>
    </row>
  </sheetData>
  <mergeCells count="19">
    <mergeCell ref="E76:L76"/>
    <mergeCell ref="E78:L78"/>
    <mergeCell ref="G73:H73"/>
    <mergeCell ref="I73:J73"/>
    <mergeCell ref="K73:L73"/>
    <mergeCell ref="E72:L72"/>
    <mergeCell ref="AP9:AS9"/>
    <mergeCell ref="V9:Y9"/>
    <mergeCell ref="AL9:AO9"/>
    <mergeCell ref="Z9:AC9"/>
    <mergeCell ref="AH9:AK9"/>
    <mergeCell ref="AD9:AG9"/>
    <mergeCell ref="B9:E9"/>
    <mergeCell ref="O40:S40"/>
    <mergeCell ref="F9:I9"/>
    <mergeCell ref="J9:M9"/>
    <mergeCell ref="N9:Q9"/>
    <mergeCell ref="R9:U9"/>
    <mergeCell ref="T40:X4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7"/>
  <sheetViews>
    <sheetView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E16384"/>
    </sheetView>
  </sheetViews>
  <sheetFormatPr defaultColWidth="9.00390625" defaultRowHeight="18.75" customHeight="1"/>
  <cols>
    <col min="1" max="1" width="62.375" style="68" bestFit="1" customWidth="1"/>
    <col min="2" max="4" width="11.125" style="54" hidden="1" customWidth="1"/>
    <col min="5" max="5" width="10.625" style="54" hidden="1" customWidth="1"/>
    <col min="6" max="6" width="11.125" style="54" customWidth="1"/>
    <col min="7" max="10" width="11.125" style="54" hidden="1" customWidth="1"/>
    <col min="11" max="18" width="11.125" style="54" customWidth="1"/>
    <col min="19" max="19" width="11.125" style="1259" customWidth="1"/>
    <col min="20" max="38" width="11.125" style="54" customWidth="1"/>
    <col min="39" max="39" width="13.25390625" style="508" bestFit="1" customWidth="1"/>
    <col min="40" max="40" width="13.25390625" style="0" bestFit="1" customWidth="1"/>
    <col min="41" max="41" width="14.75390625" style="508" customWidth="1"/>
    <col min="42" max="48" width="11.125" style="54" customWidth="1"/>
    <col min="49" max="49" width="14.75390625" style="54" customWidth="1"/>
    <col min="50" max="52" width="14.75390625" style="508" customWidth="1"/>
    <col min="53" max="16384" width="9.125" style="508" customWidth="1"/>
  </cols>
  <sheetData>
    <row r="1" ht="30" customHeight="1">
      <c r="A1" s="768" t="s">
        <v>464</v>
      </c>
    </row>
    <row r="2" ht="9.75" customHeight="1" thickBot="1"/>
    <row r="3" spans="1:48" ht="18.75" customHeight="1">
      <c r="A3" s="1348"/>
      <c r="B3" s="1343" t="s">
        <v>591</v>
      </c>
      <c r="C3" s="1350"/>
      <c r="D3" s="1350"/>
      <c r="E3" s="1351"/>
      <c r="F3" s="1337" t="s">
        <v>76</v>
      </c>
      <c r="G3" s="1380">
        <v>2005</v>
      </c>
      <c r="H3" s="1342"/>
      <c r="I3" s="1342"/>
      <c r="J3" s="1343"/>
      <c r="K3" s="1344">
        <v>2006</v>
      </c>
      <c r="L3" s="1342"/>
      <c r="M3" s="1342"/>
      <c r="N3" s="1345"/>
      <c r="O3" s="1380">
        <v>2007</v>
      </c>
      <c r="P3" s="1342"/>
      <c r="Q3" s="1335"/>
      <c r="R3" s="1343"/>
      <c r="S3" s="1336">
        <v>2008</v>
      </c>
      <c r="T3" s="1350"/>
      <c r="U3" s="1350"/>
      <c r="V3" s="1351"/>
      <c r="W3" s="1350">
        <v>2009</v>
      </c>
      <c r="X3" s="1350"/>
      <c r="Y3" s="1350"/>
      <c r="Z3" s="1350"/>
      <c r="AA3" s="1344">
        <v>2010</v>
      </c>
      <c r="AB3" s="1342"/>
      <c r="AC3" s="1342"/>
      <c r="AD3" s="1345"/>
      <c r="AE3" s="1344">
        <v>2011</v>
      </c>
      <c r="AF3" s="1342"/>
      <c r="AG3" s="1342"/>
      <c r="AH3" s="1345"/>
      <c r="AI3" s="1380">
        <v>2012</v>
      </c>
      <c r="AJ3" s="1342"/>
      <c r="AK3" s="1342"/>
      <c r="AL3" s="1343"/>
      <c r="AM3" s="1346" t="s">
        <v>70</v>
      </c>
      <c r="AP3" s="590"/>
      <c r="AQ3" s="590"/>
      <c r="AR3" s="590"/>
      <c r="AS3" s="590"/>
      <c r="AT3" s="590"/>
      <c r="AU3" s="590"/>
      <c r="AV3" s="590"/>
    </row>
    <row r="4" spans="1:48" ht="18.75" customHeight="1" thickBot="1">
      <c r="A4" s="1349"/>
      <c r="B4" s="598" t="s">
        <v>66</v>
      </c>
      <c r="C4" s="593" t="s">
        <v>67</v>
      </c>
      <c r="D4" s="593" t="s">
        <v>68</v>
      </c>
      <c r="E4" s="599" t="s">
        <v>69</v>
      </c>
      <c r="F4" s="1338"/>
      <c r="G4" s="597" t="s">
        <v>40</v>
      </c>
      <c r="H4" s="593" t="s">
        <v>41</v>
      </c>
      <c r="I4" s="593" t="s">
        <v>42</v>
      </c>
      <c r="J4" s="594" t="s">
        <v>43</v>
      </c>
      <c r="K4" s="598" t="s">
        <v>66</v>
      </c>
      <c r="L4" s="593" t="s">
        <v>67</v>
      </c>
      <c r="M4" s="593" t="s">
        <v>68</v>
      </c>
      <c r="N4" s="599" t="s">
        <v>69</v>
      </c>
      <c r="O4" s="598" t="s">
        <v>66</v>
      </c>
      <c r="P4" s="594" t="s">
        <v>67</v>
      </c>
      <c r="Q4" s="1258" t="s">
        <v>68</v>
      </c>
      <c r="R4" s="1313" t="s">
        <v>69</v>
      </c>
      <c r="S4" s="598" t="s">
        <v>66</v>
      </c>
      <c r="T4" s="593" t="s">
        <v>67</v>
      </c>
      <c r="U4" s="593" t="s">
        <v>68</v>
      </c>
      <c r="V4" s="599" t="s">
        <v>69</v>
      </c>
      <c r="W4" s="597" t="s">
        <v>66</v>
      </c>
      <c r="X4" s="1312" t="s">
        <v>67</v>
      </c>
      <c r="Y4" s="593" t="s">
        <v>68</v>
      </c>
      <c r="Z4" s="594" t="s">
        <v>69</v>
      </c>
      <c r="AA4" s="598" t="s">
        <v>66</v>
      </c>
      <c r="AB4" s="593" t="s">
        <v>67</v>
      </c>
      <c r="AC4" s="593" t="s">
        <v>68</v>
      </c>
      <c r="AD4" s="599" t="s">
        <v>69</v>
      </c>
      <c r="AE4" s="598" t="s">
        <v>66</v>
      </c>
      <c r="AF4" s="593" t="s">
        <v>67</v>
      </c>
      <c r="AG4" s="593" t="s">
        <v>68</v>
      </c>
      <c r="AH4" s="599" t="s">
        <v>69</v>
      </c>
      <c r="AI4" s="598" t="s">
        <v>66</v>
      </c>
      <c r="AJ4" s="593" t="s">
        <v>67</v>
      </c>
      <c r="AK4" s="593" t="s">
        <v>68</v>
      </c>
      <c r="AL4" s="599" t="s">
        <v>69</v>
      </c>
      <c r="AM4" s="1347"/>
      <c r="AP4" s="590"/>
      <c r="AQ4" s="590"/>
      <c r="AR4" s="590"/>
      <c r="AS4" s="590"/>
      <c r="AT4" s="590"/>
      <c r="AU4" s="590"/>
      <c r="AV4" s="590"/>
    </row>
    <row r="5" spans="1:48" ht="18.75" customHeight="1">
      <c r="A5" s="1078" t="s">
        <v>71</v>
      </c>
      <c r="B5" s="591">
        <f>Revenue!B21</f>
        <v>0</v>
      </c>
      <c r="C5" s="591">
        <f>Revenue!C21</f>
        <v>0</v>
      </c>
      <c r="D5" s="591">
        <f>Revenue!D21</f>
        <v>0</v>
      </c>
      <c r="E5" s="595">
        <f>Revenue!E21</f>
        <v>0</v>
      </c>
      <c r="F5" s="71">
        <f>Revenue!J21</f>
        <v>1478.96208</v>
      </c>
      <c r="G5" s="70"/>
      <c r="H5" s="591"/>
      <c r="I5" s="591"/>
      <c r="J5" s="595"/>
      <c r="K5" s="69">
        <f>Revenue!K21</f>
        <v>1251.744840675</v>
      </c>
      <c r="L5" s="591">
        <f>Revenue!L21</f>
        <v>6721.751083075001</v>
      </c>
      <c r="M5" s="591">
        <f>Revenue!M21</f>
        <v>7241.5011971025015</v>
      </c>
      <c r="N5" s="592">
        <f>Revenue!N21</f>
        <v>5895.622176035379</v>
      </c>
      <c r="O5" s="70">
        <f>Revenue!O21</f>
        <v>14735.556605754922</v>
      </c>
      <c r="P5" s="595">
        <f>Revenue!P21</f>
        <v>14735.556605754922</v>
      </c>
      <c r="Q5" s="74">
        <f>Revenue!Q21</f>
        <v>14735.556605754922</v>
      </c>
      <c r="R5" s="1164">
        <f>Revenue!R21</f>
        <v>14735.556605754922</v>
      </c>
      <c r="S5" s="1260">
        <f>Revenue!S21</f>
        <v>242838.07560598952</v>
      </c>
      <c r="T5" s="591">
        <f>Revenue!T21</f>
        <v>36739.979293075485</v>
      </c>
      <c r="U5" s="591">
        <f>Revenue!U21</f>
        <v>36739.979293075485</v>
      </c>
      <c r="V5" s="592">
        <f>Revenue!V21</f>
        <v>36739.979293075485</v>
      </c>
      <c r="W5" s="70">
        <f>Revenue!W21</f>
        <v>156817.28148328964</v>
      </c>
      <c r="X5" s="591">
        <f>Revenue!X21</f>
        <v>38644.41983436245</v>
      </c>
      <c r="Y5" s="591">
        <f>Revenue!Y21</f>
        <v>38644.41983436245</v>
      </c>
      <c r="Z5" s="595">
        <f>Revenue!Z21</f>
        <v>38644.41983436245</v>
      </c>
      <c r="AA5" s="69">
        <f>Revenue!AA21</f>
        <v>158749.50247500776</v>
      </c>
      <c r="AB5" s="591">
        <f>Revenue!AB21</f>
        <v>40576.640826080584</v>
      </c>
      <c r="AC5" s="591">
        <f>Revenue!AC21</f>
        <v>40576.640826080584</v>
      </c>
      <c r="AD5" s="592">
        <f>Revenue!AD21</f>
        <v>40576.640826080584</v>
      </c>
      <c r="AE5" s="69">
        <f>Revenue!AE21</f>
        <v>160778.3345163118</v>
      </c>
      <c r="AF5" s="591">
        <f>Revenue!AF21</f>
        <v>42605.47286738461</v>
      </c>
      <c r="AG5" s="591">
        <f>Revenue!AG21</f>
        <v>42605.47286738461</v>
      </c>
      <c r="AH5" s="592">
        <f>Revenue!AH21</f>
        <v>42605.47286738461</v>
      </c>
      <c r="AI5" s="70">
        <f>Revenue!AI21</f>
        <v>162908.60815968103</v>
      </c>
      <c r="AJ5" s="591">
        <f>Revenue!AJ21</f>
        <v>44735.74651075385</v>
      </c>
      <c r="AK5" s="591">
        <f>Revenue!AK21</f>
        <v>44735.74651075385</v>
      </c>
      <c r="AL5" s="595">
        <f>Revenue!AL21</f>
        <v>44735.74651075385</v>
      </c>
      <c r="AM5" s="71">
        <f>SUM(F5:AL5)</f>
        <v>1573530.3880351584</v>
      </c>
      <c r="AN5" s="1090">
        <f>Revenue!AM21</f>
        <v>1573530.3880351584</v>
      </c>
      <c r="AP5" s="501"/>
      <c r="AQ5" s="501"/>
      <c r="AR5" s="501"/>
      <c r="AS5" s="501"/>
      <c r="AT5" s="501"/>
      <c r="AU5" s="501"/>
      <c r="AV5" s="501"/>
    </row>
    <row r="6" spans="1:49" ht="18.75" customHeight="1">
      <c r="A6" s="1077" t="s">
        <v>381</v>
      </c>
      <c r="B6" s="709">
        <v>110.6</v>
      </c>
      <c r="C6" s="709">
        <v>196.7</v>
      </c>
      <c r="D6" s="709">
        <v>355.3</v>
      </c>
      <c r="E6" s="734">
        <v>495.6</v>
      </c>
      <c r="F6" s="596">
        <f>5473.8+10.7+2.039+1.6906+1.692</f>
        <v>5489.9216</v>
      </c>
      <c r="G6" s="733"/>
      <c r="H6" s="709"/>
      <c r="I6" s="709"/>
      <c r="J6" s="734"/>
      <c r="K6" s="735">
        <f>1020.5+Costs!G29</f>
        <v>1023.8826</v>
      </c>
      <c r="L6" s="709">
        <f>2996.6-K6+Costs!H29</f>
        <v>1976.1</v>
      </c>
      <c r="M6" s="709">
        <f>5567.5-L6-K6+Costs!I29</f>
        <v>2570.9</v>
      </c>
      <c r="N6" s="736">
        <f>SUM(Costs!J7,Costs!J17,Costs!J29,Costs!J48)</f>
        <v>2197.5157352116175</v>
      </c>
      <c r="O6" s="733">
        <f>SUM(Costs!K7,Costs!K17,Costs!K29,Costs!K48)</f>
        <v>5648.531233447651</v>
      </c>
      <c r="P6" s="734">
        <f>SUM(Costs!L7,Costs!L17,Costs!L29,Costs!L48)</f>
        <v>5648.531233447651</v>
      </c>
      <c r="Q6" s="709">
        <f>SUM(Costs!M7,Costs!M17,Costs!M29,Costs!M48)</f>
        <v>5648.531233447651</v>
      </c>
      <c r="R6" s="1165">
        <f>SUM(Costs!N7,Costs!N17,Costs!N29,Costs!N48)</f>
        <v>5648.531233447651</v>
      </c>
      <c r="S6" s="1261">
        <f>SUM(Costs!O7,Costs!O17,Costs!O29,Costs!O48)</f>
        <v>11499.638361097699</v>
      </c>
      <c r="T6" s="709">
        <f>SUM(Costs!P7,Costs!P17,Costs!P29,Costs!P48)</f>
        <v>11499.638361097699</v>
      </c>
      <c r="U6" s="709">
        <f>SUM(Costs!Q7,Costs!Q17,Costs!Q29,Costs!Q48)</f>
        <v>11499.638361097699</v>
      </c>
      <c r="V6" s="736">
        <f>SUM(Costs!R7,Costs!R17,Costs!R29,Costs!R48)</f>
        <v>11499.638361097699</v>
      </c>
      <c r="W6" s="733">
        <f>SUM(Costs!S7,Costs!S17,Costs!S29,Costs!S48)</f>
        <v>11503.020961097698</v>
      </c>
      <c r="X6" s="709">
        <f>SUM(Costs!T7,Costs!T17,Costs!T29,Costs!T48)</f>
        <v>11503.020961097698</v>
      </c>
      <c r="Y6" s="709">
        <f>SUM(Costs!U7,Costs!U17,Costs!U29,Costs!U48)</f>
        <v>11503.020961097698</v>
      </c>
      <c r="Z6" s="734">
        <f>SUM(Costs!V7,Costs!V17,Costs!V29,Costs!V48)</f>
        <v>11503.020961097698</v>
      </c>
      <c r="AA6" s="735">
        <f>SUM(Costs!W7,Costs!W17,Costs!W29,Costs!W48)</f>
        <v>11506.403561097699</v>
      </c>
      <c r="AB6" s="709">
        <f>SUM(Costs!X7,Costs!X17,Costs!X29,Costs!X48)</f>
        <v>11506.403561097699</v>
      </c>
      <c r="AC6" s="709">
        <f>SUM(Costs!Y7,Costs!Y17,Costs!Y29,Costs!Y48)</f>
        <v>11506.403561097699</v>
      </c>
      <c r="AD6" s="736">
        <f>SUM(Costs!Z7,Costs!Z17,Costs!Z29,Costs!Z48)</f>
        <v>11506.403561097699</v>
      </c>
      <c r="AE6" s="735">
        <f>SUM(Costs!AA7,Costs!AA17,Costs!AA29,Costs!AA48)</f>
        <v>11506.403561097699</v>
      </c>
      <c r="AF6" s="709">
        <f>SUM(Costs!AB7,Costs!AB17,Costs!AB29,Costs!AB48)</f>
        <v>11506.403561097699</v>
      </c>
      <c r="AG6" s="709">
        <f>SUM(Costs!AC7,Costs!AC17,Costs!AC29,Costs!AC48)</f>
        <v>11506.403561097699</v>
      </c>
      <c r="AH6" s="736">
        <f>SUM(Costs!AD7,Costs!AD17,Costs!AD29,Costs!AD48)</f>
        <v>11506.403561097699</v>
      </c>
      <c r="AI6" s="733">
        <f>SUM(Costs!AE7,Costs!AE17,Costs!AE29,Costs!AE48)</f>
        <v>11506.403561097699</v>
      </c>
      <c r="AJ6" s="709">
        <f>SUM(Costs!AF7,Costs!AF17,Costs!AF29,Costs!AF48)</f>
        <v>11506.403561097699</v>
      </c>
      <c r="AK6" s="709">
        <f>SUM(Costs!AG7,Costs!AG17,Costs!AG29,Costs!AG48)</f>
        <v>11506.403561097699</v>
      </c>
      <c r="AL6" s="734">
        <f>SUM(Costs!AH7,Costs!AH17,Costs!AH29,Costs!AH48)</f>
        <v>11506.403561097699</v>
      </c>
      <c r="AM6" s="596">
        <f aca="true" t="shared" si="0" ref="AM6:AM16">SUM(F6:AL6)</f>
        <v>265939.9248909561</v>
      </c>
      <c r="AN6" s="29"/>
      <c r="AP6" s="501"/>
      <c r="AQ6" s="501"/>
      <c r="AR6" s="501"/>
      <c r="AS6" s="501"/>
      <c r="AT6" s="501"/>
      <c r="AU6" s="501"/>
      <c r="AV6" s="501"/>
      <c r="AW6" s="508"/>
    </row>
    <row r="7" spans="1:49" ht="18.75" customHeight="1">
      <c r="A7" s="1077" t="s">
        <v>72</v>
      </c>
      <c r="B7" s="709"/>
      <c r="C7" s="709"/>
      <c r="D7" s="709"/>
      <c r="E7" s="734"/>
      <c r="F7" s="596">
        <f>263.931+119.2377</f>
        <v>383.1687</v>
      </c>
      <c r="G7" s="733"/>
      <c r="H7" s="709"/>
      <c r="I7" s="709"/>
      <c r="J7" s="734"/>
      <c r="K7" s="1311">
        <f>Costs!G31</f>
        <v>24.827587199999993</v>
      </c>
      <c r="L7" s="709">
        <f>Costs!H31</f>
        <v>23.985808703999997</v>
      </c>
      <c r="M7" s="709">
        <f>Costs!I31</f>
        <v>25.372526399999998</v>
      </c>
      <c r="N7" s="736">
        <f>SUM(Costs!J31,Costs!J18,Costs!J49)</f>
        <v>164.88274125928265</v>
      </c>
      <c r="O7" s="733">
        <f>SUM(Costs!K31,Costs!K18,Costs!K49)</f>
        <v>387.49500216906625</v>
      </c>
      <c r="P7" s="734">
        <f>SUM(Costs!L31,Costs!L18,Costs!L49)</f>
        <v>387.49500216906625</v>
      </c>
      <c r="Q7" s="709">
        <f>SUM(Costs!M31,Costs!M18,Costs!M49)</f>
        <v>387.49500216906625</v>
      </c>
      <c r="R7" s="1165">
        <f>SUM(Costs!N31,Costs!N18,Costs!N49)</f>
        <v>387.49500216906625</v>
      </c>
      <c r="S7" s="1261">
        <f>SUM(Costs!O31,Costs!O18,Costs!O49)</f>
        <v>783.4586562057189</v>
      </c>
      <c r="T7" s="709">
        <f>SUM(Costs!P31,Costs!P18,Costs!P49)</f>
        <v>783.4586562057189</v>
      </c>
      <c r="U7" s="709">
        <f>SUM(Costs!Q31,Costs!Q18,Costs!Q49)</f>
        <v>783.4586562057189</v>
      </c>
      <c r="V7" s="736">
        <f>SUM(Costs!R31,Costs!R18,Costs!R49)</f>
        <v>783.4586562057189</v>
      </c>
      <c r="W7" s="733">
        <f>SUM(Costs!S31,Costs!S18,Costs!S49)</f>
        <v>793.7628930057189</v>
      </c>
      <c r="X7" s="709">
        <f>SUM(Costs!T31,Costs!T18,Costs!T49)</f>
        <v>793.7628930057189</v>
      </c>
      <c r="Y7" s="709">
        <f>SUM(Costs!U31,Costs!U18,Costs!U49)</f>
        <v>793.7628930057189</v>
      </c>
      <c r="Z7" s="734">
        <f>SUM(Costs!V31,Costs!V18,Costs!V49)</f>
        <v>793.7628930057189</v>
      </c>
      <c r="AA7" s="735">
        <f>SUM(Costs!W31,Costs!W18,Costs!W49)</f>
        <v>793.7628930057189</v>
      </c>
      <c r="AB7" s="709">
        <f>SUM(Costs!X31,Costs!X18,Costs!X49)</f>
        <v>793.7628930057189</v>
      </c>
      <c r="AC7" s="709">
        <f>SUM(Costs!Y31,Costs!Y18,Costs!Y49)</f>
        <v>793.7628930057189</v>
      </c>
      <c r="AD7" s="736">
        <f>SUM(Costs!Z31,Costs!Z18,Costs!Z49)</f>
        <v>793.7628930057189</v>
      </c>
      <c r="AE7" s="735">
        <f>SUM(Costs!AA31,Costs!AA18,Costs!AA49)</f>
        <v>793.7628930057189</v>
      </c>
      <c r="AF7" s="709">
        <f>SUM(Costs!AB31,Costs!AB18,Costs!AB49)</f>
        <v>793.7628930057189</v>
      </c>
      <c r="AG7" s="709">
        <f>SUM(Costs!AC31,Costs!AC18,Costs!AC49)</f>
        <v>793.7628930057189</v>
      </c>
      <c r="AH7" s="736">
        <f>SUM(Costs!AD31,Costs!AD18,Costs!AD49)</f>
        <v>793.7628930057189</v>
      </c>
      <c r="AI7" s="733">
        <f>SUM(Costs!AE31,Costs!AE18,Costs!AE49)</f>
        <v>793.7628930057189</v>
      </c>
      <c r="AJ7" s="709">
        <f>SUM(Costs!AF31,Costs!AF18,Costs!AF49)</f>
        <v>793.7628930057189</v>
      </c>
      <c r="AK7" s="709">
        <f>SUM(Costs!AG31,Costs!AG18,Costs!AG49)</f>
        <v>793.7628930057189</v>
      </c>
      <c r="AL7" s="734">
        <f>SUM(Costs!AH31,Costs!AH18,Costs!AH49)</f>
        <v>793.7628930057189</v>
      </c>
      <c r="AM7" s="596">
        <f t="shared" si="0"/>
        <v>18006.258285153915</v>
      </c>
      <c r="AN7" s="29"/>
      <c r="AP7" s="501"/>
      <c r="AQ7" s="501"/>
      <c r="AR7" s="501"/>
      <c r="AS7" s="501"/>
      <c r="AT7" s="501"/>
      <c r="AU7" s="501"/>
      <c r="AV7" s="501"/>
      <c r="AW7" s="508"/>
    </row>
    <row r="8" spans="1:49" ht="18.75" customHeight="1">
      <c r="A8" s="1077" t="s">
        <v>73</v>
      </c>
      <c r="B8" s="709">
        <f>Payroll!H132</f>
        <v>152.4</v>
      </c>
      <c r="C8" s="709">
        <v>310.7</v>
      </c>
      <c r="D8" s="709">
        <f>Payroll!J132</f>
        <v>473.8</v>
      </c>
      <c r="E8" s="734">
        <f>Payroll!K132</f>
        <v>623.3</v>
      </c>
      <c r="F8" s="596">
        <f>(3738.5+2268.7)+62.397*1.506+155.859*1.506</f>
        <v>6335.8935360000005</v>
      </c>
      <c r="G8" s="733"/>
      <c r="H8" s="709"/>
      <c r="I8" s="709"/>
      <c r="J8" s="734"/>
      <c r="K8" s="1311">
        <f>671.2+385.6+Costs!G32</f>
        <v>1115.4809135000003</v>
      </c>
      <c r="L8" s="709">
        <f>1949.3+1019.7-K8+Costs!H32</f>
        <v>1912.1999999999998</v>
      </c>
      <c r="M8" s="709">
        <f>2575+1330.1-L8-K8+Costs!I32</f>
        <v>936.0999999999998</v>
      </c>
      <c r="N8" s="736">
        <f>Payroll!S132</f>
        <v>162.70686000000003</v>
      </c>
      <c r="O8" s="733">
        <f>Payroll!T132</f>
        <v>190.26666</v>
      </c>
      <c r="P8" s="734">
        <f>Payroll!U132</f>
        <v>190.26666</v>
      </c>
      <c r="Q8" s="709">
        <f>Payroll!V132</f>
        <v>190.26666</v>
      </c>
      <c r="R8" s="1165">
        <f>Payroll!W132</f>
        <v>190.26666</v>
      </c>
      <c r="S8" s="1261">
        <f>Payroll!X132</f>
        <v>217.82646000000003</v>
      </c>
      <c r="T8" s="709">
        <f>Payroll!Y132</f>
        <v>217.82646000000003</v>
      </c>
      <c r="U8" s="709">
        <f>Payroll!Z132</f>
        <v>217.82646000000003</v>
      </c>
      <c r="V8" s="736">
        <f>Payroll!AA132</f>
        <v>217.82646000000003</v>
      </c>
      <c r="W8" s="733">
        <f>Payroll!AB132</f>
        <v>245.38626</v>
      </c>
      <c r="X8" s="709">
        <f>Payroll!AC132</f>
        <v>245.38626</v>
      </c>
      <c r="Y8" s="709">
        <f>Payroll!AD132</f>
        <v>245.38626</v>
      </c>
      <c r="Z8" s="734">
        <f>Payroll!AE132</f>
        <v>245.38626</v>
      </c>
      <c r="AA8" s="735">
        <f>Payroll!AF132</f>
        <v>272.94606</v>
      </c>
      <c r="AB8" s="709">
        <f>Payroll!AG132</f>
        <v>272.94606</v>
      </c>
      <c r="AC8" s="709">
        <f>Payroll!AH132</f>
        <v>272.94606</v>
      </c>
      <c r="AD8" s="736">
        <f>Payroll!AI132</f>
        <v>272.94606</v>
      </c>
      <c r="AE8" s="735">
        <f>Payroll!AJ132</f>
        <v>272.94606</v>
      </c>
      <c r="AF8" s="709">
        <f>Payroll!AK132</f>
        <v>272.94606</v>
      </c>
      <c r="AG8" s="709">
        <f>Payroll!AL132</f>
        <v>272.94606</v>
      </c>
      <c r="AH8" s="736">
        <f>Payroll!AM132</f>
        <v>272.94606</v>
      </c>
      <c r="AI8" s="733">
        <f>Payroll!AN132</f>
        <v>272.94606</v>
      </c>
      <c r="AJ8" s="709">
        <f>Payroll!AO132</f>
        <v>272.94606</v>
      </c>
      <c r="AK8" s="709">
        <f>Payroll!AP132</f>
        <v>272.94606</v>
      </c>
      <c r="AL8" s="734">
        <f>Payroll!AQ132</f>
        <v>272.94606</v>
      </c>
      <c r="AM8" s="596">
        <f t="shared" si="0"/>
        <v>16351.651549499999</v>
      </c>
      <c r="AN8" s="29"/>
      <c r="AP8" s="501"/>
      <c r="AQ8" s="501"/>
      <c r="AR8" s="501"/>
      <c r="AS8" s="501"/>
      <c r="AT8" s="501"/>
      <c r="AU8" s="501"/>
      <c r="AV8" s="501"/>
      <c r="AW8" s="508"/>
    </row>
    <row r="9" spans="1:49" ht="18.75" customHeight="1">
      <c r="A9" s="1077" t="s">
        <v>74</v>
      </c>
      <c r="B9" s="709">
        <f aca="true" t="shared" si="1" ref="B9:AA9">SUM(B6:B8)</f>
        <v>263</v>
      </c>
      <c r="C9" s="709">
        <f t="shared" si="1"/>
        <v>507.4</v>
      </c>
      <c r="D9" s="709">
        <f t="shared" si="1"/>
        <v>829.1</v>
      </c>
      <c r="E9" s="734">
        <f t="shared" si="1"/>
        <v>1118.9</v>
      </c>
      <c r="F9" s="1084">
        <f>SUM(F6:F8)</f>
        <v>12208.983836</v>
      </c>
      <c r="G9" s="733">
        <f>SUM(G6:G8)</f>
        <v>0</v>
      </c>
      <c r="H9" s="709">
        <f>SUM(H6:H8)</f>
        <v>0</v>
      </c>
      <c r="I9" s="709">
        <f>SUM(I6:I8)</f>
        <v>0</v>
      </c>
      <c r="J9" s="734">
        <f>SUM(J6:J8)</f>
        <v>0</v>
      </c>
      <c r="K9" s="1311">
        <f t="shared" si="1"/>
        <v>2164.1911007000003</v>
      </c>
      <c r="L9" s="709">
        <f t="shared" si="1"/>
        <v>3912.2858087039995</v>
      </c>
      <c r="M9" s="709">
        <f t="shared" si="1"/>
        <v>3532.3725264</v>
      </c>
      <c r="N9" s="736">
        <f t="shared" si="1"/>
        <v>2525.1053364709005</v>
      </c>
      <c r="O9" s="733">
        <f t="shared" si="1"/>
        <v>6226.292895616718</v>
      </c>
      <c r="P9" s="734">
        <f t="shared" si="1"/>
        <v>6226.292895616718</v>
      </c>
      <c r="Q9" s="709">
        <f t="shared" si="1"/>
        <v>6226.292895616718</v>
      </c>
      <c r="R9" s="1165">
        <f t="shared" si="1"/>
        <v>6226.292895616718</v>
      </c>
      <c r="S9" s="1261">
        <f t="shared" si="1"/>
        <v>12500.923477303419</v>
      </c>
      <c r="T9" s="709">
        <f t="shared" si="1"/>
        <v>12500.923477303419</v>
      </c>
      <c r="U9" s="709">
        <f t="shared" si="1"/>
        <v>12500.923477303419</v>
      </c>
      <c r="V9" s="736">
        <f t="shared" si="1"/>
        <v>12500.923477303419</v>
      </c>
      <c r="W9" s="733">
        <f t="shared" si="1"/>
        <v>12542.170114103415</v>
      </c>
      <c r="X9" s="709">
        <f t="shared" si="1"/>
        <v>12542.170114103415</v>
      </c>
      <c r="Y9" s="709">
        <f t="shared" si="1"/>
        <v>12542.170114103415</v>
      </c>
      <c r="Z9" s="734">
        <f t="shared" si="1"/>
        <v>12542.170114103415</v>
      </c>
      <c r="AA9" s="735">
        <f t="shared" si="1"/>
        <v>12573.112514103417</v>
      </c>
      <c r="AB9" s="709">
        <f aca="true" t="shared" si="2" ref="AB9:AH9">SUM(AB6:AB8)</f>
        <v>12573.112514103417</v>
      </c>
      <c r="AC9" s="709">
        <f t="shared" si="2"/>
        <v>12573.112514103417</v>
      </c>
      <c r="AD9" s="736">
        <f t="shared" si="2"/>
        <v>12573.112514103417</v>
      </c>
      <c r="AE9" s="735">
        <f t="shared" si="2"/>
        <v>12573.112514103417</v>
      </c>
      <c r="AF9" s="709">
        <f t="shared" si="2"/>
        <v>12573.112514103417</v>
      </c>
      <c r="AG9" s="709">
        <f t="shared" si="2"/>
        <v>12573.112514103417</v>
      </c>
      <c r="AH9" s="736">
        <f t="shared" si="2"/>
        <v>12573.112514103417</v>
      </c>
      <c r="AI9" s="733">
        <f>SUM(AI6:AI8)</f>
        <v>12573.112514103417</v>
      </c>
      <c r="AJ9" s="709">
        <f>SUM(AJ6:AJ8)</f>
        <v>12573.112514103417</v>
      </c>
      <c r="AK9" s="709">
        <f>SUM(AK6:AK8)</f>
        <v>12573.112514103417</v>
      </c>
      <c r="AL9" s="734">
        <f>SUM(AL6:AL8)</f>
        <v>12573.112514103417</v>
      </c>
      <c r="AM9" s="596">
        <f t="shared" si="0"/>
        <v>300297.83472561004</v>
      </c>
      <c r="AN9" s="29"/>
      <c r="AP9" s="501"/>
      <c r="AQ9" s="501"/>
      <c r="AR9" s="501"/>
      <c r="AS9" s="501"/>
      <c r="AT9" s="501"/>
      <c r="AU9" s="501"/>
      <c r="AV9" s="501"/>
      <c r="AW9" s="508"/>
    </row>
    <row r="10" spans="1:49" ht="18.75" customHeight="1">
      <c r="A10" s="1077" t="s">
        <v>75</v>
      </c>
      <c r="B10" s="709">
        <f aca="true" t="shared" si="3" ref="B10:AH10">B5-B9</f>
        <v>-263</v>
      </c>
      <c r="C10" s="709">
        <f t="shared" si="3"/>
        <v>-507.4</v>
      </c>
      <c r="D10" s="709">
        <f t="shared" si="3"/>
        <v>-829.1</v>
      </c>
      <c r="E10" s="734">
        <f t="shared" si="3"/>
        <v>-1118.9</v>
      </c>
      <c r="F10" s="1084">
        <f>F5-F9</f>
        <v>-10730.021756</v>
      </c>
      <c r="G10" s="733">
        <f>G5-G9</f>
        <v>0</v>
      </c>
      <c r="H10" s="709">
        <f>H5-H9</f>
        <v>0</v>
      </c>
      <c r="I10" s="709">
        <f>I5-I9</f>
        <v>0</v>
      </c>
      <c r="J10" s="734">
        <f>J5-J9</f>
        <v>0</v>
      </c>
      <c r="K10" s="1311">
        <f t="shared" si="3"/>
        <v>-912.4462600250004</v>
      </c>
      <c r="L10" s="709">
        <f t="shared" si="3"/>
        <v>2809.465274371001</v>
      </c>
      <c r="M10" s="709">
        <f t="shared" si="3"/>
        <v>3709.1286707025015</v>
      </c>
      <c r="N10" s="736">
        <f t="shared" si="3"/>
        <v>3370.5168395644787</v>
      </c>
      <c r="O10" s="733">
        <f t="shared" si="3"/>
        <v>8509.263710138204</v>
      </c>
      <c r="P10" s="734">
        <f t="shared" si="3"/>
        <v>8509.263710138204</v>
      </c>
      <c r="Q10" s="709">
        <f t="shared" si="3"/>
        <v>8509.263710138204</v>
      </c>
      <c r="R10" s="1165">
        <f t="shared" si="3"/>
        <v>8509.263710138204</v>
      </c>
      <c r="S10" s="1261">
        <f t="shared" si="3"/>
        <v>230337.1521286861</v>
      </c>
      <c r="T10" s="709">
        <f t="shared" si="3"/>
        <v>24239.055815772066</v>
      </c>
      <c r="U10" s="709">
        <f t="shared" si="3"/>
        <v>24239.055815772066</v>
      </c>
      <c r="V10" s="736">
        <f t="shared" si="3"/>
        <v>24239.055815772066</v>
      </c>
      <c r="W10" s="733">
        <f t="shared" si="3"/>
        <v>144275.11136918623</v>
      </c>
      <c r="X10" s="709">
        <f t="shared" si="3"/>
        <v>26102.24972025904</v>
      </c>
      <c r="Y10" s="709">
        <f t="shared" si="3"/>
        <v>26102.24972025904</v>
      </c>
      <c r="Z10" s="734">
        <f t="shared" si="3"/>
        <v>26102.24972025904</v>
      </c>
      <c r="AA10" s="735">
        <f t="shared" si="3"/>
        <v>146176.38996090434</v>
      </c>
      <c r="AB10" s="709">
        <f t="shared" si="3"/>
        <v>28003.528311977167</v>
      </c>
      <c r="AC10" s="709">
        <f t="shared" si="3"/>
        <v>28003.528311977167</v>
      </c>
      <c r="AD10" s="736">
        <f t="shared" si="3"/>
        <v>28003.528311977167</v>
      </c>
      <c r="AE10" s="735">
        <f t="shared" si="3"/>
        <v>148205.22200220838</v>
      </c>
      <c r="AF10" s="709">
        <f t="shared" si="3"/>
        <v>30032.360353281194</v>
      </c>
      <c r="AG10" s="709">
        <f t="shared" si="3"/>
        <v>30032.360353281194</v>
      </c>
      <c r="AH10" s="736">
        <f t="shared" si="3"/>
        <v>30032.360353281194</v>
      </c>
      <c r="AI10" s="733">
        <f>AI5-AI9</f>
        <v>150335.4956455776</v>
      </c>
      <c r="AJ10" s="709">
        <f>AJ5-AJ9</f>
        <v>32162.633996650435</v>
      </c>
      <c r="AK10" s="709">
        <f>AK5-AK9</f>
        <v>32162.633996650435</v>
      </c>
      <c r="AL10" s="734">
        <f>AL5-AL9</f>
        <v>32162.633996650435</v>
      </c>
      <c r="AM10" s="596">
        <f t="shared" si="0"/>
        <v>1273232.5533095475</v>
      </c>
      <c r="AN10" s="29"/>
      <c r="AP10" s="501"/>
      <c r="AQ10" s="501"/>
      <c r="AR10" s="501"/>
      <c r="AS10" s="501"/>
      <c r="AT10" s="501"/>
      <c r="AU10" s="501"/>
      <c r="AV10" s="501"/>
      <c r="AW10" s="508"/>
    </row>
    <row r="11" spans="1:49" ht="18.75" customHeight="1">
      <c r="A11" s="1077" t="s">
        <v>382</v>
      </c>
      <c r="B11" s="709"/>
      <c r="C11" s="709"/>
      <c r="D11" s="709"/>
      <c r="E11" s="734"/>
      <c r="F11" s="1084"/>
      <c r="G11" s="733"/>
      <c r="H11" s="709"/>
      <c r="I11" s="709"/>
      <c r="J11" s="734"/>
      <c r="K11" s="1311">
        <f>Costs!G30</f>
        <v>0</v>
      </c>
      <c r="L11" s="709">
        <f>Costs!H30</f>
        <v>0</v>
      </c>
      <c r="M11" s="709">
        <f>Costs!I30</f>
        <v>0</v>
      </c>
      <c r="N11" s="736">
        <f>SUM(Costs!J8,Costs!J13,Costs!J16,Costs!J25,Costs!J30,Costs!J38,Costs!J44,Costs!J50,Costs!J56,Payroll!BL132)</f>
        <v>38.640552</v>
      </c>
      <c r="O11" s="733">
        <f>SUM(Costs!K8,Costs!K13,Costs!K16,Costs!K25,Costs!K30,Costs!K38,Costs!K44,Costs!K50,Costs!K56,Payroll!BM132)</f>
        <v>43.371552</v>
      </c>
      <c r="P11" s="734">
        <f>SUM(Costs!L8,Costs!L13,Costs!L16,Costs!L25,Costs!L30,Costs!L38,Costs!L44,Costs!L50,Costs!L56,Payroll!BN132)</f>
        <v>43.371552</v>
      </c>
      <c r="Q11" s="709">
        <f>SUM(Costs!M8,Costs!M13,Costs!M16,Costs!M25,Costs!M30,Costs!M38,Costs!M44,Costs!M50,Costs!M56,Payroll!BO132)</f>
        <v>43.371552</v>
      </c>
      <c r="R11" s="1165">
        <f>SUM(Costs!N8,Costs!N13,Costs!N16,Costs!N25,Costs!N30,Costs!N38,Costs!N44,Costs!N50,Costs!N56,Payroll!BP132)</f>
        <v>43.371552</v>
      </c>
      <c r="S11" s="1261">
        <f>SUM(Costs!O8,Costs!O13,Costs!O16,Costs!O25,Costs!O30,Costs!O38,Costs!O44,Costs!O50,Costs!O56,Payroll!BQ132)</f>
        <v>48.102552</v>
      </c>
      <c r="T11" s="709">
        <f>SUM(Costs!P8,Costs!P13,Costs!P16,Costs!P25,Costs!P30,Costs!P38,Costs!P44,Costs!P50,Costs!P56,Payroll!BR132)</f>
        <v>48.102552</v>
      </c>
      <c r="U11" s="709">
        <f>SUM(Costs!Q8,Costs!Q13,Costs!Q16,Costs!Q25,Costs!Q30,Costs!Q38,Costs!Q44,Costs!Q50,Costs!Q56,Payroll!BS132)</f>
        <v>48.102552</v>
      </c>
      <c r="V11" s="736">
        <f>SUM(Costs!R8,Costs!R13,Costs!R16,Costs!R25,Costs!R30,Costs!R38,Costs!R44,Costs!R50,Costs!R56,Payroll!BT132)</f>
        <v>48.102552</v>
      </c>
      <c r="W11" s="733">
        <f>SUM(Costs!S8,Costs!S13,Costs!S16,Costs!S25,Costs!S30,Costs!S38,Costs!S44,Costs!S50,Costs!S56,Payroll!BU132)</f>
        <v>52.833552</v>
      </c>
      <c r="X11" s="709">
        <f>SUM(Costs!T8,Costs!T13,Costs!T16,Costs!T25,Costs!T30,Costs!T38,Costs!T44,Costs!T50,Costs!T56,Payroll!BV132)</f>
        <v>52.833552</v>
      </c>
      <c r="Y11" s="709">
        <f>SUM(Costs!U8,Costs!U13,Costs!U16,Costs!U25,Costs!U30,Costs!U38,Costs!U44,Costs!U50,Costs!U56,Payroll!BW132)</f>
        <v>52.833552</v>
      </c>
      <c r="Z11" s="734">
        <f>SUM(Costs!V8,Costs!V13,Costs!V16,Costs!V25,Costs!V30,Costs!V38,Costs!V44,Costs!V50,Costs!V56,Payroll!BX132)</f>
        <v>52.833552</v>
      </c>
      <c r="AA11" s="735">
        <f>SUM(Costs!W8,Costs!W13,Costs!W16,Costs!W25,Costs!W30,Costs!W38,Costs!W44,Costs!W50,Costs!W56,Payroll!BY132)</f>
        <v>57.564552</v>
      </c>
      <c r="AB11" s="709">
        <f>SUM(Costs!X8,Costs!X13,Costs!X16,Costs!X25,Costs!X30,Costs!X38,Costs!X44,Costs!X50,Costs!X56,Payroll!BZ132)</f>
        <v>57.564552</v>
      </c>
      <c r="AC11" s="709">
        <f>SUM(Costs!Y8,Costs!Y13,Costs!Y16,Costs!Y25,Costs!Y30,Costs!Y38,Costs!Y44,Costs!Y50,Costs!Y56,Payroll!CA132)</f>
        <v>57.564552</v>
      </c>
      <c r="AD11" s="736">
        <f>SUM(Costs!Z8,Costs!Z13,Costs!Z16,Costs!Z25,Costs!Z30,Costs!Z38,Costs!Z44,Costs!Z50,Costs!Z56,Payroll!CB132)</f>
        <v>57.564552</v>
      </c>
      <c r="AE11" s="735">
        <f>SUM(Costs!AA8,Costs!AA13,Costs!AA16,Costs!AA25,Costs!AA30,Costs!AA38,Costs!AA44,Costs!AA50,Costs!AA56,Payroll!CC132)</f>
        <v>57.564552</v>
      </c>
      <c r="AF11" s="709">
        <f>SUM(Costs!AB8,Costs!AB13,Costs!AB16,Costs!AB25,Costs!AB30,Costs!AB38,Costs!AB44,Costs!AB50,Costs!AB56,Payroll!CD132)</f>
        <v>57.564552</v>
      </c>
      <c r="AG11" s="709">
        <f>SUM(Costs!AC8,Costs!AC13,Costs!AC16,Costs!AC25,Costs!AC30,Costs!AC38,Costs!AC44,Costs!AC50,Costs!AC56,Payroll!CE132)</f>
        <v>57.564552</v>
      </c>
      <c r="AH11" s="736">
        <f>SUM(Costs!AD8,Costs!AD13,Costs!AD16,Costs!AD25,Costs!AD30,Costs!AD38,Costs!AD44,Costs!AD50,Costs!AD56,Payroll!CF132)</f>
        <v>57.564552</v>
      </c>
      <c r="AI11" s="733">
        <f>SUM(Costs!AE8,Costs!AE13,Costs!AE16,Costs!AE25,Costs!AE30,Costs!AE38,Costs!AE44,Costs!AE50,Costs!AE56,Payroll!CG132)</f>
        <v>57.564552</v>
      </c>
      <c r="AJ11" s="709">
        <f>SUM(Costs!AF8,Costs!AF13,Costs!AF16,Costs!AF25,Costs!AF30,Costs!AF38,Costs!AF44,Costs!AF50,Costs!AF56,Payroll!CH132)</f>
        <v>57.564552</v>
      </c>
      <c r="AK11" s="709">
        <f>SUM(Costs!AG8,Costs!AG13,Costs!AG16,Costs!AG25,Costs!AG30,Costs!AG38,Costs!AG44,Costs!AG50,Costs!AG56,Payroll!CI132)</f>
        <v>57.564552</v>
      </c>
      <c r="AL11" s="734">
        <f>SUM(Costs!AH8,Costs!AH13,Costs!AH16,Costs!AH25,Costs!AH30,Costs!AH38,Costs!AH44,Costs!AH50,Costs!AH56,Payroll!CJ132)</f>
        <v>57.564552</v>
      </c>
      <c r="AM11" s="596">
        <f t="shared" si="0"/>
        <v>1306.6458000000007</v>
      </c>
      <c r="AN11" s="29"/>
      <c r="AP11" s="501"/>
      <c r="AQ11" s="501"/>
      <c r="AR11" s="501"/>
      <c r="AS11" s="501"/>
      <c r="AT11" s="501"/>
      <c r="AU11" s="501"/>
      <c r="AV11" s="501"/>
      <c r="AW11" s="508"/>
    </row>
    <row r="12" spans="1:49" ht="18.75" customHeight="1">
      <c r="A12" s="1077" t="s">
        <v>114</v>
      </c>
      <c r="B12" s="709"/>
      <c r="C12" s="709"/>
      <c r="D12" s="709"/>
      <c r="E12" s="734"/>
      <c r="F12" s="1084"/>
      <c r="G12" s="733"/>
      <c r="H12" s="709"/>
      <c r="I12" s="709"/>
      <c r="J12" s="734"/>
      <c r="K12" s="1311"/>
      <c r="L12" s="709"/>
      <c r="M12" s="709"/>
      <c r="N12" s="736">
        <f>Costs!J24+Payroll!DE132</f>
        <v>19.924380000000003</v>
      </c>
      <c r="O12" s="733">
        <f>Costs!K24+Payroll!DF132</f>
        <v>19.924380000000003</v>
      </c>
      <c r="P12" s="734">
        <f>Costs!L24+Payroll!DG132</f>
        <v>19.924380000000003</v>
      </c>
      <c r="Q12" s="709">
        <f>Costs!M24+Payroll!DH132</f>
        <v>19.924380000000003</v>
      </c>
      <c r="R12" s="1165">
        <f>Costs!N24+Payroll!DI132</f>
        <v>19.924380000000003</v>
      </c>
      <c r="S12" s="1261">
        <f>Costs!O24+Payroll!DJ132</f>
        <v>19.924380000000003</v>
      </c>
      <c r="T12" s="709">
        <f>Costs!P24+Payroll!DK132</f>
        <v>19.924380000000003</v>
      </c>
      <c r="U12" s="709">
        <f>Costs!Q24+Payroll!DL132</f>
        <v>19.924380000000003</v>
      </c>
      <c r="V12" s="736">
        <f>Costs!R24+Payroll!DM132</f>
        <v>19.924380000000003</v>
      </c>
      <c r="W12" s="733">
        <f>Costs!S24+Payroll!DN132</f>
        <v>19.924380000000003</v>
      </c>
      <c r="X12" s="709">
        <f>Costs!T24+Payroll!DO132</f>
        <v>19.924380000000003</v>
      </c>
      <c r="Y12" s="709">
        <f>Costs!U24+Payroll!DP132</f>
        <v>19.924380000000003</v>
      </c>
      <c r="Z12" s="734">
        <f>Costs!V24+Payroll!DQ132</f>
        <v>19.924380000000003</v>
      </c>
      <c r="AA12" s="735">
        <f>Costs!W24+Payroll!DR132</f>
        <v>19.924380000000003</v>
      </c>
      <c r="AB12" s="709">
        <f>Costs!X24+Payroll!DS132</f>
        <v>19.924380000000003</v>
      </c>
      <c r="AC12" s="709">
        <f>Costs!Y24+Payroll!DT132</f>
        <v>19.924380000000003</v>
      </c>
      <c r="AD12" s="736">
        <f>Costs!Z24+Payroll!DU132</f>
        <v>19.924380000000003</v>
      </c>
      <c r="AE12" s="735">
        <f>Costs!AA24+Payroll!DV132</f>
        <v>19.924380000000003</v>
      </c>
      <c r="AF12" s="709">
        <f>Costs!AB24+Payroll!DW132</f>
        <v>19.924380000000003</v>
      </c>
      <c r="AG12" s="709">
        <f>Costs!AC24+Payroll!DX132</f>
        <v>19.924380000000003</v>
      </c>
      <c r="AH12" s="736">
        <f>Costs!AD24+Payroll!DY132</f>
        <v>19.924380000000003</v>
      </c>
      <c r="AI12" s="733">
        <f>Costs!AE24+Payroll!DZ132</f>
        <v>19.924380000000003</v>
      </c>
      <c r="AJ12" s="709">
        <f>Costs!AF24+Payroll!EA132</f>
        <v>19.924380000000003</v>
      </c>
      <c r="AK12" s="709">
        <f>Costs!AG24+Payroll!EB132</f>
        <v>19.924380000000003</v>
      </c>
      <c r="AL12" s="734">
        <f>Costs!AH24+Payroll!EC132</f>
        <v>19.924380000000003</v>
      </c>
      <c r="AM12" s="596">
        <f t="shared" si="0"/>
        <v>498.1094999999999</v>
      </c>
      <c r="AN12" s="29"/>
      <c r="AO12" s="512"/>
      <c r="AP12" s="501"/>
      <c r="AQ12" s="501"/>
      <c r="AR12" s="501"/>
      <c r="AS12" s="501"/>
      <c r="AT12" s="501"/>
      <c r="AU12" s="501"/>
      <c r="AV12" s="501"/>
      <c r="AW12" s="508"/>
    </row>
    <row r="13" spans="1:49" ht="18.75" customHeight="1">
      <c r="A13" s="1077" t="s">
        <v>383</v>
      </c>
      <c r="B13" s="709">
        <v>383.1</v>
      </c>
      <c r="C13" s="709">
        <v>206.6</v>
      </c>
      <c r="D13" s="709">
        <v>-194.4</v>
      </c>
      <c r="E13" s="734">
        <v>817.9</v>
      </c>
      <c r="F13" s="1084">
        <v>1821.8</v>
      </c>
      <c r="G13" s="733">
        <f>SUM(G11:G12)</f>
        <v>0</v>
      </c>
      <c r="H13" s="709">
        <f>SUM(H11:H12)</f>
        <v>0</v>
      </c>
      <c r="I13" s="709">
        <f>SUM(I11:I12)</f>
        <v>0</v>
      </c>
      <c r="J13" s="734">
        <f>SUM(J11:J12)</f>
        <v>0</v>
      </c>
      <c r="K13" s="1311">
        <v>226</v>
      </c>
      <c r="L13" s="709">
        <f>1409.5-K13</f>
        <v>1183.5</v>
      </c>
      <c r="M13" s="709">
        <f>1256.2-L13-K13</f>
        <v>-153.29999999999995</v>
      </c>
      <c r="N13" s="736">
        <f aca="true" t="shared" si="4" ref="N13:AA13">SUM(N11:N12)</f>
        <v>58.564932</v>
      </c>
      <c r="O13" s="733">
        <f t="shared" si="4"/>
        <v>63.29593200000001</v>
      </c>
      <c r="P13" s="734">
        <f t="shared" si="4"/>
        <v>63.29593200000001</v>
      </c>
      <c r="Q13" s="709">
        <f t="shared" si="4"/>
        <v>63.29593200000001</v>
      </c>
      <c r="R13" s="1165">
        <f t="shared" si="4"/>
        <v>63.29593200000001</v>
      </c>
      <c r="S13" s="1261">
        <f t="shared" si="4"/>
        <v>68.026932</v>
      </c>
      <c r="T13" s="709">
        <f t="shared" si="4"/>
        <v>68.026932</v>
      </c>
      <c r="U13" s="709">
        <f t="shared" si="4"/>
        <v>68.026932</v>
      </c>
      <c r="V13" s="736">
        <f t="shared" si="4"/>
        <v>68.026932</v>
      </c>
      <c r="W13" s="733">
        <f t="shared" si="4"/>
        <v>72.757932</v>
      </c>
      <c r="X13" s="709">
        <f t="shared" si="4"/>
        <v>72.757932</v>
      </c>
      <c r="Y13" s="709">
        <f t="shared" si="4"/>
        <v>72.757932</v>
      </c>
      <c r="Z13" s="734">
        <f t="shared" si="4"/>
        <v>72.757932</v>
      </c>
      <c r="AA13" s="735">
        <f t="shared" si="4"/>
        <v>77.488932</v>
      </c>
      <c r="AB13" s="709">
        <f aca="true" t="shared" si="5" ref="AB13:AH13">SUM(AB11:AB12)</f>
        <v>77.488932</v>
      </c>
      <c r="AC13" s="709">
        <f t="shared" si="5"/>
        <v>77.488932</v>
      </c>
      <c r="AD13" s="736">
        <f t="shared" si="5"/>
        <v>77.488932</v>
      </c>
      <c r="AE13" s="735">
        <f t="shared" si="5"/>
        <v>77.488932</v>
      </c>
      <c r="AF13" s="709">
        <f t="shared" si="5"/>
        <v>77.488932</v>
      </c>
      <c r="AG13" s="709">
        <f t="shared" si="5"/>
        <v>77.488932</v>
      </c>
      <c r="AH13" s="736">
        <f t="shared" si="5"/>
        <v>77.488932</v>
      </c>
      <c r="AI13" s="733">
        <f>SUM(AI11:AI12)</f>
        <v>77.488932</v>
      </c>
      <c r="AJ13" s="709">
        <f>SUM(AJ11:AJ12)</f>
        <v>77.488932</v>
      </c>
      <c r="AK13" s="709">
        <f>SUM(AK11:AK12)</f>
        <v>77.488932</v>
      </c>
      <c r="AL13" s="734">
        <f>SUM(AL11:AL12)</f>
        <v>77.488932</v>
      </c>
      <c r="AM13" s="596">
        <f t="shared" si="0"/>
        <v>4882.755300000003</v>
      </c>
      <c r="AN13" s="29"/>
      <c r="AP13" s="501"/>
      <c r="AQ13" s="501"/>
      <c r="AR13" s="501"/>
      <c r="AS13" s="501"/>
      <c r="AT13" s="501"/>
      <c r="AU13" s="501"/>
      <c r="AV13" s="501"/>
      <c r="AW13" s="508"/>
    </row>
    <row r="14" spans="1:49" ht="18.75" customHeight="1">
      <c r="A14" s="1077" t="s">
        <v>290</v>
      </c>
      <c r="B14" s="709">
        <f>Depreciation!E10</f>
        <v>0</v>
      </c>
      <c r="C14" s="709">
        <f>Depreciation!H10</f>
        <v>0</v>
      </c>
      <c r="D14" s="709">
        <f>Depreciation!K10</f>
        <v>0</v>
      </c>
      <c r="E14" s="734">
        <f>Depreciation!N10</f>
        <v>0</v>
      </c>
      <c r="F14" s="1257">
        <f>Depreciation!Z10</f>
        <v>2197.804</v>
      </c>
      <c r="G14" s="733"/>
      <c r="H14" s="709"/>
      <c r="I14" s="709"/>
      <c r="J14" s="734"/>
      <c r="K14" s="1311">
        <f>Depreciation!AC10</f>
        <v>436.754</v>
      </c>
      <c r="L14" s="709">
        <f>Depreciation!AF10</f>
        <v>445.303</v>
      </c>
      <c r="M14" s="709">
        <f>Depreciation!AI10</f>
        <v>4762.051</v>
      </c>
      <c r="N14" s="736">
        <f>Depreciation!AL10</f>
        <v>4540.436949999999</v>
      </c>
      <c r="O14" s="733">
        <f>Depreciation!AO10</f>
        <v>4290.933717012501</v>
      </c>
      <c r="P14" s="734">
        <f>Depreciation!AR10</f>
        <v>4378.306856828792</v>
      </c>
      <c r="Q14" s="709">
        <f>Depreciation!AU10</f>
        <v>4386.992112413352</v>
      </c>
      <c r="R14" s="1165">
        <f>Depreciation!AX10</f>
        <v>4400.987522611946</v>
      </c>
      <c r="S14" s="1261">
        <f>Depreciation!BA10</f>
        <v>9866.343058742665</v>
      </c>
      <c r="T14" s="709">
        <f>Depreciation!BD10</f>
        <v>9502.148525688579</v>
      </c>
      <c r="U14" s="709">
        <f>Depreciation!BG10</f>
        <v>9082.796837625994</v>
      </c>
      <c r="V14" s="736">
        <f>Depreciation!BJ10</f>
        <v>8606.80953335408</v>
      </c>
      <c r="W14" s="733">
        <f>Depreciation!BM10</f>
        <v>8158.309412507007</v>
      </c>
      <c r="X14" s="709">
        <f>Depreciation!BP10</f>
        <v>7816.1712845894035</v>
      </c>
      <c r="Y14" s="709">
        <f>Depreciation!BS10</f>
        <v>7414.006576893023</v>
      </c>
      <c r="Z14" s="734">
        <f>Depreciation!BV10</f>
        <v>7034.882696861558</v>
      </c>
      <c r="AA14" s="735">
        <f>Depreciation!BY10</f>
        <v>6677.424747485539</v>
      </c>
      <c r="AB14" s="709">
        <f>Depreciation!CB10</f>
        <v>6420.868664169437</v>
      </c>
      <c r="AC14" s="709">
        <f>Depreciation!CE10</f>
        <v>6099.1633518161325</v>
      </c>
      <c r="AD14" s="736">
        <f>Depreciation!CH10</f>
        <v>5795.691764801278</v>
      </c>
      <c r="AE14" s="735">
        <f>Depreciation!CK10</f>
        <v>5509.374192399807</v>
      </c>
      <c r="AF14" s="709">
        <f>Depreciation!CN10</f>
        <v>5239.196593599462</v>
      </c>
      <c r="AG14" s="709">
        <f>Depreciation!CQ10</f>
        <v>4984.206462018279</v>
      </c>
      <c r="AH14" s="736">
        <f>Depreciation!CT10</f>
        <v>4743.508969128994</v>
      </c>
      <c r="AI14" s="733">
        <f>Depreciation!CW10</f>
        <v>4516.26336458375</v>
      </c>
      <c r="AJ14" s="709">
        <f>Depreciation!CZ10</f>
        <v>4298.659592376006</v>
      </c>
      <c r="AK14" s="709">
        <f>Depreciation!DC10</f>
        <v>4093.0356157433384</v>
      </c>
      <c r="AL14" s="734">
        <f>Depreciation!DF10</f>
        <v>3898.6924050441353</v>
      </c>
      <c r="AM14" s="596">
        <f t="shared" si="0"/>
        <v>159597.12280829507</v>
      </c>
      <c r="AN14" s="29"/>
      <c r="AP14" s="501"/>
      <c r="AQ14" s="501"/>
      <c r="AR14" s="501"/>
      <c r="AS14" s="501"/>
      <c r="AT14" s="501"/>
      <c r="AU14" s="501"/>
      <c r="AV14" s="501"/>
      <c r="AW14" s="508"/>
    </row>
    <row r="15" spans="1:49" ht="18.75" customHeight="1">
      <c r="A15" s="1077" t="s">
        <v>384</v>
      </c>
      <c r="B15" s="709"/>
      <c r="C15" s="709"/>
      <c r="D15" s="709"/>
      <c r="E15" s="734"/>
      <c r="F15" s="1084"/>
      <c r="G15" s="733"/>
      <c r="H15" s="709"/>
      <c r="I15" s="709"/>
      <c r="J15" s="734"/>
      <c r="K15" s="1311">
        <f>Costs!G33</f>
        <v>21.722775175</v>
      </c>
      <c r="L15" s="709">
        <f>Costs!H33</f>
        <v>21.512330550999998</v>
      </c>
      <c r="M15" s="709">
        <f>Costs!I33</f>
        <v>21.859009975</v>
      </c>
      <c r="N15" s="736">
        <f>SUM(Costs!J10,Costs!J14,Costs!J20,Costs!J27,Costs!J33,Costs!J40,Costs!J46,Costs!J52,Costs!J58)</f>
        <v>261.93532446184577</v>
      </c>
      <c r="O15" s="733">
        <f>SUM(Costs!K10,Costs!K14,Costs!K20,Costs!K27,Costs!K33,Costs!K40,Costs!K46,Costs!K52,Costs!K58)</f>
        <v>622.5838385417023</v>
      </c>
      <c r="P15" s="734">
        <f>SUM(Costs!L10,Costs!L14,Costs!L20,Costs!L27,Costs!L33,Costs!L40,Costs!L46,Costs!L52,Costs!L58)</f>
        <v>622.5838385417023</v>
      </c>
      <c r="Q15" s="709">
        <f>SUM(Costs!M10,Costs!M14,Costs!M20,Costs!M27,Costs!M33,Costs!M40,Costs!M46,Costs!M52,Costs!M58)</f>
        <v>622.5838385417023</v>
      </c>
      <c r="R15" s="1165">
        <f>SUM(Costs!N10,Costs!N14,Costs!N20,Costs!N27,Costs!N33,Costs!N40,Costs!N46,Costs!N52,Costs!N58)</f>
        <v>622.5838385417023</v>
      </c>
      <c r="S15" s="1261">
        <f>SUM(Costs!O10,Costs!O14,Costs!O20,Costs!O27,Costs!O33,Costs!O40,Costs!O46,Costs!O52,Costs!O58)</f>
        <v>1243.9669216596506</v>
      </c>
      <c r="T15" s="709">
        <f>SUM(Costs!P10,Costs!P14,Costs!P20,Costs!P27,Costs!P33,Costs!P40,Costs!P46,Costs!P52,Costs!P58)</f>
        <v>1243.9669216596506</v>
      </c>
      <c r="U15" s="709">
        <f>SUM(Costs!Q10,Costs!Q14,Costs!Q20,Costs!Q27,Costs!Q33,Costs!Q40,Costs!Q46,Costs!Q52,Costs!Q58)</f>
        <v>1243.9669216596506</v>
      </c>
      <c r="V15" s="736">
        <f>SUM(Costs!R10,Costs!R14,Costs!R20,Costs!R27,Costs!R33,Costs!R40,Costs!R46,Costs!R52,Costs!R58)</f>
        <v>1243.9669216596506</v>
      </c>
      <c r="W15" s="733">
        <f>SUM(Costs!S10,Costs!S14,Costs!S20,Costs!S27,Costs!S33,Costs!S40,Costs!S46,Costs!S52,Costs!S58)</f>
        <v>1255.4613308596504</v>
      </c>
      <c r="X15" s="709">
        <f>SUM(Costs!T10,Costs!T14,Costs!T20,Costs!T27,Costs!T33,Costs!T40,Costs!T46,Costs!T52,Costs!T58)</f>
        <v>1255.4613308596504</v>
      </c>
      <c r="Y15" s="709">
        <f>SUM(Costs!U10,Costs!U14,Costs!U20,Costs!U27,Costs!U33,Costs!U40,Costs!U46,Costs!U52,Costs!U58)</f>
        <v>1255.4613308596504</v>
      </c>
      <c r="Z15" s="734">
        <f>SUM(Costs!V10,Costs!V14,Costs!V20,Costs!V27,Costs!V33,Costs!V40,Costs!V46,Costs!V52,Costs!V58)</f>
        <v>1255.4613308596504</v>
      </c>
      <c r="AA15" s="735">
        <f>SUM(Costs!W10,Costs!W14,Costs!W20,Costs!W27,Costs!W33,Costs!W40,Costs!W46,Costs!W52,Costs!W58)</f>
        <v>1264.3796808596505</v>
      </c>
      <c r="AB15" s="709">
        <f>SUM(Costs!X10,Costs!X14,Costs!X20,Costs!X27,Costs!X33,Costs!X40,Costs!X46,Costs!X52,Costs!X58)</f>
        <v>1264.3796808596505</v>
      </c>
      <c r="AC15" s="709">
        <f>SUM(Costs!Y10,Costs!Y14,Costs!Y20,Costs!Y27,Costs!Y33,Costs!Y40,Costs!Y46,Costs!Y52,Costs!Y58)</f>
        <v>1264.3796808596505</v>
      </c>
      <c r="AD15" s="736">
        <f>SUM(Costs!Z10,Costs!Z14,Costs!Z20,Costs!Z27,Costs!Z33,Costs!Z40,Costs!Z46,Costs!Z52,Costs!Z58)</f>
        <v>1264.3796808596505</v>
      </c>
      <c r="AE15" s="735">
        <f>SUM(Costs!AA10,Costs!AA14,Costs!AA20,Costs!AA27,Costs!AA33,Costs!AA40,Costs!AA46,Costs!AA52,Costs!AA58)</f>
        <v>1264.3796808596505</v>
      </c>
      <c r="AF15" s="709">
        <f>SUM(Costs!AB10,Costs!AB14,Costs!AB20,Costs!AB27,Costs!AB33,Costs!AB40,Costs!AB46,Costs!AB52,Costs!AB58)</f>
        <v>1264.3796808596505</v>
      </c>
      <c r="AG15" s="709">
        <f>SUM(Costs!AC10,Costs!AC14,Costs!AC20,Costs!AC27,Costs!AC33,Costs!AC40,Costs!AC46,Costs!AC52,Costs!AC58)</f>
        <v>1264.3796808596505</v>
      </c>
      <c r="AH15" s="736">
        <f>SUM(Costs!AD10,Costs!AD14,Costs!AD20,Costs!AD27,Costs!AD33,Costs!AD40,Costs!AD46,Costs!AD52,Costs!AD58)</f>
        <v>1264.3796808596505</v>
      </c>
      <c r="AI15" s="733">
        <f>SUM(Costs!AE10,Costs!AE14,Costs!AE20,Costs!AE27,Costs!AE33,Costs!AE40,Costs!AE46,Costs!AE52,Costs!AE58)</f>
        <v>1264.3796808596505</v>
      </c>
      <c r="AJ15" s="709">
        <f>SUM(Costs!AF10,Costs!AF14,Costs!AF20,Costs!AF27,Costs!AF33,Costs!AF40,Costs!AF46,Costs!AF52,Costs!AF58)</f>
        <v>1264.3796808596505</v>
      </c>
      <c r="AK15" s="709">
        <f>SUM(Costs!AG10,Costs!AG14,Costs!AG20,Costs!AG27,Costs!AG33,Costs!AG40,Costs!AG46,Costs!AG52,Costs!AG58)</f>
        <v>1264.3796808596505</v>
      </c>
      <c r="AL15" s="734">
        <f>SUM(Costs!AH10,Costs!AH14,Costs!AH20,Costs!AH27,Costs!AH33,Costs!AH40,Costs!AH46,Costs!AH52,Costs!AH58)</f>
        <v>1264.3796808596505</v>
      </c>
      <c r="AM15" s="596">
        <f t="shared" si="0"/>
        <v>27987.633974722652</v>
      </c>
      <c r="AN15" s="29"/>
      <c r="AO15" s="512"/>
      <c r="AP15" s="501"/>
      <c r="AQ15" s="501"/>
      <c r="AR15" s="501"/>
      <c r="AS15" s="501"/>
      <c r="AT15" s="501"/>
      <c r="AU15" s="501"/>
      <c r="AV15" s="501"/>
      <c r="AW15" s="508"/>
    </row>
    <row r="16" spans="1:49" ht="18.75" customHeight="1">
      <c r="A16" s="1077" t="s">
        <v>285</v>
      </c>
      <c r="B16" s="709">
        <f aca="true" t="shared" si="6" ref="B16:AH16">SUM(B14:B15)</f>
        <v>0</v>
      </c>
      <c r="C16" s="709">
        <f t="shared" si="6"/>
        <v>0</v>
      </c>
      <c r="D16" s="709">
        <f t="shared" si="6"/>
        <v>0</v>
      </c>
      <c r="E16" s="734">
        <f t="shared" si="6"/>
        <v>0</v>
      </c>
      <c r="F16" s="596">
        <v>0</v>
      </c>
      <c r="G16" s="733"/>
      <c r="H16" s="709"/>
      <c r="I16" s="709"/>
      <c r="J16" s="734"/>
      <c r="K16" s="735">
        <f t="shared" si="6"/>
        <v>458.476775175</v>
      </c>
      <c r="L16" s="709">
        <f t="shared" si="6"/>
        <v>466.815330551</v>
      </c>
      <c r="M16" s="709">
        <f t="shared" si="6"/>
        <v>4783.910009975</v>
      </c>
      <c r="N16" s="736">
        <f t="shared" si="6"/>
        <v>4802.372274461845</v>
      </c>
      <c r="O16" s="733">
        <f t="shared" si="6"/>
        <v>4913.517555554203</v>
      </c>
      <c r="P16" s="734">
        <f t="shared" si="6"/>
        <v>5000.890695370494</v>
      </c>
      <c r="Q16" s="709">
        <f t="shared" si="6"/>
        <v>5009.5759509550535</v>
      </c>
      <c r="R16" s="1165">
        <f t="shared" si="6"/>
        <v>5023.5713611536485</v>
      </c>
      <c r="S16" s="1261">
        <f t="shared" si="6"/>
        <v>11110.309980402315</v>
      </c>
      <c r="T16" s="709">
        <f t="shared" si="6"/>
        <v>10746.11544734823</v>
      </c>
      <c r="U16" s="709">
        <f t="shared" si="6"/>
        <v>10326.763759285644</v>
      </c>
      <c r="V16" s="736">
        <f t="shared" si="6"/>
        <v>9850.77645501373</v>
      </c>
      <c r="W16" s="733">
        <f t="shared" si="6"/>
        <v>9413.770743366658</v>
      </c>
      <c r="X16" s="709">
        <f t="shared" si="6"/>
        <v>9071.632615449054</v>
      </c>
      <c r="Y16" s="709">
        <f t="shared" si="6"/>
        <v>8669.467907752673</v>
      </c>
      <c r="Z16" s="734">
        <f t="shared" si="6"/>
        <v>8290.344027721208</v>
      </c>
      <c r="AA16" s="735">
        <f t="shared" si="6"/>
        <v>7941.80442834519</v>
      </c>
      <c r="AB16" s="709">
        <f t="shared" si="6"/>
        <v>7685.248345029087</v>
      </c>
      <c r="AC16" s="709">
        <f t="shared" si="6"/>
        <v>7363.543032675783</v>
      </c>
      <c r="AD16" s="736">
        <f t="shared" si="6"/>
        <v>7060.0714456609285</v>
      </c>
      <c r="AE16" s="735">
        <f t="shared" si="6"/>
        <v>6773.753873259458</v>
      </c>
      <c r="AF16" s="709">
        <f t="shared" si="6"/>
        <v>6503.576274459113</v>
      </c>
      <c r="AG16" s="709">
        <f t="shared" si="6"/>
        <v>6248.58614287793</v>
      </c>
      <c r="AH16" s="736">
        <f t="shared" si="6"/>
        <v>6007.888649988645</v>
      </c>
      <c r="AI16" s="733">
        <f>SUM(AI14:AI15)</f>
        <v>5780.643045443401</v>
      </c>
      <c r="AJ16" s="709">
        <f>SUM(AJ14:AJ15)</f>
        <v>5563.039273235657</v>
      </c>
      <c r="AK16" s="709">
        <f>SUM(AK14:AK15)</f>
        <v>5357.415296602989</v>
      </c>
      <c r="AL16" s="734">
        <f>SUM(AL14:AL15)</f>
        <v>5163.072085903786</v>
      </c>
      <c r="AM16" s="596">
        <f t="shared" si="0"/>
        <v>185386.95278301774</v>
      </c>
      <c r="AN16" s="508"/>
      <c r="AP16" s="501"/>
      <c r="AQ16" s="501"/>
      <c r="AR16" s="501"/>
      <c r="AS16" s="501"/>
      <c r="AT16" s="501"/>
      <c r="AU16" s="501"/>
      <c r="AV16" s="501"/>
      <c r="AW16" s="508"/>
    </row>
    <row r="17" spans="1:48" ht="18.75" customHeight="1">
      <c r="A17" s="1076" t="s">
        <v>385</v>
      </c>
      <c r="B17" s="74">
        <v>0</v>
      </c>
      <c r="C17" s="74">
        <f>B18</f>
        <v>-646.1</v>
      </c>
      <c r="D17" s="74">
        <f>C17+C18</f>
        <v>-1360.1</v>
      </c>
      <c r="E17" s="576">
        <f>D17+D18</f>
        <v>-1994.8</v>
      </c>
      <c r="F17" s="596">
        <v>0</v>
      </c>
      <c r="G17" s="73"/>
      <c r="H17" s="74"/>
      <c r="I17" s="74"/>
      <c r="J17" s="576"/>
      <c r="K17" s="72">
        <f>F19</f>
        <v>-14749.625756</v>
      </c>
      <c r="L17" s="74">
        <f>K17+K18</f>
        <v>-16783.3027912</v>
      </c>
      <c r="M17" s="74">
        <f>L17+L18</f>
        <v>-16069.455847379999</v>
      </c>
      <c r="N17" s="75">
        <f>M17+M18</f>
        <v>-21752.9881866525</v>
      </c>
      <c r="O17" s="73">
        <f>N17+N18</f>
        <v>-27783.845503549866</v>
      </c>
      <c r="P17" s="576">
        <f>O19</f>
        <v>-28542.328997978366</v>
      </c>
      <c r="Q17" s="74">
        <f>P19</f>
        <v>-29475.558772039447</v>
      </c>
      <c r="R17" s="1166">
        <f>Q19</f>
        <v>-30426.159057269648</v>
      </c>
      <c r="S17" s="1262">
        <f>R19</f>
        <v>-31404.75016289704</v>
      </c>
      <c r="T17" s="74">
        <v>0</v>
      </c>
      <c r="U17" s="74">
        <v>0</v>
      </c>
      <c r="V17" s="75">
        <v>0</v>
      </c>
      <c r="W17" s="73">
        <v>0</v>
      </c>
      <c r="X17" s="74">
        <v>0</v>
      </c>
      <c r="Y17" s="74">
        <v>0</v>
      </c>
      <c r="Z17" s="576">
        <v>0</v>
      </c>
      <c r="AA17" s="72">
        <v>0</v>
      </c>
      <c r="AB17" s="74">
        <v>0</v>
      </c>
      <c r="AC17" s="74">
        <v>0</v>
      </c>
      <c r="AD17" s="75">
        <v>0</v>
      </c>
      <c r="AE17" s="72">
        <v>0</v>
      </c>
      <c r="AF17" s="74">
        <v>0</v>
      </c>
      <c r="AG17" s="74">
        <v>0</v>
      </c>
      <c r="AH17" s="75">
        <v>0</v>
      </c>
      <c r="AI17" s="73">
        <v>0</v>
      </c>
      <c r="AJ17" s="74">
        <v>0</v>
      </c>
      <c r="AK17" s="74">
        <v>0</v>
      </c>
      <c r="AL17" s="576">
        <v>0</v>
      </c>
      <c r="AM17" s="596"/>
      <c r="AP17" s="501"/>
      <c r="AQ17" s="501"/>
      <c r="AR17" s="501"/>
      <c r="AS17" s="501"/>
      <c r="AT17" s="501"/>
      <c r="AU17" s="501"/>
      <c r="AV17" s="501"/>
    </row>
    <row r="18" spans="1:48" ht="18.75" customHeight="1" thickBot="1">
      <c r="A18" s="1079" t="s">
        <v>77</v>
      </c>
      <c r="B18" s="813">
        <f>B10-B13-B16</f>
        <v>-646.1</v>
      </c>
      <c r="C18" s="813">
        <f>C10-C13-C16</f>
        <v>-714</v>
      </c>
      <c r="D18" s="813">
        <f>D10-D13-D16</f>
        <v>-634.7</v>
      </c>
      <c r="E18" s="1083">
        <f>E10-E13-E16</f>
        <v>-1936.8000000000002</v>
      </c>
      <c r="F18" s="1085">
        <f>F10-F13-F16-F14</f>
        <v>-14749.625756</v>
      </c>
      <c r="G18" s="589">
        <f aca="true" t="shared" si="7" ref="G18:AH18">G10-G13-G16-G14</f>
        <v>0</v>
      </c>
      <c r="H18" s="1054">
        <f t="shared" si="7"/>
        <v>0</v>
      </c>
      <c r="I18" s="1054">
        <f t="shared" si="7"/>
        <v>0</v>
      </c>
      <c r="J18" s="1058">
        <f t="shared" si="7"/>
        <v>0</v>
      </c>
      <c r="K18" s="1060">
        <f t="shared" si="7"/>
        <v>-2033.6770352000003</v>
      </c>
      <c r="L18" s="1054">
        <f t="shared" si="7"/>
        <v>713.8469438200012</v>
      </c>
      <c r="M18" s="1054">
        <f t="shared" si="7"/>
        <v>-5683.5323392724995</v>
      </c>
      <c r="N18" s="1061">
        <f t="shared" si="7"/>
        <v>-6030.857316897366</v>
      </c>
      <c r="O18" s="589">
        <f t="shared" si="7"/>
        <v>-758.4834944285003</v>
      </c>
      <c r="P18" s="1058">
        <f t="shared" si="7"/>
        <v>-933.229774061082</v>
      </c>
      <c r="Q18" s="1054">
        <f t="shared" si="7"/>
        <v>-950.6002852302017</v>
      </c>
      <c r="R18" s="1167">
        <f t="shared" si="7"/>
        <v>-978.5911056273908</v>
      </c>
      <c r="S18" s="1263">
        <f t="shared" si="7"/>
        <v>209292.4721575411</v>
      </c>
      <c r="T18" s="1054">
        <f t="shared" si="7"/>
        <v>3922.764910735257</v>
      </c>
      <c r="U18" s="1054">
        <f t="shared" si="7"/>
        <v>4761.468286860427</v>
      </c>
      <c r="V18" s="1061">
        <f t="shared" si="7"/>
        <v>5713.442895404254</v>
      </c>
      <c r="W18" s="589">
        <f t="shared" si="7"/>
        <v>126630.27328131256</v>
      </c>
      <c r="X18" s="1054">
        <f t="shared" si="7"/>
        <v>9141.687888220582</v>
      </c>
      <c r="Y18" s="1054">
        <f t="shared" si="7"/>
        <v>9946.017303613342</v>
      </c>
      <c r="Z18" s="1058">
        <f t="shared" si="7"/>
        <v>10704.265063676274</v>
      </c>
      <c r="AA18" s="1060">
        <f t="shared" si="7"/>
        <v>131479.67185307358</v>
      </c>
      <c r="AB18" s="1054">
        <f t="shared" si="7"/>
        <v>13819.922370778644</v>
      </c>
      <c r="AC18" s="1054">
        <f t="shared" si="7"/>
        <v>14463.332995485252</v>
      </c>
      <c r="AD18" s="1061">
        <f t="shared" si="7"/>
        <v>15070.27616951496</v>
      </c>
      <c r="AE18" s="1060">
        <f t="shared" si="7"/>
        <v>135844.60500454908</v>
      </c>
      <c r="AF18" s="1054">
        <f t="shared" si="7"/>
        <v>18212.09855322262</v>
      </c>
      <c r="AG18" s="1054">
        <f t="shared" si="7"/>
        <v>18722.078816384987</v>
      </c>
      <c r="AH18" s="1061">
        <f t="shared" si="7"/>
        <v>19203.473802163553</v>
      </c>
      <c r="AI18" s="589">
        <f>AI10-AI13-AI16-AI14</f>
        <v>139961.10030355045</v>
      </c>
      <c r="AJ18" s="1054">
        <f>AJ10-AJ13-AJ16-AJ14</f>
        <v>22223.44619903877</v>
      </c>
      <c r="AK18" s="1054">
        <f>AK10-AK13-AK16-AK14</f>
        <v>22634.694152304106</v>
      </c>
      <c r="AL18" s="1058">
        <f>AL10-AL13-AL16-AL14</f>
        <v>23023.380573702514</v>
      </c>
      <c r="AM18" s="76"/>
      <c r="AP18" s="501"/>
      <c r="AQ18" s="501"/>
      <c r="AR18" s="501"/>
      <c r="AS18" s="501"/>
      <c r="AT18" s="501"/>
      <c r="AU18" s="501"/>
      <c r="AV18" s="501"/>
    </row>
    <row r="19" spans="1:48" ht="18.75" customHeight="1" thickBot="1">
      <c r="A19" s="1082" t="s">
        <v>386</v>
      </c>
      <c r="B19" s="604">
        <v>0</v>
      </c>
      <c r="C19" s="604">
        <f>C17+C18</f>
        <v>-1360.1</v>
      </c>
      <c r="D19" s="604">
        <f>D17+D18</f>
        <v>-1994.8</v>
      </c>
      <c r="E19" s="605">
        <f>E17+E18</f>
        <v>-3931.6000000000004</v>
      </c>
      <c r="F19" s="608">
        <f>F18</f>
        <v>-14749.625756</v>
      </c>
      <c r="G19" s="603"/>
      <c r="H19" s="604"/>
      <c r="I19" s="604"/>
      <c r="J19" s="605"/>
      <c r="K19" s="606">
        <f>K17+K18</f>
        <v>-16783.3027912</v>
      </c>
      <c r="L19" s="604">
        <f aca="true" t="shared" si="8" ref="L19:AH19">L17+L18</f>
        <v>-16069.455847379999</v>
      </c>
      <c r="M19" s="604">
        <f t="shared" si="8"/>
        <v>-21752.9881866525</v>
      </c>
      <c r="N19" s="607">
        <f t="shared" si="8"/>
        <v>-27783.845503549866</v>
      </c>
      <c r="O19" s="606">
        <f t="shared" si="8"/>
        <v>-28542.328997978366</v>
      </c>
      <c r="P19" s="605">
        <f t="shared" si="8"/>
        <v>-29475.558772039447</v>
      </c>
      <c r="Q19" s="604">
        <f t="shared" si="8"/>
        <v>-30426.159057269648</v>
      </c>
      <c r="R19" s="1314">
        <f t="shared" si="8"/>
        <v>-31404.75016289704</v>
      </c>
      <c r="S19" s="1264">
        <f t="shared" si="8"/>
        <v>177887.72199464406</v>
      </c>
      <c r="T19" s="604">
        <f t="shared" si="8"/>
        <v>3922.764910735257</v>
      </c>
      <c r="U19" s="604">
        <f t="shared" si="8"/>
        <v>4761.468286860427</v>
      </c>
      <c r="V19" s="607">
        <f t="shared" si="8"/>
        <v>5713.442895404254</v>
      </c>
      <c r="W19" s="603">
        <f t="shared" si="8"/>
        <v>126630.27328131256</v>
      </c>
      <c r="X19" s="604">
        <f t="shared" si="8"/>
        <v>9141.687888220582</v>
      </c>
      <c r="Y19" s="604">
        <f t="shared" si="8"/>
        <v>9946.017303613342</v>
      </c>
      <c r="Z19" s="605">
        <f t="shared" si="8"/>
        <v>10704.265063676274</v>
      </c>
      <c r="AA19" s="606">
        <f t="shared" si="8"/>
        <v>131479.67185307358</v>
      </c>
      <c r="AB19" s="604">
        <f t="shared" si="8"/>
        <v>13819.922370778644</v>
      </c>
      <c r="AC19" s="604">
        <f t="shared" si="8"/>
        <v>14463.332995485252</v>
      </c>
      <c r="AD19" s="607">
        <f t="shared" si="8"/>
        <v>15070.27616951496</v>
      </c>
      <c r="AE19" s="606">
        <f t="shared" si="8"/>
        <v>135844.60500454908</v>
      </c>
      <c r="AF19" s="604">
        <f t="shared" si="8"/>
        <v>18212.09855322262</v>
      </c>
      <c r="AG19" s="604">
        <f t="shared" si="8"/>
        <v>18722.078816384987</v>
      </c>
      <c r="AH19" s="607">
        <f t="shared" si="8"/>
        <v>19203.473802163553</v>
      </c>
      <c r="AI19" s="605">
        <f>AI17+AI18</f>
        <v>139961.10030355045</v>
      </c>
      <c r="AJ19" s="604">
        <f>AJ17+AJ18</f>
        <v>22223.44619903877</v>
      </c>
      <c r="AK19" s="604">
        <f>AK17+AK18</f>
        <v>22634.694152304106</v>
      </c>
      <c r="AL19" s="1160">
        <f>AL17+AL18</f>
        <v>23023.380573702514</v>
      </c>
      <c r="AM19" s="608"/>
      <c r="AP19" s="501"/>
      <c r="AQ19" s="501"/>
      <c r="AR19" s="501"/>
      <c r="AS19" s="501"/>
      <c r="AT19" s="501"/>
      <c r="AU19" s="501"/>
      <c r="AV19" s="501"/>
    </row>
    <row r="20" spans="1:48" ht="18.75" customHeight="1" thickBot="1">
      <c r="A20" s="1081" t="s">
        <v>78</v>
      </c>
      <c r="B20" s="1055">
        <v>0</v>
      </c>
      <c r="C20" s="1055">
        <v>0</v>
      </c>
      <c r="D20" s="1055">
        <v>0</v>
      </c>
      <c r="E20" s="1059">
        <v>0</v>
      </c>
      <c r="F20" s="1063">
        <v>0</v>
      </c>
      <c r="G20" s="1057"/>
      <c r="H20" s="1055"/>
      <c r="I20" s="1055"/>
      <c r="J20" s="1059"/>
      <c r="K20" s="1062">
        <v>0</v>
      </c>
      <c r="L20" s="1055">
        <v>0</v>
      </c>
      <c r="M20" s="1055">
        <v>0</v>
      </c>
      <c r="N20" s="1056">
        <v>0</v>
      </c>
      <c r="O20" s="1057">
        <v>0</v>
      </c>
      <c r="P20" s="1059">
        <v>0</v>
      </c>
      <c r="Q20" s="1055">
        <v>0</v>
      </c>
      <c r="R20" s="502">
        <v>0</v>
      </c>
      <c r="S20" s="1316">
        <f>S19*0.25</f>
        <v>44471.930498661015</v>
      </c>
      <c r="T20" s="1055">
        <f>T19*0.25</f>
        <v>980.6912276838143</v>
      </c>
      <c r="U20" s="1055">
        <f>U19*0.25</f>
        <v>1190.3670717151067</v>
      </c>
      <c r="V20" s="1056">
        <f>V19*0.25</f>
        <v>1428.3607238510635</v>
      </c>
      <c r="W20" s="1057">
        <f>W19*0.25</f>
        <v>31657.56832032814</v>
      </c>
      <c r="X20" s="1055">
        <f aca="true" t="shared" si="9" ref="X20:AH20">X19*0.25</f>
        <v>2285.4219720551455</v>
      </c>
      <c r="Y20" s="1055">
        <f t="shared" si="9"/>
        <v>2486.5043259033355</v>
      </c>
      <c r="Z20" s="1059">
        <f t="shared" si="9"/>
        <v>2676.0662659190684</v>
      </c>
      <c r="AA20" s="1062">
        <f t="shared" si="9"/>
        <v>32869.917963268395</v>
      </c>
      <c r="AB20" s="1055">
        <f t="shared" si="9"/>
        <v>3454.980592694661</v>
      </c>
      <c r="AC20" s="1055">
        <f t="shared" si="9"/>
        <v>3615.833248871313</v>
      </c>
      <c r="AD20" s="1056">
        <f t="shared" si="9"/>
        <v>3767.56904237874</v>
      </c>
      <c r="AE20" s="1062">
        <f t="shared" si="9"/>
        <v>33961.15125113727</v>
      </c>
      <c r="AF20" s="1055">
        <f t="shared" si="9"/>
        <v>4553.024638305655</v>
      </c>
      <c r="AG20" s="1055">
        <f t="shared" si="9"/>
        <v>4680.519704096247</v>
      </c>
      <c r="AH20" s="1056">
        <f t="shared" si="9"/>
        <v>4800.868450540888</v>
      </c>
      <c r="AI20" s="1059">
        <f>AI19*0.25</f>
        <v>34990.275075887614</v>
      </c>
      <c r="AJ20" s="1055">
        <f>AJ19*0.25</f>
        <v>5555.861549759693</v>
      </c>
      <c r="AK20" s="1055">
        <f>AK19*0.25</f>
        <v>5658.6735380760265</v>
      </c>
      <c r="AL20" s="1161">
        <f>AL19*0.25</f>
        <v>5755.8451434256285</v>
      </c>
      <c r="AM20" s="1063">
        <f>SUM(F20:AL20)</f>
        <v>230841.43060455882</v>
      </c>
      <c r="AP20" s="501"/>
      <c r="AQ20" s="501"/>
      <c r="AR20" s="501"/>
      <c r="AS20" s="501"/>
      <c r="AT20" s="501"/>
      <c r="AU20" s="501"/>
      <c r="AV20" s="501"/>
    </row>
    <row r="21" spans="1:48" ht="18.75" customHeight="1" thickBot="1">
      <c r="A21" s="1080" t="s">
        <v>64</v>
      </c>
      <c r="B21" s="600">
        <v>0</v>
      </c>
      <c r="C21" s="600">
        <v>0</v>
      </c>
      <c r="D21" s="600">
        <v>0</v>
      </c>
      <c r="E21" s="601">
        <v>0</v>
      </c>
      <c r="F21" s="79">
        <v>0</v>
      </c>
      <c r="G21" s="78"/>
      <c r="H21" s="600"/>
      <c r="I21" s="600"/>
      <c r="J21" s="601"/>
      <c r="K21" s="77">
        <v>0</v>
      </c>
      <c r="L21" s="600">
        <v>0</v>
      </c>
      <c r="M21" s="600">
        <v>0</v>
      </c>
      <c r="N21" s="602">
        <v>0</v>
      </c>
      <c r="O21" s="77">
        <v>0</v>
      </c>
      <c r="P21" s="601">
        <v>0</v>
      </c>
      <c r="Q21" s="600">
        <v>0</v>
      </c>
      <c r="R21" s="1315">
        <v>0</v>
      </c>
      <c r="S21" s="1317">
        <f>S19-S20</f>
        <v>133415.79149598305</v>
      </c>
      <c r="T21" s="600">
        <f>T19-T20</f>
        <v>2942.073683051443</v>
      </c>
      <c r="U21" s="600">
        <f>U19-U20</f>
        <v>3571.10121514532</v>
      </c>
      <c r="V21" s="602">
        <f>V19-V20</f>
        <v>4285.082171553191</v>
      </c>
      <c r="W21" s="78">
        <f>W19-W20</f>
        <v>94972.70496098443</v>
      </c>
      <c r="X21" s="600">
        <f aca="true" t="shared" si="10" ref="X21:AH21">X19-X20</f>
        <v>6856.2659161654365</v>
      </c>
      <c r="Y21" s="600">
        <f t="shared" si="10"/>
        <v>7459.512977710006</v>
      </c>
      <c r="Z21" s="601">
        <f t="shared" si="10"/>
        <v>8028.198797757205</v>
      </c>
      <c r="AA21" s="77">
        <f t="shared" si="10"/>
        <v>98609.75388980519</v>
      </c>
      <c r="AB21" s="600">
        <f t="shared" si="10"/>
        <v>10364.941778083983</v>
      </c>
      <c r="AC21" s="600">
        <f t="shared" si="10"/>
        <v>10847.49974661394</v>
      </c>
      <c r="AD21" s="602">
        <f t="shared" si="10"/>
        <v>11302.70712713622</v>
      </c>
      <c r="AE21" s="77">
        <f t="shared" si="10"/>
        <v>101883.45375341181</v>
      </c>
      <c r="AF21" s="600">
        <f t="shared" si="10"/>
        <v>13659.073914916964</v>
      </c>
      <c r="AG21" s="600">
        <f t="shared" si="10"/>
        <v>14041.55911228874</v>
      </c>
      <c r="AH21" s="602">
        <f t="shared" si="10"/>
        <v>14402.605351622664</v>
      </c>
      <c r="AI21" s="601">
        <f>AI19-AI20</f>
        <v>104970.82522766283</v>
      </c>
      <c r="AJ21" s="600">
        <f>AJ19-AJ20</f>
        <v>16667.58464927908</v>
      </c>
      <c r="AK21" s="600">
        <f>AK19-AK20</f>
        <v>16976.02061422808</v>
      </c>
      <c r="AL21" s="1162">
        <f>AL19-AL20</f>
        <v>17267.535430276886</v>
      </c>
      <c r="AM21" s="79">
        <f>SUM(F21:AL21)</f>
        <v>692524.2918136765</v>
      </c>
      <c r="AP21" s="501"/>
      <c r="AQ21" s="501"/>
      <c r="AR21" s="501"/>
      <c r="AS21" s="501"/>
      <c r="AT21" s="501"/>
      <c r="AU21" s="501"/>
      <c r="AV21" s="501"/>
    </row>
    <row r="23" spans="6:38" ht="18.75" customHeight="1">
      <c r="F23" s="1004"/>
      <c r="K23" s="1004"/>
      <c r="L23" s="1004"/>
      <c r="M23" s="1004"/>
      <c r="N23" s="1004"/>
      <c r="O23" s="1004"/>
      <c r="P23" s="1004"/>
      <c r="Q23" s="1004"/>
      <c r="R23" s="1004"/>
      <c r="S23" s="1265"/>
      <c r="T23" s="1004"/>
      <c r="U23" s="1004"/>
      <c r="V23" s="1004"/>
      <c r="W23" s="1004"/>
      <c r="X23" s="1004"/>
      <c r="Y23" s="1004"/>
      <c r="Z23" s="1004"/>
      <c r="AA23" s="1004"/>
      <c r="AB23" s="1004"/>
      <c r="AC23" s="1004"/>
      <c r="AD23" s="1004"/>
      <c r="AE23" s="1004"/>
      <c r="AF23" s="1004"/>
      <c r="AG23" s="1004"/>
      <c r="AH23" s="1004"/>
      <c r="AI23" s="1004"/>
      <c r="AJ23" s="1004"/>
      <c r="AK23" s="1004"/>
      <c r="AL23" s="1004"/>
    </row>
    <row r="26" spans="1:49" s="511" customFormat="1" ht="18.75" customHeight="1">
      <c r="A26" s="500"/>
      <c r="B26" s="501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1266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1"/>
      <c r="AP26" s="502"/>
      <c r="AQ26" s="502"/>
      <c r="AR26" s="502"/>
      <c r="AS26" s="502"/>
      <c r="AT26" s="502"/>
      <c r="AU26" s="502"/>
      <c r="AV26" s="502"/>
      <c r="AW26" s="502"/>
    </row>
    <row r="27" spans="1:49" s="511" customFormat="1" ht="18.75" customHeight="1">
      <c r="A27" s="500"/>
      <c r="B27" s="501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1266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1"/>
      <c r="AP27" s="502"/>
      <c r="AQ27" s="502"/>
      <c r="AR27" s="502"/>
      <c r="AS27" s="502"/>
      <c r="AT27" s="502"/>
      <c r="AU27" s="502"/>
      <c r="AV27" s="502"/>
      <c r="AW27" s="502"/>
    </row>
  </sheetData>
  <mergeCells count="12">
    <mergeCell ref="W3:Z3"/>
    <mergeCell ref="F3:F4"/>
    <mergeCell ref="AI3:AL3"/>
    <mergeCell ref="AE3:AH3"/>
    <mergeCell ref="AM3:AM4"/>
    <mergeCell ref="A3:A4"/>
    <mergeCell ref="B3:E3"/>
    <mergeCell ref="G3:J3"/>
    <mergeCell ref="AA3:AD3"/>
    <mergeCell ref="K3:N3"/>
    <mergeCell ref="O3:R3"/>
    <mergeCell ref="S3:V3"/>
  </mergeCells>
  <printOptions/>
  <pageMargins left="0.1968503937007874" right="0.1968503937007874" top="0.66" bottom="0.2755905511811024" header="0.5" footer="0.15748031496062992"/>
  <pageSetup horizontalDpi="600" verticalDpi="600" orientation="landscape" paperSize="9" scale="70" r:id="rId3"/>
  <headerFooter alignWithMargins="0">
    <oddHeader>&amp;RПриложение 7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115" zoomScaleNormal="115" workbookViewId="0" topLeftCell="A1">
      <selection activeCell="A31" sqref="A31:IV33"/>
    </sheetView>
  </sheetViews>
  <sheetFormatPr defaultColWidth="9.00390625" defaultRowHeight="12.75"/>
  <cols>
    <col min="1" max="1" width="9.125" style="1178" customWidth="1"/>
    <col min="2" max="2" width="11.625" style="1178" hidden="1" customWidth="1"/>
    <col min="3" max="3" width="9.75390625" style="1178" hidden="1" customWidth="1"/>
    <col min="4" max="4" width="9.625" style="1178" hidden="1" customWidth="1"/>
    <col min="5" max="5" width="0" style="1178" hidden="1" customWidth="1"/>
    <col min="6" max="6" width="11.75390625" style="1178" customWidth="1"/>
    <col min="7" max="9" width="9.125" style="1178" customWidth="1"/>
    <col min="10" max="10" width="9.875" style="1178" bestFit="1" customWidth="1"/>
    <col min="11" max="16384" width="9.125" style="1178" customWidth="1"/>
  </cols>
  <sheetData>
    <row r="1" s="1177" customFormat="1" ht="15.75">
      <c r="A1" s="1177" t="s">
        <v>467</v>
      </c>
    </row>
    <row r="2" ht="13.5" thickBot="1"/>
    <row r="3" spans="1:7" s="1177" customFormat="1" ht="12.75" customHeight="1">
      <c r="A3" s="1341" t="s">
        <v>79</v>
      </c>
      <c r="B3" s="1383" t="s">
        <v>387</v>
      </c>
      <c r="C3" s="1339" t="s">
        <v>80</v>
      </c>
      <c r="D3" s="1340"/>
      <c r="E3" s="1340"/>
      <c r="F3" s="1340"/>
      <c r="G3" s="1332"/>
    </row>
    <row r="4" spans="1:7" s="1177" customFormat="1" ht="12.75">
      <c r="A4" s="1381"/>
      <c r="B4" s="1356"/>
      <c r="C4" s="839" t="s">
        <v>81</v>
      </c>
      <c r="D4" s="839" t="s">
        <v>82</v>
      </c>
      <c r="E4" s="839" t="s">
        <v>154</v>
      </c>
      <c r="F4" s="1327" t="s">
        <v>166</v>
      </c>
      <c r="G4" s="1332"/>
    </row>
    <row r="5" spans="1:7" s="1177" customFormat="1" ht="13.5" thickBot="1">
      <c r="A5" s="1382"/>
      <c r="B5" s="1384"/>
      <c r="C5" s="1176"/>
      <c r="D5" s="1176"/>
      <c r="E5" s="1176"/>
      <c r="F5" s="1328"/>
      <c r="G5" s="1332"/>
    </row>
    <row r="6" spans="1:7" ht="12.75">
      <c r="A6" s="1179">
        <v>2004</v>
      </c>
      <c r="B6" s="1180"/>
      <c r="C6" s="1180"/>
      <c r="D6" s="1180"/>
      <c r="E6" s="1180"/>
      <c r="F6" s="1329">
        <f>2317332/1000000</f>
        <v>2.317332</v>
      </c>
      <c r="G6" s="1333"/>
    </row>
    <row r="7" spans="1:7" ht="12.75">
      <c r="A7" s="1182">
        <v>2005</v>
      </c>
      <c r="B7" s="1183"/>
      <c r="C7" s="1183"/>
      <c r="D7" s="1183"/>
      <c r="E7" s="1183"/>
      <c r="F7" s="1330">
        <f>2194690/1000000</f>
        <v>2.19469</v>
      </c>
      <c r="G7" s="1334"/>
    </row>
    <row r="8" spans="1:7" ht="12.75">
      <c r="A8" s="1182">
        <v>2006</v>
      </c>
      <c r="B8" s="1183"/>
      <c r="C8" s="1183"/>
      <c r="D8" s="1183" t="s">
        <v>56</v>
      </c>
      <c r="E8" s="1183"/>
      <c r="F8" s="1330">
        <f>1591156/1000000</f>
        <v>1.591156</v>
      </c>
      <c r="G8" s="1334"/>
    </row>
    <row r="9" spans="1:7" ht="12.75">
      <c r="A9" s="1182">
        <v>2007</v>
      </c>
      <c r="B9" s="1183"/>
      <c r="C9" s="1183"/>
      <c r="D9" s="1183" t="s">
        <v>56</v>
      </c>
      <c r="E9" s="1183"/>
      <c r="F9" s="1330">
        <f>1799853/1000000</f>
        <v>1.799853</v>
      </c>
      <c r="G9" s="1334"/>
    </row>
    <row r="10" spans="1:7" ht="12.75">
      <c r="A10" s="1182">
        <v>2008</v>
      </c>
      <c r="B10" s="1183"/>
      <c r="C10" s="1183"/>
      <c r="D10" s="1183" t="s">
        <v>56</v>
      </c>
      <c r="E10" s="1183"/>
      <c r="F10" s="1330">
        <f>3301485/1000000</f>
        <v>3.301485</v>
      </c>
      <c r="G10" s="1334"/>
    </row>
    <row r="11" spans="1:7" ht="12.75">
      <c r="A11" s="1182">
        <v>2009</v>
      </c>
      <c r="B11" s="1183"/>
      <c r="C11" s="1183"/>
      <c r="D11" s="1183" t="s">
        <v>56</v>
      </c>
      <c r="E11" s="1183"/>
      <c r="F11" s="1330">
        <f>3962013/1000000</f>
        <v>3.962013</v>
      </c>
      <c r="G11" s="1334"/>
    </row>
    <row r="12" spans="1:7" ht="12.75">
      <c r="A12" s="1182">
        <v>2010</v>
      </c>
      <c r="B12" s="1183"/>
      <c r="C12" s="974"/>
      <c r="D12" s="1183" t="s">
        <v>56</v>
      </c>
      <c r="E12" s="1183"/>
      <c r="F12" s="1330">
        <f>3962013/1000000</f>
        <v>3.962013</v>
      </c>
      <c r="G12" s="1334"/>
    </row>
    <row r="13" spans="1:7" ht="12.75">
      <c r="A13" s="1182">
        <v>2011</v>
      </c>
      <c r="B13" s="1183"/>
      <c r="C13" s="1183"/>
      <c r="D13" s="1183" t="s">
        <v>56</v>
      </c>
      <c r="E13" s="1183"/>
      <c r="F13" s="1330">
        <f>3962013/1000000</f>
        <v>3.962013</v>
      </c>
      <c r="G13" s="1334"/>
    </row>
    <row r="14" spans="1:7" ht="13.5" thickBot="1">
      <c r="A14" s="1186">
        <v>2012</v>
      </c>
      <c r="B14" s="1187"/>
      <c r="C14" s="1187"/>
      <c r="D14" s="1187"/>
      <c r="E14" s="1187"/>
      <c r="F14" s="1331">
        <f>3962013/1000000</f>
        <v>3.962013</v>
      </c>
      <c r="G14" s="1334"/>
    </row>
    <row r="15" spans="1:7" ht="12.75" hidden="1">
      <c r="A15" s="1179">
        <v>2013</v>
      </c>
      <c r="B15" s="1189"/>
      <c r="C15" s="1180"/>
      <c r="D15" s="1180"/>
      <c r="E15" s="1180"/>
      <c r="F15" s="1190"/>
      <c r="G15" s="1203"/>
    </row>
    <row r="16" spans="1:7" ht="13.5" hidden="1" thickBot="1">
      <c r="A16" s="1182">
        <v>2014</v>
      </c>
      <c r="B16" s="1202"/>
      <c r="C16" s="1183"/>
      <c r="D16" s="1202"/>
      <c r="E16" s="1183"/>
      <c r="F16" s="1185"/>
      <c r="G16" s="1200"/>
    </row>
    <row r="17" spans="1:7" ht="13.5" hidden="1" thickBot="1">
      <c r="A17" s="1205">
        <v>2015</v>
      </c>
      <c r="B17" s="1204"/>
      <c r="C17" s="1191"/>
      <c r="D17" s="1191"/>
      <c r="E17" s="1191"/>
      <c r="F17" s="1192"/>
      <c r="G17" s="1204"/>
    </row>
    <row r="18" spans="1:8" ht="12.75">
      <c r="A18" s="1198" t="s">
        <v>70</v>
      </c>
      <c r="F18" s="1193">
        <f>SUM(F6:F14)</f>
        <v>27.052567999999997</v>
      </c>
      <c r="G18" s="1193"/>
      <c r="H18" s="1193">
        <f>SUM(F8:F14)</f>
        <v>22.540545999999996</v>
      </c>
    </row>
    <row r="19" ht="13.5" thickBot="1">
      <c r="F19" s="1194"/>
    </row>
    <row r="20" spans="1:10" ht="51.75" thickBot="1">
      <c r="A20" s="1195" t="s">
        <v>79</v>
      </c>
      <c r="F20" s="1196" t="s">
        <v>388</v>
      </c>
      <c r="G20" s="1196" t="s">
        <v>389</v>
      </c>
      <c r="H20" s="1196" t="s">
        <v>390</v>
      </c>
      <c r="I20" s="1197" t="s">
        <v>469</v>
      </c>
      <c r="J20" s="1197" t="s">
        <v>468</v>
      </c>
    </row>
    <row r="21" spans="1:10" ht="12.75">
      <c r="A21" s="1207"/>
      <c r="F21" s="1208">
        <v>6800</v>
      </c>
      <c r="G21" s="1209"/>
      <c r="H21" s="1208"/>
      <c r="I21" s="1210"/>
      <c r="J21" s="1215"/>
    </row>
    <row r="22" spans="1:10" s="453" customFormat="1" ht="12.75">
      <c r="A22" s="1211">
        <v>2004</v>
      </c>
      <c r="F22" s="1212"/>
      <c r="G22" s="1213"/>
      <c r="H22" s="1212"/>
      <c r="I22" s="1214"/>
      <c r="J22" s="1216">
        <v>35832.02036417551</v>
      </c>
    </row>
    <row r="23" spans="1:10" s="453" customFormat="1" ht="12.75">
      <c r="A23" s="1182">
        <v>2005</v>
      </c>
      <c r="F23" s="1212"/>
      <c r="G23" s="1213"/>
      <c r="H23" s="1212"/>
      <c r="I23" s="1214"/>
      <c r="J23" s="1216">
        <v>33935.653921428755</v>
      </c>
    </row>
    <row r="24" spans="1:10" ht="12.75">
      <c r="A24" s="1182">
        <v>2006</v>
      </c>
      <c r="F24" s="1183">
        <v>12</v>
      </c>
      <c r="G24" s="1201">
        <v>42.7</v>
      </c>
      <c r="H24" s="974">
        <f>90554/1000</f>
        <v>90.554</v>
      </c>
      <c r="I24" s="1000">
        <f>8134.44005736138/1000</f>
        <v>8.134440057361381</v>
      </c>
      <c r="J24" s="1217">
        <v>428046.4588215613</v>
      </c>
    </row>
    <row r="25" spans="1:10" ht="12.75">
      <c r="A25" s="1182">
        <v>2007</v>
      </c>
      <c r="F25" s="1183">
        <v>12</v>
      </c>
      <c r="G25" s="974">
        <f aca="true" t="shared" si="0" ref="G25:G30">F25*$F$21/1000</f>
        <v>81.6</v>
      </c>
      <c r="H25" s="974">
        <f>237136.15/1000</f>
        <v>237.13615</v>
      </c>
      <c r="I25" s="1000">
        <f>53217.2900478011/1000</f>
        <v>53.2172900478011</v>
      </c>
      <c r="J25" s="1217">
        <v>1111039.9895371427</v>
      </c>
    </row>
    <row r="26" spans="1:10" ht="12.75">
      <c r="A26" s="1182">
        <v>2008</v>
      </c>
      <c r="F26" s="1183">
        <v>24</v>
      </c>
      <c r="G26" s="974">
        <f t="shared" si="0"/>
        <v>163.2</v>
      </c>
      <c r="H26" s="974">
        <f>482929.2/1000</f>
        <v>482.92920000000004</v>
      </c>
      <c r="I26" s="1000">
        <f>275387.37040153/1000</f>
        <v>275.38737040153</v>
      </c>
      <c r="J26" s="1217">
        <v>2138383.992135947</v>
      </c>
    </row>
    <row r="27" spans="1:10" ht="12.75">
      <c r="A27" s="1182">
        <v>2009</v>
      </c>
      <c r="F27" s="1183">
        <v>24</v>
      </c>
      <c r="G27" s="974">
        <f t="shared" si="0"/>
        <v>163.2</v>
      </c>
      <c r="H27" s="974">
        <f>482929.2/1000</f>
        <v>482.92920000000004</v>
      </c>
      <c r="I27" s="1000">
        <f>275387.37040153/1000</f>
        <v>275.38737040153</v>
      </c>
      <c r="J27" s="1217">
        <v>2148597.4845259488</v>
      </c>
    </row>
    <row r="28" spans="1:10" ht="12.75">
      <c r="A28" s="1182">
        <v>2010</v>
      </c>
      <c r="F28" s="1183">
        <v>24</v>
      </c>
      <c r="G28" s="974">
        <f t="shared" si="0"/>
        <v>163.2</v>
      </c>
      <c r="H28" s="974">
        <f>482929.2/1000</f>
        <v>482.92920000000004</v>
      </c>
      <c r="I28" s="1000">
        <f>275387.37040153/1000</f>
        <v>275.38737040153</v>
      </c>
      <c r="J28" s="1217">
        <v>2148597.4845259488</v>
      </c>
    </row>
    <row r="29" spans="1:10" ht="12.75">
      <c r="A29" s="1182">
        <v>2011</v>
      </c>
      <c r="F29" s="1183">
        <v>24</v>
      </c>
      <c r="G29" s="974">
        <f t="shared" si="0"/>
        <v>163.2</v>
      </c>
      <c r="H29" s="974">
        <f>482929.2/1000</f>
        <v>482.92920000000004</v>
      </c>
      <c r="I29" s="1000">
        <f>275387.37040153/1000</f>
        <v>275.38737040153</v>
      </c>
      <c r="J29" s="1217">
        <v>2148597.4845259488</v>
      </c>
    </row>
    <row r="30" spans="1:10" ht="13.5" thickBot="1">
      <c r="A30" s="1186">
        <v>2012</v>
      </c>
      <c r="F30" s="1187">
        <v>24</v>
      </c>
      <c r="G30" s="1188">
        <f t="shared" si="0"/>
        <v>163.2</v>
      </c>
      <c r="H30" s="1188">
        <f>482929.2/1000</f>
        <v>482.92920000000004</v>
      </c>
      <c r="I30" s="1206">
        <f>275387.37040153/1000</f>
        <v>275.38737040153</v>
      </c>
      <c r="J30" s="1218">
        <v>2148597.4845259488</v>
      </c>
    </row>
    <row r="31" spans="1:10" ht="12.75" hidden="1">
      <c r="A31" s="1179">
        <v>2013</v>
      </c>
      <c r="F31" s="1180"/>
      <c r="G31" s="468"/>
      <c r="H31" s="1181"/>
      <c r="I31" s="1190"/>
      <c r="J31" s="1193"/>
    </row>
    <row r="32" spans="1:10" ht="12.75" hidden="1">
      <c r="A32" s="1182">
        <v>2014</v>
      </c>
      <c r="F32" s="1183"/>
      <c r="G32" s="974"/>
      <c r="H32" s="1184"/>
      <c r="I32" s="1185"/>
      <c r="J32" s="1193"/>
    </row>
    <row r="33" spans="1:10" ht="13.5" hidden="1" thickBot="1">
      <c r="A33" s="1235">
        <v>2015</v>
      </c>
      <c r="F33" s="1236"/>
      <c r="G33" s="106"/>
      <c r="H33" s="1237"/>
      <c r="I33" s="1238"/>
      <c r="J33" s="1193"/>
    </row>
    <row r="34" spans="1:10" s="1177" customFormat="1" ht="13.5" thickBot="1">
      <c r="A34" s="1239" t="s">
        <v>70</v>
      </c>
      <c r="F34" s="1240"/>
      <c r="G34" s="1240"/>
      <c r="H34" s="1241">
        <f>SUM(H24:H33)</f>
        <v>2742.33615</v>
      </c>
      <c r="I34" s="1241">
        <f>SUM(I24:I33)</f>
        <v>1438.2885821128125</v>
      </c>
      <c r="J34" s="1242">
        <f>SUM(J22:J33)</f>
        <v>12341628.05288405</v>
      </c>
    </row>
    <row r="35" spans="3:4" ht="12.75">
      <c r="C35" s="1234"/>
      <c r="D35" s="1194"/>
    </row>
    <row r="37" ht="12.75">
      <c r="F37" s="1199"/>
    </row>
  </sheetData>
  <mergeCells count="3">
    <mergeCell ref="C3:F3"/>
    <mergeCell ref="A3:A5"/>
    <mergeCell ref="B3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SheetLayoutView="10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:IV9"/>
    </sheetView>
  </sheetViews>
  <sheetFormatPr defaultColWidth="9.00390625" defaultRowHeight="12.75"/>
  <cols>
    <col min="1" max="1" width="35.75390625" style="32" customWidth="1"/>
    <col min="2" max="2" width="10.125" style="33" hidden="1" customWidth="1"/>
    <col min="3" max="5" width="9.75390625" style="33" hidden="1" customWidth="1"/>
    <col min="6" max="6" width="10.00390625" style="33" hidden="1" customWidth="1"/>
    <col min="7" max="7" width="8.625" style="33" hidden="1" customWidth="1"/>
    <col min="8" max="8" width="8.75390625" style="33" hidden="1" customWidth="1"/>
    <col min="9" max="9" width="4.875" style="33" hidden="1" customWidth="1"/>
    <col min="10" max="10" width="9.25390625" style="33" customWidth="1"/>
    <col min="11" max="11" width="9.625" style="33" customWidth="1"/>
    <col min="12" max="13" width="9.125" style="33" customWidth="1"/>
    <col min="14" max="14" width="10.00390625" style="33" bestFit="1" customWidth="1"/>
    <col min="15" max="25" width="9.25390625" style="33" customWidth="1"/>
    <col min="26" max="26" width="10.875" style="33" bestFit="1" customWidth="1"/>
    <col min="27" max="29" width="9.125" style="33" customWidth="1"/>
    <col min="30" max="30" width="10.875" style="33" bestFit="1" customWidth="1"/>
    <col min="31" max="33" width="9.125" style="33" customWidth="1"/>
    <col min="34" max="34" width="10.875" style="961" bestFit="1" customWidth="1"/>
    <col min="35" max="37" width="9.125" style="961" customWidth="1"/>
    <col min="38" max="38" width="10.875" style="961" bestFit="1" customWidth="1"/>
    <col min="39" max="39" width="10.875" style="33" bestFit="1" customWidth="1"/>
    <col min="40" max="43" width="9.125" style="434" customWidth="1"/>
    <col min="44" max="44" width="10.00390625" style="434" bestFit="1" customWidth="1"/>
    <col min="45" max="66" width="9.125" style="434" customWidth="1"/>
    <col min="67" max="16384" width="9.125" style="341" customWidth="1"/>
  </cols>
  <sheetData>
    <row r="1" spans="1:43" ht="27" customHeight="1" thickBot="1">
      <c r="A1" s="425" t="s">
        <v>391</v>
      </c>
      <c r="B1" s="6"/>
      <c r="C1" s="6"/>
      <c r="D1" s="6"/>
      <c r="E1" s="6"/>
      <c r="F1" s="6"/>
      <c r="G1" s="6"/>
      <c r="H1" s="6"/>
      <c r="I1" s="6"/>
      <c r="J1" s="6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43"/>
      <c r="AI1" s="343"/>
      <c r="AJ1" s="343"/>
      <c r="AK1" s="343"/>
      <c r="AL1" s="343"/>
      <c r="AM1" s="322"/>
      <c r="AN1" s="343"/>
      <c r="AO1" s="343"/>
      <c r="AP1" s="343"/>
      <c r="AQ1" s="343"/>
    </row>
    <row r="2" spans="1:66" s="508" customFormat="1" ht="12.75">
      <c r="A2" s="1385"/>
      <c r="B2" s="1380">
        <v>2004</v>
      </c>
      <c r="C2" s="1342"/>
      <c r="D2" s="1342"/>
      <c r="E2" s="1342"/>
      <c r="F2" s="1342">
        <v>2005</v>
      </c>
      <c r="G2" s="1342"/>
      <c r="H2" s="1342"/>
      <c r="I2" s="1343"/>
      <c r="J2" s="1387" t="s">
        <v>83</v>
      </c>
      <c r="K2" s="1344">
        <v>2006</v>
      </c>
      <c r="L2" s="1342"/>
      <c r="M2" s="1342"/>
      <c r="N2" s="1345"/>
      <c r="O2" s="1380">
        <v>2007</v>
      </c>
      <c r="P2" s="1342"/>
      <c r="Q2" s="1342"/>
      <c r="R2" s="1343"/>
      <c r="S2" s="1344">
        <v>2008</v>
      </c>
      <c r="T2" s="1342"/>
      <c r="U2" s="1342"/>
      <c r="V2" s="1345"/>
      <c r="W2" s="1380">
        <v>2009</v>
      </c>
      <c r="X2" s="1342"/>
      <c r="Y2" s="1342"/>
      <c r="Z2" s="1343"/>
      <c r="AA2" s="1344">
        <v>2010</v>
      </c>
      <c r="AB2" s="1342"/>
      <c r="AC2" s="1342"/>
      <c r="AD2" s="1345"/>
      <c r="AE2" s="1380">
        <v>2011</v>
      </c>
      <c r="AF2" s="1342"/>
      <c r="AG2" s="1342"/>
      <c r="AH2" s="1343"/>
      <c r="AI2" s="1344">
        <v>2012</v>
      </c>
      <c r="AJ2" s="1342"/>
      <c r="AK2" s="1342"/>
      <c r="AL2" s="1345"/>
      <c r="AM2" s="1389" t="s">
        <v>84</v>
      </c>
      <c r="AN2" s="590"/>
      <c r="AO2" s="590"/>
      <c r="AP2" s="590"/>
      <c r="AQ2" s="590"/>
      <c r="AR2" s="523"/>
      <c r="AS2" s="523"/>
      <c r="AT2" s="523"/>
      <c r="AU2" s="523"/>
      <c r="AV2" s="523"/>
      <c r="AW2" s="523"/>
      <c r="AX2" s="523"/>
      <c r="AY2" s="523"/>
      <c r="AZ2" s="523"/>
      <c r="BA2" s="523"/>
      <c r="BB2" s="523"/>
      <c r="BC2" s="523"/>
      <c r="BD2" s="523"/>
      <c r="BE2" s="523"/>
      <c r="BF2" s="523"/>
      <c r="BG2" s="523"/>
      <c r="BH2" s="523"/>
      <c r="BI2" s="523"/>
      <c r="BJ2" s="523"/>
      <c r="BK2" s="523"/>
      <c r="BL2" s="523"/>
      <c r="BM2" s="523"/>
      <c r="BN2" s="523"/>
    </row>
    <row r="3" spans="1:66" s="508" customFormat="1" ht="13.5" thickBot="1">
      <c r="A3" s="1386"/>
      <c r="B3" s="598" t="s">
        <v>130</v>
      </c>
      <c r="C3" s="593" t="s">
        <v>131</v>
      </c>
      <c r="D3" s="593" t="s">
        <v>132</v>
      </c>
      <c r="E3" s="599" t="s">
        <v>133</v>
      </c>
      <c r="F3" s="598" t="s">
        <v>130</v>
      </c>
      <c r="G3" s="593" t="s">
        <v>131</v>
      </c>
      <c r="H3" s="593" t="s">
        <v>132</v>
      </c>
      <c r="I3" s="599" t="s">
        <v>133</v>
      </c>
      <c r="J3" s="1388"/>
      <c r="K3" s="598" t="s">
        <v>130</v>
      </c>
      <c r="L3" s="593" t="s">
        <v>131</v>
      </c>
      <c r="M3" s="593" t="s">
        <v>132</v>
      </c>
      <c r="N3" s="599" t="s">
        <v>133</v>
      </c>
      <c r="O3" s="597" t="s">
        <v>130</v>
      </c>
      <c r="P3" s="593" t="s">
        <v>131</v>
      </c>
      <c r="Q3" s="593" t="s">
        <v>132</v>
      </c>
      <c r="R3" s="599" t="s">
        <v>133</v>
      </c>
      <c r="S3" s="598" t="s">
        <v>130</v>
      </c>
      <c r="T3" s="593" t="s">
        <v>131</v>
      </c>
      <c r="U3" s="593" t="s">
        <v>132</v>
      </c>
      <c r="V3" s="599" t="s">
        <v>133</v>
      </c>
      <c r="W3" s="598" t="s">
        <v>130</v>
      </c>
      <c r="X3" s="593" t="s">
        <v>131</v>
      </c>
      <c r="Y3" s="593" t="s">
        <v>132</v>
      </c>
      <c r="Z3" s="599" t="s">
        <v>133</v>
      </c>
      <c r="AA3" s="598" t="s">
        <v>130</v>
      </c>
      <c r="AB3" s="593" t="s">
        <v>131</v>
      </c>
      <c r="AC3" s="593" t="s">
        <v>132</v>
      </c>
      <c r="AD3" s="599" t="s">
        <v>133</v>
      </c>
      <c r="AE3" s="598" t="s">
        <v>130</v>
      </c>
      <c r="AF3" s="593" t="s">
        <v>131</v>
      </c>
      <c r="AG3" s="593" t="s">
        <v>132</v>
      </c>
      <c r="AH3" s="599" t="s">
        <v>133</v>
      </c>
      <c r="AI3" s="598" t="s">
        <v>130</v>
      </c>
      <c r="AJ3" s="593" t="s">
        <v>131</v>
      </c>
      <c r="AK3" s="593" t="s">
        <v>132</v>
      </c>
      <c r="AL3" s="599" t="s">
        <v>133</v>
      </c>
      <c r="AM3" s="1390"/>
      <c r="AN3" s="590"/>
      <c r="AO3" s="590"/>
      <c r="AP3" s="590"/>
      <c r="AQ3" s="590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</row>
    <row r="4" spans="1:50" s="434" customFormat="1" ht="12.75" hidden="1">
      <c r="A4" s="1042" t="s">
        <v>392</v>
      </c>
      <c r="B4" s="1043"/>
      <c r="C4" s="446"/>
      <c r="D4" s="446"/>
      <c r="E4" s="446"/>
      <c r="F4" s="446"/>
      <c r="G4" s="446"/>
      <c r="H4" s="446"/>
      <c r="I4" s="618"/>
      <c r="J4" s="765">
        <f>SUM('Materials and electricity'!C5:J5)</f>
        <v>0</v>
      </c>
      <c r="K4" s="1142">
        <f>'Materials and electricity'!K5</f>
        <v>0</v>
      </c>
      <c r="L4" s="446">
        <f>'Materials and electricity'!L5</f>
        <v>0</v>
      </c>
      <c r="M4" s="446">
        <f>'Materials and electricity'!M5</f>
        <v>0</v>
      </c>
      <c r="N4" s="1243">
        <f>'Materials and electricity'!N5</f>
        <v>0</v>
      </c>
      <c r="O4" s="1143">
        <f>'Materials and electricity'!O5</f>
        <v>0</v>
      </c>
      <c r="P4" s="446">
        <f>'Materials and electricity'!P5</f>
        <v>0</v>
      </c>
      <c r="Q4" s="1043">
        <f>'Materials and electricity'!Q5</f>
        <v>1</v>
      </c>
      <c r="R4" s="618">
        <f>SUM('Materials and electricity'!$Q$5:R5)</f>
        <v>3</v>
      </c>
      <c r="S4" s="1142">
        <f>SUM('Materials and electricity'!$Q$5:S5)</f>
        <v>5</v>
      </c>
      <c r="T4" s="618">
        <f>SUM('Materials and electricity'!$Q$5:T5)</f>
        <v>7</v>
      </c>
      <c r="U4" s="618">
        <f>SUM('Materials and electricity'!$Q$5:U5)</f>
        <v>9</v>
      </c>
      <c r="V4" s="1044">
        <f>SUM('Materials and electricity'!$Q$5:V5)</f>
        <v>11</v>
      </c>
      <c r="W4" s="1143">
        <f>SUM('Materials and electricity'!$Q$5:W5)</f>
        <v>13</v>
      </c>
      <c r="X4" s="618">
        <f>SUM('Materials and electricity'!$Q$5:X5)</f>
        <v>15</v>
      </c>
      <c r="Y4" s="618">
        <f>SUM('Materials and electricity'!$Q$5:Y5)</f>
        <v>17</v>
      </c>
      <c r="Z4" s="618">
        <f>SUM('Materials and electricity'!$Q$5:Z5)</f>
        <v>19</v>
      </c>
      <c r="AA4" s="1142">
        <f>SUM('Materials and electricity'!$Q$5:AA5)</f>
        <v>21</v>
      </c>
      <c r="AB4" s="618">
        <f>SUM('Materials and electricity'!$Q$5:AB5)</f>
        <v>23</v>
      </c>
      <c r="AC4" s="618">
        <f>SUM('Materials and electricity'!$Q$5:AC5)</f>
        <v>25</v>
      </c>
      <c r="AD4" s="1044">
        <f>SUM('Materials and electricity'!$Q$5:AD5)</f>
        <v>27</v>
      </c>
      <c r="AE4" s="1143">
        <f>SUM('Materials and electricity'!$Q$5:AE5)</f>
        <v>29</v>
      </c>
      <c r="AF4" s="618">
        <f>SUM('Materials and electricity'!$Q$5:AF5)</f>
        <v>31</v>
      </c>
      <c r="AG4" s="618">
        <f>SUM('Materials and electricity'!$Q$5:AG5)</f>
        <v>33</v>
      </c>
      <c r="AH4" s="618">
        <f>SUM('Materials and electricity'!$Q$5:AH5)</f>
        <v>35</v>
      </c>
      <c r="AI4" s="1142">
        <f>SUM('Materials and electricity'!$Q$5:AI5)</f>
        <v>37</v>
      </c>
      <c r="AJ4" s="618">
        <f>SUM('Materials and electricity'!$Q$5:AJ5)</f>
        <v>39</v>
      </c>
      <c r="AK4" s="618">
        <f>SUM('Materials and electricity'!$Q$5:AK5)</f>
        <v>41</v>
      </c>
      <c r="AL4" s="1044">
        <f>SUM('Materials and electricity'!$Q$5:AL5)</f>
        <v>43</v>
      </c>
      <c r="AM4" s="765">
        <f>AL4</f>
        <v>43</v>
      </c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</row>
    <row r="5" spans="1:43" s="434" customFormat="1" ht="12.75">
      <c r="A5" s="1039" t="s">
        <v>393</v>
      </c>
      <c r="B5" s="1028"/>
      <c r="C5" s="355"/>
      <c r="D5" s="355"/>
      <c r="E5" s="355"/>
      <c r="F5" s="355"/>
      <c r="G5" s="355"/>
      <c r="H5" s="355"/>
      <c r="I5" s="1019"/>
      <c r="J5" s="1022">
        <v>2</v>
      </c>
      <c r="K5" s="1032">
        <v>2</v>
      </c>
      <c r="L5" s="1028">
        <v>2</v>
      </c>
      <c r="M5" s="1028">
        <v>2</v>
      </c>
      <c r="N5" s="1244">
        <v>2</v>
      </c>
      <c r="O5" s="1028">
        <v>4</v>
      </c>
      <c r="P5" s="1028">
        <v>4</v>
      </c>
      <c r="Q5" s="1028">
        <v>4</v>
      </c>
      <c r="R5" s="1028">
        <v>4</v>
      </c>
      <c r="S5" s="1032">
        <v>6</v>
      </c>
      <c r="T5" s="1032">
        <v>6</v>
      </c>
      <c r="U5" s="1032">
        <v>6</v>
      </c>
      <c r="V5" s="1032">
        <v>6</v>
      </c>
      <c r="W5" s="1028">
        <v>8</v>
      </c>
      <c r="X5" s="1028">
        <v>8</v>
      </c>
      <c r="Y5" s="1028">
        <v>8</v>
      </c>
      <c r="Z5" s="1028">
        <v>8</v>
      </c>
      <c r="AA5" s="1032">
        <v>10</v>
      </c>
      <c r="AB5" s="1032">
        <v>10</v>
      </c>
      <c r="AC5" s="1032">
        <v>10</v>
      </c>
      <c r="AD5" s="1032">
        <v>10</v>
      </c>
      <c r="AE5" s="1032">
        <v>10</v>
      </c>
      <c r="AF5" s="1032">
        <v>10</v>
      </c>
      <c r="AG5" s="1032">
        <v>10</v>
      </c>
      <c r="AH5" s="1032">
        <v>10</v>
      </c>
      <c r="AI5" s="1032">
        <v>10</v>
      </c>
      <c r="AJ5" s="1032">
        <v>10</v>
      </c>
      <c r="AK5" s="1032">
        <v>10</v>
      </c>
      <c r="AL5" s="1032">
        <v>10</v>
      </c>
      <c r="AM5" s="1022">
        <v>10</v>
      </c>
      <c r="AN5" s="343"/>
      <c r="AO5" s="343"/>
      <c r="AP5" s="343"/>
      <c r="AQ5" s="343"/>
    </row>
    <row r="6" spans="1:43" s="434" customFormat="1" ht="12.75" hidden="1">
      <c r="A6" s="1039" t="s">
        <v>394</v>
      </c>
      <c r="B6" s="1028"/>
      <c r="C6" s="355"/>
      <c r="D6" s="355"/>
      <c r="E6" s="355"/>
      <c r="F6" s="355"/>
      <c r="G6" s="355"/>
      <c r="H6" s="355"/>
      <c r="I6" s="1019"/>
      <c r="J6" s="1022">
        <v>1</v>
      </c>
      <c r="K6" s="1032">
        <v>1</v>
      </c>
      <c r="L6" s="355">
        <v>1</v>
      </c>
      <c r="M6" s="355">
        <v>2</v>
      </c>
      <c r="N6" s="619">
        <v>2</v>
      </c>
      <c r="O6" s="1028">
        <v>2</v>
      </c>
      <c r="P6" s="355">
        <v>3</v>
      </c>
      <c r="Q6" s="355">
        <v>3</v>
      </c>
      <c r="R6" s="1019">
        <v>3</v>
      </c>
      <c r="S6" s="1032">
        <v>4</v>
      </c>
      <c r="T6" s="355">
        <v>4</v>
      </c>
      <c r="U6" s="355">
        <v>4</v>
      </c>
      <c r="V6" s="619">
        <v>4</v>
      </c>
      <c r="W6" s="1028">
        <v>4</v>
      </c>
      <c r="X6" s="355">
        <v>4</v>
      </c>
      <c r="Y6" s="355">
        <v>4</v>
      </c>
      <c r="Z6" s="1019">
        <v>4</v>
      </c>
      <c r="AA6" s="1032">
        <v>4</v>
      </c>
      <c r="AB6" s="355">
        <v>4</v>
      </c>
      <c r="AC6" s="355">
        <v>4</v>
      </c>
      <c r="AD6" s="619">
        <v>4</v>
      </c>
      <c r="AE6" s="1028">
        <v>4</v>
      </c>
      <c r="AF6" s="355">
        <v>4</v>
      </c>
      <c r="AG6" s="355">
        <v>4</v>
      </c>
      <c r="AH6" s="1019">
        <v>4</v>
      </c>
      <c r="AI6" s="1032">
        <v>4</v>
      </c>
      <c r="AJ6" s="355">
        <v>4</v>
      </c>
      <c r="AK6" s="355">
        <v>4</v>
      </c>
      <c r="AL6" s="619">
        <v>4</v>
      </c>
      <c r="AM6" s="1022">
        <v>4</v>
      </c>
      <c r="AN6" s="343"/>
      <c r="AO6" s="343"/>
      <c r="AP6" s="343"/>
      <c r="AQ6" s="343"/>
    </row>
    <row r="7" spans="1:43" s="434" customFormat="1" ht="12.75">
      <c r="A7" s="1039" t="s">
        <v>395</v>
      </c>
      <c r="B7" s="1028"/>
      <c r="C7" s="355"/>
      <c r="D7" s="355"/>
      <c r="E7" s="355"/>
      <c r="F7" s="355"/>
      <c r="G7" s="355"/>
      <c r="H7" s="355"/>
      <c r="I7" s="1019"/>
      <c r="J7" s="1022">
        <v>0</v>
      </c>
      <c r="K7" s="1032">
        <v>0</v>
      </c>
      <c r="L7" s="355">
        <v>12</v>
      </c>
      <c r="M7" s="355">
        <v>12</v>
      </c>
      <c r="N7" s="619">
        <v>12</v>
      </c>
      <c r="O7" s="1028">
        <v>12</v>
      </c>
      <c r="P7" s="355">
        <v>12</v>
      </c>
      <c r="Q7" s="355">
        <v>12</v>
      </c>
      <c r="R7" s="355">
        <v>12</v>
      </c>
      <c r="S7" s="1032">
        <v>24</v>
      </c>
      <c r="T7" s="355">
        <v>24</v>
      </c>
      <c r="U7" s="355">
        <v>24</v>
      </c>
      <c r="V7" s="619">
        <v>24</v>
      </c>
      <c r="W7" s="1028">
        <v>24</v>
      </c>
      <c r="X7" s="355">
        <v>24</v>
      </c>
      <c r="Y7" s="355">
        <v>24</v>
      </c>
      <c r="Z7" s="1019">
        <v>24</v>
      </c>
      <c r="AA7" s="1032">
        <v>24</v>
      </c>
      <c r="AB7" s="355">
        <v>24</v>
      </c>
      <c r="AC7" s="355">
        <v>24</v>
      </c>
      <c r="AD7" s="619">
        <v>24</v>
      </c>
      <c r="AE7" s="1028">
        <v>24</v>
      </c>
      <c r="AF7" s="355">
        <v>24</v>
      </c>
      <c r="AG7" s="355">
        <v>24</v>
      </c>
      <c r="AH7" s="1019">
        <v>24</v>
      </c>
      <c r="AI7" s="1032">
        <v>24</v>
      </c>
      <c r="AJ7" s="355">
        <v>24</v>
      </c>
      <c r="AK7" s="355">
        <v>24</v>
      </c>
      <c r="AL7" s="619">
        <v>24</v>
      </c>
      <c r="AM7" s="1022">
        <v>24</v>
      </c>
      <c r="AN7" s="343"/>
      <c r="AO7" s="343"/>
      <c r="AP7" s="343"/>
      <c r="AQ7" s="343"/>
    </row>
    <row r="8" spans="1:43" ht="12.75">
      <c r="A8" s="1040" t="s">
        <v>398</v>
      </c>
      <c r="B8" s="1029"/>
      <c r="C8" s="522"/>
      <c r="D8" s="522"/>
      <c r="E8" s="522"/>
      <c r="F8" s="522"/>
      <c r="G8" s="522"/>
      <c r="H8" s="522"/>
      <c r="I8" s="1027"/>
      <c r="J8" s="1023">
        <f>(2.317332+2.19469)</f>
        <v>4.512022</v>
      </c>
      <c r="K8" s="1033">
        <f>0.144751+0.123215+0.129912</f>
        <v>0.39787799999999995</v>
      </c>
      <c r="L8" s="522">
        <f>0.124299+0.130579+0.12950996</f>
        <v>0.38438796</v>
      </c>
      <c r="M8" s="522">
        <f>0.1305+0.139023+0.137088</f>
        <v>0.406611</v>
      </c>
      <c r="N8" s="1034">
        <f>0.133842+0.13112503+0.137311</f>
        <v>0.40227802999999995</v>
      </c>
      <c r="O8" s="1029">
        <f>Volumes!F9/4</f>
        <v>0.44996325</v>
      </c>
      <c r="P8" s="522">
        <f>O8</f>
        <v>0.44996325</v>
      </c>
      <c r="Q8" s="522">
        <f>P8</f>
        <v>0.44996325</v>
      </c>
      <c r="R8" s="1027">
        <f>Q8</f>
        <v>0.44996325</v>
      </c>
      <c r="S8" s="1033">
        <f>Volumes!F10/4</f>
        <v>0.82537125</v>
      </c>
      <c r="T8" s="522">
        <f>S8</f>
        <v>0.82537125</v>
      </c>
      <c r="U8" s="522">
        <f>T8</f>
        <v>0.82537125</v>
      </c>
      <c r="V8" s="1034">
        <f>U8</f>
        <v>0.82537125</v>
      </c>
      <c r="W8" s="1029">
        <f>Volumes!F11/4</f>
        <v>0.99050325</v>
      </c>
      <c r="X8" s="522">
        <f>W8</f>
        <v>0.99050325</v>
      </c>
      <c r="Y8" s="522">
        <f>X8</f>
        <v>0.99050325</v>
      </c>
      <c r="Z8" s="1027">
        <f>Y8</f>
        <v>0.99050325</v>
      </c>
      <c r="AA8" s="1033">
        <f>Volumes!F12/4</f>
        <v>0.99050325</v>
      </c>
      <c r="AB8" s="522">
        <f>AA8</f>
        <v>0.99050325</v>
      </c>
      <c r="AC8" s="522">
        <f>AB8</f>
        <v>0.99050325</v>
      </c>
      <c r="AD8" s="1034">
        <f>AC8</f>
        <v>0.99050325</v>
      </c>
      <c r="AE8" s="1029">
        <f>Volumes!F13/4</f>
        <v>0.99050325</v>
      </c>
      <c r="AF8" s="522">
        <f>AE8</f>
        <v>0.99050325</v>
      </c>
      <c r="AG8" s="522">
        <f>AF8</f>
        <v>0.99050325</v>
      </c>
      <c r="AH8" s="1027">
        <f>AG8</f>
        <v>0.99050325</v>
      </c>
      <c r="AI8" s="1033">
        <f>Volumes!F14/4</f>
        <v>0.99050325</v>
      </c>
      <c r="AJ8" s="522">
        <f>AI8</f>
        <v>0.99050325</v>
      </c>
      <c r="AK8" s="522">
        <f>AJ8</f>
        <v>0.99050325</v>
      </c>
      <c r="AL8" s="1034">
        <f>AK8</f>
        <v>0.99050325</v>
      </c>
      <c r="AM8" s="1023">
        <f>SUM(J8:AI8)</f>
        <v>24.081057239999996</v>
      </c>
      <c r="AN8" s="439"/>
      <c r="AO8" s="439"/>
      <c r="AP8" s="439"/>
      <c r="AQ8" s="439"/>
    </row>
    <row r="9" spans="1:43" ht="12.75" hidden="1">
      <c r="A9" s="1040" t="s">
        <v>582</v>
      </c>
      <c r="B9" s="1029">
        <v>0</v>
      </c>
      <c r="C9" s="522">
        <v>0</v>
      </c>
      <c r="D9" s="522">
        <v>0</v>
      </c>
      <c r="E9" s="522">
        <v>0</v>
      </c>
      <c r="F9" s="522">
        <v>0</v>
      </c>
      <c r="G9" s="522">
        <v>0</v>
      </c>
      <c r="H9" s="522">
        <v>0</v>
      </c>
      <c r="I9" s="1027">
        <v>0</v>
      </c>
      <c r="J9" s="1023"/>
      <c r="K9" s="1033">
        <v>0</v>
      </c>
      <c r="L9" s="522">
        <f>K9</f>
        <v>0</v>
      </c>
      <c r="M9" s="522">
        <f>L9</f>
        <v>0</v>
      </c>
      <c r="N9" s="1034">
        <f>M9</f>
        <v>0</v>
      </c>
      <c r="O9" s="1029">
        <v>0</v>
      </c>
      <c r="P9" s="522">
        <v>0</v>
      </c>
      <c r="Q9" s="522">
        <f>P9</f>
        <v>0</v>
      </c>
      <c r="R9" s="1027">
        <f>Q9</f>
        <v>0</v>
      </c>
      <c r="S9" s="1033">
        <f aca="true" t="shared" si="0" ref="S9:AH9">R9</f>
        <v>0</v>
      </c>
      <c r="T9" s="522">
        <f t="shared" si="0"/>
        <v>0</v>
      </c>
      <c r="U9" s="522">
        <f t="shared" si="0"/>
        <v>0</v>
      </c>
      <c r="V9" s="1034">
        <f t="shared" si="0"/>
        <v>0</v>
      </c>
      <c r="W9" s="1029">
        <f t="shared" si="0"/>
        <v>0</v>
      </c>
      <c r="X9" s="522">
        <f t="shared" si="0"/>
        <v>0</v>
      </c>
      <c r="Y9" s="522">
        <f t="shared" si="0"/>
        <v>0</v>
      </c>
      <c r="Z9" s="1027">
        <f t="shared" si="0"/>
        <v>0</v>
      </c>
      <c r="AA9" s="1033">
        <f t="shared" si="0"/>
        <v>0</v>
      </c>
      <c r="AB9" s="522">
        <f t="shared" si="0"/>
        <v>0</v>
      </c>
      <c r="AC9" s="522">
        <f t="shared" si="0"/>
        <v>0</v>
      </c>
      <c r="AD9" s="1034">
        <f t="shared" si="0"/>
        <v>0</v>
      </c>
      <c r="AE9" s="1029">
        <f t="shared" si="0"/>
        <v>0</v>
      </c>
      <c r="AF9" s="522">
        <f t="shared" si="0"/>
        <v>0</v>
      </c>
      <c r="AG9" s="522">
        <f t="shared" si="0"/>
        <v>0</v>
      </c>
      <c r="AH9" s="1027">
        <f t="shared" si="0"/>
        <v>0</v>
      </c>
      <c r="AI9" s="1033"/>
      <c r="AJ9" s="522"/>
      <c r="AK9" s="522"/>
      <c r="AL9" s="1034"/>
      <c r="AM9" s="1023">
        <f>SUM(B9:AH9)</f>
        <v>0</v>
      </c>
      <c r="AN9" s="439"/>
      <c r="AO9" s="439"/>
      <c r="AP9" s="439"/>
      <c r="AQ9" s="439"/>
    </row>
    <row r="10" spans="1:43" ht="12.75">
      <c r="A10" s="1040" t="s">
        <v>396</v>
      </c>
      <c r="B10" s="1029"/>
      <c r="C10" s="522"/>
      <c r="D10" s="522"/>
      <c r="E10" s="522"/>
      <c r="F10" s="522"/>
      <c r="G10" s="522"/>
      <c r="H10" s="522"/>
      <c r="I10" s="1027"/>
      <c r="J10" s="1023">
        <v>0</v>
      </c>
      <c r="K10" s="1033">
        <f>(2164+3169.59)/1000</f>
        <v>5.33359</v>
      </c>
      <c r="L10" s="522">
        <f>(5107.45+11250.18+15163.64)/1000</f>
        <v>31.52127</v>
      </c>
      <c r="M10" s="522">
        <f>(15184.16+12169.99+6642.159)/1000</f>
        <v>33.996309000000004</v>
      </c>
      <c r="N10" s="1034">
        <f>(1960.993+7992.017+13103.081)/1000</f>
        <v>23.056091000000002</v>
      </c>
      <c r="O10" s="1029">
        <f>Volumes!H25/4</f>
        <v>59.2840375</v>
      </c>
      <c r="P10" s="522">
        <f aca="true" t="shared" si="1" ref="P10:R11">O10</f>
        <v>59.2840375</v>
      </c>
      <c r="Q10" s="522">
        <f t="shared" si="1"/>
        <v>59.2840375</v>
      </c>
      <c r="R10" s="1027">
        <f t="shared" si="1"/>
        <v>59.2840375</v>
      </c>
      <c r="S10" s="1033">
        <f>Volumes!H26/4</f>
        <v>120.73230000000001</v>
      </c>
      <c r="T10" s="522">
        <f aca="true" t="shared" si="2" ref="T10:V11">S10</f>
        <v>120.73230000000001</v>
      </c>
      <c r="U10" s="522">
        <f t="shared" si="2"/>
        <v>120.73230000000001</v>
      </c>
      <c r="V10" s="1034">
        <f t="shared" si="2"/>
        <v>120.73230000000001</v>
      </c>
      <c r="W10" s="1029">
        <f>Volumes!H27/4</f>
        <v>120.73230000000001</v>
      </c>
      <c r="X10" s="522">
        <f aca="true" t="shared" si="3" ref="X10:Z11">W10</f>
        <v>120.73230000000001</v>
      </c>
      <c r="Y10" s="522">
        <f t="shared" si="3"/>
        <v>120.73230000000001</v>
      </c>
      <c r="Z10" s="1027">
        <f t="shared" si="3"/>
        <v>120.73230000000001</v>
      </c>
      <c r="AA10" s="1033">
        <f>Volumes!H28/4</f>
        <v>120.73230000000001</v>
      </c>
      <c r="AB10" s="522">
        <f aca="true" t="shared" si="4" ref="AB10:AD11">AA10</f>
        <v>120.73230000000001</v>
      </c>
      <c r="AC10" s="522">
        <f t="shared" si="4"/>
        <v>120.73230000000001</v>
      </c>
      <c r="AD10" s="1034">
        <f t="shared" si="4"/>
        <v>120.73230000000001</v>
      </c>
      <c r="AE10" s="1029">
        <f>Volumes!H29/4</f>
        <v>120.73230000000001</v>
      </c>
      <c r="AF10" s="522">
        <f aca="true" t="shared" si="5" ref="AF10:AH11">AE10</f>
        <v>120.73230000000001</v>
      </c>
      <c r="AG10" s="522">
        <f t="shared" si="5"/>
        <v>120.73230000000001</v>
      </c>
      <c r="AH10" s="1027">
        <f t="shared" si="5"/>
        <v>120.73230000000001</v>
      </c>
      <c r="AI10" s="1033">
        <f>Volumes!H30/4</f>
        <v>120.73230000000001</v>
      </c>
      <c r="AJ10" s="522">
        <f aca="true" t="shared" si="6" ref="AJ10:AL11">AI10</f>
        <v>120.73230000000001</v>
      </c>
      <c r="AK10" s="522">
        <f t="shared" si="6"/>
        <v>120.73230000000001</v>
      </c>
      <c r="AL10" s="1034">
        <f t="shared" si="6"/>
        <v>120.73230000000001</v>
      </c>
      <c r="AM10" s="1023">
        <f>SUM(B10:AI10)</f>
        <v>2383.4925100000014</v>
      </c>
      <c r="AN10" s="439"/>
      <c r="AO10" s="439"/>
      <c r="AP10" s="439"/>
      <c r="AQ10" s="439"/>
    </row>
    <row r="11" spans="1:43" ht="12.75">
      <c r="A11" s="1040" t="s">
        <v>397</v>
      </c>
      <c r="B11" s="1029"/>
      <c r="C11" s="522"/>
      <c r="D11" s="522"/>
      <c r="E11" s="522"/>
      <c r="F11" s="522"/>
      <c r="G11" s="522"/>
      <c r="H11" s="522"/>
      <c r="I11" s="1027"/>
      <c r="J11" s="1023">
        <v>0</v>
      </c>
      <c r="K11" s="1033">
        <v>0</v>
      </c>
      <c r="L11" s="522">
        <v>0</v>
      </c>
      <c r="M11" s="522">
        <v>0</v>
      </c>
      <c r="N11" s="1251">
        <f>Volumes!I24</f>
        <v>8.134440057361381</v>
      </c>
      <c r="O11" s="1029">
        <f>Volumes!I25/4</f>
        <v>13.304322511950275</v>
      </c>
      <c r="P11" s="522">
        <f t="shared" si="1"/>
        <v>13.304322511950275</v>
      </c>
      <c r="Q11" s="522">
        <f t="shared" si="1"/>
        <v>13.304322511950275</v>
      </c>
      <c r="R11" s="1027">
        <f t="shared" si="1"/>
        <v>13.304322511950275</v>
      </c>
      <c r="S11" s="1033">
        <f>Volumes!I26/4</f>
        <v>68.8468426003825</v>
      </c>
      <c r="T11" s="522">
        <f t="shared" si="2"/>
        <v>68.8468426003825</v>
      </c>
      <c r="U11" s="522">
        <f t="shared" si="2"/>
        <v>68.8468426003825</v>
      </c>
      <c r="V11" s="1034">
        <f t="shared" si="2"/>
        <v>68.8468426003825</v>
      </c>
      <c r="W11" s="1029">
        <f>Volumes!I27/4</f>
        <v>68.8468426003825</v>
      </c>
      <c r="X11" s="522">
        <f t="shared" si="3"/>
        <v>68.8468426003825</v>
      </c>
      <c r="Y11" s="522">
        <f t="shared" si="3"/>
        <v>68.8468426003825</v>
      </c>
      <c r="Z11" s="1027">
        <f t="shared" si="3"/>
        <v>68.8468426003825</v>
      </c>
      <c r="AA11" s="1033">
        <f>Volumes!I28/4</f>
        <v>68.8468426003825</v>
      </c>
      <c r="AB11" s="522">
        <f t="shared" si="4"/>
        <v>68.8468426003825</v>
      </c>
      <c r="AC11" s="522">
        <f t="shared" si="4"/>
        <v>68.8468426003825</v>
      </c>
      <c r="AD11" s="1034">
        <f t="shared" si="4"/>
        <v>68.8468426003825</v>
      </c>
      <c r="AE11" s="1029">
        <f>Volumes!I29/4</f>
        <v>68.8468426003825</v>
      </c>
      <c r="AF11" s="522">
        <f t="shared" si="5"/>
        <v>68.8468426003825</v>
      </c>
      <c r="AG11" s="522">
        <f t="shared" si="5"/>
        <v>68.8468426003825</v>
      </c>
      <c r="AH11" s="1027">
        <f t="shared" si="5"/>
        <v>68.8468426003825</v>
      </c>
      <c r="AI11" s="1033">
        <f>Volumes!I30/4</f>
        <v>68.8468426003825</v>
      </c>
      <c r="AJ11" s="522">
        <f t="shared" si="6"/>
        <v>68.8468426003825</v>
      </c>
      <c r="AK11" s="522">
        <f t="shared" si="6"/>
        <v>68.8468426003825</v>
      </c>
      <c r="AL11" s="1034">
        <f t="shared" si="6"/>
        <v>68.8468426003825</v>
      </c>
      <c r="AM11" s="1022">
        <f>SUM(B11:AI11)</f>
        <v>1231.7480543116649</v>
      </c>
      <c r="AN11" s="439"/>
      <c r="AO11" s="439"/>
      <c r="AP11" s="439"/>
      <c r="AQ11" s="439"/>
    </row>
    <row r="12" spans="1:66" s="1232" customFormat="1" ht="12.75">
      <c r="A12" s="1220" t="s">
        <v>399</v>
      </c>
      <c r="B12" s="1221"/>
      <c r="C12" s="1222"/>
      <c r="D12" s="1222"/>
      <c r="E12" s="1222"/>
      <c r="F12" s="1222"/>
      <c r="G12" s="1222"/>
      <c r="H12" s="1222"/>
      <c r="I12" s="1223"/>
      <c r="J12" s="1245"/>
      <c r="K12" s="1224"/>
      <c r="L12" s="1222"/>
      <c r="M12" s="1225"/>
      <c r="N12" s="1226"/>
      <c r="O12" s="1227"/>
      <c r="P12" s="1222"/>
      <c r="Q12" s="1222"/>
      <c r="R12" s="1228"/>
      <c r="S12" s="1229">
        <v>3747238.1147802556</v>
      </c>
      <c r="T12" s="1222"/>
      <c r="U12" s="1222"/>
      <c r="V12" s="1226"/>
      <c r="W12" s="1227">
        <v>2148597.4845259488</v>
      </c>
      <c r="X12" s="1222"/>
      <c r="Y12" s="1222"/>
      <c r="Z12" s="1228"/>
      <c r="AA12" s="1229">
        <v>2148597.4845259488</v>
      </c>
      <c r="AB12" s="1222"/>
      <c r="AC12" s="1222"/>
      <c r="AD12" s="1226"/>
      <c r="AE12" s="1227">
        <v>2148597.4845259488</v>
      </c>
      <c r="AF12" s="1222"/>
      <c r="AG12" s="1222"/>
      <c r="AH12" s="1228"/>
      <c r="AI12" s="1229">
        <v>2148597.4845259488</v>
      </c>
      <c r="AJ12" s="1222"/>
      <c r="AK12" s="1222"/>
      <c r="AL12" s="1226"/>
      <c r="AM12" s="1230">
        <f>SUM(B12:AL12)</f>
        <v>12341628.05288405</v>
      </c>
      <c r="AN12" s="793"/>
      <c r="AO12" s="793"/>
      <c r="AP12" s="793"/>
      <c r="AQ12" s="793"/>
      <c r="AR12" s="1231"/>
      <c r="AS12" s="1231"/>
      <c r="AT12" s="1231"/>
      <c r="AU12" s="1231"/>
      <c r="AV12" s="1231"/>
      <c r="AW12" s="1231"/>
      <c r="AX12" s="1231"/>
      <c r="AY12" s="1231"/>
      <c r="AZ12" s="1231"/>
      <c r="BA12" s="1231"/>
      <c r="BB12" s="1231"/>
      <c r="BC12" s="1231"/>
      <c r="BD12" s="1231"/>
      <c r="BE12" s="1231"/>
      <c r="BF12" s="1231"/>
      <c r="BG12" s="1231"/>
      <c r="BH12" s="1231"/>
      <c r="BI12" s="1231"/>
      <c r="BJ12" s="1231"/>
      <c r="BK12" s="1231"/>
      <c r="BL12" s="1231"/>
      <c r="BM12" s="1231"/>
      <c r="BN12" s="1231"/>
    </row>
    <row r="13" spans="1:43" ht="12.75">
      <c r="A13" s="1039" t="s">
        <v>400</v>
      </c>
      <c r="B13" s="1029"/>
      <c r="C13" s="522"/>
      <c r="D13" s="522"/>
      <c r="E13" s="522"/>
      <c r="F13" s="522"/>
      <c r="G13" s="522"/>
      <c r="H13" s="522"/>
      <c r="I13" s="1027"/>
      <c r="J13" s="1023">
        <v>55</v>
      </c>
      <c r="K13" s="1033">
        <v>55</v>
      </c>
      <c r="L13" s="522">
        <v>55</v>
      </c>
      <c r="M13" s="522">
        <v>55</v>
      </c>
      <c r="N13" s="1034">
        <f aca="true" t="shared" si="7" ref="N13:AL13">M13</f>
        <v>55</v>
      </c>
      <c r="O13" s="1029">
        <f t="shared" si="7"/>
        <v>55</v>
      </c>
      <c r="P13" s="1029">
        <f t="shared" si="7"/>
        <v>55</v>
      </c>
      <c r="Q13" s="1029">
        <f t="shared" si="7"/>
        <v>55</v>
      </c>
      <c r="R13" s="1117">
        <f t="shared" si="7"/>
        <v>55</v>
      </c>
      <c r="S13" s="1033">
        <f t="shared" si="7"/>
        <v>55</v>
      </c>
      <c r="T13" s="522">
        <f t="shared" si="7"/>
        <v>55</v>
      </c>
      <c r="U13" s="522">
        <f t="shared" si="7"/>
        <v>55</v>
      </c>
      <c r="V13" s="1034">
        <f t="shared" si="7"/>
        <v>55</v>
      </c>
      <c r="W13" s="1029">
        <f t="shared" si="7"/>
        <v>55</v>
      </c>
      <c r="X13" s="1029">
        <f t="shared" si="7"/>
        <v>55</v>
      </c>
      <c r="Y13" s="1029">
        <f t="shared" si="7"/>
        <v>55</v>
      </c>
      <c r="Z13" s="1117">
        <f t="shared" si="7"/>
        <v>55</v>
      </c>
      <c r="AA13" s="1033">
        <f t="shared" si="7"/>
        <v>55</v>
      </c>
      <c r="AB13" s="522">
        <f t="shared" si="7"/>
        <v>55</v>
      </c>
      <c r="AC13" s="522">
        <f t="shared" si="7"/>
        <v>55</v>
      </c>
      <c r="AD13" s="1034">
        <f t="shared" si="7"/>
        <v>55</v>
      </c>
      <c r="AE13" s="1029">
        <f t="shared" si="7"/>
        <v>55</v>
      </c>
      <c r="AF13" s="522">
        <f t="shared" si="7"/>
        <v>55</v>
      </c>
      <c r="AG13" s="522">
        <f t="shared" si="7"/>
        <v>55</v>
      </c>
      <c r="AH13" s="1027">
        <f t="shared" si="7"/>
        <v>55</v>
      </c>
      <c r="AI13" s="1033">
        <f t="shared" si="7"/>
        <v>55</v>
      </c>
      <c r="AJ13" s="522">
        <f t="shared" si="7"/>
        <v>55</v>
      </c>
      <c r="AK13" s="522">
        <f t="shared" si="7"/>
        <v>55</v>
      </c>
      <c r="AL13" s="1034">
        <f t="shared" si="7"/>
        <v>55</v>
      </c>
      <c r="AM13" s="1023"/>
      <c r="AN13" s="439"/>
      <c r="AO13" s="439"/>
      <c r="AP13" s="439"/>
      <c r="AQ13" s="439"/>
    </row>
    <row r="14" spans="1:43" ht="12.75">
      <c r="A14" s="1039" t="s">
        <v>401</v>
      </c>
      <c r="B14" s="1029"/>
      <c r="C14" s="522"/>
      <c r="D14" s="522"/>
      <c r="E14" s="522"/>
      <c r="F14" s="522"/>
      <c r="G14" s="522"/>
      <c r="H14" s="522"/>
      <c r="I14" s="1027"/>
      <c r="J14" s="1023">
        <v>0</v>
      </c>
      <c r="K14" s="1027">
        <v>208.3725</v>
      </c>
      <c r="L14" s="522">
        <f aca="true" t="shared" si="8" ref="L14:N16">K14</f>
        <v>208.3725</v>
      </c>
      <c r="M14" s="522">
        <f t="shared" si="8"/>
        <v>208.3725</v>
      </c>
      <c r="N14" s="1250">
        <f t="shared" si="8"/>
        <v>208.3725</v>
      </c>
      <c r="O14" s="1029">
        <f>N14*1.05</f>
        <v>218.79112500000002</v>
      </c>
      <c r="P14" s="522">
        <f>O14</f>
        <v>218.79112500000002</v>
      </c>
      <c r="Q14" s="522">
        <f>P14</f>
        <v>218.79112500000002</v>
      </c>
      <c r="R14" s="1027">
        <f>Q14</f>
        <v>218.79112500000002</v>
      </c>
      <c r="S14" s="1033">
        <f aca="true" t="shared" si="9" ref="R14:Z16">O14*1.05</f>
        <v>229.73068125000003</v>
      </c>
      <c r="T14" s="522">
        <f t="shared" si="9"/>
        <v>229.73068125000003</v>
      </c>
      <c r="U14" s="522">
        <f t="shared" si="9"/>
        <v>229.73068125000003</v>
      </c>
      <c r="V14" s="1034">
        <f t="shared" si="9"/>
        <v>229.73068125000003</v>
      </c>
      <c r="W14" s="1029">
        <f t="shared" si="9"/>
        <v>241.21721531250003</v>
      </c>
      <c r="X14" s="522">
        <f t="shared" si="9"/>
        <v>241.21721531250003</v>
      </c>
      <c r="Y14" s="522">
        <f t="shared" si="9"/>
        <v>241.21721531250003</v>
      </c>
      <c r="Z14" s="1027">
        <f t="shared" si="9"/>
        <v>241.21721531250003</v>
      </c>
      <c r="AA14" s="1033">
        <f aca="true" t="shared" si="10" ref="AA14:AH16">W14*1.05</f>
        <v>253.27807607812505</v>
      </c>
      <c r="AB14" s="522">
        <f t="shared" si="10"/>
        <v>253.27807607812505</v>
      </c>
      <c r="AC14" s="522">
        <f t="shared" si="10"/>
        <v>253.27807607812505</v>
      </c>
      <c r="AD14" s="1034">
        <f t="shared" si="10"/>
        <v>253.27807607812505</v>
      </c>
      <c r="AE14" s="1029">
        <f t="shared" si="10"/>
        <v>265.9419798820313</v>
      </c>
      <c r="AF14" s="522">
        <f t="shared" si="10"/>
        <v>265.9419798820313</v>
      </c>
      <c r="AG14" s="522">
        <f t="shared" si="10"/>
        <v>265.9419798820313</v>
      </c>
      <c r="AH14" s="1027">
        <f t="shared" si="10"/>
        <v>265.9419798820313</v>
      </c>
      <c r="AI14" s="1033">
        <f>AH14*1.05</f>
        <v>279.2390788761329</v>
      </c>
      <c r="AJ14" s="522">
        <f aca="true" t="shared" si="11" ref="AJ14:AL16">AI14</f>
        <v>279.2390788761329</v>
      </c>
      <c r="AK14" s="522">
        <f t="shared" si="11"/>
        <v>279.2390788761329</v>
      </c>
      <c r="AL14" s="1034">
        <f t="shared" si="11"/>
        <v>279.2390788761329</v>
      </c>
      <c r="AM14" s="1023"/>
      <c r="AN14" s="439"/>
      <c r="AO14" s="439"/>
      <c r="AP14" s="439"/>
      <c r="AQ14" s="439"/>
    </row>
    <row r="15" spans="1:43" ht="12.75">
      <c r="A15" s="1039" t="s">
        <v>402</v>
      </c>
      <c r="B15" s="1029"/>
      <c r="C15" s="522"/>
      <c r="D15" s="522"/>
      <c r="E15" s="522"/>
      <c r="F15" s="522"/>
      <c r="G15" s="522"/>
      <c r="H15" s="522"/>
      <c r="I15" s="1027"/>
      <c r="J15" s="1023">
        <v>0</v>
      </c>
      <c r="K15" s="1027">
        <v>114.39540000000001</v>
      </c>
      <c r="L15" s="522">
        <f t="shared" si="8"/>
        <v>114.39540000000001</v>
      </c>
      <c r="M15" s="522">
        <f t="shared" si="8"/>
        <v>114.39540000000001</v>
      </c>
      <c r="N15" s="1250">
        <f t="shared" si="8"/>
        <v>114.39540000000001</v>
      </c>
      <c r="O15" s="1029">
        <f>N15*1.05</f>
        <v>120.11517000000002</v>
      </c>
      <c r="P15" s="522">
        <f>O15</f>
        <v>120.11517000000002</v>
      </c>
      <c r="Q15" s="522">
        <f>P15</f>
        <v>120.11517000000002</v>
      </c>
      <c r="R15" s="1027">
        <f t="shared" si="9"/>
        <v>120.11517000000002</v>
      </c>
      <c r="S15" s="1033">
        <f t="shared" si="9"/>
        <v>126.12092850000003</v>
      </c>
      <c r="T15" s="522">
        <f t="shared" si="9"/>
        <v>126.12092850000003</v>
      </c>
      <c r="U15" s="522">
        <f t="shared" si="9"/>
        <v>126.12092850000003</v>
      </c>
      <c r="V15" s="1034">
        <f t="shared" si="9"/>
        <v>126.12092850000003</v>
      </c>
      <c r="W15" s="1029">
        <f t="shared" si="9"/>
        <v>132.42697492500005</v>
      </c>
      <c r="X15" s="522">
        <f t="shared" si="9"/>
        <v>132.42697492500005</v>
      </c>
      <c r="Y15" s="522">
        <f t="shared" si="9"/>
        <v>132.42697492500005</v>
      </c>
      <c r="Z15" s="1027">
        <f t="shared" si="9"/>
        <v>132.42697492500005</v>
      </c>
      <c r="AA15" s="1033">
        <f t="shared" si="10"/>
        <v>139.04832367125007</v>
      </c>
      <c r="AB15" s="522">
        <f t="shared" si="10"/>
        <v>139.04832367125007</v>
      </c>
      <c r="AC15" s="522">
        <f t="shared" si="10"/>
        <v>139.04832367125007</v>
      </c>
      <c r="AD15" s="1034">
        <f t="shared" si="10"/>
        <v>139.04832367125007</v>
      </c>
      <c r="AE15" s="1029">
        <f t="shared" si="10"/>
        <v>146.0007398548126</v>
      </c>
      <c r="AF15" s="522">
        <f t="shared" si="10"/>
        <v>146.0007398548126</v>
      </c>
      <c r="AG15" s="522">
        <f t="shared" si="10"/>
        <v>146.0007398548126</v>
      </c>
      <c r="AH15" s="1027">
        <f t="shared" si="10"/>
        <v>146.0007398548126</v>
      </c>
      <c r="AI15" s="1033">
        <f>AH15*1.05</f>
        <v>153.30077684755324</v>
      </c>
      <c r="AJ15" s="522">
        <f t="shared" si="11"/>
        <v>153.30077684755324</v>
      </c>
      <c r="AK15" s="522">
        <f t="shared" si="11"/>
        <v>153.30077684755324</v>
      </c>
      <c r="AL15" s="1034">
        <f t="shared" si="11"/>
        <v>153.30077684755324</v>
      </c>
      <c r="AM15" s="1023"/>
      <c r="AN15" s="439"/>
      <c r="AO15" s="439"/>
      <c r="AP15" s="439"/>
      <c r="AQ15" s="439"/>
    </row>
    <row r="16" spans="1:43" ht="15.75">
      <c r="A16" s="1039" t="s">
        <v>85</v>
      </c>
      <c r="B16" s="1029"/>
      <c r="C16" s="522"/>
      <c r="D16" s="522"/>
      <c r="E16" s="522"/>
      <c r="F16" s="522"/>
      <c r="G16" s="522"/>
      <c r="H16" s="522"/>
      <c r="I16" s="1027"/>
      <c r="J16" s="1023">
        <v>0</v>
      </c>
      <c r="K16" s="1027">
        <v>352.8</v>
      </c>
      <c r="L16" s="522">
        <f t="shared" si="8"/>
        <v>352.8</v>
      </c>
      <c r="M16" s="522">
        <f t="shared" si="8"/>
        <v>352.8</v>
      </c>
      <c r="N16" s="1250">
        <f t="shared" si="8"/>
        <v>352.8</v>
      </c>
      <c r="O16" s="1029">
        <f>K16*1.05</f>
        <v>370.44000000000005</v>
      </c>
      <c r="P16" s="1029">
        <f>L16*1.05</f>
        <v>370.44000000000005</v>
      </c>
      <c r="Q16" s="1029">
        <f>M16*1.05</f>
        <v>370.44000000000005</v>
      </c>
      <c r="R16" s="1029">
        <f t="shared" si="9"/>
        <v>370.44000000000005</v>
      </c>
      <c r="S16" s="1033">
        <f>O16*1.05</f>
        <v>388.96200000000005</v>
      </c>
      <c r="T16" s="522">
        <f>S16</f>
        <v>388.96200000000005</v>
      </c>
      <c r="U16" s="522">
        <f>T16</f>
        <v>388.96200000000005</v>
      </c>
      <c r="V16" s="1034">
        <f>U16</f>
        <v>388.96200000000005</v>
      </c>
      <c r="W16" s="1029">
        <f t="shared" si="9"/>
        <v>408.41010000000006</v>
      </c>
      <c r="X16" s="522">
        <f t="shared" si="9"/>
        <v>408.41010000000006</v>
      </c>
      <c r="Y16" s="522">
        <f t="shared" si="9"/>
        <v>408.41010000000006</v>
      </c>
      <c r="Z16" s="1027">
        <f t="shared" si="9"/>
        <v>408.41010000000006</v>
      </c>
      <c r="AA16" s="1033">
        <f t="shared" si="10"/>
        <v>428.8306050000001</v>
      </c>
      <c r="AB16" s="522">
        <f t="shared" si="10"/>
        <v>428.8306050000001</v>
      </c>
      <c r="AC16" s="522">
        <f t="shared" si="10"/>
        <v>428.8306050000001</v>
      </c>
      <c r="AD16" s="1034">
        <f t="shared" si="10"/>
        <v>428.8306050000001</v>
      </c>
      <c r="AE16" s="1117">
        <f t="shared" si="10"/>
        <v>450.27213525000013</v>
      </c>
      <c r="AF16" s="522">
        <f t="shared" si="10"/>
        <v>450.27213525000013</v>
      </c>
      <c r="AG16" s="522">
        <f t="shared" si="10"/>
        <v>450.27213525000013</v>
      </c>
      <c r="AH16" s="1117">
        <f t="shared" si="10"/>
        <v>450.27213525000013</v>
      </c>
      <c r="AI16" s="1033">
        <f>AH16*1.05</f>
        <v>472.7857420125002</v>
      </c>
      <c r="AJ16" s="522">
        <f t="shared" si="11"/>
        <v>472.7857420125002</v>
      </c>
      <c r="AK16" s="522">
        <f t="shared" si="11"/>
        <v>472.7857420125002</v>
      </c>
      <c r="AL16" s="1034">
        <f t="shared" si="11"/>
        <v>472.7857420125002</v>
      </c>
      <c r="AM16" s="1023"/>
      <c r="AN16" s="439"/>
      <c r="AO16" s="439"/>
      <c r="AP16" s="439"/>
      <c r="AQ16" s="439"/>
    </row>
    <row r="17" spans="1:43" ht="12.75">
      <c r="A17" s="1091" t="s">
        <v>403</v>
      </c>
      <c r="B17" s="1029"/>
      <c r="C17" s="522"/>
      <c r="D17" s="522"/>
      <c r="E17" s="522"/>
      <c r="F17" s="522"/>
      <c r="G17" s="522"/>
      <c r="H17" s="522"/>
      <c r="I17" s="1027"/>
      <c r="J17" s="1115">
        <f>J12*J13/1000</f>
        <v>0</v>
      </c>
      <c r="K17" s="1115">
        <f>K12*K13/1000</f>
        <v>0</v>
      </c>
      <c r="L17" s="1116">
        <f aca="true" t="shared" si="12" ref="L17:AL17">L12*L13/1000</f>
        <v>0</v>
      </c>
      <c r="M17" s="1116">
        <f t="shared" si="12"/>
        <v>0</v>
      </c>
      <c r="N17" s="1119">
        <f t="shared" si="12"/>
        <v>0</v>
      </c>
      <c r="O17" s="1118">
        <f t="shared" si="12"/>
        <v>0</v>
      </c>
      <c r="P17" s="1116">
        <f t="shared" si="12"/>
        <v>0</v>
      </c>
      <c r="Q17" s="1116">
        <f t="shared" si="12"/>
        <v>0</v>
      </c>
      <c r="R17" s="1118">
        <f t="shared" si="12"/>
        <v>0</v>
      </c>
      <c r="S17" s="1115">
        <f t="shared" si="12"/>
        <v>206098.09631291404</v>
      </c>
      <c r="T17" s="1116">
        <f t="shared" si="12"/>
        <v>0</v>
      </c>
      <c r="U17" s="1116">
        <f t="shared" si="12"/>
        <v>0</v>
      </c>
      <c r="V17" s="1119">
        <f t="shared" si="12"/>
        <v>0</v>
      </c>
      <c r="W17" s="1118">
        <f t="shared" si="12"/>
        <v>118172.86164892718</v>
      </c>
      <c r="X17" s="1116">
        <f t="shared" si="12"/>
        <v>0</v>
      </c>
      <c r="Y17" s="1116">
        <f t="shared" si="12"/>
        <v>0</v>
      </c>
      <c r="Z17" s="1118">
        <f t="shared" si="12"/>
        <v>0</v>
      </c>
      <c r="AA17" s="1115">
        <f t="shared" si="12"/>
        <v>118172.86164892718</v>
      </c>
      <c r="AB17" s="1116">
        <f t="shared" si="12"/>
        <v>0</v>
      </c>
      <c r="AC17" s="1116">
        <f t="shared" si="12"/>
        <v>0</v>
      </c>
      <c r="AD17" s="1119">
        <f t="shared" si="12"/>
        <v>0</v>
      </c>
      <c r="AE17" s="1118">
        <f t="shared" si="12"/>
        <v>118172.86164892718</v>
      </c>
      <c r="AF17" s="1116">
        <f t="shared" si="12"/>
        <v>0</v>
      </c>
      <c r="AG17" s="1116">
        <f t="shared" si="12"/>
        <v>0</v>
      </c>
      <c r="AH17" s="1118">
        <f t="shared" si="12"/>
        <v>0</v>
      </c>
      <c r="AI17" s="1115">
        <f t="shared" si="12"/>
        <v>118172.86164892718</v>
      </c>
      <c r="AJ17" s="1116">
        <f t="shared" si="12"/>
        <v>0</v>
      </c>
      <c r="AK17" s="1116">
        <f t="shared" si="12"/>
        <v>0</v>
      </c>
      <c r="AL17" s="1119">
        <f t="shared" si="12"/>
        <v>0</v>
      </c>
      <c r="AM17" s="1092">
        <f>SUM(B17:AL17)</f>
        <v>678789.5429086229</v>
      </c>
      <c r="AN17" s="439"/>
      <c r="AO17" s="439"/>
      <c r="AP17" s="439"/>
      <c r="AQ17" s="439"/>
    </row>
    <row r="18" spans="1:43" ht="12.75">
      <c r="A18" s="1041" t="s">
        <v>404</v>
      </c>
      <c r="B18" s="1030"/>
      <c r="C18" s="524"/>
      <c r="D18" s="524"/>
      <c r="E18" s="524"/>
      <c r="F18" s="524"/>
      <c r="G18" s="524"/>
      <c r="H18" s="524"/>
      <c r="I18" s="1020"/>
      <c r="J18" s="1024">
        <f>J10*J14</f>
        <v>0</v>
      </c>
      <c r="K18" s="1254">
        <f aca="true" t="shared" si="13" ref="K18:AH18">K10*K14</f>
        <v>1111.373482275</v>
      </c>
      <c r="L18" s="1255">
        <f t="shared" si="13"/>
        <v>6568.165833075001</v>
      </c>
      <c r="M18" s="1255">
        <f t="shared" si="13"/>
        <v>7083.895897102501</v>
      </c>
      <c r="N18" s="1252">
        <f t="shared" si="13"/>
        <v>4804.255321897501</v>
      </c>
      <c r="O18" s="1030">
        <f t="shared" si="13"/>
        <v>12970.821259167187</v>
      </c>
      <c r="P18" s="524">
        <f t="shared" si="13"/>
        <v>12970.821259167187</v>
      </c>
      <c r="Q18" s="524">
        <f t="shared" si="13"/>
        <v>12970.821259167187</v>
      </c>
      <c r="R18" s="1020">
        <f t="shared" si="13"/>
        <v>12970.821259167187</v>
      </c>
      <c r="S18" s="1035">
        <f t="shared" si="13"/>
        <v>27735.91352787938</v>
      </c>
      <c r="T18" s="524">
        <f t="shared" si="13"/>
        <v>27735.91352787938</v>
      </c>
      <c r="U18" s="524">
        <f t="shared" si="13"/>
        <v>27735.91352787938</v>
      </c>
      <c r="V18" s="1036">
        <f t="shared" si="13"/>
        <v>27735.91352787938</v>
      </c>
      <c r="W18" s="1030">
        <f t="shared" si="13"/>
        <v>29122.70920427335</v>
      </c>
      <c r="X18" s="524">
        <f t="shared" si="13"/>
        <v>29122.70920427335</v>
      </c>
      <c r="Y18" s="524">
        <f t="shared" si="13"/>
        <v>29122.70920427335</v>
      </c>
      <c r="Z18" s="1020">
        <f t="shared" si="13"/>
        <v>29122.70920427335</v>
      </c>
      <c r="AA18" s="1035">
        <f t="shared" si="13"/>
        <v>30578.84466448702</v>
      </c>
      <c r="AB18" s="524">
        <f t="shared" si="13"/>
        <v>30578.84466448702</v>
      </c>
      <c r="AC18" s="524">
        <f t="shared" si="13"/>
        <v>30578.84466448702</v>
      </c>
      <c r="AD18" s="1036">
        <f t="shared" si="13"/>
        <v>30578.84466448702</v>
      </c>
      <c r="AE18" s="1030">
        <f t="shared" si="13"/>
        <v>32107.786897711372</v>
      </c>
      <c r="AF18" s="524">
        <f t="shared" si="13"/>
        <v>32107.786897711372</v>
      </c>
      <c r="AG18" s="524">
        <f t="shared" si="13"/>
        <v>32107.786897711372</v>
      </c>
      <c r="AH18" s="1020">
        <f t="shared" si="13"/>
        <v>32107.786897711372</v>
      </c>
      <c r="AI18" s="1035">
        <f aca="true" t="shared" si="14" ref="AI18:AL19">AI10*AI14</f>
        <v>33713.17624259694</v>
      </c>
      <c r="AJ18" s="524">
        <f t="shared" si="14"/>
        <v>33713.17624259694</v>
      </c>
      <c r="AK18" s="524">
        <f t="shared" si="14"/>
        <v>33713.17624259694</v>
      </c>
      <c r="AL18" s="1036">
        <f t="shared" si="14"/>
        <v>33713.17624259694</v>
      </c>
      <c r="AM18" s="1024">
        <f>SUM(B18:AL18)</f>
        <v>684484.697718811</v>
      </c>
      <c r="AN18" s="439"/>
      <c r="AO18" s="439"/>
      <c r="AP18" s="439"/>
      <c r="AQ18" s="439"/>
    </row>
    <row r="19" spans="1:43" ht="12.75">
      <c r="A19" s="1017" t="s">
        <v>405</v>
      </c>
      <c r="B19" s="1031"/>
      <c r="C19" s="791"/>
      <c r="D19" s="791"/>
      <c r="E19" s="791"/>
      <c r="F19" s="791"/>
      <c r="G19" s="791"/>
      <c r="H19" s="791"/>
      <c r="I19" s="1021"/>
      <c r="J19" s="1025">
        <f>J11*J15</f>
        <v>0</v>
      </c>
      <c r="K19" s="1037">
        <f aca="true" t="shared" si="15" ref="K19:AH19">K11*K15</f>
        <v>0</v>
      </c>
      <c r="L19" s="791">
        <f t="shared" si="15"/>
        <v>0</v>
      </c>
      <c r="M19" s="791">
        <f t="shared" si="15"/>
        <v>0</v>
      </c>
      <c r="N19" s="1253">
        <f t="shared" si="15"/>
        <v>930.5425241378782</v>
      </c>
      <c r="O19" s="1031">
        <f t="shared" si="15"/>
        <v>1598.0509602577347</v>
      </c>
      <c r="P19" s="791">
        <f t="shared" si="15"/>
        <v>1598.0509602577347</v>
      </c>
      <c r="Q19" s="791">
        <f t="shared" si="15"/>
        <v>1598.0509602577347</v>
      </c>
      <c r="R19" s="1021">
        <f t="shared" si="15"/>
        <v>1598.0509602577347</v>
      </c>
      <c r="S19" s="1037">
        <f t="shared" si="15"/>
        <v>8683.027713053598</v>
      </c>
      <c r="T19" s="791">
        <f t="shared" si="15"/>
        <v>8683.027713053598</v>
      </c>
      <c r="U19" s="791">
        <f t="shared" si="15"/>
        <v>8683.027713053598</v>
      </c>
      <c r="V19" s="1038">
        <f t="shared" si="15"/>
        <v>8683.027713053598</v>
      </c>
      <c r="W19" s="1031">
        <f t="shared" si="15"/>
        <v>9117.17909870628</v>
      </c>
      <c r="X19" s="791">
        <f t="shared" si="15"/>
        <v>9117.17909870628</v>
      </c>
      <c r="Y19" s="791">
        <f t="shared" si="15"/>
        <v>9117.17909870628</v>
      </c>
      <c r="Z19" s="1021">
        <f t="shared" si="15"/>
        <v>9117.17909870628</v>
      </c>
      <c r="AA19" s="1037">
        <f t="shared" si="15"/>
        <v>9573.038053641594</v>
      </c>
      <c r="AB19" s="791">
        <f t="shared" si="15"/>
        <v>9573.038053641594</v>
      </c>
      <c r="AC19" s="791">
        <f t="shared" si="15"/>
        <v>9573.038053641594</v>
      </c>
      <c r="AD19" s="1038">
        <f t="shared" si="15"/>
        <v>9573.038053641594</v>
      </c>
      <c r="AE19" s="1031">
        <f t="shared" si="15"/>
        <v>10051.689956323675</v>
      </c>
      <c r="AF19" s="791">
        <f t="shared" si="15"/>
        <v>10051.689956323675</v>
      </c>
      <c r="AG19" s="791">
        <f t="shared" si="15"/>
        <v>10051.689956323675</v>
      </c>
      <c r="AH19" s="1021">
        <f t="shared" si="15"/>
        <v>10051.689956323675</v>
      </c>
      <c r="AI19" s="1037">
        <f t="shared" si="14"/>
        <v>10554.27445413986</v>
      </c>
      <c r="AJ19" s="791">
        <f t="shared" si="14"/>
        <v>10554.27445413986</v>
      </c>
      <c r="AK19" s="791">
        <f t="shared" si="14"/>
        <v>10554.27445413986</v>
      </c>
      <c r="AL19" s="1038">
        <f t="shared" si="14"/>
        <v>10554.27445413986</v>
      </c>
      <c r="AM19" s="1025">
        <f>SUM(B19:AL19)</f>
        <v>199239.5834686289</v>
      </c>
      <c r="AN19" s="439"/>
      <c r="AO19" s="439"/>
      <c r="AP19" s="439"/>
      <c r="AQ19" s="439"/>
    </row>
    <row r="20" spans="1:43" ht="13.5" thickBot="1">
      <c r="A20" s="1045" t="s">
        <v>406</v>
      </c>
      <c r="B20" s="1046"/>
      <c r="C20" s="1047"/>
      <c r="D20" s="1047"/>
      <c r="E20" s="1047"/>
      <c r="F20" s="1047"/>
      <c r="G20" s="1047"/>
      <c r="H20" s="1047"/>
      <c r="I20" s="1048"/>
      <c r="J20" s="1246">
        <f>(2.317332*320+2.19469*336)</f>
        <v>1478.96208</v>
      </c>
      <c r="K20" s="1247">
        <f>K8*K16</f>
        <v>140.3713584</v>
      </c>
      <c r="L20" s="1248">
        <f>48.8313+50.9601+53.79385</f>
        <v>153.58525</v>
      </c>
      <c r="M20" s="1248">
        <f>49.6296+53.4096+54.5661</f>
        <v>157.6053</v>
      </c>
      <c r="N20" s="1249">
        <f>53.9028+53.37933+53.5422</f>
        <v>160.82433</v>
      </c>
      <c r="O20" s="1046">
        <f aca="true" t="shared" si="16" ref="O20:AL20">O8*O16</f>
        <v>166.68438633000002</v>
      </c>
      <c r="P20" s="1047">
        <f t="shared" si="16"/>
        <v>166.68438633000002</v>
      </c>
      <c r="Q20" s="1047">
        <f t="shared" si="16"/>
        <v>166.68438633000002</v>
      </c>
      <c r="R20" s="1048">
        <f t="shared" si="16"/>
        <v>166.68438633000002</v>
      </c>
      <c r="S20" s="1049">
        <f t="shared" si="16"/>
        <v>321.0380521425</v>
      </c>
      <c r="T20" s="1047">
        <f t="shared" si="16"/>
        <v>321.0380521425</v>
      </c>
      <c r="U20" s="1047">
        <f t="shared" si="16"/>
        <v>321.0380521425</v>
      </c>
      <c r="V20" s="1050">
        <f t="shared" si="16"/>
        <v>321.0380521425</v>
      </c>
      <c r="W20" s="1046">
        <f t="shared" si="16"/>
        <v>404.53153138282505</v>
      </c>
      <c r="X20" s="1047">
        <f t="shared" si="16"/>
        <v>404.53153138282505</v>
      </c>
      <c r="Y20" s="1047">
        <f t="shared" si="16"/>
        <v>404.53153138282505</v>
      </c>
      <c r="Z20" s="1048">
        <f t="shared" si="16"/>
        <v>404.53153138282505</v>
      </c>
      <c r="AA20" s="1049">
        <f t="shared" si="16"/>
        <v>424.75810795196634</v>
      </c>
      <c r="AB20" s="1047">
        <f t="shared" si="16"/>
        <v>424.75810795196634</v>
      </c>
      <c r="AC20" s="1047">
        <f t="shared" si="16"/>
        <v>424.75810795196634</v>
      </c>
      <c r="AD20" s="1050">
        <f t="shared" si="16"/>
        <v>424.75810795196634</v>
      </c>
      <c r="AE20" s="1046">
        <f t="shared" si="16"/>
        <v>445.9960133495647</v>
      </c>
      <c r="AF20" s="1047">
        <f t="shared" si="16"/>
        <v>445.9960133495647</v>
      </c>
      <c r="AG20" s="1047">
        <f t="shared" si="16"/>
        <v>445.9960133495647</v>
      </c>
      <c r="AH20" s="1048">
        <f t="shared" si="16"/>
        <v>445.9960133495647</v>
      </c>
      <c r="AI20" s="1049">
        <f t="shared" si="16"/>
        <v>468.2958140170429</v>
      </c>
      <c r="AJ20" s="1047">
        <f t="shared" si="16"/>
        <v>468.2958140170429</v>
      </c>
      <c r="AK20" s="1047">
        <f t="shared" si="16"/>
        <v>468.2958140170429</v>
      </c>
      <c r="AL20" s="1050">
        <f t="shared" si="16"/>
        <v>468.2958140170429</v>
      </c>
      <c r="AM20" s="1026">
        <f>SUM(B20:AL20)</f>
        <v>11016.563939095593</v>
      </c>
      <c r="AN20" s="439"/>
      <c r="AO20" s="439"/>
      <c r="AP20" s="439"/>
      <c r="AQ20" s="439"/>
    </row>
    <row r="21" spans="1:43" ht="13.5" thickBot="1">
      <c r="A21" s="1051" t="s">
        <v>407</v>
      </c>
      <c r="B21" s="1052"/>
      <c r="C21" s="1053"/>
      <c r="D21" s="1053"/>
      <c r="E21" s="1053"/>
      <c r="F21" s="1053"/>
      <c r="G21" s="1053"/>
      <c r="H21" s="1053"/>
      <c r="I21" s="1233"/>
      <c r="J21" s="1093">
        <f>SUM(J17:J20)</f>
        <v>1478.96208</v>
      </c>
      <c r="K21" s="1120">
        <f aca="true" t="shared" si="17" ref="K21:AL21">SUM(K17:K20)</f>
        <v>1251.744840675</v>
      </c>
      <c r="L21" s="860">
        <f t="shared" si="17"/>
        <v>6721.751083075001</v>
      </c>
      <c r="M21" s="860">
        <f t="shared" si="17"/>
        <v>7241.5011971025015</v>
      </c>
      <c r="N21" s="1121">
        <f t="shared" si="17"/>
        <v>5895.622176035379</v>
      </c>
      <c r="O21" s="1122">
        <f t="shared" si="17"/>
        <v>14735.556605754922</v>
      </c>
      <c r="P21" s="860">
        <f t="shared" si="17"/>
        <v>14735.556605754922</v>
      </c>
      <c r="Q21" s="860">
        <f t="shared" si="17"/>
        <v>14735.556605754922</v>
      </c>
      <c r="R21" s="860">
        <f t="shared" si="17"/>
        <v>14735.556605754922</v>
      </c>
      <c r="S21" s="1120">
        <f t="shared" si="17"/>
        <v>242838.07560598952</v>
      </c>
      <c r="T21" s="860">
        <f t="shared" si="17"/>
        <v>36739.979293075485</v>
      </c>
      <c r="U21" s="860">
        <f t="shared" si="17"/>
        <v>36739.979293075485</v>
      </c>
      <c r="V21" s="1121">
        <f t="shared" si="17"/>
        <v>36739.979293075485</v>
      </c>
      <c r="W21" s="1122">
        <f t="shared" si="17"/>
        <v>156817.28148328964</v>
      </c>
      <c r="X21" s="860">
        <f t="shared" si="17"/>
        <v>38644.41983436245</v>
      </c>
      <c r="Y21" s="860">
        <f t="shared" si="17"/>
        <v>38644.41983436245</v>
      </c>
      <c r="Z21" s="860">
        <f t="shared" si="17"/>
        <v>38644.41983436245</v>
      </c>
      <c r="AA21" s="1120">
        <f t="shared" si="17"/>
        <v>158749.50247500776</v>
      </c>
      <c r="AB21" s="860">
        <f t="shared" si="17"/>
        <v>40576.640826080584</v>
      </c>
      <c r="AC21" s="860">
        <f t="shared" si="17"/>
        <v>40576.640826080584</v>
      </c>
      <c r="AD21" s="1121">
        <f t="shared" si="17"/>
        <v>40576.640826080584</v>
      </c>
      <c r="AE21" s="1122">
        <f t="shared" si="17"/>
        <v>160778.3345163118</v>
      </c>
      <c r="AF21" s="860">
        <f t="shared" si="17"/>
        <v>42605.47286738461</v>
      </c>
      <c r="AG21" s="860">
        <f t="shared" si="17"/>
        <v>42605.47286738461</v>
      </c>
      <c r="AH21" s="860">
        <f t="shared" si="17"/>
        <v>42605.47286738461</v>
      </c>
      <c r="AI21" s="1120">
        <f t="shared" si="17"/>
        <v>162908.60815968103</v>
      </c>
      <c r="AJ21" s="860">
        <f t="shared" si="17"/>
        <v>44735.74651075385</v>
      </c>
      <c r="AK21" s="860">
        <f t="shared" si="17"/>
        <v>44735.74651075385</v>
      </c>
      <c r="AL21" s="1121">
        <f t="shared" si="17"/>
        <v>44735.74651075385</v>
      </c>
      <c r="AM21" s="1025">
        <f>SUM(B21:AL21)</f>
        <v>1573530.3880351584</v>
      </c>
      <c r="AN21" s="439"/>
      <c r="AO21" s="439"/>
      <c r="AP21" s="439"/>
      <c r="AQ21" s="439"/>
    </row>
    <row r="22" spans="34:38" ht="12.75">
      <c r="AH22" s="434"/>
      <c r="AI22" s="434"/>
      <c r="AJ22" s="434"/>
      <c r="AK22" s="434"/>
      <c r="AL22" s="434"/>
    </row>
    <row r="23" spans="34:38" ht="12.75">
      <c r="AH23" s="434"/>
      <c r="AI23" s="434"/>
      <c r="AJ23" s="434"/>
      <c r="AK23" s="434"/>
      <c r="AL23" s="434"/>
    </row>
    <row r="24" spans="13:38" ht="12.75">
      <c r="M24" s="962"/>
      <c r="N24" s="962"/>
      <c r="AH24" s="434"/>
      <c r="AI24" s="434"/>
      <c r="AJ24" s="434"/>
      <c r="AK24" s="434"/>
      <c r="AL24" s="434"/>
    </row>
    <row r="25" spans="14:38" ht="12.75">
      <c r="N25" s="1219"/>
      <c r="AH25" s="434"/>
      <c r="AI25" s="434"/>
      <c r="AJ25" s="434"/>
      <c r="AK25" s="434"/>
      <c r="AL25" s="434"/>
    </row>
    <row r="26" spans="14:38" ht="12.75">
      <c r="N26" s="962"/>
      <c r="AH26" s="434"/>
      <c r="AI26" s="434"/>
      <c r="AJ26" s="434"/>
      <c r="AK26" s="434"/>
      <c r="AL26" s="434"/>
    </row>
    <row r="27" spans="34:38" ht="12.75">
      <c r="AH27" s="434"/>
      <c r="AI27" s="434"/>
      <c r="AJ27" s="434"/>
      <c r="AK27" s="434"/>
      <c r="AL27" s="434"/>
    </row>
    <row r="28" spans="14:38" ht="12.75">
      <c r="N28" s="439"/>
      <c r="AH28" s="434"/>
      <c r="AI28" s="434"/>
      <c r="AJ28" s="434"/>
      <c r="AK28" s="434"/>
      <c r="AL28" s="434"/>
    </row>
    <row r="29" spans="14:38" ht="12.75">
      <c r="N29" s="434"/>
      <c r="AH29" s="434"/>
      <c r="AI29" s="434"/>
      <c r="AJ29" s="434"/>
      <c r="AK29" s="434"/>
      <c r="AL29" s="434"/>
    </row>
    <row r="30" spans="14:38" ht="12.75">
      <c r="N30" s="434"/>
      <c r="AH30" s="434"/>
      <c r="AI30" s="434"/>
      <c r="AJ30" s="434"/>
      <c r="AK30" s="434"/>
      <c r="AL30" s="434"/>
    </row>
    <row r="31" spans="14:38" ht="12.75">
      <c r="N31" s="434"/>
      <c r="AH31" s="434"/>
      <c r="AI31" s="434"/>
      <c r="AJ31" s="434"/>
      <c r="AK31" s="434"/>
      <c r="AL31" s="434"/>
    </row>
    <row r="32" spans="34:38" ht="12.75">
      <c r="AH32" s="434"/>
      <c r="AI32" s="434"/>
      <c r="AJ32" s="434"/>
      <c r="AK32" s="434"/>
      <c r="AL32" s="434"/>
    </row>
    <row r="33" spans="34:38" ht="12.75">
      <c r="AH33" s="434"/>
      <c r="AI33" s="434"/>
      <c r="AJ33" s="434"/>
      <c r="AK33" s="434"/>
      <c r="AL33" s="434"/>
    </row>
    <row r="34" spans="34:38" ht="12.75">
      <c r="AH34" s="434"/>
      <c r="AI34" s="434"/>
      <c r="AJ34" s="434"/>
      <c r="AK34" s="434"/>
      <c r="AL34" s="434"/>
    </row>
    <row r="35" spans="34:38" ht="12.75">
      <c r="AH35" s="434"/>
      <c r="AI35" s="434"/>
      <c r="AJ35" s="434"/>
      <c r="AK35" s="434"/>
      <c r="AL35" s="434"/>
    </row>
    <row r="36" spans="34:38" ht="12.75">
      <c r="AH36" s="434"/>
      <c r="AI36" s="434"/>
      <c r="AJ36" s="434"/>
      <c r="AK36" s="434"/>
      <c r="AL36" s="434"/>
    </row>
    <row r="37" spans="34:38" ht="12.75">
      <c r="AH37" s="434"/>
      <c r="AI37" s="434"/>
      <c r="AJ37" s="434"/>
      <c r="AK37" s="434"/>
      <c r="AL37" s="434"/>
    </row>
    <row r="38" spans="34:38" ht="12.75">
      <c r="AH38" s="434"/>
      <c r="AI38" s="434"/>
      <c r="AJ38" s="434"/>
      <c r="AK38" s="434"/>
      <c r="AL38" s="434"/>
    </row>
    <row r="39" spans="1:43" ht="12.75">
      <c r="A39" s="425"/>
      <c r="B39" s="6"/>
      <c r="C39" s="6"/>
      <c r="D39" s="6"/>
      <c r="E39" s="6"/>
      <c r="F39" s="6"/>
      <c r="G39" s="6"/>
      <c r="H39" s="6"/>
      <c r="I39" s="6"/>
      <c r="J39" s="6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43"/>
      <c r="AI39" s="343"/>
      <c r="AJ39" s="343"/>
      <c r="AK39" s="343"/>
      <c r="AL39" s="343"/>
      <c r="AM39" s="322"/>
      <c r="AN39" s="343"/>
      <c r="AO39" s="343"/>
      <c r="AP39" s="343"/>
      <c r="AQ39" s="343"/>
    </row>
    <row r="40" spans="34:38" ht="12.75">
      <c r="AH40" s="434"/>
      <c r="AI40" s="434"/>
      <c r="AJ40" s="434"/>
      <c r="AK40" s="434"/>
      <c r="AL40" s="434"/>
    </row>
    <row r="41" spans="34:38" ht="12.75">
      <c r="AH41" s="434"/>
      <c r="AI41" s="434"/>
      <c r="AJ41" s="434"/>
      <c r="AK41" s="434"/>
      <c r="AL41" s="434"/>
    </row>
    <row r="42" spans="34:38" ht="12.75">
      <c r="AH42" s="434"/>
      <c r="AI42" s="434"/>
      <c r="AJ42" s="434"/>
      <c r="AK42" s="434"/>
      <c r="AL42" s="434"/>
    </row>
    <row r="43" spans="34:38" ht="12.75">
      <c r="AH43" s="434"/>
      <c r="AI43" s="434"/>
      <c r="AJ43" s="434"/>
      <c r="AK43" s="434"/>
      <c r="AL43" s="434"/>
    </row>
    <row r="44" spans="34:38" ht="12.75">
      <c r="AH44" s="434"/>
      <c r="AI44" s="434"/>
      <c r="AJ44" s="434"/>
      <c r="AK44" s="434"/>
      <c r="AL44" s="434"/>
    </row>
    <row r="45" spans="34:38" ht="12.75">
      <c r="AH45" s="434"/>
      <c r="AI45" s="434"/>
      <c r="AJ45" s="434"/>
      <c r="AK45" s="434"/>
      <c r="AL45" s="434"/>
    </row>
    <row r="46" spans="34:38" ht="12.75">
      <c r="AH46" s="434"/>
      <c r="AI46" s="434"/>
      <c r="AJ46" s="434"/>
      <c r="AK46" s="434"/>
      <c r="AL46" s="434"/>
    </row>
    <row r="47" spans="34:38" ht="12.75">
      <c r="AH47" s="434"/>
      <c r="AI47" s="434"/>
      <c r="AJ47" s="434"/>
      <c r="AK47" s="434"/>
      <c r="AL47" s="434"/>
    </row>
    <row r="48" spans="34:38" ht="12.75">
      <c r="AH48" s="434"/>
      <c r="AI48" s="434"/>
      <c r="AJ48" s="434"/>
      <c r="AK48" s="434"/>
      <c r="AL48" s="434"/>
    </row>
    <row r="49" spans="34:38" ht="12.75">
      <c r="AH49" s="434"/>
      <c r="AI49" s="434"/>
      <c r="AJ49" s="434"/>
      <c r="AK49" s="434"/>
      <c r="AL49" s="434"/>
    </row>
    <row r="50" spans="34:38" ht="12.75">
      <c r="AH50" s="434"/>
      <c r="AI50" s="434"/>
      <c r="AJ50" s="434"/>
      <c r="AK50" s="434"/>
      <c r="AL50" s="434"/>
    </row>
  </sheetData>
  <mergeCells count="12">
    <mergeCell ref="AM2:AM3"/>
    <mergeCell ref="AI2:AL2"/>
    <mergeCell ref="AE2:AH2"/>
    <mergeCell ref="O2:R2"/>
    <mergeCell ref="S2:V2"/>
    <mergeCell ref="W2:Z2"/>
    <mergeCell ref="AA2:AD2"/>
    <mergeCell ref="A2:A3"/>
    <mergeCell ref="B2:E2"/>
    <mergeCell ref="F2:I2"/>
    <mergeCell ref="K2:N2"/>
    <mergeCell ref="J2:J3"/>
  </mergeCells>
  <printOptions/>
  <pageMargins left="0.3937007874015748" right="0.3937007874015748" top="0.6692913385826772" bottom="0.984251968503937" header="0.5118110236220472" footer="0.5118110236220472"/>
  <pageSetup fitToWidth="2" fitToHeight="1" horizontalDpi="600" verticalDpi="600" orientation="landscape" paperSize="9" scale="59" r:id="rId1"/>
  <headerFooter alignWithMargins="0">
    <oddHeader>&amp;RПриложение 4</oddHeader>
  </headerFooter>
  <colBreaks count="2" manualBreakCount="2">
    <brk id="14" max="26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98"/>
  <sheetViews>
    <sheetView workbookViewId="0" topLeftCell="A37">
      <selection activeCell="A94" sqref="A94:IV97"/>
    </sheetView>
  </sheetViews>
  <sheetFormatPr defaultColWidth="9.00390625" defaultRowHeight="12.75"/>
  <cols>
    <col min="1" max="1" width="52.875" style="32" customWidth="1"/>
    <col min="2" max="2" width="21.125" style="32" customWidth="1"/>
    <col min="3" max="3" width="14.625" style="32" customWidth="1"/>
    <col min="4" max="4" width="12.125" style="32" customWidth="1"/>
    <col min="5" max="5" width="10.625" style="32" bestFit="1" customWidth="1"/>
    <col min="6" max="6" width="11.625" style="32" customWidth="1"/>
    <col min="7" max="38" width="9.125" style="32" customWidth="1"/>
    <col min="39" max="41" width="0" style="32" hidden="1" customWidth="1"/>
    <col min="42" max="42" width="10.375" style="32" hidden="1" customWidth="1"/>
    <col min="43" max="43" width="0" style="32" hidden="1" customWidth="1"/>
    <col min="44" max="44" width="10.375" style="32" hidden="1" customWidth="1"/>
    <col min="45" max="46" width="0" style="32" hidden="1" customWidth="1"/>
    <col min="47" max="48" width="10.375" style="32" bestFit="1" customWidth="1"/>
    <col min="49" max="49" width="17.00390625" style="340" customWidth="1"/>
    <col min="50" max="67" width="9.125" style="32" customWidth="1"/>
    <col min="68" max="68" width="10.00390625" style="32" bestFit="1" customWidth="1"/>
    <col min="69" max="81" width="9.125" style="32" customWidth="1"/>
    <col min="82" max="83" width="9.625" style="32" bestFit="1" customWidth="1"/>
    <col min="84" max="91" width="9.125" style="32" customWidth="1"/>
    <col min="92" max="93" width="9.625" style="32" bestFit="1" customWidth="1"/>
    <col min="94" max="16384" width="9.125" style="32" customWidth="1"/>
  </cols>
  <sheetData>
    <row r="1" spans="1:44" s="415" customFormat="1" ht="13.5" hidden="1">
      <c r="A1" s="414" t="s">
        <v>86</v>
      </c>
      <c r="B1" s="414"/>
      <c r="AR1" s="416"/>
    </row>
    <row r="2" ht="13.5" hidden="1" thickBot="1">
      <c r="AR2" s="340"/>
    </row>
    <row r="3" spans="1:49" ht="12.75" hidden="1">
      <c r="A3" s="1391" t="s">
        <v>87</v>
      </c>
      <c r="B3" s="1393" t="s">
        <v>88</v>
      </c>
      <c r="C3" s="1395">
        <v>2004</v>
      </c>
      <c r="D3" s="1396"/>
      <c r="E3" s="1396"/>
      <c r="F3" s="1397"/>
      <c r="G3" s="1395">
        <v>2005</v>
      </c>
      <c r="H3" s="1396"/>
      <c r="I3" s="1396"/>
      <c r="J3" s="1397"/>
      <c r="K3" s="1395">
        <v>2006</v>
      </c>
      <c r="L3" s="1396"/>
      <c r="M3" s="1396"/>
      <c r="N3" s="1397"/>
      <c r="O3" s="1395">
        <v>2007</v>
      </c>
      <c r="P3" s="1396"/>
      <c r="Q3" s="1396"/>
      <c r="R3" s="1397"/>
      <c r="S3" s="1395">
        <v>2008</v>
      </c>
      <c r="T3" s="1396"/>
      <c r="U3" s="1396"/>
      <c r="V3" s="1397"/>
      <c r="W3" s="1395">
        <v>2009</v>
      </c>
      <c r="X3" s="1396"/>
      <c r="Y3" s="1396"/>
      <c r="Z3" s="1397"/>
      <c r="AA3" s="1395">
        <v>2010</v>
      </c>
      <c r="AB3" s="1396"/>
      <c r="AC3" s="1396"/>
      <c r="AD3" s="1397"/>
      <c r="AE3" s="1395">
        <v>2011</v>
      </c>
      <c r="AF3" s="1396"/>
      <c r="AG3" s="1396"/>
      <c r="AH3" s="1397"/>
      <c r="AI3" s="1395">
        <v>2012</v>
      </c>
      <c r="AJ3" s="1396"/>
      <c r="AK3" s="1396"/>
      <c r="AL3" s="1396"/>
      <c r="AM3" s="1403">
        <v>2013</v>
      </c>
      <c r="AN3" s="1396"/>
      <c r="AO3" s="1396"/>
      <c r="AP3" s="1396"/>
      <c r="AQ3" s="1395">
        <v>2014</v>
      </c>
      <c r="AR3" s="1396"/>
      <c r="AS3" s="1396"/>
      <c r="AT3" s="1404"/>
      <c r="AU3" s="1401" t="s">
        <v>84</v>
      </c>
      <c r="AW3" s="273"/>
    </row>
    <row r="4" spans="1:49" ht="13.5" hidden="1" thickBot="1">
      <c r="A4" s="1392"/>
      <c r="B4" s="1394"/>
      <c r="C4" s="372" t="s">
        <v>116</v>
      </c>
      <c r="D4" s="372" t="s">
        <v>117</v>
      </c>
      <c r="E4" s="372" t="s">
        <v>118</v>
      </c>
      <c r="F4" s="372" t="s">
        <v>119</v>
      </c>
      <c r="G4" s="372" t="s">
        <v>116</v>
      </c>
      <c r="H4" s="372" t="s">
        <v>117</v>
      </c>
      <c r="I4" s="372" t="s">
        <v>118</v>
      </c>
      <c r="J4" s="372" t="s">
        <v>119</v>
      </c>
      <c r="K4" s="372" t="s">
        <v>116</v>
      </c>
      <c r="L4" s="372" t="s">
        <v>117</v>
      </c>
      <c r="M4" s="372" t="s">
        <v>118</v>
      </c>
      <c r="N4" s="372" t="s">
        <v>119</v>
      </c>
      <c r="O4" s="372" t="s">
        <v>116</v>
      </c>
      <c r="P4" s="372" t="s">
        <v>117</v>
      </c>
      <c r="Q4" s="372" t="s">
        <v>118</v>
      </c>
      <c r="R4" s="372" t="s">
        <v>119</v>
      </c>
      <c r="S4" s="372" t="s">
        <v>116</v>
      </c>
      <c r="T4" s="372" t="s">
        <v>117</v>
      </c>
      <c r="U4" s="372" t="s">
        <v>118</v>
      </c>
      <c r="V4" s="372" t="s">
        <v>119</v>
      </c>
      <c r="W4" s="372" t="s">
        <v>116</v>
      </c>
      <c r="X4" s="372" t="s">
        <v>117</v>
      </c>
      <c r="Y4" s="372" t="s">
        <v>118</v>
      </c>
      <c r="Z4" s="372" t="s">
        <v>119</v>
      </c>
      <c r="AA4" s="372" t="s">
        <v>116</v>
      </c>
      <c r="AB4" s="372" t="s">
        <v>117</v>
      </c>
      <c r="AC4" s="372" t="s">
        <v>118</v>
      </c>
      <c r="AD4" s="372" t="s">
        <v>119</v>
      </c>
      <c r="AE4" s="372" t="s">
        <v>116</v>
      </c>
      <c r="AF4" s="372" t="s">
        <v>117</v>
      </c>
      <c r="AG4" s="372" t="s">
        <v>118</v>
      </c>
      <c r="AH4" s="372" t="s">
        <v>119</v>
      </c>
      <c r="AI4" s="372" t="s">
        <v>116</v>
      </c>
      <c r="AJ4" s="372" t="s">
        <v>117</v>
      </c>
      <c r="AK4" s="372" t="s">
        <v>118</v>
      </c>
      <c r="AL4" s="743" t="s">
        <v>119</v>
      </c>
      <c r="AM4" s="804" t="s">
        <v>40</v>
      </c>
      <c r="AN4" s="372" t="s">
        <v>41</v>
      </c>
      <c r="AO4" s="743" t="s">
        <v>42</v>
      </c>
      <c r="AP4" s="743" t="s">
        <v>43</v>
      </c>
      <c r="AQ4" s="372" t="s">
        <v>40</v>
      </c>
      <c r="AR4" s="372" t="s">
        <v>41</v>
      </c>
      <c r="AS4" s="743" t="s">
        <v>42</v>
      </c>
      <c r="AT4" s="805" t="s">
        <v>43</v>
      </c>
      <c r="AU4" s="1402"/>
      <c r="AW4" s="273"/>
    </row>
    <row r="5" spans="1:47" ht="12.75" hidden="1">
      <c r="A5" s="349" t="s">
        <v>89</v>
      </c>
      <c r="B5" s="371"/>
      <c r="C5" s="350">
        <v>0</v>
      </c>
      <c r="D5" s="350">
        <v>0</v>
      </c>
      <c r="E5" s="350">
        <v>0</v>
      </c>
      <c r="F5" s="446">
        <v>0</v>
      </c>
      <c r="G5" s="446">
        <v>0</v>
      </c>
      <c r="H5" s="446">
        <v>0</v>
      </c>
      <c r="I5" s="446">
        <v>0</v>
      </c>
      <c r="J5" s="446">
        <v>0</v>
      </c>
      <c r="K5" s="446">
        <v>0</v>
      </c>
      <c r="L5" s="446">
        <v>0</v>
      </c>
      <c r="M5" s="446">
        <v>0</v>
      </c>
      <c r="N5" s="446">
        <v>0</v>
      </c>
      <c r="O5" s="446">
        <v>0</v>
      </c>
      <c r="P5" s="446">
        <v>0</v>
      </c>
      <c r="Q5" s="446">
        <v>1</v>
      </c>
      <c r="R5" s="446">
        <v>2</v>
      </c>
      <c r="S5" s="446">
        <v>2</v>
      </c>
      <c r="T5" s="446">
        <v>2</v>
      </c>
      <c r="U5" s="446">
        <v>2</v>
      </c>
      <c r="V5" s="446">
        <v>2</v>
      </c>
      <c r="W5" s="446">
        <v>2</v>
      </c>
      <c r="X5" s="446">
        <v>2</v>
      </c>
      <c r="Y5" s="446">
        <v>2</v>
      </c>
      <c r="Z5" s="446">
        <v>2</v>
      </c>
      <c r="AA5" s="446">
        <v>2</v>
      </c>
      <c r="AB5" s="446">
        <v>2</v>
      </c>
      <c r="AC5" s="446">
        <v>2</v>
      </c>
      <c r="AD5" s="446">
        <v>2</v>
      </c>
      <c r="AE5" s="446">
        <v>2</v>
      </c>
      <c r="AF5" s="446">
        <v>2</v>
      </c>
      <c r="AG5" s="446">
        <v>2</v>
      </c>
      <c r="AH5" s="446">
        <v>2</v>
      </c>
      <c r="AI5" s="446">
        <v>2</v>
      </c>
      <c r="AJ5" s="446">
        <v>2</v>
      </c>
      <c r="AK5" s="446">
        <v>2</v>
      </c>
      <c r="AL5" s="446">
        <v>2</v>
      </c>
      <c r="AM5" s="446"/>
      <c r="AN5" s="446"/>
      <c r="AO5" s="618"/>
      <c r="AP5" s="618"/>
      <c r="AQ5" s="618"/>
      <c r="AR5" s="618"/>
      <c r="AS5" s="618"/>
      <c r="AT5" s="618"/>
      <c r="AU5" s="765">
        <f>SUM(F5:AO5)</f>
        <v>43</v>
      </c>
    </row>
    <row r="6" spans="1:47" ht="12.75" hidden="1">
      <c r="A6" s="28" t="s">
        <v>90</v>
      </c>
      <c r="B6" s="356"/>
      <c r="C6" s="356"/>
      <c r="D6" s="356"/>
      <c r="E6" s="35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>
        <v>1250</v>
      </c>
      <c r="R6" s="27">
        <v>1250</v>
      </c>
      <c r="S6" s="27">
        <v>1250</v>
      </c>
      <c r="T6" s="27">
        <v>1250</v>
      </c>
      <c r="U6" s="27">
        <v>1250</v>
      </c>
      <c r="V6" s="27">
        <v>1250</v>
      </c>
      <c r="W6" s="27">
        <v>1250</v>
      </c>
      <c r="X6" s="27">
        <v>1250</v>
      </c>
      <c r="Y6" s="27">
        <v>1250</v>
      </c>
      <c r="Z6" s="27">
        <v>1500</v>
      </c>
      <c r="AA6" s="27">
        <v>1500</v>
      </c>
      <c r="AB6" s="27">
        <v>1500</v>
      </c>
      <c r="AC6" s="27">
        <v>1500</v>
      </c>
      <c r="AD6" s="27">
        <v>1500</v>
      </c>
      <c r="AE6" s="27">
        <v>1500</v>
      </c>
      <c r="AF6" s="27">
        <v>1500</v>
      </c>
      <c r="AG6" s="27">
        <v>1500</v>
      </c>
      <c r="AH6" s="27">
        <v>1500</v>
      </c>
      <c r="AI6" s="27">
        <v>1500</v>
      </c>
      <c r="AJ6" s="27">
        <v>1500</v>
      </c>
      <c r="AK6" s="27">
        <v>1500</v>
      </c>
      <c r="AL6" s="27">
        <v>1500</v>
      </c>
      <c r="AM6" s="27"/>
      <c r="AN6" s="27"/>
      <c r="AO6" s="744"/>
      <c r="AP6" s="744"/>
      <c r="AQ6" s="744"/>
      <c r="AR6" s="744"/>
      <c r="AS6" s="744"/>
      <c r="AT6" s="744"/>
      <c r="AU6" s="750">
        <f>F5*F6+G5*G6+H5*H6+I5*I6+J5*J6+K5*K6+L5*L6+M5*M6+N5*N6+(AU5-F5-G5-H5-I5-J5-K5-L5-M5-N5)*O6</f>
        <v>0</v>
      </c>
    </row>
    <row r="7" spans="1:49" ht="12.75" hidden="1">
      <c r="A7" s="28" t="s">
        <v>91</v>
      </c>
      <c r="B7" s="27">
        <v>10</v>
      </c>
      <c r="C7" s="27">
        <f>C6/$B7*C5</f>
        <v>0</v>
      </c>
      <c r="D7" s="27">
        <f aca="true" t="shared" si="0" ref="D7:AL7">D6/$B7*D5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125</v>
      </c>
      <c r="R7" s="27">
        <f t="shared" si="0"/>
        <v>250</v>
      </c>
      <c r="S7" s="27">
        <f t="shared" si="0"/>
        <v>250</v>
      </c>
      <c r="T7" s="27">
        <f t="shared" si="0"/>
        <v>250</v>
      </c>
      <c r="U7" s="27">
        <f t="shared" si="0"/>
        <v>250</v>
      </c>
      <c r="V7" s="27">
        <f t="shared" si="0"/>
        <v>250</v>
      </c>
      <c r="W7" s="27">
        <f t="shared" si="0"/>
        <v>250</v>
      </c>
      <c r="X7" s="27">
        <f t="shared" si="0"/>
        <v>250</v>
      </c>
      <c r="Y7" s="27">
        <f t="shared" si="0"/>
        <v>250</v>
      </c>
      <c r="Z7" s="27">
        <f t="shared" si="0"/>
        <v>300</v>
      </c>
      <c r="AA7" s="27">
        <f t="shared" si="0"/>
        <v>300</v>
      </c>
      <c r="AB7" s="27">
        <f t="shared" si="0"/>
        <v>300</v>
      </c>
      <c r="AC7" s="27">
        <f t="shared" si="0"/>
        <v>300</v>
      </c>
      <c r="AD7" s="27">
        <f t="shared" si="0"/>
        <v>300</v>
      </c>
      <c r="AE7" s="27">
        <f t="shared" si="0"/>
        <v>300</v>
      </c>
      <c r="AF7" s="27">
        <f t="shared" si="0"/>
        <v>300</v>
      </c>
      <c r="AG7" s="27">
        <f t="shared" si="0"/>
        <v>300</v>
      </c>
      <c r="AH7" s="27">
        <f t="shared" si="0"/>
        <v>300</v>
      </c>
      <c r="AI7" s="27">
        <f t="shared" si="0"/>
        <v>300</v>
      </c>
      <c r="AJ7" s="27">
        <f t="shared" si="0"/>
        <v>300</v>
      </c>
      <c r="AK7" s="27">
        <f t="shared" si="0"/>
        <v>300</v>
      </c>
      <c r="AL7" s="27">
        <f t="shared" si="0"/>
        <v>300</v>
      </c>
      <c r="AM7" s="27"/>
      <c r="AN7" s="27"/>
      <c r="AO7" s="744"/>
      <c r="AP7" s="744"/>
      <c r="AQ7" s="744"/>
      <c r="AR7" s="744"/>
      <c r="AS7" s="744"/>
      <c r="AT7" s="744"/>
      <c r="AU7" s="751">
        <f>SUM(C7:AO7)</f>
        <v>6025</v>
      </c>
      <c r="AW7" s="357">
        <f>AU6/10</f>
        <v>0</v>
      </c>
    </row>
    <row r="8" spans="1:49" ht="13.5" hidden="1" thickBot="1">
      <c r="A8" s="347" t="s">
        <v>92</v>
      </c>
      <c r="B8" s="348">
        <v>150</v>
      </c>
      <c r="C8" s="348">
        <f>ROUND(C6/$B$8*C5,0)</f>
        <v>0</v>
      </c>
      <c r="D8" s="348">
        <f aca="true" t="shared" si="1" ref="D8:AL8">ROUND(D6/$B$8*D5,0)</f>
        <v>0</v>
      </c>
      <c r="E8" s="348">
        <f t="shared" si="1"/>
        <v>0</v>
      </c>
      <c r="F8" s="348">
        <f t="shared" si="1"/>
        <v>0</v>
      </c>
      <c r="G8" s="348">
        <f t="shared" si="1"/>
        <v>0</v>
      </c>
      <c r="H8" s="348">
        <f t="shared" si="1"/>
        <v>0</v>
      </c>
      <c r="I8" s="348">
        <f t="shared" si="1"/>
        <v>0</v>
      </c>
      <c r="J8" s="348">
        <f t="shared" si="1"/>
        <v>0</v>
      </c>
      <c r="K8" s="348">
        <f t="shared" si="1"/>
        <v>0</v>
      </c>
      <c r="L8" s="348">
        <f t="shared" si="1"/>
        <v>0</v>
      </c>
      <c r="M8" s="348">
        <f t="shared" si="1"/>
        <v>0</v>
      </c>
      <c r="N8" s="348">
        <f t="shared" si="1"/>
        <v>0</v>
      </c>
      <c r="O8" s="348">
        <f t="shared" si="1"/>
        <v>0</v>
      </c>
      <c r="P8" s="348">
        <f t="shared" si="1"/>
        <v>0</v>
      </c>
      <c r="Q8" s="348">
        <f t="shared" si="1"/>
        <v>8</v>
      </c>
      <c r="R8" s="348">
        <f t="shared" si="1"/>
        <v>17</v>
      </c>
      <c r="S8" s="348">
        <f t="shared" si="1"/>
        <v>17</v>
      </c>
      <c r="T8" s="348">
        <f t="shared" si="1"/>
        <v>17</v>
      </c>
      <c r="U8" s="348">
        <f t="shared" si="1"/>
        <v>17</v>
      </c>
      <c r="V8" s="348">
        <f t="shared" si="1"/>
        <v>17</v>
      </c>
      <c r="W8" s="348">
        <f t="shared" si="1"/>
        <v>17</v>
      </c>
      <c r="X8" s="348">
        <f t="shared" si="1"/>
        <v>17</v>
      </c>
      <c r="Y8" s="348">
        <f t="shared" si="1"/>
        <v>17</v>
      </c>
      <c r="Z8" s="348">
        <f t="shared" si="1"/>
        <v>20</v>
      </c>
      <c r="AA8" s="348">
        <f t="shared" si="1"/>
        <v>20</v>
      </c>
      <c r="AB8" s="348">
        <f t="shared" si="1"/>
        <v>20</v>
      </c>
      <c r="AC8" s="348">
        <f t="shared" si="1"/>
        <v>20</v>
      </c>
      <c r="AD8" s="348">
        <f t="shared" si="1"/>
        <v>20</v>
      </c>
      <c r="AE8" s="348">
        <f t="shared" si="1"/>
        <v>20</v>
      </c>
      <c r="AF8" s="348">
        <f t="shared" si="1"/>
        <v>20</v>
      </c>
      <c r="AG8" s="348">
        <f t="shared" si="1"/>
        <v>20</v>
      </c>
      <c r="AH8" s="348">
        <f t="shared" si="1"/>
        <v>20</v>
      </c>
      <c r="AI8" s="348">
        <f t="shared" si="1"/>
        <v>20</v>
      </c>
      <c r="AJ8" s="348">
        <f t="shared" si="1"/>
        <v>20</v>
      </c>
      <c r="AK8" s="348">
        <f t="shared" si="1"/>
        <v>20</v>
      </c>
      <c r="AL8" s="348">
        <f t="shared" si="1"/>
        <v>20</v>
      </c>
      <c r="AM8" s="348"/>
      <c r="AN8" s="348"/>
      <c r="AO8" s="745"/>
      <c r="AP8" s="745"/>
      <c r="AQ8" s="745"/>
      <c r="AR8" s="745"/>
      <c r="AS8" s="745"/>
      <c r="AT8" s="745"/>
      <c r="AU8" s="751">
        <f>SUM(C8:AO8)</f>
        <v>404</v>
      </c>
      <c r="AW8" s="357">
        <f>AU6/150</f>
        <v>0</v>
      </c>
    </row>
    <row r="9" spans="1:49" ht="13.5" hidden="1" thickBot="1">
      <c r="A9" s="373" t="s">
        <v>93</v>
      </c>
      <c r="B9" s="374" t="s">
        <v>94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746"/>
      <c r="AP9" s="746"/>
      <c r="AQ9" s="746"/>
      <c r="AR9" s="746"/>
      <c r="AS9" s="746"/>
      <c r="AT9" s="746"/>
      <c r="AU9" s="752"/>
      <c r="AW9" s="358"/>
    </row>
    <row r="10" spans="1:49" ht="12.75" hidden="1">
      <c r="A10" s="28" t="s">
        <v>91</v>
      </c>
      <c r="B10" s="353"/>
      <c r="C10" s="351">
        <f>C7*$B$10</f>
        <v>0</v>
      </c>
      <c r="D10" s="351">
        <f aca="true" t="shared" si="2" ref="D10:AL10">D7*$B$10</f>
        <v>0</v>
      </c>
      <c r="E10" s="351">
        <f t="shared" si="2"/>
        <v>0</v>
      </c>
      <c r="F10" s="351">
        <f t="shared" si="2"/>
        <v>0</v>
      </c>
      <c r="G10" s="351">
        <f t="shared" si="2"/>
        <v>0</v>
      </c>
      <c r="H10" s="351">
        <f t="shared" si="2"/>
        <v>0</v>
      </c>
      <c r="I10" s="351">
        <f t="shared" si="2"/>
        <v>0</v>
      </c>
      <c r="J10" s="351">
        <f t="shared" si="2"/>
        <v>0</v>
      </c>
      <c r="K10" s="351">
        <f t="shared" si="2"/>
        <v>0</v>
      </c>
      <c r="L10" s="351">
        <f t="shared" si="2"/>
        <v>0</v>
      </c>
      <c r="M10" s="351">
        <f t="shared" si="2"/>
        <v>0</v>
      </c>
      <c r="N10" s="351">
        <f t="shared" si="2"/>
        <v>0</v>
      </c>
      <c r="O10" s="351">
        <f t="shared" si="2"/>
        <v>0</v>
      </c>
      <c r="P10" s="351">
        <f t="shared" si="2"/>
        <v>0</v>
      </c>
      <c r="Q10" s="351">
        <f t="shared" si="2"/>
        <v>0</v>
      </c>
      <c r="R10" s="351">
        <f t="shared" si="2"/>
        <v>0</v>
      </c>
      <c r="S10" s="351">
        <f t="shared" si="2"/>
        <v>0</v>
      </c>
      <c r="T10" s="351">
        <f t="shared" si="2"/>
        <v>0</v>
      </c>
      <c r="U10" s="351">
        <f t="shared" si="2"/>
        <v>0</v>
      </c>
      <c r="V10" s="351">
        <f t="shared" si="2"/>
        <v>0</v>
      </c>
      <c r="W10" s="351">
        <f t="shared" si="2"/>
        <v>0</v>
      </c>
      <c r="X10" s="351">
        <f t="shared" si="2"/>
        <v>0</v>
      </c>
      <c r="Y10" s="351">
        <f t="shared" si="2"/>
        <v>0</v>
      </c>
      <c r="Z10" s="351">
        <f t="shared" si="2"/>
        <v>0</v>
      </c>
      <c r="AA10" s="351">
        <f t="shared" si="2"/>
        <v>0</v>
      </c>
      <c r="AB10" s="351">
        <f t="shared" si="2"/>
        <v>0</v>
      </c>
      <c r="AC10" s="351">
        <f t="shared" si="2"/>
        <v>0</v>
      </c>
      <c r="AD10" s="351">
        <f t="shared" si="2"/>
        <v>0</v>
      </c>
      <c r="AE10" s="351">
        <f t="shared" si="2"/>
        <v>0</v>
      </c>
      <c r="AF10" s="351">
        <f t="shared" si="2"/>
        <v>0</v>
      </c>
      <c r="AG10" s="351">
        <f t="shared" si="2"/>
        <v>0</v>
      </c>
      <c r="AH10" s="351">
        <f t="shared" si="2"/>
        <v>0</v>
      </c>
      <c r="AI10" s="351">
        <f t="shared" si="2"/>
        <v>0</v>
      </c>
      <c r="AJ10" s="351">
        <f t="shared" si="2"/>
        <v>0</v>
      </c>
      <c r="AK10" s="351">
        <f t="shared" si="2"/>
        <v>0</v>
      </c>
      <c r="AL10" s="351">
        <f t="shared" si="2"/>
        <v>0</v>
      </c>
      <c r="AM10" s="351"/>
      <c r="AN10" s="351"/>
      <c r="AO10" s="747"/>
      <c r="AP10" s="747"/>
      <c r="AQ10" s="747"/>
      <c r="AR10" s="747"/>
      <c r="AS10" s="747"/>
      <c r="AT10" s="747"/>
      <c r="AU10" s="753">
        <f>SUM(C10:AO10)</f>
        <v>0</v>
      </c>
      <c r="AW10" s="357" t="e">
        <f>AU10/AW7</f>
        <v>#DIV/0!</v>
      </c>
    </row>
    <row r="11" spans="1:49" ht="12.75" hidden="1">
      <c r="A11" s="347" t="s">
        <v>92</v>
      </c>
      <c r="B11" s="353"/>
      <c r="C11" s="335">
        <f>C8*$B$11</f>
        <v>0</v>
      </c>
      <c r="D11" s="335">
        <f aca="true" t="shared" si="3" ref="D11:AL11">D8*$B$11</f>
        <v>0</v>
      </c>
      <c r="E11" s="335">
        <f t="shared" si="3"/>
        <v>0</v>
      </c>
      <c r="F11" s="335">
        <f t="shared" si="3"/>
        <v>0</v>
      </c>
      <c r="G11" s="335">
        <f t="shared" si="3"/>
        <v>0</v>
      </c>
      <c r="H11" s="335">
        <f t="shared" si="3"/>
        <v>0</v>
      </c>
      <c r="I11" s="335">
        <f t="shared" si="3"/>
        <v>0</v>
      </c>
      <c r="J11" s="335">
        <f t="shared" si="3"/>
        <v>0</v>
      </c>
      <c r="K11" s="335">
        <f t="shared" si="3"/>
        <v>0</v>
      </c>
      <c r="L11" s="335">
        <f t="shared" si="3"/>
        <v>0</v>
      </c>
      <c r="M11" s="335">
        <f t="shared" si="3"/>
        <v>0</v>
      </c>
      <c r="N11" s="335">
        <f t="shared" si="3"/>
        <v>0</v>
      </c>
      <c r="O11" s="335">
        <f t="shared" si="3"/>
        <v>0</v>
      </c>
      <c r="P11" s="335">
        <f t="shared" si="3"/>
        <v>0</v>
      </c>
      <c r="Q11" s="335">
        <f t="shared" si="3"/>
        <v>0</v>
      </c>
      <c r="R11" s="335">
        <f t="shared" si="3"/>
        <v>0</v>
      </c>
      <c r="S11" s="335">
        <f t="shared" si="3"/>
        <v>0</v>
      </c>
      <c r="T11" s="335">
        <f t="shared" si="3"/>
        <v>0</v>
      </c>
      <c r="U11" s="335">
        <f t="shared" si="3"/>
        <v>0</v>
      </c>
      <c r="V11" s="335">
        <f t="shared" si="3"/>
        <v>0</v>
      </c>
      <c r="W11" s="335">
        <f t="shared" si="3"/>
        <v>0</v>
      </c>
      <c r="X11" s="335">
        <f t="shared" si="3"/>
        <v>0</v>
      </c>
      <c r="Y11" s="335">
        <f t="shared" si="3"/>
        <v>0</v>
      </c>
      <c r="Z11" s="335">
        <f t="shared" si="3"/>
        <v>0</v>
      </c>
      <c r="AA11" s="335">
        <f t="shared" si="3"/>
        <v>0</v>
      </c>
      <c r="AB11" s="335">
        <f t="shared" si="3"/>
        <v>0</v>
      </c>
      <c r="AC11" s="335">
        <f t="shared" si="3"/>
        <v>0</v>
      </c>
      <c r="AD11" s="335">
        <f t="shared" si="3"/>
        <v>0</v>
      </c>
      <c r="AE11" s="335">
        <f t="shared" si="3"/>
        <v>0</v>
      </c>
      <c r="AF11" s="335">
        <f t="shared" si="3"/>
        <v>0</v>
      </c>
      <c r="AG11" s="335">
        <f t="shared" si="3"/>
        <v>0</v>
      </c>
      <c r="AH11" s="335">
        <f t="shared" si="3"/>
        <v>0</v>
      </c>
      <c r="AI11" s="335">
        <f t="shared" si="3"/>
        <v>0</v>
      </c>
      <c r="AJ11" s="335">
        <f t="shared" si="3"/>
        <v>0</v>
      </c>
      <c r="AK11" s="335">
        <f t="shared" si="3"/>
        <v>0</v>
      </c>
      <c r="AL11" s="335">
        <f t="shared" si="3"/>
        <v>0</v>
      </c>
      <c r="AM11" s="335"/>
      <c r="AN11" s="335"/>
      <c r="AO11" s="748"/>
      <c r="AP11" s="748"/>
      <c r="AQ11" s="748"/>
      <c r="AR11" s="748"/>
      <c r="AS11" s="748"/>
      <c r="AT11" s="748"/>
      <c r="AU11" s="753">
        <f>SUM(C11:AO11)</f>
        <v>0</v>
      </c>
      <c r="AW11" s="357" t="e">
        <f>AU11/AW8</f>
        <v>#DIV/0!</v>
      </c>
    </row>
    <row r="12" spans="1:49" s="282" customFormat="1" ht="12.75" hidden="1">
      <c r="A12" s="756" t="s">
        <v>95</v>
      </c>
      <c r="B12" s="111"/>
      <c r="C12" s="388">
        <f>SUM(C10:C11)</f>
        <v>0</v>
      </c>
      <c r="D12" s="388">
        <f aca="true" t="shared" si="4" ref="D12:AL12">SUM(D10:D11)</f>
        <v>0</v>
      </c>
      <c r="E12" s="388">
        <f t="shared" si="4"/>
        <v>0</v>
      </c>
      <c r="F12" s="388">
        <f t="shared" si="4"/>
        <v>0</v>
      </c>
      <c r="G12" s="388">
        <f t="shared" si="4"/>
        <v>0</v>
      </c>
      <c r="H12" s="388">
        <f t="shared" si="4"/>
        <v>0</v>
      </c>
      <c r="I12" s="388">
        <f t="shared" si="4"/>
        <v>0</v>
      </c>
      <c r="J12" s="388">
        <f t="shared" si="4"/>
        <v>0</v>
      </c>
      <c r="K12" s="388">
        <f t="shared" si="4"/>
        <v>0</v>
      </c>
      <c r="L12" s="388">
        <f t="shared" si="4"/>
        <v>0</v>
      </c>
      <c r="M12" s="388">
        <f t="shared" si="4"/>
        <v>0</v>
      </c>
      <c r="N12" s="388">
        <f t="shared" si="4"/>
        <v>0</v>
      </c>
      <c r="O12" s="388">
        <f t="shared" si="4"/>
        <v>0</v>
      </c>
      <c r="P12" s="388">
        <f t="shared" si="4"/>
        <v>0</v>
      </c>
      <c r="Q12" s="388">
        <f t="shared" si="4"/>
        <v>0</v>
      </c>
      <c r="R12" s="388">
        <f t="shared" si="4"/>
        <v>0</v>
      </c>
      <c r="S12" s="388">
        <f t="shared" si="4"/>
        <v>0</v>
      </c>
      <c r="T12" s="388">
        <f t="shared" si="4"/>
        <v>0</v>
      </c>
      <c r="U12" s="388">
        <f t="shared" si="4"/>
        <v>0</v>
      </c>
      <c r="V12" s="388">
        <f t="shared" si="4"/>
        <v>0</v>
      </c>
      <c r="W12" s="388">
        <f t="shared" si="4"/>
        <v>0</v>
      </c>
      <c r="X12" s="388">
        <f t="shared" si="4"/>
        <v>0</v>
      </c>
      <c r="Y12" s="388">
        <f t="shared" si="4"/>
        <v>0</v>
      </c>
      <c r="Z12" s="388">
        <f t="shared" si="4"/>
        <v>0</v>
      </c>
      <c r="AA12" s="388">
        <f t="shared" si="4"/>
        <v>0</v>
      </c>
      <c r="AB12" s="388">
        <f t="shared" si="4"/>
        <v>0</v>
      </c>
      <c r="AC12" s="388">
        <f t="shared" si="4"/>
        <v>0</v>
      </c>
      <c r="AD12" s="388">
        <f t="shared" si="4"/>
        <v>0</v>
      </c>
      <c r="AE12" s="388">
        <f t="shared" si="4"/>
        <v>0</v>
      </c>
      <c r="AF12" s="388">
        <f t="shared" si="4"/>
        <v>0</v>
      </c>
      <c r="AG12" s="388">
        <f t="shared" si="4"/>
        <v>0</v>
      </c>
      <c r="AH12" s="388">
        <f t="shared" si="4"/>
        <v>0</v>
      </c>
      <c r="AI12" s="388">
        <f t="shared" si="4"/>
        <v>0</v>
      </c>
      <c r="AJ12" s="388">
        <f t="shared" si="4"/>
        <v>0</v>
      </c>
      <c r="AK12" s="388">
        <f t="shared" si="4"/>
        <v>0</v>
      </c>
      <c r="AL12" s="388">
        <f t="shared" si="4"/>
        <v>0</v>
      </c>
      <c r="AM12" s="388"/>
      <c r="AN12" s="388"/>
      <c r="AO12" s="749"/>
      <c r="AP12" s="749"/>
      <c r="AQ12" s="749"/>
      <c r="AR12" s="749"/>
      <c r="AS12" s="749"/>
      <c r="AT12" s="749"/>
      <c r="AU12" s="754">
        <f>SUM(AO10:AO11)</f>
        <v>0</v>
      </c>
      <c r="AW12" s="389">
        <f>SUM(AU10:AU11)</f>
        <v>0</v>
      </c>
    </row>
    <row r="13" spans="1:49" s="361" customFormat="1" ht="13.5" hidden="1">
      <c r="A13" s="28" t="s">
        <v>96</v>
      </c>
      <c r="B13" s="359"/>
      <c r="C13" s="335">
        <f>C5*$E$23</f>
        <v>0</v>
      </c>
      <c r="D13" s="335">
        <f aca="true" t="shared" si="5" ref="D13:N13">D5*$E$23</f>
        <v>0</v>
      </c>
      <c r="E13" s="335">
        <f t="shared" si="5"/>
        <v>0</v>
      </c>
      <c r="F13" s="335">
        <f t="shared" si="5"/>
        <v>0</v>
      </c>
      <c r="G13" s="335">
        <f t="shared" si="5"/>
        <v>0</v>
      </c>
      <c r="H13" s="335">
        <f t="shared" si="5"/>
        <v>0</v>
      </c>
      <c r="I13" s="335">
        <f t="shared" si="5"/>
        <v>0</v>
      </c>
      <c r="J13" s="335">
        <f t="shared" si="5"/>
        <v>0</v>
      </c>
      <c r="K13" s="335">
        <f t="shared" si="5"/>
        <v>0</v>
      </c>
      <c r="L13" s="335">
        <f t="shared" si="5"/>
        <v>0</v>
      </c>
      <c r="M13" s="335">
        <f t="shared" si="5"/>
        <v>0</v>
      </c>
      <c r="N13" s="335">
        <f t="shared" si="5"/>
        <v>0</v>
      </c>
      <c r="O13" s="335">
        <f>O5*$F$23</f>
        <v>0</v>
      </c>
      <c r="P13" s="335">
        <f aca="true" t="shared" si="6" ref="P13:AL13">P5*$F$23</f>
        <v>0</v>
      </c>
      <c r="Q13" s="335">
        <f>Q5*$E$23</f>
        <v>0</v>
      </c>
      <c r="R13" s="335">
        <f aca="true" t="shared" si="7" ref="R13:Y13">R5*$E$23</f>
        <v>0</v>
      </c>
      <c r="S13" s="335">
        <f t="shared" si="7"/>
        <v>0</v>
      </c>
      <c r="T13" s="335">
        <f t="shared" si="7"/>
        <v>0</v>
      </c>
      <c r="U13" s="335">
        <f t="shared" si="7"/>
        <v>0</v>
      </c>
      <c r="V13" s="335">
        <f t="shared" si="7"/>
        <v>0</v>
      </c>
      <c r="W13" s="335">
        <f t="shared" si="7"/>
        <v>0</v>
      </c>
      <c r="X13" s="335">
        <f t="shared" si="7"/>
        <v>0</v>
      </c>
      <c r="Y13" s="335">
        <f t="shared" si="7"/>
        <v>0</v>
      </c>
      <c r="Z13" s="335">
        <f t="shared" si="6"/>
        <v>0</v>
      </c>
      <c r="AA13" s="335">
        <f t="shared" si="6"/>
        <v>0</v>
      </c>
      <c r="AB13" s="335">
        <f t="shared" si="6"/>
        <v>0</v>
      </c>
      <c r="AC13" s="335">
        <f t="shared" si="6"/>
        <v>0</v>
      </c>
      <c r="AD13" s="335">
        <f t="shared" si="6"/>
        <v>0</v>
      </c>
      <c r="AE13" s="335">
        <f t="shared" si="6"/>
        <v>0</v>
      </c>
      <c r="AF13" s="335">
        <f t="shared" si="6"/>
        <v>0</v>
      </c>
      <c r="AG13" s="335">
        <f t="shared" si="6"/>
        <v>0</v>
      </c>
      <c r="AH13" s="335">
        <f t="shared" si="6"/>
        <v>0</v>
      </c>
      <c r="AI13" s="335">
        <f t="shared" si="6"/>
        <v>0</v>
      </c>
      <c r="AJ13" s="335">
        <f t="shared" si="6"/>
        <v>0</v>
      </c>
      <c r="AK13" s="335">
        <f t="shared" si="6"/>
        <v>0</v>
      </c>
      <c r="AL13" s="335">
        <f t="shared" si="6"/>
        <v>0</v>
      </c>
      <c r="AM13" s="335"/>
      <c r="AN13" s="335"/>
      <c r="AO13" s="748"/>
      <c r="AP13" s="748"/>
      <c r="AQ13" s="748"/>
      <c r="AR13" s="748"/>
      <c r="AS13" s="748"/>
      <c r="AT13" s="748"/>
      <c r="AU13" s="755">
        <f>SUM(C13:AT13)</f>
        <v>0</v>
      </c>
      <c r="AW13" s="362">
        <f>E23*SUM(F5:N5)+F23*SUM(O5:AO5)</f>
        <v>0</v>
      </c>
    </row>
    <row r="14" spans="1:49" s="361" customFormat="1" ht="14.25" hidden="1" thickBot="1">
      <c r="A14" s="347" t="s">
        <v>97</v>
      </c>
      <c r="B14" s="757"/>
      <c r="C14" s="352">
        <f>C5*$E$34</f>
        <v>0</v>
      </c>
      <c r="D14" s="352">
        <f aca="true" t="shared" si="8" ref="D14:AL14">D5*$E$34</f>
        <v>0</v>
      </c>
      <c r="E14" s="352">
        <f t="shared" si="8"/>
        <v>0</v>
      </c>
      <c r="F14" s="352">
        <f t="shared" si="8"/>
        <v>0</v>
      </c>
      <c r="G14" s="352">
        <f t="shared" si="8"/>
        <v>0</v>
      </c>
      <c r="H14" s="352">
        <f t="shared" si="8"/>
        <v>0</v>
      </c>
      <c r="I14" s="352">
        <f t="shared" si="8"/>
        <v>0</v>
      </c>
      <c r="J14" s="352">
        <f t="shared" si="8"/>
        <v>0</v>
      </c>
      <c r="K14" s="352">
        <f t="shared" si="8"/>
        <v>0</v>
      </c>
      <c r="L14" s="352">
        <f t="shared" si="8"/>
        <v>0</v>
      </c>
      <c r="M14" s="352">
        <f t="shared" si="8"/>
        <v>0</v>
      </c>
      <c r="N14" s="352">
        <f t="shared" si="8"/>
        <v>0</v>
      </c>
      <c r="O14" s="352">
        <f t="shared" si="8"/>
        <v>0</v>
      </c>
      <c r="P14" s="352">
        <f t="shared" si="8"/>
        <v>0</v>
      </c>
      <c r="Q14" s="352">
        <f t="shared" si="8"/>
        <v>0</v>
      </c>
      <c r="R14" s="352">
        <f t="shared" si="8"/>
        <v>0</v>
      </c>
      <c r="S14" s="352">
        <f t="shared" si="8"/>
        <v>0</v>
      </c>
      <c r="T14" s="352">
        <f t="shared" si="8"/>
        <v>0</v>
      </c>
      <c r="U14" s="352">
        <f t="shared" si="8"/>
        <v>0</v>
      </c>
      <c r="V14" s="352">
        <f t="shared" si="8"/>
        <v>0</v>
      </c>
      <c r="W14" s="352">
        <f t="shared" si="8"/>
        <v>0</v>
      </c>
      <c r="X14" s="352">
        <f t="shared" si="8"/>
        <v>0</v>
      </c>
      <c r="Y14" s="352">
        <f t="shared" si="8"/>
        <v>0</v>
      </c>
      <c r="Z14" s="352">
        <f t="shared" si="8"/>
        <v>0</v>
      </c>
      <c r="AA14" s="352">
        <f t="shared" si="8"/>
        <v>0</v>
      </c>
      <c r="AB14" s="352">
        <f t="shared" si="8"/>
        <v>0</v>
      </c>
      <c r="AC14" s="352">
        <f t="shared" si="8"/>
        <v>0</v>
      </c>
      <c r="AD14" s="352">
        <f t="shared" si="8"/>
        <v>0</v>
      </c>
      <c r="AE14" s="352">
        <f t="shared" si="8"/>
        <v>0</v>
      </c>
      <c r="AF14" s="352">
        <f t="shared" si="8"/>
        <v>0</v>
      </c>
      <c r="AG14" s="352">
        <f t="shared" si="8"/>
        <v>0</v>
      </c>
      <c r="AH14" s="352">
        <f t="shared" si="8"/>
        <v>0</v>
      </c>
      <c r="AI14" s="352">
        <f t="shared" si="8"/>
        <v>0</v>
      </c>
      <c r="AJ14" s="352">
        <f t="shared" si="8"/>
        <v>0</v>
      </c>
      <c r="AK14" s="352">
        <f t="shared" si="8"/>
        <v>0</v>
      </c>
      <c r="AL14" s="352">
        <f t="shared" si="8"/>
        <v>0</v>
      </c>
      <c r="AM14" s="352"/>
      <c r="AN14" s="352"/>
      <c r="AO14" s="758"/>
      <c r="AP14" s="758"/>
      <c r="AQ14" s="758"/>
      <c r="AR14" s="758"/>
      <c r="AS14" s="758"/>
      <c r="AT14" s="758"/>
      <c r="AU14" s="759">
        <f>SUM(C14:AT14)</f>
        <v>0</v>
      </c>
      <c r="AV14" s="806"/>
      <c r="AW14" s="362">
        <f>AU5*E34</f>
        <v>0</v>
      </c>
    </row>
    <row r="15" spans="1:49" s="361" customFormat="1" ht="14.25" hidden="1" thickBot="1">
      <c r="A15" s="760" t="s">
        <v>98</v>
      </c>
      <c r="B15" s="761"/>
      <c r="C15" s="762">
        <f>SUM(C12:C14)</f>
        <v>0</v>
      </c>
      <c r="D15" s="762">
        <f aca="true" t="shared" si="9" ref="D15:AL15">SUM(D12:D14)</f>
        <v>0</v>
      </c>
      <c r="E15" s="762">
        <f t="shared" si="9"/>
        <v>0</v>
      </c>
      <c r="F15" s="762">
        <f t="shared" si="9"/>
        <v>0</v>
      </c>
      <c r="G15" s="762">
        <f t="shared" si="9"/>
        <v>0</v>
      </c>
      <c r="H15" s="762">
        <f t="shared" si="9"/>
        <v>0</v>
      </c>
      <c r="I15" s="762">
        <f t="shared" si="9"/>
        <v>0</v>
      </c>
      <c r="J15" s="762">
        <f t="shared" si="9"/>
        <v>0</v>
      </c>
      <c r="K15" s="762">
        <f t="shared" si="9"/>
        <v>0</v>
      </c>
      <c r="L15" s="762">
        <f t="shared" si="9"/>
        <v>0</v>
      </c>
      <c r="M15" s="762">
        <f t="shared" si="9"/>
        <v>0</v>
      </c>
      <c r="N15" s="762">
        <f t="shared" si="9"/>
        <v>0</v>
      </c>
      <c r="O15" s="762">
        <f t="shared" si="9"/>
        <v>0</v>
      </c>
      <c r="P15" s="762">
        <f t="shared" si="9"/>
        <v>0</v>
      </c>
      <c r="Q15" s="762">
        <f t="shared" si="9"/>
        <v>0</v>
      </c>
      <c r="R15" s="762">
        <f t="shared" si="9"/>
        <v>0</v>
      </c>
      <c r="S15" s="762">
        <f t="shared" si="9"/>
        <v>0</v>
      </c>
      <c r="T15" s="762">
        <f t="shared" si="9"/>
        <v>0</v>
      </c>
      <c r="U15" s="762">
        <f t="shared" si="9"/>
        <v>0</v>
      </c>
      <c r="V15" s="762">
        <f t="shared" si="9"/>
        <v>0</v>
      </c>
      <c r="W15" s="762">
        <f t="shared" si="9"/>
        <v>0</v>
      </c>
      <c r="X15" s="762">
        <f t="shared" si="9"/>
        <v>0</v>
      </c>
      <c r="Y15" s="762">
        <f t="shared" si="9"/>
        <v>0</v>
      </c>
      <c r="Z15" s="762">
        <f t="shared" si="9"/>
        <v>0</v>
      </c>
      <c r="AA15" s="762">
        <f t="shared" si="9"/>
        <v>0</v>
      </c>
      <c r="AB15" s="762">
        <f t="shared" si="9"/>
        <v>0</v>
      </c>
      <c r="AC15" s="762">
        <f t="shared" si="9"/>
        <v>0</v>
      </c>
      <c r="AD15" s="762">
        <f t="shared" si="9"/>
        <v>0</v>
      </c>
      <c r="AE15" s="762">
        <f t="shared" si="9"/>
        <v>0</v>
      </c>
      <c r="AF15" s="762">
        <f t="shared" si="9"/>
        <v>0</v>
      </c>
      <c r="AG15" s="762">
        <f t="shared" si="9"/>
        <v>0</v>
      </c>
      <c r="AH15" s="762">
        <f t="shared" si="9"/>
        <v>0</v>
      </c>
      <c r="AI15" s="762">
        <f t="shared" si="9"/>
        <v>0</v>
      </c>
      <c r="AJ15" s="762">
        <f t="shared" si="9"/>
        <v>0</v>
      </c>
      <c r="AK15" s="762">
        <f t="shared" si="9"/>
        <v>0</v>
      </c>
      <c r="AL15" s="762">
        <f t="shared" si="9"/>
        <v>0</v>
      </c>
      <c r="AM15" s="762"/>
      <c r="AN15" s="762"/>
      <c r="AO15" s="763"/>
      <c r="AP15" s="763"/>
      <c r="AQ15" s="763"/>
      <c r="AR15" s="763"/>
      <c r="AS15" s="763"/>
      <c r="AT15" s="763"/>
      <c r="AU15" s="764">
        <f>SUM(C15:AT15)</f>
        <v>0</v>
      </c>
      <c r="AW15" s="362">
        <f>SUM(AU12:AU14)</f>
        <v>0</v>
      </c>
    </row>
    <row r="16" spans="1:49" s="361" customFormat="1" ht="13.5" hidden="1">
      <c r="A16" s="346"/>
      <c r="B16" s="323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W16" s="362"/>
    </row>
    <row r="17" spans="1:49" s="361" customFormat="1" ht="13.5" hidden="1">
      <c r="A17" s="346" t="s">
        <v>103</v>
      </c>
      <c r="B17" s="323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W17" s="362"/>
    </row>
    <row r="18" spans="1:49" s="361" customFormat="1" ht="14.25" hidden="1" thickBot="1">
      <c r="A18" s="346"/>
      <c r="B18" s="323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W18" s="362"/>
    </row>
    <row r="19" spans="1:6" ht="39" hidden="1" thickBot="1">
      <c r="A19" s="368" t="s">
        <v>99</v>
      </c>
      <c r="B19" s="369" t="s">
        <v>120</v>
      </c>
      <c r="C19" s="369" t="s">
        <v>121</v>
      </c>
      <c r="D19" s="369" t="s">
        <v>122</v>
      </c>
      <c r="E19" s="369" t="s">
        <v>123</v>
      </c>
      <c r="F19" s="370" t="s">
        <v>124</v>
      </c>
    </row>
    <row r="20" spans="1:6" ht="12.75" hidden="1">
      <c r="A20" s="289" t="s">
        <v>100</v>
      </c>
      <c r="B20" s="110">
        <v>2750</v>
      </c>
      <c r="C20" s="37">
        <v>0</v>
      </c>
      <c r="D20" s="37">
        <v>0</v>
      </c>
      <c r="E20" s="37">
        <f>B20*C20</f>
        <v>0</v>
      </c>
      <c r="F20" s="62">
        <f>B20*D20</f>
        <v>0</v>
      </c>
    </row>
    <row r="21" spans="1:6" ht="12.75" hidden="1">
      <c r="A21" s="23" t="s">
        <v>101</v>
      </c>
      <c r="B21" s="22">
        <v>2750</v>
      </c>
      <c r="C21" s="22">
        <v>0</v>
      </c>
      <c r="D21" s="24">
        <v>0</v>
      </c>
      <c r="E21" s="24">
        <f>B21*C21</f>
        <v>0</v>
      </c>
      <c r="F21" s="59">
        <f>B21*D21</f>
        <v>0</v>
      </c>
    </row>
    <row r="22" spans="1:49" ht="13.5" hidden="1">
      <c r="A22" s="23" t="s">
        <v>102</v>
      </c>
      <c r="B22" s="22">
        <v>2890</v>
      </c>
      <c r="C22" s="354">
        <v>0</v>
      </c>
      <c r="D22" s="24">
        <v>0</v>
      </c>
      <c r="E22" s="24">
        <f>B22*C22</f>
        <v>0</v>
      </c>
      <c r="F22" s="59">
        <f>B22*D22</f>
        <v>0</v>
      </c>
      <c r="AW22" s="346"/>
    </row>
    <row r="23" spans="1:6" ht="13.5" hidden="1" thickBot="1">
      <c r="A23" s="364" t="s">
        <v>70</v>
      </c>
      <c r="B23" s="365"/>
      <c r="C23" s="365"/>
      <c r="D23" s="365"/>
      <c r="E23" s="366">
        <f>SUM(E20:E22)</f>
        <v>0</v>
      </c>
      <c r="F23" s="367">
        <f>SUM(F20:F22)</f>
        <v>0</v>
      </c>
    </row>
    <row r="24" spans="1:6" ht="12.75" hidden="1">
      <c r="A24" s="376"/>
      <c r="B24" s="376"/>
      <c r="C24" s="376"/>
      <c r="D24" s="376"/>
      <c r="E24" s="377"/>
      <c r="F24" s="377"/>
    </row>
    <row r="25" ht="30.75" customHeight="1" hidden="1"/>
    <row r="26" spans="1:5" ht="12.75" hidden="1">
      <c r="A26" s="383" t="s">
        <v>104</v>
      </c>
      <c r="B26" s="383"/>
      <c r="C26" s="383" t="s">
        <v>125</v>
      </c>
      <c r="D26" s="383" t="s">
        <v>126</v>
      </c>
      <c r="E26" s="384" t="s">
        <v>127</v>
      </c>
    </row>
    <row r="27" spans="1:5" ht="12.75" hidden="1">
      <c r="A27" s="379">
        <v>100800</v>
      </c>
      <c r="B27" s="379">
        <v>0.844</v>
      </c>
      <c r="C27" s="380">
        <v>0</v>
      </c>
      <c r="D27" s="379">
        <v>1.7</v>
      </c>
      <c r="E27" s="385">
        <f>C27*D27</f>
        <v>0</v>
      </c>
    </row>
    <row r="28" spans="1:5" ht="12.75" hidden="1">
      <c r="A28" s="378" t="s">
        <v>105</v>
      </c>
      <c r="B28" s="378"/>
      <c r="C28" s="378"/>
      <c r="D28" s="378"/>
      <c r="E28" s="56"/>
    </row>
    <row r="29" spans="3:5" ht="12.75" hidden="1">
      <c r="C29" s="379">
        <v>0</v>
      </c>
      <c r="D29" s="379">
        <v>2.54</v>
      </c>
      <c r="E29" s="386">
        <f>C29*D29</f>
        <v>0</v>
      </c>
    </row>
    <row r="30" spans="1:5" ht="12.75" hidden="1">
      <c r="A30" s="378" t="s">
        <v>106</v>
      </c>
      <c r="B30" s="378"/>
      <c r="C30" s="378"/>
      <c r="D30" s="381"/>
      <c r="E30" s="56"/>
    </row>
    <row r="31" spans="3:5" ht="12.75" hidden="1">
      <c r="C31" s="379">
        <v>0</v>
      </c>
      <c r="D31" s="382">
        <v>15000</v>
      </c>
      <c r="E31" s="386">
        <f>C31*D31</f>
        <v>0</v>
      </c>
    </row>
    <row r="32" spans="1:5" ht="12.75" hidden="1">
      <c r="A32" s="378" t="s">
        <v>107</v>
      </c>
      <c r="B32" s="378"/>
      <c r="C32" s="378"/>
      <c r="D32" s="378"/>
      <c r="E32" s="56"/>
    </row>
    <row r="33" spans="1:5" ht="12.75" hidden="1">
      <c r="A33" s="36"/>
      <c r="B33" s="36"/>
      <c r="C33" s="22">
        <v>0</v>
      </c>
      <c r="D33" s="22">
        <v>125</v>
      </c>
      <c r="E33" s="339">
        <f>C33*D33</f>
        <v>0</v>
      </c>
    </row>
    <row r="34" ht="12.75" hidden="1">
      <c r="E34" s="387">
        <f>SUM(E33,E31,E29,E27)</f>
        <v>0</v>
      </c>
    </row>
    <row r="35" ht="12.75" hidden="1"/>
    <row r="36" ht="12.75" hidden="1"/>
    <row r="37" spans="1:49" s="415" customFormat="1" ht="13.5">
      <c r="A37" s="414" t="s">
        <v>300</v>
      </c>
      <c r="AW37" s="417"/>
    </row>
    <row r="38" ht="12" customHeight="1"/>
    <row r="39" spans="1:2" ht="13.5" hidden="1">
      <c r="A39" s="61" t="s">
        <v>541</v>
      </c>
      <c r="B39" s="61"/>
    </row>
    <row r="40" ht="13.5" hidden="1" thickBot="1"/>
    <row r="41" spans="1:2" ht="14.25" hidden="1" thickBot="1">
      <c r="A41" s="325"/>
      <c r="B41" s="326" t="s">
        <v>581</v>
      </c>
    </row>
    <row r="42" spans="1:2" ht="12.75" hidden="1">
      <c r="A42" s="282" t="s">
        <v>523</v>
      </c>
      <c r="B42" s="327">
        <v>80863.78</v>
      </c>
    </row>
    <row r="43" spans="1:2" ht="25.5" hidden="1">
      <c r="A43" s="1325" t="s">
        <v>524</v>
      </c>
      <c r="B43" s="328">
        <v>6.5</v>
      </c>
    </row>
    <row r="44" spans="1:2" ht="12.75" hidden="1">
      <c r="A44" s="282" t="s">
        <v>525</v>
      </c>
      <c r="B44" s="329">
        <f>B42*B43</f>
        <v>525614.57</v>
      </c>
    </row>
    <row r="45" spans="1:2" ht="12.75" hidden="1">
      <c r="A45" s="1325" t="s">
        <v>526</v>
      </c>
      <c r="B45" s="329">
        <f>B44*2</f>
        <v>1051229.14</v>
      </c>
    </row>
    <row r="46" spans="1:2" ht="12.75" hidden="1">
      <c r="A46" s="1325" t="s">
        <v>527</v>
      </c>
      <c r="B46" s="329">
        <f>B44*4</f>
        <v>2102458.28</v>
      </c>
    </row>
    <row r="47" spans="1:49" s="21" customFormat="1" ht="13.5" hidden="1" thickBot="1">
      <c r="A47" s="1325" t="s">
        <v>528</v>
      </c>
      <c r="B47" s="330">
        <f>B44*22</f>
        <v>11563520.54</v>
      </c>
      <c r="F47" s="32"/>
      <c r="G47" s="1"/>
      <c r="H47" s="1"/>
      <c r="I47" s="1"/>
      <c r="J47" s="1"/>
      <c r="K47" s="1"/>
      <c r="AW47" s="340"/>
    </row>
    <row r="48" spans="1:49" s="21" customFormat="1" ht="12.75" hidden="1">
      <c r="A48" s="32"/>
      <c r="B48" s="32"/>
      <c r="C48" s="32"/>
      <c r="F48" s="32"/>
      <c r="G48" s="1"/>
      <c r="H48" s="1"/>
      <c r="I48" s="1"/>
      <c r="J48" s="1"/>
      <c r="K48" s="1"/>
      <c r="AW48" s="340"/>
    </row>
    <row r="49" spans="1:49" s="21" customFormat="1" ht="13.5" hidden="1">
      <c r="A49" s="61" t="s">
        <v>542</v>
      </c>
      <c r="B49" s="32"/>
      <c r="C49" s="32"/>
      <c r="F49" s="32"/>
      <c r="G49" s="1"/>
      <c r="H49" s="1"/>
      <c r="I49" s="1"/>
      <c r="J49" s="1"/>
      <c r="K49" s="1"/>
      <c r="AW49" s="340"/>
    </row>
    <row r="50" spans="1:49" s="21" customFormat="1" ht="13.5" hidden="1" thickBot="1">
      <c r="A50" s="32"/>
      <c r="B50" s="32"/>
      <c r="C50" s="32"/>
      <c r="F50" s="32"/>
      <c r="G50" s="1"/>
      <c r="H50" s="1"/>
      <c r="I50" s="1"/>
      <c r="J50" s="1"/>
      <c r="K50" s="1"/>
      <c r="AW50" s="340"/>
    </row>
    <row r="51" spans="1:49" s="21" customFormat="1" ht="12.75" hidden="1">
      <c r="A51" s="57" t="s">
        <v>529</v>
      </c>
      <c r="B51" s="55">
        <f>24*365</f>
        <v>8760</v>
      </c>
      <c r="C51" s="32"/>
      <c r="F51" s="32"/>
      <c r="G51" s="63"/>
      <c r="H51" s="63"/>
      <c r="I51" s="64"/>
      <c r="J51" s="65"/>
      <c r="K51" s="63"/>
      <c r="AW51" s="340"/>
    </row>
    <row r="52" spans="1:49" s="21" customFormat="1" ht="12.75" hidden="1">
      <c r="A52" s="58" t="s">
        <v>530</v>
      </c>
      <c r="B52" s="26">
        <v>3.035</v>
      </c>
      <c r="D52" s="6"/>
      <c r="E52" s="32"/>
      <c r="F52" s="32"/>
      <c r="G52" s="63"/>
      <c r="H52" s="63"/>
      <c r="I52" s="63"/>
      <c r="J52" s="63"/>
      <c r="K52" s="63"/>
      <c r="AW52" s="340"/>
    </row>
    <row r="53" spans="1:49" s="21" customFormat="1" ht="12.75" hidden="1">
      <c r="A53" s="23" t="s">
        <v>531</v>
      </c>
      <c r="B53" s="26">
        <f>B51*B52</f>
        <v>26586.600000000002</v>
      </c>
      <c r="D53" s="6"/>
      <c r="E53" s="32"/>
      <c r="F53" s="32"/>
      <c r="G53" s="63"/>
      <c r="H53" s="63"/>
      <c r="I53" s="63"/>
      <c r="J53" s="63"/>
      <c r="K53" s="63"/>
      <c r="AW53" s="340"/>
    </row>
    <row r="54" spans="1:49" s="21" customFormat="1" ht="12.75" hidden="1">
      <c r="A54" s="23" t="s">
        <v>532</v>
      </c>
      <c r="B54" s="318">
        <v>0.3</v>
      </c>
      <c r="D54" s="6"/>
      <c r="E54" s="32"/>
      <c r="F54" s="32"/>
      <c r="G54" s="63"/>
      <c r="H54" s="63"/>
      <c r="I54" s="63"/>
      <c r="J54" s="63"/>
      <c r="K54" s="63"/>
      <c r="AW54" s="340"/>
    </row>
    <row r="55" spans="1:49" s="21" customFormat="1" ht="12.75" hidden="1">
      <c r="A55" s="23" t="s">
        <v>533</v>
      </c>
      <c r="B55" s="26">
        <f>B54*B53</f>
        <v>7975.9800000000005</v>
      </c>
      <c r="D55" s="6"/>
      <c r="E55" s="32"/>
      <c r="F55" s="32"/>
      <c r="G55" s="1"/>
      <c r="H55" s="1"/>
      <c r="I55" s="1"/>
      <c r="J55" s="66"/>
      <c r="K55" s="1"/>
      <c r="AW55" s="340"/>
    </row>
    <row r="56" spans="1:49" s="21" customFormat="1" ht="12.75" hidden="1">
      <c r="A56" s="23" t="s">
        <v>534</v>
      </c>
      <c r="B56" s="26">
        <v>3000</v>
      </c>
      <c r="D56" s="6"/>
      <c r="E56" s="32"/>
      <c r="F56" s="1"/>
      <c r="G56" s="1"/>
      <c r="H56" s="1"/>
      <c r="I56" s="1"/>
      <c r="J56" s="67"/>
      <c r="K56" s="1"/>
      <c r="AW56" s="340"/>
    </row>
    <row r="57" spans="1:49" s="21" customFormat="1" ht="12.75" hidden="1">
      <c r="A57" s="1325" t="s">
        <v>535</v>
      </c>
      <c r="B57" s="26">
        <v>6.5</v>
      </c>
      <c r="D57" s="6"/>
      <c r="E57" s="32"/>
      <c r="F57" s="1"/>
      <c r="G57" s="1"/>
      <c r="H57" s="1"/>
      <c r="I57" s="1"/>
      <c r="J57" s="67"/>
      <c r="K57" s="1"/>
      <c r="AW57" s="340"/>
    </row>
    <row r="58" spans="1:49" s="21" customFormat="1" ht="12.75" hidden="1">
      <c r="A58" s="23" t="s">
        <v>536</v>
      </c>
      <c r="B58" s="318">
        <f>B56*B57/1000</f>
        <v>19.5</v>
      </c>
      <c r="D58" s="6"/>
      <c r="E58" s="32"/>
      <c r="F58" s="1"/>
      <c r="G58" s="1"/>
      <c r="H58" s="1"/>
      <c r="I58" s="1"/>
      <c r="J58" s="67"/>
      <c r="K58" s="1"/>
      <c r="AW58" s="340"/>
    </row>
    <row r="59" spans="1:49" s="21" customFormat="1" ht="13.5" hidden="1" thickBot="1">
      <c r="A59" s="60" t="s">
        <v>537</v>
      </c>
      <c r="B59" s="587">
        <f>B58*B55</f>
        <v>155531.61000000002</v>
      </c>
      <c r="D59" s="324"/>
      <c r="E59" s="32"/>
      <c r="F59" s="1"/>
      <c r="G59" s="1"/>
      <c r="H59" s="1"/>
      <c r="I59" s="1"/>
      <c r="J59" s="1"/>
      <c r="K59" s="1"/>
      <c r="AW59" s="340"/>
    </row>
    <row r="60" spans="1:49" s="21" customFormat="1" ht="13.5" hidden="1" thickBot="1">
      <c r="A60" s="490"/>
      <c r="B60" s="322"/>
      <c r="D60" s="324"/>
      <c r="E60" s="32"/>
      <c r="F60" s="1"/>
      <c r="G60" s="1"/>
      <c r="H60" s="1"/>
      <c r="I60" s="1"/>
      <c r="J60" s="1"/>
      <c r="K60" s="1"/>
      <c r="AW60" s="340"/>
    </row>
    <row r="61" spans="1:49" ht="12.75" hidden="1">
      <c r="A61" s="1398" t="s">
        <v>109</v>
      </c>
      <c r="B61" s="1400">
        <v>2004</v>
      </c>
      <c r="C61" s="1400"/>
      <c r="D61" s="1400"/>
      <c r="E61" s="1400"/>
      <c r="F61" s="1400">
        <v>2005</v>
      </c>
      <c r="G61" s="1400"/>
      <c r="H61" s="1400"/>
      <c r="I61" s="1400"/>
      <c r="J61" s="1400">
        <v>2006</v>
      </c>
      <c r="K61" s="1400"/>
      <c r="L61" s="1400"/>
      <c r="M61" s="1400"/>
      <c r="N61" s="1400">
        <v>2007</v>
      </c>
      <c r="O61" s="1400"/>
      <c r="P61" s="1400"/>
      <c r="Q61" s="1400"/>
      <c r="R61" s="1400">
        <v>2008</v>
      </c>
      <c r="S61" s="1400"/>
      <c r="T61" s="1400"/>
      <c r="U61" s="1400"/>
      <c r="V61" s="1400">
        <v>2009</v>
      </c>
      <c r="W61" s="1400"/>
      <c r="X61" s="1400"/>
      <c r="Y61" s="1400"/>
      <c r="Z61" s="1400">
        <v>2010</v>
      </c>
      <c r="AA61" s="1400"/>
      <c r="AB61" s="1400"/>
      <c r="AC61" s="1400"/>
      <c r="AD61" s="1400">
        <v>2011</v>
      </c>
      <c r="AE61" s="1400"/>
      <c r="AF61" s="1400"/>
      <c r="AG61" s="1400"/>
      <c r="AH61" s="1400">
        <v>2012</v>
      </c>
      <c r="AI61" s="1400"/>
      <c r="AJ61" s="1400"/>
      <c r="AK61" s="1400"/>
      <c r="AL61" s="1400">
        <v>2013</v>
      </c>
      <c r="AM61" s="1400"/>
      <c r="AN61" s="1400"/>
      <c r="AO61" s="1400"/>
      <c r="AP61" s="1400" t="s">
        <v>49</v>
      </c>
      <c r="AQ61" s="1400"/>
      <c r="AR61" s="1400"/>
      <c r="AS61" s="1405"/>
      <c r="AT61" s="33"/>
      <c r="AW61" s="32"/>
    </row>
    <row r="62" spans="1:49" ht="13.5" hidden="1" thickBot="1">
      <c r="A62" s="1399"/>
      <c r="B62" s="535" t="s">
        <v>307</v>
      </c>
      <c r="C62" s="493" t="s">
        <v>308</v>
      </c>
      <c r="D62" s="493" t="s">
        <v>309</v>
      </c>
      <c r="E62" s="494" t="s">
        <v>310</v>
      </c>
      <c r="F62" s="535" t="s">
        <v>307</v>
      </c>
      <c r="G62" s="493" t="s">
        <v>308</v>
      </c>
      <c r="H62" s="493" t="s">
        <v>309</v>
      </c>
      <c r="I62" s="494" t="s">
        <v>310</v>
      </c>
      <c r="J62" s="535" t="s">
        <v>307</v>
      </c>
      <c r="K62" s="493" t="s">
        <v>308</v>
      </c>
      <c r="L62" s="493" t="s">
        <v>309</v>
      </c>
      <c r="M62" s="494" t="s">
        <v>310</v>
      </c>
      <c r="N62" s="535" t="s">
        <v>307</v>
      </c>
      <c r="O62" s="493" t="s">
        <v>308</v>
      </c>
      <c r="P62" s="493" t="s">
        <v>309</v>
      </c>
      <c r="Q62" s="494" t="s">
        <v>310</v>
      </c>
      <c r="R62" s="535" t="s">
        <v>307</v>
      </c>
      <c r="S62" s="493" t="s">
        <v>308</v>
      </c>
      <c r="T62" s="493" t="s">
        <v>309</v>
      </c>
      <c r="U62" s="494" t="s">
        <v>310</v>
      </c>
      <c r="V62" s="535" t="s">
        <v>307</v>
      </c>
      <c r="W62" s="493" t="s">
        <v>308</v>
      </c>
      <c r="X62" s="493" t="s">
        <v>309</v>
      </c>
      <c r="Y62" s="494" t="s">
        <v>310</v>
      </c>
      <c r="Z62" s="535" t="s">
        <v>307</v>
      </c>
      <c r="AA62" s="493" t="s">
        <v>308</v>
      </c>
      <c r="AB62" s="493" t="s">
        <v>309</v>
      </c>
      <c r="AC62" s="494" t="s">
        <v>310</v>
      </c>
      <c r="AD62" s="535" t="s">
        <v>307</v>
      </c>
      <c r="AE62" s="493" t="s">
        <v>308</v>
      </c>
      <c r="AF62" s="493" t="s">
        <v>309</v>
      </c>
      <c r="AG62" s="494" t="s">
        <v>310</v>
      </c>
      <c r="AH62" s="535" t="s">
        <v>307</v>
      </c>
      <c r="AI62" s="493" t="s">
        <v>308</v>
      </c>
      <c r="AJ62" s="493" t="s">
        <v>309</v>
      </c>
      <c r="AK62" s="494" t="s">
        <v>310</v>
      </c>
      <c r="AL62" s="535" t="s">
        <v>307</v>
      </c>
      <c r="AM62" s="493" t="s">
        <v>41</v>
      </c>
      <c r="AN62" s="493" t="s">
        <v>42</v>
      </c>
      <c r="AO62" s="493" t="s">
        <v>43</v>
      </c>
      <c r="AP62" s="493" t="s">
        <v>40</v>
      </c>
      <c r="AQ62" s="493" t="s">
        <v>41</v>
      </c>
      <c r="AR62" s="493" t="s">
        <v>42</v>
      </c>
      <c r="AS62" s="494" t="s">
        <v>43</v>
      </c>
      <c r="AT62" s="33"/>
      <c r="AW62" s="32"/>
    </row>
    <row r="63" spans="1:46" s="341" customFormat="1" ht="12.75" hidden="1">
      <c r="A63" s="289" t="s">
        <v>538</v>
      </c>
      <c r="B63" s="491">
        <v>0</v>
      </c>
      <c r="C63" s="491">
        <v>0</v>
      </c>
      <c r="D63" s="491">
        <v>0</v>
      </c>
      <c r="E63" s="491">
        <v>0</v>
      </c>
      <c r="F63" s="491">
        <f>B44/1000</f>
        <v>525.61457</v>
      </c>
      <c r="G63" s="491">
        <f>F63</f>
        <v>525.61457</v>
      </c>
      <c r="H63" s="491">
        <f>G63</f>
        <v>525.61457</v>
      </c>
      <c r="I63" s="491">
        <f>H63</f>
        <v>525.61457</v>
      </c>
      <c r="J63" s="491">
        <f>I63</f>
        <v>525.61457</v>
      </c>
      <c r="K63" s="491">
        <v>0</v>
      </c>
      <c r="L63" s="491">
        <v>0</v>
      </c>
      <c r="M63" s="491">
        <v>0</v>
      </c>
      <c r="N63" s="491">
        <f>J63</f>
        <v>525.61457</v>
      </c>
      <c r="O63" s="491">
        <v>0</v>
      </c>
      <c r="P63" s="491">
        <f>O63</f>
        <v>0</v>
      </c>
      <c r="Q63" s="491">
        <v>0</v>
      </c>
      <c r="R63" s="491">
        <f>N63</f>
        <v>525.61457</v>
      </c>
      <c r="S63" s="491">
        <v>0</v>
      </c>
      <c r="T63" s="491">
        <v>0</v>
      </c>
      <c r="U63" s="491">
        <v>0</v>
      </c>
      <c r="V63" s="491">
        <f>R63</f>
        <v>525.61457</v>
      </c>
      <c r="W63" s="491">
        <v>0</v>
      </c>
      <c r="X63" s="491">
        <v>0</v>
      </c>
      <c r="Y63" s="491">
        <v>0</v>
      </c>
      <c r="Z63" s="491">
        <f>V63</f>
        <v>525.61457</v>
      </c>
      <c r="AA63" s="491">
        <v>0</v>
      </c>
      <c r="AB63" s="491">
        <v>0</v>
      </c>
      <c r="AC63" s="491">
        <v>0</v>
      </c>
      <c r="AD63" s="491">
        <f>Z63</f>
        <v>525.61457</v>
      </c>
      <c r="AE63" s="491">
        <v>0</v>
      </c>
      <c r="AF63" s="491">
        <v>0</v>
      </c>
      <c r="AG63" s="491">
        <v>0</v>
      </c>
      <c r="AH63" s="491">
        <f>AD63</f>
        <v>525.61457</v>
      </c>
      <c r="AI63" s="491">
        <v>0</v>
      </c>
      <c r="AJ63" s="491">
        <v>0</v>
      </c>
      <c r="AK63" s="491">
        <v>0</v>
      </c>
      <c r="AL63" s="491">
        <f>AH63</f>
        <v>525.61457</v>
      </c>
      <c r="AM63" s="491">
        <v>0</v>
      </c>
      <c r="AN63" s="491">
        <v>0</v>
      </c>
      <c r="AO63" s="491">
        <v>0</v>
      </c>
      <c r="AP63" s="491">
        <f>AL63</f>
        <v>525.61457</v>
      </c>
      <c r="AQ63" s="491">
        <v>0</v>
      </c>
      <c r="AR63" s="491">
        <v>0</v>
      </c>
      <c r="AS63" s="492">
        <v>0</v>
      </c>
      <c r="AT63" s="434"/>
    </row>
    <row r="64" spans="1:46" s="341" customFormat="1" ht="13.5" hidden="1" thickBot="1">
      <c r="A64" s="112" t="s">
        <v>539</v>
      </c>
      <c r="B64" s="495">
        <v>0</v>
      </c>
      <c r="C64" s="495">
        <v>0</v>
      </c>
      <c r="D64" s="495">
        <v>0</v>
      </c>
      <c r="E64" s="495">
        <v>0</v>
      </c>
      <c r="F64" s="495">
        <f>B59/1000</f>
        <v>155.53161000000003</v>
      </c>
      <c r="G64" s="495">
        <f aca="true" t="shared" si="10" ref="G64:M64">E64</f>
        <v>0</v>
      </c>
      <c r="H64" s="495">
        <f t="shared" si="10"/>
        <v>155.53161000000003</v>
      </c>
      <c r="I64" s="495">
        <f t="shared" si="10"/>
        <v>0</v>
      </c>
      <c r="J64" s="495">
        <f t="shared" si="10"/>
        <v>155.53161000000003</v>
      </c>
      <c r="K64" s="495">
        <f t="shared" si="10"/>
        <v>0</v>
      </c>
      <c r="L64" s="495">
        <f t="shared" si="10"/>
        <v>155.53161000000003</v>
      </c>
      <c r="M64" s="495">
        <f t="shared" si="10"/>
        <v>0</v>
      </c>
      <c r="N64" s="495">
        <f>J64</f>
        <v>155.53161000000003</v>
      </c>
      <c r="O64" s="495">
        <f>M64</f>
        <v>0</v>
      </c>
      <c r="P64" s="495">
        <f>N64</f>
        <v>155.53161000000003</v>
      </c>
      <c r="Q64" s="495">
        <f>O64</f>
        <v>0</v>
      </c>
      <c r="R64" s="495">
        <f>N64</f>
        <v>155.53161000000003</v>
      </c>
      <c r="S64" s="495">
        <f aca="true" t="shared" si="11" ref="S64:AS64">Q64</f>
        <v>0</v>
      </c>
      <c r="T64" s="495">
        <f t="shared" si="11"/>
        <v>155.53161000000003</v>
      </c>
      <c r="U64" s="495">
        <f t="shared" si="11"/>
        <v>0</v>
      </c>
      <c r="V64" s="495">
        <f t="shared" si="11"/>
        <v>155.53161000000003</v>
      </c>
      <c r="W64" s="495">
        <f t="shared" si="11"/>
        <v>0</v>
      </c>
      <c r="X64" s="495">
        <f t="shared" si="11"/>
        <v>155.53161000000003</v>
      </c>
      <c r="Y64" s="495">
        <f t="shared" si="11"/>
        <v>0</v>
      </c>
      <c r="Z64" s="495">
        <f t="shared" si="11"/>
        <v>155.53161000000003</v>
      </c>
      <c r="AA64" s="495">
        <f t="shared" si="11"/>
        <v>0</v>
      </c>
      <c r="AB64" s="495">
        <f t="shared" si="11"/>
        <v>155.53161000000003</v>
      </c>
      <c r="AC64" s="495">
        <f t="shared" si="11"/>
        <v>0</v>
      </c>
      <c r="AD64" s="495">
        <f t="shared" si="11"/>
        <v>155.53161000000003</v>
      </c>
      <c r="AE64" s="495">
        <f t="shared" si="11"/>
        <v>0</v>
      </c>
      <c r="AF64" s="495">
        <f t="shared" si="11"/>
        <v>155.53161000000003</v>
      </c>
      <c r="AG64" s="495">
        <f t="shared" si="11"/>
        <v>0</v>
      </c>
      <c r="AH64" s="495">
        <f t="shared" si="11"/>
        <v>155.53161000000003</v>
      </c>
      <c r="AI64" s="495">
        <f t="shared" si="11"/>
        <v>0</v>
      </c>
      <c r="AJ64" s="495">
        <f t="shared" si="11"/>
        <v>155.53161000000003</v>
      </c>
      <c r="AK64" s="495">
        <f t="shared" si="11"/>
        <v>0</v>
      </c>
      <c r="AL64" s="495">
        <f t="shared" si="11"/>
        <v>155.53161000000003</v>
      </c>
      <c r="AM64" s="495">
        <f t="shared" si="11"/>
        <v>0</v>
      </c>
      <c r="AN64" s="495">
        <f t="shared" si="11"/>
        <v>155.53161000000003</v>
      </c>
      <c r="AO64" s="495">
        <f t="shared" si="11"/>
        <v>0</v>
      </c>
      <c r="AP64" s="495">
        <f t="shared" si="11"/>
        <v>155.53161000000003</v>
      </c>
      <c r="AQ64" s="495">
        <f t="shared" si="11"/>
        <v>0</v>
      </c>
      <c r="AR64" s="495">
        <f t="shared" si="11"/>
        <v>155.53161000000003</v>
      </c>
      <c r="AS64" s="496">
        <f t="shared" si="11"/>
        <v>0</v>
      </c>
      <c r="AT64" s="434"/>
    </row>
    <row r="65" spans="1:46" s="341" customFormat="1" ht="13.5" hidden="1" thickBot="1">
      <c r="A65" s="497" t="s">
        <v>540</v>
      </c>
      <c r="B65" s="498">
        <f>SUM(B63:B64)</f>
        <v>0</v>
      </c>
      <c r="C65" s="498">
        <f aca="true" t="shared" si="12" ref="C65:AS65">SUM(C63:C64)</f>
        <v>0</v>
      </c>
      <c r="D65" s="498">
        <f t="shared" si="12"/>
        <v>0</v>
      </c>
      <c r="E65" s="498">
        <f t="shared" si="12"/>
        <v>0</v>
      </c>
      <c r="F65" s="498">
        <f t="shared" si="12"/>
        <v>681.14618</v>
      </c>
      <c r="G65" s="498">
        <f t="shared" si="12"/>
        <v>525.61457</v>
      </c>
      <c r="H65" s="498">
        <f t="shared" si="12"/>
        <v>681.14618</v>
      </c>
      <c r="I65" s="498">
        <f t="shared" si="12"/>
        <v>525.61457</v>
      </c>
      <c r="J65" s="498">
        <f t="shared" si="12"/>
        <v>681.14618</v>
      </c>
      <c r="K65" s="498">
        <f t="shared" si="12"/>
        <v>0</v>
      </c>
      <c r="L65" s="498">
        <f t="shared" si="12"/>
        <v>155.53161000000003</v>
      </c>
      <c r="M65" s="498">
        <f t="shared" si="12"/>
        <v>0</v>
      </c>
      <c r="N65" s="498">
        <f t="shared" si="12"/>
        <v>681.14618</v>
      </c>
      <c r="O65" s="498">
        <f t="shared" si="12"/>
        <v>0</v>
      </c>
      <c r="P65" s="498">
        <f t="shared" si="12"/>
        <v>155.53161000000003</v>
      </c>
      <c r="Q65" s="498">
        <f t="shared" si="12"/>
        <v>0</v>
      </c>
      <c r="R65" s="498">
        <f t="shared" si="12"/>
        <v>681.14618</v>
      </c>
      <c r="S65" s="498">
        <f t="shared" si="12"/>
        <v>0</v>
      </c>
      <c r="T65" s="498">
        <f t="shared" si="12"/>
        <v>155.53161000000003</v>
      </c>
      <c r="U65" s="498">
        <f t="shared" si="12"/>
        <v>0</v>
      </c>
      <c r="V65" s="498">
        <f t="shared" si="12"/>
        <v>681.14618</v>
      </c>
      <c r="W65" s="498">
        <f t="shared" si="12"/>
        <v>0</v>
      </c>
      <c r="X65" s="498">
        <f t="shared" si="12"/>
        <v>155.53161000000003</v>
      </c>
      <c r="Y65" s="498">
        <f t="shared" si="12"/>
        <v>0</v>
      </c>
      <c r="Z65" s="498">
        <f t="shared" si="12"/>
        <v>681.14618</v>
      </c>
      <c r="AA65" s="498">
        <f t="shared" si="12"/>
        <v>0</v>
      </c>
      <c r="AB65" s="498">
        <f t="shared" si="12"/>
        <v>155.53161000000003</v>
      </c>
      <c r="AC65" s="498">
        <f t="shared" si="12"/>
        <v>0</v>
      </c>
      <c r="AD65" s="498">
        <f t="shared" si="12"/>
        <v>681.14618</v>
      </c>
      <c r="AE65" s="498">
        <f t="shared" si="12"/>
        <v>0</v>
      </c>
      <c r="AF65" s="498">
        <f t="shared" si="12"/>
        <v>155.53161000000003</v>
      </c>
      <c r="AG65" s="498">
        <f t="shared" si="12"/>
        <v>0</v>
      </c>
      <c r="AH65" s="498">
        <f t="shared" si="12"/>
        <v>681.14618</v>
      </c>
      <c r="AI65" s="498">
        <f t="shared" si="12"/>
        <v>0</v>
      </c>
      <c r="AJ65" s="498">
        <f t="shared" si="12"/>
        <v>155.53161000000003</v>
      </c>
      <c r="AK65" s="498">
        <f t="shared" si="12"/>
        <v>0</v>
      </c>
      <c r="AL65" s="498">
        <f t="shared" si="12"/>
        <v>681.14618</v>
      </c>
      <c r="AM65" s="498">
        <f t="shared" si="12"/>
        <v>0</v>
      </c>
      <c r="AN65" s="498">
        <f t="shared" si="12"/>
        <v>155.53161000000003</v>
      </c>
      <c r="AO65" s="498">
        <f t="shared" si="12"/>
        <v>0</v>
      </c>
      <c r="AP65" s="498">
        <f t="shared" si="12"/>
        <v>681.14618</v>
      </c>
      <c r="AQ65" s="498">
        <f t="shared" si="12"/>
        <v>0</v>
      </c>
      <c r="AR65" s="498">
        <f t="shared" si="12"/>
        <v>155.53161000000003</v>
      </c>
      <c r="AS65" s="499">
        <f t="shared" si="12"/>
        <v>0</v>
      </c>
      <c r="AT65" s="434"/>
    </row>
    <row r="66" spans="1:46" s="341" customFormat="1" ht="13.5" thickBot="1">
      <c r="A66" s="1009"/>
      <c r="B66" s="612"/>
      <c r="C66" s="612"/>
      <c r="D66" s="612"/>
      <c r="E66" s="612"/>
      <c r="F66" s="612"/>
      <c r="G66" s="612"/>
      <c r="H66" s="612"/>
      <c r="I66" s="612"/>
      <c r="J66" s="612"/>
      <c r="K66" s="612"/>
      <c r="L66" s="612"/>
      <c r="M66" s="612"/>
      <c r="N66" s="612"/>
      <c r="O66" s="612"/>
      <c r="P66" s="612"/>
      <c r="Q66" s="612"/>
      <c r="R66" s="612"/>
      <c r="S66" s="612"/>
      <c r="T66" s="612"/>
      <c r="U66" s="612"/>
      <c r="V66" s="612"/>
      <c r="W66" s="612"/>
      <c r="X66" s="612"/>
      <c r="Y66" s="612"/>
      <c r="Z66" s="612"/>
      <c r="AA66" s="612"/>
      <c r="AB66" s="612"/>
      <c r="AC66" s="612"/>
      <c r="AD66" s="612"/>
      <c r="AE66" s="612"/>
      <c r="AF66" s="612"/>
      <c r="AG66" s="612"/>
      <c r="AH66" s="612"/>
      <c r="AI66" s="612"/>
      <c r="AJ66" s="612"/>
      <c r="AK66" s="612"/>
      <c r="AL66" s="612"/>
      <c r="AM66" s="612"/>
      <c r="AN66" s="612"/>
      <c r="AO66" s="612"/>
      <c r="AP66" s="612"/>
      <c r="AQ66" s="612"/>
      <c r="AR66" s="612"/>
      <c r="AS66" s="612"/>
      <c r="AT66" s="434"/>
    </row>
    <row r="67" spans="1:49" s="21" customFormat="1" ht="51.75" thickBot="1">
      <c r="A67" s="1010" t="s">
        <v>109</v>
      </c>
      <c r="B67" s="1011" t="s">
        <v>416</v>
      </c>
      <c r="C67" s="926" t="s">
        <v>418</v>
      </c>
      <c r="D67" s="927" t="s">
        <v>417</v>
      </c>
      <c r="E67" s="32"/>
      <c r="F67" s="63"/>
      <c r="G67" s="1"/>
      <c r="H67" s="1"/>
      <c r="I67" s="1"/>
      <c r="J67" s="1"/>
      <c r="K67" s="1"/>
      <c r="AW67" s="340"/>
    </row>
    <row r="68" spans="1:49" s="21" customFormat="1" ht="12.75">
      <c r="A68" s="289" t="s">
        <v>108</v>
      </c>
      <c r="B68" s="353">
        <v>341004.19</v>
      </c>
      <c r="C68" s="353">
        <v>64209</v>
      </c>
      <c r="D68" s="1015">
        <f aca="true" t="shared" si="13" ref="D68:D77">B68/$C$68</f>
        <v>5.310847233253905</v>
      </c>
      <c r="E68" s="32"/>
      <c r="F68" s="63"/>
      <c r="G68" s="1"/>
      <c r="H68" s="1"/>
      <c r="I68" s="1"/>
      <c r="J68" s="1"/>
      <c r="K68" s="1"/>
      <c r="AW68" s="340"/>
    </row>
    <row r="69" spans="1:49" s="21" customFormat="1" ht="12.75">
      <c r="A69" s="23" t="s">
        <v>110</v>
      </c>
      <c r="B69" s="354">
        <v>169704.69</v>
      </c>
      <c r="C69" s="354">
        <v>64209</v>
      </c>
      <c r="D69" s="1016">
        <f t="shared" si="13"/>
        <v>2.6430047189646313</v>
      </c>
      <c r="E69" s="32"/>
      <c r="F69" s="63"/>
      <c r="G69" s="1"/>
      <c r="H69" s="1"/>
      <c r="I69" s="1"/>
      <c r="J69" s="1"/>
      <c r="K69" s="1"/>
      <c r="AW69" s="340"/>
    </row>
    <row r="70" spans="1:49" s="21" customFormat="1" ht="12.75">
      <c r="A70" s="23" t="s">
        <v>111</v>
      </c>
      <c r="B70" s="354">
        <v>4668220.95</v>
      </c>
      <c r="C70" s="354">
        <v>64209</v>
      </c>
      <c r="D70" s="1016">
        <f t="shared" si="13"/>
        <v>72.70352987898893</v>
      </c>
      <c r="E70" s="32"/>
      <c r="F70" s="63"/>
      <c r="G70" s="1"/>
      <c r="H70" s="1"/>
      <c r="I70" s="1"/>
      <c r="J70" s="1"/>
      <c r="K70" s="1"/>
      <c r="AW70" s="340"/>
    </row>
    <row r="71" spans="1:49" s="21" customFormat="1" ht="12.75">
      <c r="A71" s="23" t="s">
        <v>112</v>
      </c>
      <c r="B71" s="354">
        <v>1442229.19</v>
      </c>
      <c r="C71" s="354">
        <v>64209</v>
      </c>
      <c r="D71" s="1016">
        <f t="shared" si="13"/>
        <v>22.46148032207323</v>
      </c>
      <c r="E71" s="32"/>
      <c r="F71" s="63"/>
      <c r="G71" s="1"/>
      <c r="H71" s="1"/>
      <c r="I71" s="1"/>
      <c r="J71" s="1"/>
      <c r="K71" s="1"/>
      <c r="AW71" s="340"/>
    </row>
    <row r="72" spans="1:49" s="21" customFormat="1" ht="12.75">
      <c r="A72" s="23" t="s">
        <v>113</v>
      </c>
      <c r="B72" s="354">
        <v>389275.53</v>
      </c>
      <c r="C72" s="354">
        <v>64209</v>
      </c>
      <c r="D72" s="1016">
        <f t="shared" si="13"/>
        <v>6.0626318740363505</v>
      </c>
      <c r="E72" s="32"/>
      <c r="F72" s="63"/>
      <c r="G72" s="1"/>
      <c r="H72" s="1"/>
      <c r="I72" s="1"/>
      <c r="J72" s="1"/>
      <c r="K72" s="1"/>
      <c r="AW72" s="340"/>
    </row>
    <row r="73" spans="1:6" s="21" customFormat="1" ht="12.75">
      <c r="A73" s="23" t="s">
        <v>408</v>
      </c>
      <c r="B73" s="354">
        <v>15967.78</v>
      </c>
      <c r="C73" s="354">
        <v>64209</v>
      </c>
      <c r="D73" s="1016">
        <f t="shared" si="13"/>
        <v>0.24868445233534242</v>
      </c>
      <c r="E73" s="1"/>
      <c r="F73" s="32"/>
    </row>
    <row r="74" spans="1:6" s="21" customFormat="1" ht="13.5" thickBot="1">
      <c r="A74" s="112" t="s">
        <v>114</v>
      </c>
      <c r="B74" s="1005">
        <v>617894.19</v>
      </c>
      <c r="C74" s="1005">
        <v>64209</v>
      </c>
      <c r="D74" s="1018">
        <f t="shared" si="13"/>
        <v>9.623171050787272</v>
      </c>
      <c r="E74" s="1"/>
      <c r="F74" s="32"/>
    </row>
    <row r="75" spans="1:6" s="21" customFormat="1" ht="13.5" thickBot="1">
      <c r="A75" s="1007" t="s">
        <v>409</v>
      </c>
      <c r="B75" s="1012">
        <f>SUM(B68:B74)</f>
        <v>7644296.52</v>
      </c>
      <c r="C75" s="1012">
        <v>64209</v>
      </c>
      <c r="D75" s="1013">
        <f t="shared" si="13"/>
        <v>119.05334953043965</v>
      </c>
      <c r="E75" s="1"/>
      <c r="F75" s="32"/>
    </row>
    <row r="76" spans="1:6" s="21" customFormat="1" ht="13.5" thickBot="1">
      <c r="A76" s="1006" t="s">
        <v>290</v>
      </c>
      <c r="B76" s="380">
        <v>2891791</v>
      </c>
      <c r="C76" s="380">
        <v>64209</v>
      </c>
      <c r="D76" s="1014">
        <f t="shared" si="13"/>
        <v>45.03715989970254</v>
      </c>
      <c r="E76" s="1"/>
      <c r="F76" s="32"/>
    </row>
    <row r="77" spans="1:5" ht="13.5" thickBot="1">
      <c r="A77" s="1007" t="s">
        <v>410</v>
      </c>
      <c r="B77" s="1012">
        <f>SUM(B75:B76)</f>
        <v>10536087.52</v>
      </c>
      <c r="C77" s="1012">
        <v>64209</v>
      </c>
      <c r="D77" s="1013">
        <f t="shared" si="13"/>
        <v>164.0905094301422</v>
      </c>
      <c r="E77" s="1"/>
    </row>
    <row r="78" spans="1:5" ht="12.75">
      <c r="A78" s="21"/>
      <c r="B78" s="21"/>
      <c r="C78" s="21"/>
      <c r="D78" s="1"/>
      <c r="E78" s="1"/>
    </row>
    <row r="79" spans="1:5" ht="12.75">
      <c r="A79" s="21"/>
      <c r="B79" s="324"/>
      <c r="C79" s="21"/>
      <c r="D79" s="1008"/>
      <c r="E79" s="1"/>
    </row>
    <row r="80" spans="1:5" ht="12.75">
      <c r="A80" s="21"/>
      <c r="B80" s="324"/>
      <c r="C80" s="21"/>
      <c r="D80" s="1008"/>
      <c r="E80" s="1"/>
    </row>
    <row r="81" spans="1:5" ht="12.75">
      <c r="A81" s="21"/>
      <c r="C81" s="1"/>
      <c r="D81" s="1"/>
      <c r="E81" s="1"/>
    </row>
    <row r="82" spans="1:49" s="415" customFormat="1" ht="13.5">
      <c r="A82" s="416" t="s">
        <v>411</v>
      </c>
      <c r="B82" s="417"/>
      <c r="C82" s="418"/>
      <c r="D82" s="418"/>
      <c r="E82" s="418"/>
      <c r="AW82" s="417"/>
    </row>
    <row r="83" spans="1:5" ht="12.75">
      <c r="A83" s="21"/>
      <c r="E83" s="1"/>
    </row>
    <row r="84" spans="1:6" ht="12.75">
      <c r="A84" s="331" t="s">
        <v>412</v>
      </c>
      <c r="B84" s="412" t="s">
        <v>415</v>
      </c>
      <c r="E84" s="1"/>
      <c r="F84" s="21"/>
    </row>
    <row r="85" spans="1:6" ht="12.75">
      <c r="A85" s="36" t="s">
        <v>294</v>
      </c>
      <c r="B85" s="22">
        <f>1690.6+1692</f>
        <v>3382.6</v>
      </c>
      <c r="F85" s="21"/>
    </row>
    <row r="86" spans="1:6" ht="12.75">
      <c r="A86" s="331" t="s">
        <v>113</v>
      </c>
      <c r="B86" s="412"/>
      <c r="F86" s="21"/>
    </row>
    <row r="87" spans="1:2" ht="15.75">
      <c r="A87" s="356" t="s">
        <v>413</v>
      </c>
      <c r="B87" s="27">
        <v>0.3</v>
      </c>
    </row>
    <row r="88" spans="1:2" ht="12.75">
      <c r="A88" s="356" t="s">
        <v>115</v>
      </c>
      <c r="B88" s="1256">
        <v>0.208</v>
      </c>
    </row>
    <row r="89" spans="1:2" ht="15.75">
      <c r="A89" s="356" t="s">
        <v>414</v>
      </c>
      <c r="B89" s="1097">
        <f>B87*B88</f>
        <v>0.0624</v>
      </c>
    </row>
    <row r="90" spans="1:2" ht="12.75">
      <c r="A90" s="340"/>
      <c r="B90" s="413"/>
    </row>
    <row r="91" spans="1:2" ht="12.75">
      <c r="A91" s="340"/>
      <c r="B91" s="413"/>
    </row>
    <row r="92" spans="1:2" ht="12.75">
      <c r="A92" s="340"/>
      <c r="B92" s="413"/>
    </row>
    <row r="93" ht="12.75">
      <c r="A93" s="21"/>
    </row>
    <row r="94" spans="1:49" s="414" customFormat="1" ht="13.5" hidden="1">
      <c r="A94" s="414" t="s">
        <v>543</v>
      </c>
      <c r="AW94" s="416"/>
    </row>
    <row r="95" spans="1:45" ht="12.75" hidden="1">
      <c r="A95" s="331" t="s">
        <v>544</v>
      </c>
      <c r="B95" s="412" t="s">
        <v>545</v>
      </c>
      <c r="C95" s="412" t="s">
        <v>546</v>
      </c>
      <c r="D95" s="412" t="s">
        <v>547</v>
      </c>
      <c r="E95" s="412" t="s">
        <v>548</v>
      </c>
      <c r="F95" s="412" t="s">
        <v>549</v>
      </c>
      <c r="G95" s="412" t="s">
        <v>550</v>
      </c>
      <c r="H95" s="412" t="s">
        <v>551</v>
      </c>
      <c r="I95" s="412" t="s">
        <v>552</v>
      </c>
      <c r="J95" s="412" t="s">
        <v>553</v>
      </c>
      <c r="K95" s="412" t="s">
        <v>554</v>
      </c>
      <c r="L95" s="412" t="s">
        <v>555</v>
      </c>
      <c r="M95" s="412" t="s">
        <v>556</v>
      </c>
      <c r="N95" s="412" t="s">
        <v>557</v>
      </c>
      <c r="O95" s="412" t="s">
        <v>558</v>
      </c>
      <c r="P95" s="412" t="s">
        <v>559</v>
      </c>
      <c r="Q95" s="412" t="s">
        <v>560</v>
      </c>
      <c r="R95" s="412" t="s">
        <v>561</v>
      </c>
      <c r="S95" s="412" t="s">
        <v>562</v>
      </c>
      <c r="T95" s="412" t="s">
        <v>563</v>
      </c>
      <c r="U95" s="412" t="s">
        <v>564</v>
      </c>
      <c r="V95" s="412" t="s">
        <v>565</v>
      </c>
      <c r="W95" s="412" t="s">
        <v>566</v>
      </c>
      <c r="X95" s="412" t="s">
        <v>567</v>
      </c>
      <c r="Y95" s="412" t="s">
        <v>568</v>
      </c>
      <c r="Z95" s="412" t="s">
        <v>569</v>
      </c>
      <c r="AA95" s="412" t="s">
        <v>570</v>
      </c>
      <c r="AB95" s="412" t="s">
        <v>571</v>
      </c>
      <c r="AC95" s="412" t="s">
        <v>572</v>
      </c>
      <c r="AD95" s="412" t="s">
        <v>573</v>
      </c>
      <c r="AE95" s="412" t="s">
        <v>574</v>
      </c>
      <c r="AF95" s="412" t="s">
        <v>575</v>
      </c>
      <c r="AG95" s="412" t="s">
        <v>576</v>
      </c>
      <c r="AH95" s="412" t="s">
        <v>577</v>
      </c>
      <c r="AI95" s="412" t="s">
        <v>578</v>
      </c>
      <c r="AJ95" s="412" t="s">
        <v>579</v>
      </c>
      <c r="AK95" s="412" t="s">
        <v>580</v>
      </c>
      <c r="AL95" s="412"/>
      <c r="AM95" s="412" t="s">
        <v>54</v>
      </c>
      <c r="AN95" s="412" t="s">
        <v>55</v>
      </c>
      <c r="AO95" s="412" t="s">
        <v>57</v>
      </c>
      <c r="AP95" s="412" t="s">
        <v>58</v>
      </c>
      <c r="AQ95" s="412" t="s">
        <v>59</v>
      </c>
      <c r="AR95" s="412" t="s">
        <v>60</v>
      </c>
      <c r="AS95" s="412" t="s">
        <v>61</v>
      </c>
    </row>
    <row r="96" spans="1:57" ht="13.5" hidden="1">
      <c r="A96" s="36" t="s">
        <v>112</v>
      </c>
      <c r="B96" s="447">
        <v>11</v>
      </c>
      <c r="C96" s="447">
        <v>11</v>
      </c>
      <c r="D96" s="447">
        <v>10</v>
      </c>
      <c r="E96" s="447">
        <v>10</v>
      </c>
      <c r="F96" s="447">
        <v>12</v>
      </c>
      <c r="G96" s="447">
        <v>11</v>
      </c>
      <c r="H96" s="447">
        <v>11</v>
      </c>
      <c r="I96" s="447">
        <v>11</v>
      </c>
      <c r="J96" s="447">
        <v>2</v>
      </c>
      <c r="K96" s="447">
        <v>2</v>
      </c>
      <c r="L96" s="447">
        <v>2</v>
      </c>
      <c r="M96" s="447">
        <v>1</v>
      </c>
      <c r="N96" s="447">
        <v>2</v>
      </c>
      <c r="O96" s="447">
        <v>2</v>
      </c>
      <c r="P96" s="447">
        <v>1</v>
      </c>
      <c r="Q96" s="447">
        <v>1</v>
      </c>
      <c r="R96" s="447">
        <v>2</v>
      </c>
      <c r="S96" s="447">
        <v>2</v>
      </c>
      <c r="T96" s="447">
        <v>1</v>
      </c>
      <c r="U96" s="447">
        <v>1</v>
      </c>
      <c r="V96" s="447">
        <v>2</v>
      </c>
      <c r="W96" s="447">
        <v>2</v>
      </c>
      <c r="X96" s="447">
        <v>1</v>
      </c>
      <c r="Y96" s="447">
        <v>1</v>
      </c>
      <c r="Z96" s="447">
        <v>2</v>
      </c>
      <c r="AA96" s="447">
        <v>2</v>
      </c>
      <c r="AB96" s="447">
        <v>1</v>
      </c>
      <c r="AC96" s="447">
        <v>1</v>
      </c>
      <c r="AD96" s="447">
        <v>2</v>
      </c>
      <c r="AE96" s="447">
        <v>2</v>
      </c>
      <c r="AF96" s="447">
        <v>1</v>
      </c>
      <c r="AG96" s="447">
        <v>1</v>
      </c>
      <c r="AH96" s="447">
        <v>2</v>
      </c>
      <c r="AI96" s="447">
        <v>2</v>
      </c>
      <c r="AJ96" s="447">
        <v>1</v>
      </c>
      <c r="AK96" s="447">
        <v>1</v>
      </c>
      <c r="AL96" s="447"/>
      <c r="AM96" s="447">
        <v>2</v>
      </c>
      <c r="AN96" s="447">
        <v>1</v>
      </c>
      <c r="AO96" s="447">
        <v>1</v>
      </c>
      <c r="AP96" s="447">
        <v>2</v>
      </c>
      <c r="AQ96" s="447">
        <v>2</v>
      </c>
      <c r="AR96" s="447">
        <v>1</v>
      </c>
      <c r="AS96" s="447">
        <v>1</v>
      </c>
      <c r="AT96" s="3"/>
      <c r="AU96" s="4"/>
      <c r="AV96" s="3"/>
      <c r="AW96" s="3"/>
      <c r="AX96" s="3"/>
      <c r="AY96" s="3"/>
      <c r="AZ96" s="4"/>
      <c r="BA96" s="3"/>
      <c r="BB96" s="3"/>
      <c r="BC96" s="3"/>
      <c r="BD96" s="3"/>
      <c r="BE96" s="21"/>
    </row>
    <row r="97" spans="1:57" ht="13.5" hidden="1">
      <c r="A97" s="36" t="s">
        <v>113</v>
      </c>
      <c r="B97" s="447">
        <v>1028</v>
      </c>
      <c r="C97" s="447">
        <v>1028</v>
      </c>
      <c r="D97" s="447">
        <v>1028</v>
      </c>
      <c r="E97" s="447">
        <v>1027</v>
      </c>
      <c r="F97" s="447">
        <v>1473</v>
      </c>
      <c r="G97" s="447">
        <v>1473</v>
      </c>
      <c r="H97" s="447">
        <v>1473</v>
      </c>
      <c r="I97" s="447">
        <v>1473</v>
      </c>
      <c r="J97" s="447">
        <v>1713</v>
      </c>
      <c r="K97" s="447">
        <v>1713</v>
      </c>
      <c r="L97" s="447">
        <v>1713</v>
      </c>
      <c r="M97" s="447">
        <v>1714</v>
      </c>
      <c r="N97" s="447">
        <v>1713</v>
      </c>
      <c r="O97" s="447">
        <v>1713</v>
      </c>
      <c r="P97" s="447">
        <v>1713</v>
      </c>
      <c r="Q97" s="447">
        <v>1714</v>
      </c>
      <c r="R97" s="447">
        <v>1713</v>
      </c>
      <c r="S97" s="447">
        <v>1713</v>
      </c>
      <c r="T97" s="447">
        <v>1713</v>
      </c>
      <c r="U97" s="447">
        <v>1714</v>
      </c>
      <c r="V97" s="447">
        <v>1713</v>
      </c>
      <c r="W97" s="447">
        <v>1713</v>
      </c>
      <c r="X97" s="447">
        <v>1713</v>
      </c>
      <c r="Y97" s="447">
        <v>1714</v>
      </c>
      <c r="Z97" s="447">
        <v>1713</v>
      </c>
      <c r="AA97" s="447">
        <v>1713</v>
      </c>
      <c r="AB97" s="447">
        <v>1713</v>
      </c>
      <c r="AC97" s="447">
        <v>1714</v>
      </c>
      <c r="AD97" s="447">
        <v>1713</v>
      </c>
      <c r="AE97" s="447">
        <v>1713</v>
      </c>
      <c r="AF97" s="447">
        <v>1713</v>
      </c>
      <c r="AG97" s="447">
        <v>1714</v>
      </c>
      <c r="AH97" s="447">
        <v>1714</v>
      </c>
      <c r="AI97" s="447">
        <v>1714</v>
      </c>
      <c r="AJ97" s="447">
        <v>1714</v>
      </c>
      <c r="AK97" s="447">
        <v>1714</v>
      </c>
      <c r="AL97" s="447"/>
      <c r="AM97" s="447">
        <v>1714</v>
      </c>
      <c r="AN97" s="447">
        <v>1714</v>
      </c>
      <c r="AO97" s="447">
        <v>1714</v>
      </c>
      <c r="AP97" s="447">
        <v>1714</v>
      </c>
      <c r="AQ97" s="447">
        <v>1714</v>
      </c>
      <c r="AR97" s="447">
        <v>1714</v>
      </c>
      <c r="AS97" s="447">
        <v>1714</v>
      </c>
      <c r="AT97" s="21"/>
      <c r="AU97" s="21"/>
      <c r="AV97" s="21"/>
      <c r="AX97" s="21"/>
      <c r="AY97" s="21"/>
      <c r="AZ97" s="21"/>
      <c r="BA97" s="21"/>
      <c r="BB97" s="21"/>
      <c r="BC97" s="21"/>
      <c r="BD97" s="21"/>
      <c r="BE97" s="21"/>
    </row>
    <row r="98" spans="35:57" ht="12.75"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X98" s="21"/>
      <c r="AY98" s="21"/>
      <c r="AZ98" s="21"/>
      <c r="BA98" s="21"/>
      <c r="BB98" s="21"/>
      <c r="BC98" s="21"/>
      <c r="BD98" s="21"/>
      <c r="BE98" s="21"/>
    </row>
  </sheetData>
  <mergeCells count="26">
    <mergeCell ref="J61:M61"/>
    <mergeCell ref="N61:Q61"/>
    <mergeCell ref="R61:U61"/>
    <mergeCell ref="V61:Y61"/>
    <mergeCell ref="AU3:AU4"/>
    <mergeCell ref="AI3:AL3"/>
    <mergeCell ref="W3:Z3"/>
    <mergeCell ref="AH61:AK61"/>
    <mergeCell ref="AL61:AO61"/>
    <mergeCell ref="AM3:AP3"/>
    <mergeCell ref="AQ3:AT3"/>
    <mergeCell ref="AP61:AS61"/>
    <mergeCell ref="Z61:AC61"/>
    <mergeCell ref="AD61:AG61"/>
    <mergeCell ref="AA3:AD3"/>
    <mergeCell ref="AE3:AH3"/>
    <mergeCell ref="G3:J3"/>
    <mergeCell ref="K3:N3"/>
    <mergeCell ref="O3:R3"/>
    <mergeCell ref="S3:V3"/>
    <mergeCell ref="A3:A4"/>
    <mergeCell ref="B3:B4"/>
    <mergeCell ref="C3:F3"/>
    <mergeCell ref="A61:A62"/>
    <mergeCell ref="B61:E61"/>
    <mergeCell ref="F61:I6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80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F16384"/>
    </sheetView>
  </sheetViews>
  <sheetFormatPr defaultColWidth="9.00390625" defaultRowHeight="12.75"/>
  <cols>
    <col min="1" max="1" width="29.75390625" style="32" customWidth="1"/>
    <col min="2" max="2" width="10.375" style="341" hidden="1" customWidth="1"/>
    <col min="3" max="6" width="7.75390625" style="32" hidden="1" customWidth="1"/>
    <col min="7" max="9" width="7.75390625" style="32" customWidth="1"/>
    <col min="10" max="10" width="9.00390625" style="32" customWidth="1"/>
    <col min="11" max="30" width="7.75390625" style="32" bestFit="1" customWidth="1"/>
    <col min="31" max="32" width="7.375" style="32" bestFit="1" customWidth="1"/>
    <col min="33" max="42" width="8.625" style="32" customWidth="1"/>
    <col min="43" max="43" width="9.375" style="32" customWidth="1"/>
    <col min="44" max="44" width="19.375" style="341" customWidth="1"/>
    <col min="45" max="46" width="9.25390625" style="340" customWidth="1"/>
    <col min="47" max="47" width="9.25390625" style="341" bestFit="1" customWidth="1"/>
    <col min="48" max="48" width="9.625" style="341" bestFit="1" customWidth="1"/>
    <col min="49" max="16384" width="9.125" style="341" customWidth="1"/>
  </cols>
  <sheetData>
    <row r="1" spans="1:48" ht="26.25" customHeight="1">
      <c r="A1" s="332" t="s">
        <v>419</v>
      </c>
      <c r="B1" s="419"/>
      <c r="C1" s="321"/>
      <c r="D1" s="321"/>
      <c r="E1" s="321"/>
      <c r="F1" s="321"/>
      <c r="G1" s="321"/>
      <c r="H1" s="321"/>
      <c r="I1" s="321"/>
      <c r="J1" s="321"/>
      <c r="N1" s="321"/>
      <c r="AV1" s="434"/>
    </row>
    <row r="2" spans="1:48" ht="10.5" customHeight="1" thickBot="1">
      <c r="A2" s="332"/>
      <c r="B2" s="419"/>
      <c r="C2" s="321"/>
      <c r="D2" s="321"/>
      <c r="E2" s="321"/>
      <c r="F2" s="321"/>
      <c r="G2" s="321"/>
      <c r="H2" s="321"/>
      <c r="I2" s="321"/>
      <c r="J2" s="321"/>
      <c r="AV2" s="434"/>
    </row>
    <row r="3" spans="1:47" ht="12.75" customHeight="1">
      <c r="A3" s="1406" t="s">
        <v>334</v>
      </c>
      <c r="B3" s="1413" t="s">
        <v>189</v>
      </c>
      <c r="C3" s="1411" t="s">
        <v>1</v>
      </c>
      <c r="D3" s="1412"/>
      <c r="E3" s="1412"/>
      <c r="F3" s="1412"/>
      <c r="G3" s="1410">
        <v>2006</v>
      </c>
      <c r="H3" s="1400"/>
      <c r="I3" s="1400"/>
      <c r="J3" s="1405"/>
      <c r="K3" s="1408">
        <v>2007</v>
      </c>
      <c r="L3" s="1400"/>
      <c r="M3" s="1400"/>
      <c r="N3" s="1405"/>
      <c r="O3" s="1408">
        <v>2008</v>
      </c>
      <c r="P3" s="1400"/>
      <c r="Q3" s="1400"/>
      <c r="R3" s="1409"/>
      <c r="S3" s="1410">
        <v>2009</v>
      </c>
      <c r="T3" s="1400"/>
      <c r="U3" s="1400"/>
      <c r="V3" s="1405"/>
      <c r="W3" s="1408">
        <v>2010</v>
      </c>
      <c r="X3" s="1400"/>
      <c r="Y3" s="1400"/>
      <c r="Z3" s="1409"/>
      <c r="AA3" s="1410">
        <v>2011</v>
      </c>
      <c r="AB3" s="1400"/>
      <c r="AC3" s="1400"/>
      <c r="AD3" s="1409"/>
      <c r="AE3" s="1410">
        <v>2012</v>
      </c>
      <c r="AF3" s="1400"/>
      <c r="AG3" s="1400"/>
      <c r="AH3" s="1405"/>
      <c r="AI3" s="1412">
        <v>2013</v>
      </c>
      <c r="AJ3" s="1412"/>
      <c r="AK3" s="1412"/>
      <c r="AL3" s="1415"/>
      <c r="AM3" s="1411">
        <v>2014</v>
      </c>
      <c r="AN3" s="1412"/>
      <c r="AO3" s="1412"/>
      <c r="AP3" s="1415"/>
      <c r="AQ3" s="710" t="s">
        <v>81</v>
      </c>
      <c r="AS3" s="342"/>
      <c r="AT3" s="342"/>
      <c r="AU3" s="342"/>
    </row>
    <row r="4" spans="1:47" ht="13.5" thickBot="1">
      <c r="A4" s="1407"/>
      <c r="B4" s="1414"/>
      <c r="C4" s="535" t="s">
        <v>307</v>
      </c>
      <c r="D4" s="493" t="s">
        <v>308</v>
      </c>
      <c r="E4" s="493" t="s">
        <v>309</v>
      </c>
      <c r="F4" s="494" t="s">
        <v>310</v>
      </c>
      <c r="G4" s="535" t="s">
        <v>307</v>
      </c>
      <c r="H4" s="493" t="s">
        <v>308</v>
      </c>
      <c r="I4" s="493" t="s">
        <v>309</v>
      </c>
      <c r="J4" s="494" t="s">
        <v>310</v>
      </c>
      <c r="K4" s="535" t="s">
        <v>307</v>
      </c>
      <c r="L4" s="493" t="s">
        <v>308</v>
      </c>
      <c r="M4" s="493" t="s">
        <v>309</v>
      </c>
      <c r="N4" s="494" t="s">
        <v>310</v>
      </c>
      <c r="O4" s="535" t="s">
        <v>307</v>
      </c>
      <c r="P4" s="493" t="s">
        <v>308</v>
      </c>
      <c r="Q4" s="493" t="s">
        <v>309</v>
      </c>
      <c r="R4" s="711" t="s">
        <v>310</v>
      </c>
      <c r="S4" s="548" t="s">
        <v>307</v>
      </c>
      <c r="T4" s="493" t="s">
        <v>308</v>
      </c>
      <c r="U4" s="493" t="s">
        <v>309</v>
      </c>
      <c r="V4" s="494" t="s">
        <v>310</v>
      </c>
      <c r="W4" s="535" t="s">
        <v>307</v>
      </c>
      <c r="X4" s="493" t="s">
        <v>308</v>
      </c>
      <c r="Y4" s="493" t="s">
        <v>309</v>
      </c>
      <c r="Z4" s="711" t="s">
        <v>310</v>
      </c>
      <c r="AA4" s="548" t="s">
        <v>307</v>
      </c>
      <c r="AB4" s="493" t="s">
        <v>308</v>
      </c>
      <c r="AC4" s="493" t="s">
        <v>309</v>
      </c>
      <c r="AD4" s="711" t="s">
        <v>310</v>
      </c>
      <c r="AE4" s="548" t="s">
        <v>307</v>
      </c>
      <c r="AF4" s="493" t="s">
        <v>308</v>
      </c>
      <c r="AG4" s="493" t="s">
        <v>309</v>
      </c>
      <c r="AH4" s="494" t="s">
        <v>310</v>
      </c>
      <c r="AI4" s="548" t="s">
        <v>307</v>
      </c>
      <c r="AJ4" s="493" t="s">
        <v>308</v>
      </c>
      <c r="AK4" s="493" t="s">
        <v>309</v>
      </c>
      <c r="AL4" s="494" t="s">
        <v>310</v>
      </c>
      <c r="AM4" s="548" t="s">
        <v>307</v>
      </c>
      <c r="AN4" s="493" t="s">
        <v>308</v>
      </c>
      <c r="AO4" s="493" t="s">
        <v>309</v>
      </c>
      <c r="AP4" s="494" t="s">
        <v>310</v>
      </c>
      <c r="AQ4" s="712"/>
      <c r="AS4" s="342"/>
      <c r="AT4" s="342"/>
      <c r="AU4" s="342"/>
    </row>
    <row r="5" spans="1:47" ht="13.5" thickBot="1">
      <c r="A5" s="1105" t="s">
        <v>129</v>
      </c>
      <c r="B5" s="1137"/>
      <c r="C5" s="1106"/>
      <c r="D5" s="1107"/>
      <c r="E5" s="1107"/>
      <c r="F5" s="1110"/>
      <c r="G5" s="1106"/>
      <c r="H5" s="1107"/>
      <c r="I5" s="1107"/>
      <c r="J5" s="1108"/>
      <c r="K5" s="1109"/>
      <c r="L5" s="1107"/>
      <c r="M5" s="1107"/>
      <c r="N5" s="1108"/>
      <c r="O5" s="1109"/>
      <c r="P5" s="1107"/>
      <c r="Q5" s="1107"/>
      <c r="R5" s="1110"/>
      <c r="S5" s="1106"/>
      <c r="T5" s="1107"/>
      <c r="U5" s="1107"/>
      <c r="V5" s="1108"/>
      <c r="W5" s="1109"/>
      <c r="X5" s="1107"/>
      <c r="Y5" s="1107"/>
      <c r="Z5" s="1110"/>
      <c r="AA5" s="1106"/>
      <c r="AB5" s="1107"/>
      <c r="AC5" s="1107"/>
      <c r="AD5" s="1110"/>
      <c r="AE5" s="1106"/>
      <c r="AF5" s="1107"/>
      <c r="AG5" s="1107"/>
      <c r="AH5" s="1108"/>
      <c r="AI5" s="720"/>
      <c r="AJ5" s="713"/>
      <c r="AK5" s="717"/>
      <c r="AL5" s="798"/>
      <c r="AM5" s="798"/>
      <c r="AN5" s="798"/>
      <c r="AO5" s="798"/>
      <c r="AP5" s="798"/>
      <c r="AQ5" s="714"/>
      <c r="AS5" s="342"/>
      <c r="AT5" s="342"/>
      <c r="AU5" s="342"/>
    </row>
    <row r="6" spans="1:47" ht="12.75" hidden="1">
      <c r="A6" s="726" t="s">
        <v>421</v>
      </c>
      <c r="B6" s="1126"/>
      <c r="C6" s="1111"/>
      <c r="D6" s="1111"/>
      <c r="E6" s="1111"/>
      <c r="F6" s="1123"/>
      <c r="G6" s="1130"/>
      <c r="H6" s="1111"/>
      <c r="I6" s="1111"/>
      <c r="J6" s="1131"/>
      <c r="K6" s="1126"/>
      <c r="L6" s="1111"/>
      <c r="M6" s="1111"/>
      <c r="N6" s="1111"/>
      <c r="O6" s="1111"/>
      <c r="P6" s="1111"/>
      <c r="Q6" s="1111"/>
      <c r="R6" s="1111"/>
      <c r="S6" s="1111"/>
      <c r="T6" s="1111"/>
      <c r="U6" s="1111"/>
      <c r="V6" s="1111"/>
      <c r="W6" s="1111"/>
      <c r="X6" s="1111"/>
      <c r="Y6" s="1111"/>
      <c r="Z6" s="1111"/>
      <c r="AA6" s="1111"/>
      <c r="AB6" s="1111"/>
      <c r="AC6" s="1111"/>
      <c r="AD6" s="1123"/>
      <c r="AE6" s="1130"/>
      <c r="AF6" s="1111"/>
      <c r="AG6" s="1111"/>
      <c r="AH6" s="1131"/>
      <c r="AI6" s="536"/>
      <c r="AJ6" s="513"/>
      <c r="AK6" s="549"/>
      <c r="AL6" s="799"/>
      <c r="AM6" s="799"/>
      <c r="AN6" s="799"/>
      <c r="AO6" s="799"/>
      <c r="AP6" s="799"/>
      <c r="AQ6" s="799"/>
      <c r="AS6" s="342"/>
      <c r="AT6" s="342"/>
      <c r="AU6" s="342"/>
    </row>
    <row r="7" spans="1:47" ht="12.75" hidden="1">
      <c r="A7" s="722" t="s">
        <v>112</v>
      </c>
      <c r="B7" s="537"/>
      <c r="C7" s="442"/>
      <c r="D7" s="442"/>
      <c r="E7" s="442"/>
      <c r="F7" s="525"/>
      <c r="G7" s="550"/>
      <c r="H7" s="442"/>
      <c r="I7" s="442"/>
      <c r="J7" s="551">
        <f>'Materials and electricity'!N15/1000</f>
        <v>0</v>
      </c>
      <c r="K7" s="537">
        <f>'Materials and electricity'!O15/1000</f>
        <v>0</v>
      </c>
      <c r="L7" s="442">
        <f>'Materials and electricity'!P15/1000</f>
        <v>0</v>
      </c>
      <c r="M7" s="442">
        <f>'Materials and electricity'!Q15/1000</f>
        <v>0</v>
      </c>
      <c r="N7" s="442">
        <f>'Materials and electricity'!R15/1000</f>
        <v>0</v>
      </c>
      <c r="O7" s="442">
        <f>'Materials and electricity'!S15/1000</f>
        <v>0</v>
      </c>
      <c r="P7" s="442">
        <f>'Materials and electricity'!T15/1000</f>
        <v>0</v>
      </c>
      <c r="Q7" s="442">
        <f>'Materials and electricity'!U15/1000</f>
        <v>0</v>
      </c>
      <c r="R7" s="442">
        <f>'Materials and electricity'!V15/1000</f>
        <v>0</v>
      </c>
      <c r="S7" s="442">
        <f>'Materials and electricity'!W15/1000</f>
        <v>0</v>
      </c>
      <c r="T7" s="442">
        <f>'Materials and electricity'!X15/1000</f>
        <v>0</v>
      </c>
      <c r="U7" s="442">
        <f>'Materials and electricity'!Y15/1000</f>
        <v>0</v>
      </c>
      <c r="V7" s="442">
        <f>'Materials and electricity'!Z15/1000</f>
        <v>0</v>
      </c>
      <c r="W7" s="442">
        <f>'Materials and electricity'!AA15/1000</f>
        <v>0</v>
      </c>
      <c r="X7" s="442">
        <f>'Materials and electricity'!AB15/1000</f>
        <v>0</v>
      </c>
      <c r="Y7" s="442">
        <f>'Materials and electricity'!AC15/1000</f>
        <v>0</v>
      </c>
      <c r="Z7" s="442">
        <f>'Materials and electricity'!AD15/1000</f>
        <v>0</v>
      </c>
      <c r="AA7" s="442">
        <f>'Materials and electricity'!AE15/1000</f>
        <v>0</v>
      </c>
      <c r="AB7" s="442">
        <f>'Materials and electricity'!AF15/1000</f>
        <v>0</v>
      </c>
      <c r="AC7" s="442">
        <f>'Materials and electricity'!AG15/1000</f>
        <v>0</v>
      </c>
      <c r="AD7" s="525">
        <f>'Materials and electricity'!AH15/1000</f>
        <v>0</v>
      </c>
      <c r="AE7" s="550">
        <f>'Materials and electricity'!AI15/1000</f>
        <v>0</v>
      </c>
      <c r="AF7" s="442">
        <f>'Materials and electricity'!AJ15/1000</f>
        <v>0</v>
      </c>
      <c r="AG7" s="442">
        <f>'Materials and electricity'!AK15/1000</f>
        <v>0</v>
      </c>
      <c r="AH7" s="551">
        <f>'Materials and electricity'!AL15/1000</f>
        <v>0</v>
      </c>
      <c r="AI7" s="537"/>
      <c r="AJ7" s="442"/>
      <c r="AK7" s="551"/>
      <c r="AL7" s="551"/>
      <c r="AM7" s="551"/>
      <c r="AN7" s="551"/>
      <c r="AO7" s="551"/>
      <c r="AP7" s="551"/>
      <c r="AQ7" s="551">
        <f>SUM(C7:AP7)</f>
        <v>0</v>
      </c>
      <c r="AR7" s="924"/>
      <c r="AS7" s="439">
        <f>AQ7</f>
        <v>0</v>
      </c>
      <c r="AT7" s="413">
        <f>AS7/$AS$59</f>
        <v>0</v>
      </c>
      <c r="AU7" s="439"/>
    </row>
    <row r="8" spans="1:47" ht="12.75" hidden="1">
      <c r="A8" s="723" t="s">
        <v>134</v>
      </c>
      <c r="B8" s="538"/>
      <c r="C8" s="504"/>
      <c r="D8" s="504"/>
      <c r="E8" s="504"/>
      <c r="F8" s="526"/>
      <c r="G8" s="552"/>
      <c r="H8" s="504"/>
      <c r="I8" s="504"/>
      <c r="J8" s="553">
        <f>Payroll!S74+Payroll!BL74+Payroll!DE74</f>
        <v>0</v>
      </c>
      <c r="K8" s="538">
        <f>Payroll!T74+Payroll!BM74+Payroll!DF74</f>
        <v>0</v>
      </c>
      <c r="L8" s="504">
        <f>Payroll!U74+Payroll!BN74+Payroll!DG74</f>
        <v>0</v>
      </c>
      <c r="M8" s="504">
        <f>Payroll!V74+Payroll!BO74+Payroll!DH74</f>
        <v>0</v>
      </c>
      <c r="N8" s="504">
        <f>Payroll!W74+Payroll!BP74+Payroll!DI74</f>
        <v>0</v>
      </c>
      <c r="O8" s="504">
        <f>Payroll!X74+Payroll!BQ74+Payroll!DJ74</f>
        <v>0</v>
      </c>
      <c r="P8" s="504">
        <f>Payroll!Y74+Payroll!BR74+Payroll!DK74</f>
        <v>0</v>
      </c>
      <c r="Q8" s="504">
        <f>Payroll!Z74+Payroll!BS74+Payroll!DL74</f>
        <v>0</v>
      </c>
      <c r="R8" s="504">
        <f>Payroll!AA74+Payroll!BT74+Payroll!DM74</f>
        <v>0</v>
      </c>
      <c r="S8" s="504">
        <f>Payroll!AB74+Payroll!BU74+Payroll!DN74</f>
        <v>0</v>
      </c>
      <c r="T8" s="504">
        <f>Payroll!AC74+Payroll!BV74+Payroll!DO74</f>
        <v>0</v>
      </c>
      <c r="U8" s="504">
        <f>Payroll!AD74+Payroll!BW74+Payroll!DP74</f>
        <v>0</v>
      </c>
      <c r="V8" s="504">
        <f>Payroll!AE74+Payroll!BX74+Payroll!DQ74</f>
        <v>0</v>
      </c>
      <c r="W8" s="504">
        <f>Payroll!AF74+Payroll!BY74+Payroll!DR74</f>
        <v>0</v>
      </c>
      <c r="X8" s="504">
        <f>Payroll!AG74+Payroll!BZ74+Payroll!DS74</f>
        <v>0</v>
      </c>
      <c r="Y8" s="504">
        <f>Payroll!AH74+Payroll!CA74+Payroll!DT74</f>
        <v>0</v>
      </c>
      <c r="Z8" s="504">
        <f>Payroll!AI74+Payroll!CB74+Payroll!DU74</f>
        <v>0</v>
      </c>
      <c r="AA8" s="504">
        <f>Payroll!AJ74+Payroll!CC74+Payroll!DV74</f>
        <v>0</v>
      </c>
      <c r="AB8" s="504">
        <f>Payroll!AK74+Payroll!CD74+Payroll!DW74</f>
        <v>0</v>
      </c>
      <c r="AC8" s="504">
        <f>Payroll!AL74+Payroll!CE74+Payroll!DX74</f>
        <v>0</v>
      </c>
      <c r="AD8" s="526">
        <f>Payroll!AM74+Payroll!CF74+Payroll!DY74</f>
        <v>0</v>
      </c>
      <c r="AE8" s="552">
        <f>Payroll!AN74+Payroll!CG74+Payroll!DZ74</f>
        <v>0</v>
      </c>
      <c r="AF8" s="504">
        <f>Payroll!AO74+Payroll!CH74+Payroll!EA74</f>
        <v>0</v>
      </c>
      <c r="AG8" s="504">
        <f>Payroll!AP74+Payroll!CI74+Payroll!EB74</f>
        <v>0</v>
      </c>
      <c r="AH8" s="553">
        <f>Payroll!AQ74+Payroll!CJ74+Payroll!EC74</f>
        <v>0</v>
      </c>
      <c r="AI8" s="538"/>
      <c r="AJ8" s="504"/>
      <c r="AK8" s="553"/>
      <c r="AL8" s="553"/>
      <c r="AM8" s="553"/>
      <c r="AN8" s="553"/>
      <c r="AO8" s="553"/>
      <c r="AP8" s="553"/>
      <c r="AQ8" s="553">
        <f aca="true" t="shared" si="0" ref="AQ8:AQ52">SUM(C8:AP8)</f>
        <v>0</v>
      </c>
      <c r="AR8" s="924"/>
      <c r="AS8" s="439">
        <f aca="true" t="shared" si="1" ref="AS8:AS51">AQ8</f>
        <v>0</v>
      </c>
      <c r="AT8" s="413">
        <f aca="true" t="shared" si="2" ref="AT8:AT52">AS8/$AS$59</f>
        <v>0</v>
      </c>
      <c r="AU8" s="413"/>
    </row>
    <row r="9" spans="1:47" ht="12.75" hidden="1">
      <c r="A9" s="724" t="s">
        <v>420</v>
      </c>
      <c r="B9" s="539"/>
      <c r="C9" s="320"/>
      <c r="D9" s="320"/>
      <c r="E9" s="320"/>
      <c r="F9" s="527"/>
      <c r="G9" s="554"/>
      <c r="H9" s="320"/>
      <c r="I9" s="320"/>
      <c r="J9" s="555">
        <f>SUM(Payroll!S72,Payroll!S73,Payroll!BL71,Payroll!BL73,Payroll!DE71,Payroll!DE73)</f>
        <v>0</v>
      </c>
      <c r="K9" s="539">
        <f>SUM(Payroll!T72,Payroll!T73,Payroll!BM71,Payroll!BM73,Payroll!DF71,Payroll!DF73)</f>
        <v>0</v>
      </c>
      <c r="L9" s="320">
        <f>SUM(Payroll!U72,Payroll!U73,Payroll!BN71,Payroll!BN73,Payroll!DG71,Payroll!DG73)</f>
        <v>0</v>
      </c>
      <c r="M9" s="320">
        <f>SUM(Payroll!V72,Payroll!V73,Payroll!BO71,Payroll!BO73,Payroll!DH71,Payroll!DH73)</f>
        <v>0</v>
      </c>
      <c r="N9" s="320">
        <f>SUM(Payroll!W72,Payroll!W73,Payroll!BP71,Payroll!BP73,Payroll!DI71,Payroll!DI73)</f>
        <v>0</v>
      </c>
      <c r="O9" s="320">
        <f>SUM(Payroll!X72,Payroll!X73,Payroll!BQ71,Payroll!BQ73,Payroll!DJ71,Payroll!DJ73)</f>
        <v>0</v>
      </c>
      <c r="P9" s="320">
        <f>SUM(Payroll!Y72,Payroll!Y73,Payroll!BR71,Payroll!BR73,Payroll!DK71,Payroll!DK73)</f>
        <v>0</v>
      </c>
      <c r="Q9" s="320">
        <f>SUM(Payroll!Z72,Payroll!Z73,Payroll!BS71,Payroll!BS73,Payroll!DL71,Payroll!DL73)</f>
        <v>0</v>
      </c>
      <c r="R9" s="320">
        <f>SUM(Payroll!AA72,Payroll!AA73,Payroll!BT71,Payroll!BT73,Payroll!DM71,Payroll!DM73)</f>
        <v>0</v>
      </c>
      <c r="S9" s="320">
        <f>SUM(Payroll!AB72,Payroll!AB73,Payroll!BU71,Payroll!BU73,Payroll!DN71,Payroll!DN73)</f>
        <v>0</v>
      </c>
      <c r="T9" s="320">
        <f>SUM(Payroll!AC72,Payroll!AC73,Payroll!BV71,Payroll!BV73,Payroll!DO71,Payroll!DO73)</f>
        <v>0</v>
      </c>
      <c r="U9" s="320">
        <f>SUM(Payroll!AD72,Payroll!AD73,Payroll!BW71,Payroll!BW73,Payroll!DP71,Payroll!DP73)</f>
        <v>0</v>
      </c>
      <c r="V9" s="320">
        <f>SUM(Payroll!AE72,Payroll!AE73,Payroll!BX71,Payroll!BX73,Payroll!DQ71,Payroll!DQ73)</f>
        <v>0</v>
      </c>
      <c r="W9" s="320">
        <f>SUM(Payroll!AF72,Payroll!AF73,Payroll!BY71,Payroll!BY73,Payroll!DR71,Payroll!DR73)</f>
        <v>0</v>
      </c>
      <c r="X9" s="320">
        <f>SUM(Payroll!AG72,Payroll!AG73,Payroll!BZ71,Payroll!BZ73,Payroll!DS71,Payroll!DS73)</f>
        <v>0</v>
      </c>
      <c r="Y9" s="320">
        <f>SUM(Payroll!AH72,Payroll!AH73,Payroll!CA71,Payroll!CA73,Payroll!DT71,Payroll!DT73)</f>
        <v>0</v>
      </c>
      <c r="Z9" s="320">
        <f>SUM(Payroll!AI72,Payroll!AI73,Payroll!CB71,Payroll!CB73,Payroll!DU71,Payroll!DU73)</f>
        <v>0</v>
      </c>
      <c r="AA9" s="320">
        <f>SUM(Payroll!AJ72,Payroll!AJ73,Payroll!CC71,Payroll!CC73,Payroll!DV71,Payroll!DV73)</f>
        <v>0</v>
      </c>
      <c r="AB9" s="320">
        <f>SUM(Payroll!AK72,Payroll!AK73,Payroll!CD71,Payroll!CD73,Payroll!DW71,Payroll!DW73)</f>
        <v>0</v>
      </c>
      <c r="AC9" s="320">
        <f>SUM(Payroll!AL72,Payroll!AL73,Payroll!CE71,Payroll!CE73,Payroll!DX71,Payroll!DX73)</f>
        <v>0</v>
      </c>
      <c r="AD9" s="527">
        <f>SUM(Payroll!AM72,Payroll!AM73,Payroll!CF71,Payroll!CF73,Payroll!DY71,Payroll!DY73)</f>
        <v>0</v>
      </c>
      <c r="AE9" s="554">
        <f>SUM(Payroll!AN72,Payroll!AN73,Payroll!CG71,Payroll!CG73,Payroll!DZ71,Payroll!DZ73)</f>
        <v>0</v>
      </c>
      <c r="AF9" s="320">
        <f>SUM(Payroll!AO72,Payroll!AO73,Payroll!CH71,Payroll!CH73,Payroll!EA71,Payroll!EA73)</f>
        <v>0</v>
      </c>
      <c r="AG9" s="320">
        <f>SUM(Payroll!AP72,Payroll!AP73,Payroll!CI71,Payroll!CI73,Payroll!EB71,Payroll!EB73)</f>
        <v>0</v>
      </c>
      <c r="AH9" s="555">
        <f>SUM(Payroll!AQ72,Payroll!AQ73,Payroll!CJ71,Payroll!CJ73,Payroll!EC71,Payroll!EC73)</f>
        <v>0</v>
      </c>
      <c r="AI9" s="539"/>
      <c r="AJ9" s="320"/>
      <c r="AK9" s="555"/>
      <c r="AL9" s="555"/>
      <c r="AM9" s="555"/>
      <c r="AN9" s="555"/>
      <c r="AO9" s="555"/>
      <c r="AP9" s="555"/>
      <c r="AQ9" s="555">
        <f t="shared" si="0"/>
        <v>0</v>
      </c>
      <c r="AR9" s="924"/>
      <c r="AS9" s="439">
        <f t="shared" si="1"/>
        <v>0</v>
      </c>
      <c r="AT9" s="413">
        <f t="shared" si="2"/>
        <v>0</v>
      </c>
      <c r="AU9" s="413"/>
    </row>
    <row r="10" spans="1:47" ht="12.75" hidden="1">
      <c r="A10" s="725" t="s">
        <v>135</v>
      </c>
      <c r="B10" s="540"/>
      <c r="C10" s="507"/>
      <c r="D10" s="507"/>
      <c r="E10" s="507"/>
      <c r="F10" s="528"/>
      <c r="G10" s="556"/>
      <c r="H10" s="507"/>
      <c r="I10" s="507"/>
      <c r="J10" s="557">
        <f aca="true" t="shared" si="3" ref="J10:AD10">SUM(J7:J9)*0.25</f>
        <v>0</v>
      </c>
      <c r="K10" s="540">
        <f t="shared" si="3"/>
        <v>0</v>
      </c>
      <c r="L10" s="507">
        <f t="shared" si="3"/>
        <v>0</v>
      </c>
      <c r="M10" s="507">
        <f t="shared" si="3"/>
        <v>0</v>
      </c>
      <c r="N10" s="507">
        <f t="shared" si="3"/>
        <v>0</v>
      </c>
      <c r="O10" s="507">
        <f t="shared" si="3"/>
        <v>0</v>
      </c>
      <c r="P10" s="507">
        <f t="shared" si="3"/>
        <v>0</v>
      </c>
      <c r="Q10" s="507">
        <f t="shared" si="3"/>
        <v>0</v>
      </c>
      <c r="R10" s="507">
        <f t="shared" si="3"/>
        <v>0</v>
      </c>
      <c r="S10" s="507">
        <f t="shared" si="3"/>
        <v>0</v>
      </c>
      <c r="T10" s="507">
        <f t="shared" si="3"/>
        <v>0</v>
      </c>
      <c r="U10" s="507">
        <f t="shared" si="3"/>
        <v>0</v>
      </c>
      <c r="V10" s="507">
        <f t="shared" si="3"/>
        <v>0</v>
      </c>
      <c r="W10" s="507">
        <f t="shared" si="3"/>
        <v>0</v>
      </c>
      <c r="X10" s="507">
        <f t="shared" si="3"/>
        <v>0</v>
      </c>
      <c r="Y10" s="507">
        <f t="shared" si="3"/>
        <v>0</v>
      </c>
      <c r="Z10" s="507">
        <f t="shared" si="3"/>
        <v>0</v>
      </c>
      <c r="AA10" s="507">
        <f t="shared" si="3"/>
        <v>0</v>
      </c>
      <c r="AB10" s="507">
        <f t="shared" si="3"/>
        <v>0</v>
      </c>
      <c r="AC10" s="507">
        <f t="shared" si="3"/>
        <v>0</v>
      </c>
      <c r="AD10" s="528">
        <f t="shared" si="3"/>
        <v>0</v>
      </c>
      <c r="AE10" s="556">
        <f>SUM(AE7:AE9)*0.25</f>
        <v>0</v>
      </c>
      <c r="AF10" s="507">
        <f>SUM(AF7:AF9)*0.25</f>
        <v>0</v>
      </c>
      <c r="AG10" s="507">
        <f>SUM(AG7:AG9)*0.25</f>
        <v>0</v>
      </c>
      <c r="AH10" s="557">
        <f>SUM(AH7:AH9)*0.25</f>
        <v>0</v>
      </c>
      <c r="AI10" s="540"/>
      <c r="AJ10" s="507"/>
      <c r="AK10" s="557"/>
      <c r="AL10" s="557"/>
      <c r="AM10" s="557"/>
      <c r="AN10" s="557"/>
      <c r="AO10" s="557"/>
      <c r="AP10" s="557"/>
      <c r="AQ10" s="557">
        <f t="shared" si="0"/>
        <v>0</v>
      </c>
      <c r="AR10" s="924"/>
      <c r="AS10" s="439">
        <f t="shared" si="1"/>
        <v>0</v>
      </c>
      <c r="AT10" s="413">
        <f t="shared" si="2"/>
        <v>0</v>
      </c>
      <c r="AU10" s="413"/>
    </row>
    <row r="11" spans="1:47" ht="25.5">
      <c r="A11" s="726" t="s">
        <v>422</v>
      </c>
      <c r="B11" s="541"/>
      <c r="C11" s="438"/>
      <c r="D11" s="438"/>
      <c r="E11" s="438"/>
      <c r="F11" s="529"/>
      <c r="G11" s="558"/>
      <c r="H11" s="438"/>
      <c r="I11" s="438"/>
      <c r="J11" s="559"/>
      <c r="K11" s="541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529"/>
      <c r="AE11" s="558"/>
      <c r="AF11" s="438"/>
      <c r="AG11" s="438"/>
      <c r="AH11" s="559"/>
      <c r="AI11" s="541"/>
      <c r="AJ11" s="438"/>
      <c r="AK11" s="559"/>
      <c r="AL11" s="800"/>
      <c r="AM11" s="800"/>
      <c r="AN11" s="800"/>
      <c r="AO11" s="800"/>
      <c r="AP11" s="800"/>
      <c r="AQ11" s="800"/>
      <c r="AR11" s="924"/>
      <c r="AS11" s="439">
        <f t="shared" si="1"/>
        <v>0</v>
      </c>
      <c r="AT11" s="413">
        <f t="shared" si="2"/>
        <v>0</v>
      </c>
      <c r="AU11" s="413"/>
    </row>
    <row r="12" spans="1:47" ht="12.75" customHeight="1">
      <c r="A12" s="724" t="s">
        <v>420</v>
      </c>
      <c r="B12" s="539"/>
      <c r="C12" s="320"/>
      <c r="D12" s="320"/>
      <c r="E12" s="320"/>
      <c r="F12" s="527"/>
      <c r="G12" s="554"/>
      <c r="H12" s="320"/>
      <c r="I12" s="320"/>
      <c r="J12" s="555">
        <f>SUM(Payroll!S84,Payroll!S85,Payroll!BL83,Payroll!BL85,Payroll!DE83,Payroll!DE85)</f>
        <v>49.60764000000001</v>
      </c>
      <c r="K12" s="539">
        <f>SUM(Payroll!T84,Payroll!T85,Payroll!BM83,Payroll!BM85,Payroll!DF83,Payroll!DF85)</f>
        <v>49.60764000000001</v>
      </c>
      <c r="L12" s="320">
        <f>SUM(Payroll!U84,Payroll!U85,Payroll!BN83,Payroll!BN85,Payroll!DG83,Payroll!DG85)</f>
        <v>49.60764000000001</v>
      </c>
      <c r="M12" s="320">
        <f>SUM(Payroll!V84,Payroll!V85,Payroll!BO83,Payroll!BO85,Payroll!DH83,Payroll!DH85)</f>
        <v>49.60764000000001</v>
      </c>
      <c r="N12" s="320">
        <f>SUM(Payroll!W84,Payroll!W85,Payroll!BP83,Payroll!BP85,Payroll!DI83,Payroll!DI85)</f>
        <v>49.60764000000001</v>
      </c>
      <c r="O12" s="320">
        <f>SUM(Payroll!X84,Payroll!X85,Payroll!BQ83,Payroll!BQ85,Payroll!DJ83,Payroll!DJ85)</f>
        <v>49.60764000000001</v>
      </c>
      <c r="P12" s="320">
        <f>SUM(Payroll!Y84,Payroll!Y85,Payroll!BR83,Payroll!BR85,Payroll!DK83,Payroll!DK85)</f>
        <v>49.60764000000001</v>
      </c>
      <c r="Q12" s="320">
        <f>SUM(Payroll!Z84,Payroll!Z85,Payroll!BS83,Payroll!BS85,Payroll!DL83,Payroll!DL85)</f>
        <v>49.60764000000001</v>
      </c>
      <c r="R12" s="320">
        <f>SUM(Payroll!AA84,Payroll!AA85,Payroll!BT83,Payroll!BT85,Payroll!DM83,Payroll!DM85)</f>
        <v>49.60764000000001</v>
      </c>
      <c r="S12" s="320">
        <f>SUM(Payroll!AB84,Payroll!AB85,Payroll!BU83,Payroll!BU85,Payroll!DN83,Payroll!DN85)</f>
        <v>49.60764000000001</v>
      </c>
      <c r="T12" s="320">
        <f>SUM(Payroll!AC84,Payroll!AC85,Payroll!BV83,Payroll!BV85,Payroll!DO83,Payroll!DO85)</f>
        <v>49.60764000000001</v>
      </c>
      <c r="U12" s="320">
        <f>SUM(Payroll!AD84,Payroll!AD85,Payroll!BW83,Payroll!BW85,Payroll!DP83,Payroll!DP85)</f>
        <v>49.60764000000001</v>
      </c>
      <c r="V12" s="320">
        <f>SUM(Payroll!AE84,Payroll!AE85,Payroll!BX83,Payroll!BX85,Payroll!DQ83,Payroll!DQ85)</f>
        <v>49.60764000000001</v>
      </c>
      <c r="W12" s="320">
        <f>SUM(Payroll!AF84,Payroll!AF85,Payroll!BY83,Payroll!BY85,Payroll!DR83,Payroll!DR85)</f>
        <v>49.60764000000001</v>
      </c>
      <c r="X12" s="320">
        <f>SUM(Payroll!AG84,Payroll!AG85,Payroll!BZ83,Payroll!BZ85,Payroll!DS83,Payroll!DS85)</f>
        <v>49.60764000000001</v>
      </c>
      <c r="Y12" s="320">
        <f>SUM(Payroll!AH84,Payroll!AH85,Payroll!CA83,Payroll!CA85,Payroll!DT83,Payroll!DT85)</f>
        <v>49.60764000000001</v>
      </c>
      <c r="Z12" s="320">
        <f>SUM(Payroll!AI84,Payroll!AI85,Payroll!CB83,Payroll!CB85,Payroll!DU83,Payroll!DU85)</f>
        <v>49.60764000000001</v>
      </c>
      <c r="AA12" s="320">
        <f>SUM(Payroll!AJ84,Payroll!AJ85,Payroll!CC83,Payroll!CC85,Payroll!DV83,Payroll!DV85)</f>
        <v>49.60764000000001</v>
      </c>
      <c r="AB12" s="320">
        <f>SUM(Payroll!AK84,Payroll!AK85,Payroll!CD83,Payroll!CD85,Payroll!DW83,Payroll!DW85)</f>
        <v>49.60764000000001</v>
      </c>
      <c r="AC12" s="320">
        <f>SUM(Payroll!AL84,Payroll!AL85,Payroll!CE83,Payroll!CE85,Payroll!DX83,Payroll!DX85)</f>
        <v>49.60764000000001</v>
      </c>
      <c r="AD12" s="527">
        <f>SUM(Payroll!AM84,Payroll!AM85,Payroll!CF83,Payroll!CF85,Payroll!DY83,Payroll!DY85)</f>
        <v>49.60764000000001</v>
      </c>
      <c r="AE12" s="554">
        <f>SUM(Payroll!AN84,Payroll!AN85,Payroll!CG83,Payroll!CG85,Payroll!DZ83,Payroll!DZ85)</f>
        <v>49.60764000000001</v>
      </c>
      <c r="AF12" s="320">
        <f>SUM(Payroll!AO84,Payroll!AO85,Payroll!CH83,Payroll!CH85,Payroll!EA83,Payroll!EA85)</f>
        <v>49.60764000000001</v>
      </c>
      <c r="AG12" s="320">
        <f>SUM(Payroll!AP84,Payroll!AP85,Payroll!CI83,Payroll!CI85,Payroll!EB83,Payroll!EB85)</f>
        <v>49.60764000000001</v>
      </c>
      <c r="AH12" s="555">
        <f>SUM(Payroll!AQ84,Payroll!AQ85,Payroll!CJ83,Payroll!CJ85,Payroll!EC83,Payroll!EC85)</f>
        <v>49.60764000000001</v>
      </c>
      <c r="AI12" s="539"/>
      <c r="AJ12" s="320"/>
      <c r="AK12" s="555"/>
      <c r="AL12" s="555"/>
      <c r="AM12" s="555"/>
      <c r="AN12" s="555"/>
      <c r="AO12" s="555"/>
      <c r="AP12" s="555"/>
      <c r="AQ12" s="555">
        <f t="shared" si="0"/>
        <v>1240.1910000000005</v>
      </c>
      <c r="AR12" s="924"/>
      <c r="AS12" s="439">
        <f t="shared" si="1"/>
        <v>1240.1910000000005</v>
      </c>
      <c r="AT12" s="413">
        <f t="shared" si="2"/>
        <v>0.004003150778285765</v>
      </c>
      <c r="AU12" s="413"/>
    </row>
    <row r="13" spans="1:47" ht="12.75" customHeight="1">
      <c r="A13" s="723" t="s">
        <v>134</v>
      </c>
      <c r="B13" s="538"/>
      <c r="C13" s="504"/>
      <c r="D13" s="504"/>
      <c r="E13" s="504"/>
      <c r="F13" s="526"/>
      <c r="G13" s="552"/>
      <c r="H13" s="504"/>
      <c r="I13" s="504"/>
      <c r="J13" s="553">
        <f>SUM(Payroll!S86,Payroll!BL86,Payroll!DE86)</f>
        <v>0.3294</v>
      </c>
      <c r="K13" s="538">
        <f>SUM(Payroll!T86,Payroll!BM86,Payroll!DF86)</f>
        <v>0.3294</v>
      </c>
      <c r="L13" s="504">
        <f>SUM(Payroll!U86,Payroll!BN86,Payroll!DG86)</f>
        <v>0.3294</v>
      </c>
      <c r="M13" s="504">
        <f>SUM(Payroll!V86,Payroll!BO86,Payroll!DH86)</f>
        <v>0.3294</v>
      </c>
      <c r="N13" s="504">
        <f>SUM(Payroll!W86,Payroll!BP86,Payroll!DI86)</f>
        <v>0.3294</v>
      </c>
      <c r="O13" s="504">
        <f>SUM(Payroll!X86,Payroll!BQ86,Payroll!DJ86)</f>
        <v>0.3294</v>
      </c>
      <c r="P13" s="504">
        <f>SUM(Payroll!Y86,Payroll!BR86,Payroll!DK86)</f>
        <v>0.3294</v>
      </c>
      <c r="Q13" s="504">
        <f>SUM(Payroll!Z86,Payroll!BS86,Payroll!DL86)</f>
        <v>0.3294</v>
      </c>
      <c r="R13" s="504">
        <f>SUM(Payroll!AA86,Payroll!BT86,Payroll!DM86)</f>
        <v>0.3294</v>
      </c>
      <c r="S13" s="504">
        <f>SUM(Payroll!AB86,Payroll!BU86,Payroll!DN86)</f>
        <v>0.3294</v>
      </c>
      <c r="T13" s="504">
        <f>SUM(Payroll!AC86,Payroll!BV86,Payroll!DO86)</f>
        <v>0.3294</v>
      </c>
      <c r="U13" s="504">
        <f>SUM(Payroll!AD86,Payroll!BW86,Payroll!DP86)</f>
        <v>0.3294</v>
      </c>
      <c r="V13" s="504">
        <f>SUM(Payroll!AE86,Payroll!BX86,Payroll!DQ86)</f>
        <v>0.3294</v>
      </c>
      <c r="W13" s="504">
        <f>SUM(Payroll!AF86,Payroll!BY86,Payroll!DR86)</f>
        <v>0.3294</v>
      </c>
      <c r="X13" s="504">
        <f>SUM(Payroll!AG86,Payroll!BZ86,Payroll!DS86)</f>
        <v>0.3294</v>
      </c>
      <c r="Y13" s="504">
        <f>SUM(Payroll!AH86,Payroll!CA86,Payroll!DT86)</f>
        <v>0.3294</v>
      </c>
      <c r="Z13" s="504">
        <f>SUM(Payroll!AI86,Payroll!CB86,Payroll!DU86)</f>
        <v>0.3294</v>
      </c>
      <c r="AA13" s="504">
        <f>SUM(Payroll!AJ86,Payroll!CC86,Payroll!DV86)</f>
        <v>0.3294</v>
      </c>
      <c r="AB13" s="504">
        <f>SUM(Payroll!AK86,Payroll!CD86,Payroll!DW86)</f>
        <v>0.3294</v>
      </c>
      <c r="AC13" s="504">
        <f>SUM(Payroll!AL86,Payroll!CE86,Payroll!DX86)</f>
        <v>0.3294</v>
      </c>
      <c r="AD13" s="526">
        <f>SUM(Payroll!AM86,Payroll!CF86,Payroll!DY86)</f>
        <v>0.3294</v>
      </c>
      <c r="AE13" s="552">
        <f>SUM(Payroll!AN86,Payroll!CG86,Payroll!DZ86)</f>
        <v>0.3294</v>
      </c>
      <c r="AF13" s="504">
        <f>SUM(Payroll!AO86,Payroll!CH86,Payroll!EA86)</f>
        <v>0.3294</v>
      </c>
      <c r="AG13" s="504">
        <f>SUM(Payroll!AP86,Payroll!CI86,Payroll!EB86)</f>
        <v>0.3294</v>
      </c>
      <c r="AH13" s="553">
        <f>SUM(Payroll!AQ86,Payroll!CJ86,Payroll!EC86)</f>
        <v>0.3294</v>
      </c>
      <c r="AI13" s="538"/>
      <c r="AJ13" s="504"/>
      <c r="AK13" s="553"/>
      <c r="AL13" s="553"/>
      <c r="AM13" s="553"/>
      <c r="AN13" s="553"/>
      <c r="AO13" s="553"/>
      <c r="AP13" s="553"/>
      <c r="AQ13" s="553">
        <f t="shared" si="0"/>
        <v>8.234999999999998</v>
      </c>
      <c r="AR13" s="924"/>
      <c r="AS13" s="439">
        <f t="shared" si="1"/>
        <v>8.234999999999998</v>
      </c>
      <c r="AT13" s="413">
        <f t="shared" si="2"/>
        <v>2.6581346469360975E-05</v>
      </c>
      <c r="AU13" s="413"/>
    </row>
    <row r="14" spans="1:47" ht="12.75" customHeight="1">
      <c r="A14" s="725" t="s">
        <v>135</v>
      </c>
      <c r="B14" s="540"/>
      <c r="C14" s="507"/>
      <c r="D14" s="507"/>
      <c r="E14" s="507"/>
      <c r="F14" s="528"/>
      <c r="G14" s="556"/>
      <c r="H14" s="507"/>
      <c r="I14" s="507"/>
      <c r="J14" s="557">
        <f aca="true" t="shared" si="4" ref="J14:AD14">SUM(J12:J13)*0.25</f>
        <v>12.484260000000003</v>
      </c>
      <c r="K14" s="540">
        <f t="shared" si="4"/>
        <v>12.484260000000003</v>
      </c>
      <c r="L14" s="507">
        <f t="shared" si="4"/>
        <v>12.484260000000003</v>
      </c>
      <c r="M14" s="507">
        <f t="shared" si="4"/>
        <v>12.484260000000003</v>
      </c>
      <c r="N14" s="507">
        <f t="shared" si="4"/>
        <v>12.484260000000003</v>
      </c>
      <c r="O14" s="507">
        <f t="shared" si="4"/>
        <v>12.484260000000003</v>
      </c>
      <c r="P14" s="507">
        <f t="shared" si="4"/>
        <v>12.484260000000003</v>
      </c>
      <c r="Q14" s="507">
        <f t="shared" si="4"/>
        <v>12.484260000000003</v>
      </c>
      <c r="R14" s="507">
        <f t="shared" si="4"/>
        <v>12.484260000000003</v>
      </c>
      <c r="S14" s="507">
        <f t="shared" si="4"/>
        <v>12.484260000000003</v>
      </c>
      <c r="T14" s="507">
        <f t="shared" si="4"/>
        <v>12.484260000000003</v>
      </c>
      <c r="U14" s="507">
        <f t="shared" si="4"/>
        <v>12.484260000000003</v>
      </c>
      <c r="V14" s="507">
        <f t="shared" si="4"/>
        <v>12.484260000000003</v>
      </c>
      <c r="W14" s="507">
        <f t="shared" si="4"/>
        <v>12.484260000000003</v>
      </c>
      <c r="X14" s="507">
        <f t="shared" si="4"/>
        <v>12.484260000000003</v>
      </c>
      <c r="Y14" s="507">
        <f t="shared" si="4"/>
        <v>12.484260000000003</v>
      </c>
      <c r="Z14" s="507">
        <f t="shared" si="4"/>
        <v>12.484260000000003</v>
      </c>
      <c r="AA14" s="507">
        <f t="shared" si="4"/>
        <v>12.484260000000003</v>
      </c>
      <c r="AB14" s="507">
        <f t="shared" si="4"/>
        <v>12.484260000000003</v>
      </c>
      <c r="AC14" s="507">
        <f t="shared" si="4"/>
        <v>12.484260000000003</v>
      </c>
      <c r="AD14" s="528">
        <f t="shared" si="4"/>
        <v>12.484260000000003</v>
      </c>
      <c r="AE14" s="556">
        <f>SUM(AE12:AE13)*0.25</f>
        <v>12.484260000000003</v>
      </c>
      <c r="AF14" s="507">
        <f>SUM(AF12:AF13)*0.25</f>
        <v>12.484260000000003</v>
      </c>
      <c r="AG14" s="507">
        <f>SUM(AG12:AG13)*0.25</f>
        <v>12.484260000000003</v>
      </c>
      <c r="AH14" s="557">
        <f>SUM(AH12:AH13)*0.25</f>
        <v>12.484260000000003</v>
      </c>
      <c r="AI14" s="540"/>
      <c r="AJ14" s="507"/>
      <c r="AK14" s="557"/>
      <c r="AL14" s="557"/>
      <c r="AM14" s="557"/>
      <c r="AN14" s="557"/>
      <c r="AO14" s="557"/>
      <c r="AP14" s="557"/>
      <c r="AQ14" s="557">
        <f t="shared" si="0"/>
        <v>312.1065000000001</v>
      </c>
      <c r="AR14" s="924"/>
      <c r="AS14" s="439">
        <f t="shared" si="1"/>
        <v>312.1065000000001</v>
      </c>
      <c r="AT14" s="413">
        <f t="shared" si="2"/>
        <v>0.0010074330311887814</v>
      </c>
      <c r="AU14" s="413"/>
    </row>
    <row r="15" spans="1:47" ht="27" customHeight="1">
      <c r="A15" s="726" t="s">
        <v>154</v>
      </c>
      <c r="B15" s="542"/>
      <c r="C15" s="319"/>
      <c r="D15" s="319"/>
      <c r="E15" s="319"/>
      <c r="F15" s="530"/>
      <c r="G15" s="560"/>
      <c r="H15" s="319"/>
      <c r="I15" s="319"/>
      <c r="J15" s="561"/>
      <c r="K15" s="542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530"/>
      <c r="AE15" s="560"/>
      <c r="AF15" s="319"/>
      <c r="AG15" s="319"/>
      <c r="AH15" s="561"/>
      <c r="AI15" s="542"/>
      <c r="AJ15" s="319"/>
      <c r="AK15" s="561"/>
      <c r="AL15" s="801"/>
      <c r="AM15" s="801"/>
      <c r="AN15" s="801"/>
      <c r="AO15" s="801"/>
      <c r="AP15" s="801"/>
      <c r="AQ15" s="801"/>
      <c r="AR15" s="924"/>
      <c r="AS15" s="439">
        <f t="shared" si="1"/>
        <v>0</v>
      </c>
      <c r="AT15" s="413">
        <f t="shared" si="2"/>
        <v>0</v>
      </c>
      <c r="AU15" s="612"/>
    </row>
    <row r="16" spans="1:47" ht="12.75" hidden="1">
      <c r="A16" s="723" t="s">
        <v>134</v>
      </c>
      <c r="B16" s="538"/>
      <c r="C16" s="504"/>
      <c r="D16" s="504"/>
      <c r="E16" s="504"/>
      <c r="F16" s="526"/>
      <c r="G16" s="552"/>
      <c r="H16" s="504"/>
      <c r="I16" s="504"/>
      <c r="J16" s="553"/>
      <c r="K16" s="538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26"/>
      <c r="AE16" s="552"/>
      <c r="AF16" s="504"/>
      <c r="AG16" s="504"/>
      <c r="AH16" s="553"/>
      <c r="AI16" s="538"/>
      <c r="AJ16" s="504"/>
      <c r="AK16" s="553"/>
      <c r="AL16" s="553"/>
      <c r="AM16" s="553"/>
      <c r="AN16" s="553"/>
      <c r="AO16" s="553"/>
      <c r="AP16" s="553"/>
      <c r="AQ16" s="553">
        <f t="shared" si="0"/>
        <v>0</v>
      </c>
      <c r="AR16" s="924"/>
      <c r="AS16" s="439">
        <f t="shared" si="1"/>
        <v>0</v>
      </c>
      <c r="AT16" s="413">
        <f t="shared" si="2"/>
        <v>0</v>
      </c>
      <c r="AU16" s="413"/>
    </row>
    <row r="17" spans="1:47" ht="12.75">
      <c r="A17" s="727" t="s">
        <v>112</v>
      </c>
      <c r="B17" s="543"/>
      <c r="C17" s="449"/>
      <c r="D17" s="449"/>
      <c r="E17" s="449"/>
      <c r="F17" s="531"/>
      <c r="G17" s="562"/>
      <c r="H17" s="449"/>
      <c r="I17" s="449"/>
      <c r="J17" s="563">
        <f>('Materials and electricity'!$D$71+'Materials and electricity'!$D$70)*Revenue!N10</f>
        <v>2194.1331352116176</v>
      </c>
      <c r="K17" s="543">
        <f>('Materials and electricity'!$D$71+'Materials and electricity'!$D$70)*Revenue!O10</f>
        <v>5641.766033447651</v>
      </c>
      <c r="L17" s="449">
        <f>('Materials and electricity'!$D$71+'Materials and electricity'!$D$70)*Revenue!P10</f>
        <v>5641.766033447651</v>
      </c>
      <c r="M17" s="449">
        <f>('Materials and electricity'!$D$71+'Materials and electricity'!$D$70)*Revenue!Q10</f>
        <v>5641.766033447651</v>
      </c>
      <c r="N17" s="449">
        <f>('Materials and electricity'!$D$71+'Materials and electricity'!$D$70)*Revenue!R10</f>
        <v>5641.766033447651</v>
      </c>
      <c r="O17" s="449">
        <f>('Materials and electricity'!$D$71+'Materials and electricity'!$D$70)*Revenue!S10</f>
        <v>11489.490561097698</v>
      </c>
      <c r="P17" s="449">
        <f>('Materials and electricity'!$D$71+'Materials and electricity'!$D$70)*Revenue!T10</f>
        <v>11489.490561097698</v>
      </c>
      <c r="Q17" s="449">
        <f>('Materials and electricity'!$D$71+'Materials and electricity'!$D$70)*Revenue!U10</f>
        <v>11489.490561097698</v>
      </c>
      <c r="R17" s="449">
        <f>('Materials and electricity'!$D$71+'Materials and electricity'!$D$70)*Revenue!V10</f>
        <v>11489.490561097698</v>
      </c>
      <c r="S17" s="449">
        <f>('Materials and electricity'!$D$71+'Materials and electricity'!$D$70)*Revenue!W10</f>
        <v>11489.490561097698</v>
      </c>
      <c r="T17" s="449">
        <f>('Materials and electricity'!$D$71+'Materials and electricity'!$D$70)*Revenue!X10</f>
        <v>11489.490561097698</v>
      </c>
      <c r="U17" s="449">
        <f>('Materials and electricity'!$D$71+'Materials and electricity'!$D$70)*Revenue!Y10</f>
        <v>11489.490561097698</v>
      </c>
      <c r="V17" s="449">
        <f>('Materials and electricity'!$D$71+'Materials and electricity'!$D$70)*Revenue!Z10</f>
        <v>11489.490561097698</v>
      </c>
      <c r="W17" s="449">
        <f>('Materials and electricity'!$D$71+'Materials and electricity'!$D$70)*Revenue!AA10</f>
        <v>11489.490561097698</v>
      </c>
      <c r="X17" s="449">
        <f>('Materials and electricity'!$D$71+'Materials and electricity'!$D$70)*Revenue!AB10</f>
        <v>11489.490561097698</v>
      </c>
      <c r="Y17" s="449">
        <f>('Materials and electricity'!$D$71+'Materials and electricity'!$D$70)*Revenue!AC10</f>
        <v>11489.490561097698</v>
      </c>
      <c r="Z17" s="449">
        <f>('Materials and electricity'!$D$71+'Materials and electricity'!$D$70)*Revenue!AD10</f>
        <v>11489.490561097698</v>
      </c>
      <c r="AA17" s="449">
        <f>('Materials and electricity'!$D$71+'Materials and electricity'!$D$70)*Revenue!AE10</f>
        <v>11489.490561097698</v>
      </c>
      <c r="AB17" s="449">
        <f>('Materials and electricity'!$D$71+'Materials and electricity'!$D$70)*Revenue!AF10</f>
        <v>11489.490561097698</v>
      </c>
      <c r="AC17" s="449">
        <f>('Materials and electricity'!$D$71+'Materials and electricity'!$D$70)*Revenue!AG10</f>
        <v>11489.490561097698</v>
      </c>
      <c r="AD17" s="531">
        <f>('Materials and electricity'!$D$71+'Materials and electricity'!$D$70)*Revenue!AH10</f>
        <v>11489.490561097698</v>
      </c>
      <c r="AE17" s="562">
        <f>('Materials and electricity'!$D$71+'Materials and electricity'!$D$70)*Revenue!AI10</f>
        <v>11489.490561097698</v>
      </c>
      <c r="AF17" s="449">
        <f>('Materials and electricity'!$D$71+'Materials and electricity'!$D$70)*Revenue!AJ10</f>
        <v>11489.490561097698</v>
      </c>
      <c r="AG17" s="449">
        <f>('Materials and electricity'!$D$71+'Materials and electricity'!$D$70)*Revenue!AK10</f>
        <v>11489.490561097698</v>
      </c>
      <c r="AH17" s="563">
        <f>('Materials and electricity'!$D$71+'Materials and electricity'!$D$70)*Revenue!AL10</f>
        <v>11489.490561097698</v>
      </c>
      <c r="AI17" s="543"/>
      <c r="AJ17" s="449"/>
      <c r="AK17" s="563"/>
      <c r="AL17" s="563"/>
      <c r="AM17" s="563"/>
      <c r="AN17" s="563"/>
      <c r="AO17" s="563"/>
      <c r="AP17" s="563"/>
      <c r="AQ17" s="563">
        <f t="shared" si="0"/>
        <v>254551.00849095607</v>
      </c>
      <c r="AR17" s="924"/>
      <c r="AS17" s="439">
        <f t="shared" si="1"/>
        <v>254551.00849095607</v>
      </c>
      <c r="AT17" s="413">
        <f t="shared" si="2"/>
        <v>0.8216525259044751</v>
      </c>
      <c r="AU17" s="413"/>
    </row>
    <row r="18" spans="1:47" ht="12.75">
      <c r="A18" s="728" t="s">
        <v>113</v>
      </c>
      <c r="B18" s="544"/>
      <c r="C18" s="503"/>
      <c r="D18" s="503"/>
      <c r="E18" s="503"/>
      <c r="F18" s="532"/>
      <c r="G18" s="564"/>
      <c r="H18" s="503"/>
      <c r="I18" s="503"/>
      <c r="J18" s="565">
        <f>'Materials and electricity'!$D$72*Revenue!N10</f>
        <v>139.78059218728265</v>
      </c>
      <c r="K18" s="544">
        <f>'Materials and electricity'!$D$72*Revenue!O10</f>
        <v>359.41729536906627</v>
      </c>
      <c r="L18" s="503">
        <f>'Materials and electricity'!$D$72*Revenue!P10</f>
        <v>359.41729536906627</v>
      </c>
      <c r="M18" s="503">
        <f>'Materials and electricity'!$D$72*Revenue!Q10</f>
        <v>359.41729536906627</v>
      </c>
      <c r="N18" s="503">
        <f>'Materials and electricity'!$D$72*Revenue!R10</f>
        <v>359.41729536906627</v>
      </c>
      <c r="O18" s="503">
        <f>'Materials and electricity'!$D$72*Revenue!S10</f>
        <v>731.9554902057189</v>
      </c>
      <c r="P18" s="503">
        <f>'Materials and electricity'!$D$72*Revenue!T10</f>
        <v>731.9554902057189</v>
      </c>
      <c r="Q18" s="503">
        <f>'Materials and electricity'!$D$72*Revenue!U10</f>
        <v>731.9554902057189</v>
      </c>
      <c r="R18" s="503">
        <f>'Materials and electricity'!$D$72*Revenue!V10</f>
        <v>731.9554902057189</v>
      </c>
      <c r="S18" s="503">
        <f>'Materials and electricity'!$D$72*Revenue!W10</f>
        <v>731.9554902057189</v>
      </c>
      <c r="T18" s="503">
        <f>'Materials and electricity'!$D$72*Revenue!X10</f>
        <v>731.9554902057189</v>
      </c>
      <c r="U18" s="503">
        <f>'Materials and electricity'!$D$72*Revenue!Y10</f>
        <v>731.9554902057189</v>
      </c>
      <c r="V18" s="503">
        <f>'Materials and electricity'!$D$72*Revenue!Z10</f>
        <v>731.9554902057189</v>
      </c>
      <c r="W18" s="503">
        <f>'Materials and electricity'!$D$72*Revenue!AA10</f>
        <v>731.9554902057189</v>
      </c>
      <c r="X18" s="503">
        <f>'Materials and electricity'!$D$72*Revenue!AB10</f>
        <v>731.9554902057189</v>
      </c>
      <c r="Y18" s="503">
        <f>'Materials and electricity'!$D$72*Revenue!AC10</f>
        <v>731.9554902057189</v>
      </c>
      <c r="Z18" s="503">
        <f>'Materials and electricity'!$D$72*Revenue!AD10</f>
        <v>731.9554902057189</v>
      </c>
      <c r="AA18" s="503">
        <f>'Materials and electricity'!$D$72*Revenue!AE10</f>
        <v>731.9554902057189</v>
      </c>
      <c r="AB18" s="503">
        <f>'Materials and electricity'!$D$72*Revenue!AF10</f>
        <v>731.9554902057189</v>
      </c>
      <c r="AC18" s="503">
        <f>'Materials and electricity'!$D$72*Revenue!AG10</f>
        <v>731.9554902057189</v>
      </c>
      <c r="AD18" s="532">
        <f>'Materials and electricity'!$D$72*Revenue!AH10</f>
        <v>731.9554902057189</v>
      </c>
      <c r="AE18" s="564">
        <f>'Materials and electricity'!$D$72*Revenue!AI10</f>
        <v>731.9554902057189</v>
      </c>
      <c r="AF18" s="503">
        <f>'Materials and electricity'!$D$72*Revenue!AJ10</f>
        <v>731.9554902057189</v>
      </c>
      <c r="AG18" s="503">
        <f>'Materials and electricity'!$D$72*Revenue!AK10</f>
        <v>731.9554902057189</v>
      </c>
      <c r="AH18" s="565">
        <f>'Materials and electricity'!$D$72*Revenue!AL10</f>
        <v>731.9554902057189</v>
      </c>
      <c r="AI18" s="544"/>
      <c r="AJ18" s="503"/>
      <c r="AK18" s="565"/>
      <c r="AL18" s="565"/>
      <c r="AM18" s="565"/>
      <c r="AN18" s="565"/>
      <c r="AO18" s="565"/>
      <c r="AP18" s="565"/>
      <c r="AQ18" s="565"/>
      <c r="AR18" s="924"/>
      <c r="AS18" s="439"/>
      <c r="AT18" s="413"/>
      <c r="AU18" s="413"/>
    </row>
    <row r="19" spans="1:47" ht="12.75">
      <c r="A19" s="724" t="s">
        <v>420</v>
      </c>
      <c r="B19" s="539"/>
      <c r="C19" s="320"/>
      <c r="D19" s="320"/>
      <c r="E19" s="320"/>
      <c r="F19" s="527"/>
      <c r="G19" s="554"/>
      <c r="H19" s="320"/>
      <c r="I19" s="320"/>
      <c r="J19" s="555">
        <f>('Materials and electricity'!$D$68+'Materials and electricity'!$D$69)*Revenue!N10</f>
        <v>183.38473441087825</v>
      </c>
      <c r="K19" s="539">
        <f>('Materials and electricity'!$D$68+'Materials and electricity'!$D$69)*Revenue!O10</f>
        <v>471.5364574047719</v>
      </c>
      <c r="L19" s="320">
        <f>('Materials and electricity'!$D$68+'Materials and electricity'!$D$69)*Revenue!P10</f>
        <v>471.5364574047719</v>
      </c>
      <c r="M19" s="320">
        <f>('Materials and electricity'!$D$68+'Materials and electricity'!$D$69)*Revenue!Q10</f>
        <v>471.5364574047719</v>
      </c>
      <c r="N19" s="320">
        <f>('Materials and electricity'!$D$68+'Materials and electricity'!$D$69)*Revenue!R10</f>
        <v>471.5364574047719</v>
      </c>
      <c r="O19" s="320">
        <f>('Materials and electricity'!$D$68+'Materials and electricity'!$D$69)*Revenue!S10</f>
        <v>960.286840050834</v>
      </c>
      <c r="P19" s="320">
        <f>('Materials and electricity'!$D$68+'Materials and electricity'!$D$69)*Revenue!T10</f>
        <v>960.286840050834</v>
      </c>
      <c r="Q19" s="320">
        <f>('Materials and electricity'!$D$68+'Materials and electricity'!$D$69)*Revenue!U10</f>
        <v>960.286840050834</v>
      </c>
      <c r="R19" s="320">
        <f>('Materials and electricity'!$D$68+'Materials and electricity'!$D$69)*Revenue!V10</f>
        <v>960.286840050834</v>
      </c>
      <c r="S19" s="320">
        <f>('Materials and electricity'!$D$68+'Materials and electricity'!$D$69)*Revenue!W10</f>
        <v>960.286840050834</v>
      </c>
      <c r="T19" s="320">
        <f>('Materials and electricity'!$D$68+'Materials and electricity'!$D$69)*Revenue!X10</f>
        <v>960.286840050834</v>
      </c>
      <c r="U19" s="320">
        <f>('Materials and electricity'!$D$68+'Materials and electricity'!$D$69)*Revenue!Y10</f>
        <v>960.286840050834</v>
      </c>
      <c r="V19" s="320">
        <f>('Materials and electricity'!$D$68+'Materials and electricity'!$D$69)*Revenue!Z10</f>
        <v>960.286840050834</v>
      </c>
      <c r="W19" s="320">
        <f>('Materials and electricity'!$D$68+'Materials and electricity'!$D$69)*Revenue!AA10</f>
        <v>960.286840050834</v>
      </c>
      <c r="X19" s="320">
        <f>('Materials and electricity'!$D$68+'Materials and electricity'!$D$69)*Revenue!AB10</f>
        <v>960.286840050834</v>
      </c>
      <c r="Y19" s="320">
        <f>('Materials and electricity'!$D$68+'Materials and electricity'!$D$69)*Revenue!AC10</f>
        <v>960.286840050834</v>
      </c>
      <c r="Z19" s="320">
        <f>('Materials and electricity'!$D$68+'Materials and electricity'!$D$69)*Revenue!AD10</f>
        <v>960.286840050834</v>
      </c>
      <c r="AA19" s="320">
        <f>('Materials and electricity'!$D$68+'Materials and electricity'!$D$69)*Revenue!AE10</f>
        <v>960.286840050834</v>
      </c>
      <c r="AB19" s="320">
        <f>('Materials and electricity'!$D$68+'Materials and electricity'!$D$69)*Revenue!AF10</f>
        <v>960.286840050834</v>
      </c>
      <c r="AC19" s="320">
        <f>('Materials and electricity'!$D$68+'Materials and electricity'!$D$69)*Revenue!AG10</f>
        <v>960.286840050834</v>
      </c>
      <c r="AD19" s="527">
        <f>('Materials and electricity'!$D$68+'Materials and electricity'!$D$69)*Revenue!AH10</f>
        <v>960.286840050834</v>
      </c>
      <c r="AE19" s="554">
        <f>('Materials and electricity'!$D$68+'Materials and electricity'!$D$69)*Revenue!AI10</f>
        <v>960.286840050834</v>
      </c>
      <c r="AF19" s="320">
        <f>('Materials and electricity'!$D$68+'Materials and electricity'!$D$69)*Revenue!AJ10</f>
        <v>960.286840050834</v>
      </c>
      <c r="AG19" s="320">
        <f>('Materials and electricity'!$D$68+'Materials and electricity'!$D$69)*Revenue!AK10</f>
        <v>960.286840050834</v>
      </c>
      <c r="AH19" s="555">
        <f>('Materials and electricity'!$D$68+'Materials and electricity'!$D$69)*Revenue!AL10</f>
        <v>960.286840050834</v>
      </c>
      <c r="AI19" s="539"/>
      <c r="AJ19" s="320"/>
      <c r="AK19" s="555"/>
      <c r="AL19" s="555"/>
      <c r="AM19" s="555"/>
      <c r="AN19" s="555"/>
      <c r="AO19" s="555"/>
      <c r="AP19" s="555"/>
      <c r="AQ19" s="555">
        <f t="shared" si="0"/>
        <v>21275.267365046646</v>
      </c>
      <c r="AR19" s="924"/>
      <c r="AS19" s="439">
        <f t="shared" si="1"/>
        <v>21275.267365046646</v>
      </c>
      <c r="AT19" s="413">
        <f t="shared" si="2"/>
        <v>0.06867337620626515</v>
      </c>
      <c r="AU19" s="413"/>
    </row>
    <row r="20" spans="1:47" ht="12.75">
      <c r="A20" s="725" t="s">
        <v>135</v>
      </c>
      <c r="B20" s="540"/>
      <c r="C20" s="507"/>
      <c r="D20" s="507"/>
      <c r="E20" s="507"/>
      <c r="F20" s="528"/>
      <c r="G20" s="556"/>
      <c r="H20" s="507"/>
      <c r="I20" s="507"/>
      <c r="J20" s="557">
        <f>('Materials and electricity'!$D$73+'Materials and electricity'!$D$74)*Revenue!N10</f>
        <v>227.60639881884578</v>
      </c>
      <c r="K20" s="540">
        <f>('Materials and electricity'!$D$73+'Materials and electricity'!$D$74)*Revenue!O10</f>
        <v>585.2434518417024</v>
      </c>
      <c r="L20" s="507">
        <f>('Materials and electricity'!$D$73+'Materials and electricity'!$D$74)*Revenue!P10</f>
        <v>585.2434518417024</v>
      </c>
      <c r="M20" s="507">
        <f>('Materials and electricity'!$D$73+'Materials and electricity'!$D$74)*Revenue!Q10</f>
        <v>585.2434518417024</v>
      </c>
      <c r="N20" s="507">
        <f>('Materials and electricity'!$D$73+'Materials and electricity'!$D$74)*Revenue!R10</f>
        <v>585.2434518417024</v>
      </c>
      <c r="O20" s="507">
        <f>('Materials and electricity'!$D$73+'Materials and electricity'!$D$74)*Revenue!S10</f>
        <v>1191.8518201596505</v>
      </c>
      <c r="P20" s="507">
        <f>('Materials and electricity'!$D$73+'Materials and electricity'!$D$74)*Revenue!T10</f>
        <v>1191.8518201596505</v>
      </c>
      <c r="Q20" s="507">
        <f>('Materials and electricity'!$D$73+'Materials and electricity'!$D$74)*Revenue!U10</f>
        <v>1191.8518201596505</v>
      </c>
      <c r="R20" s="507">
        <f>('Materials and electricity'!$D$73+'Materials and electricity'!$D$74)*Revenue!V10</f>
        <v>1191.8518201596505</v>
      </c>
      <c r="S20" s="507">
        <f>('Materials and electricity'!$D$73+'Materials and electricity'!$D$74)*Revenue!W10</f>
        <v>1191.8518201596505</v>
      </c>
      <c r="T20" s="507">
        <f>('Materials and electricity'!$D$73+'Materials and electricity'!$D$74)*Revenue!X10</f>
        <v>1191.8518201596505</v>
      </c>
      <c r="U20" s="507">
        <f>('Materials and electricity'!$D$73+'Materials and electricity'!$D$74)*Revenue!Y10</f>
        <v>1191.8518201596505</v>
      </c>
      <c r="V20" s="507">
        <f>('Materials and electricity'!$D$73+'Materials and electricity'!$D$74)*Revenue!Z10</f>
        <v>1191.8518201596505</v>
      </c>
      <c r="W20" s="507">
        <f>('Materials and electricity'!$D$73+'Materials and electricity'!$D$74)*Revenue!AA10</f>
        <v>1191.8518201596505</v>
      </c>
      <c r="X20" s="507">
        <f>('Materials and electricity'!$D$73+'Materials and electricity'!$D$74)*Revenue!AB10</f>
        <v>1191.8518201596505</v>
      </c>
      <c r="Y20" s="507">
        <f>('Materials and electricity'!$D$73+'Materials and electricity'!$D$74)*Revenue!AC10</f>
        <v>1191.8518201596505</v>
      </c>
      <c r="Z20" s="507">
        <f>('Materials and electricity'!$D$73+'Materials and electricity'!$D$74)*Revenue!AD10</f>
        <v>1191.8518201596505</v>
      </c>
      <c r="AA20" s="507">
        <f>('Materials and electricity'!$D$73+'Materials and electricity'!$D$74)*Revenue!AE10</f>
        <v>1191.8518201596505</v>
      </c>
      <c r="AB20" s="507">
        <f>('Materials and electricity'!$D$73+'Materials and electricity'!$D$74)*Revenue!AF10</f>
        <v>1191.8518201596505</v>
      </c>
      <c r="AC20" s="507">
        <f>('Materials and electricity'!$D$73+'Materials and electricity'!$D$74)*Revenue!AG10</f>
        <v>1191.8518201596505</v>
      </c>
      <c r="AD20" s="528">
        <f>('Materials and electricity'!$D$73+'Materials and electricity'!$D$74)*Revenue!AH10</f>
        <v>1191.8518201596505</v>
      </c>
      <c r="AE20" s="556">
        <f>('Materials and electricity'!$D$73+'Materials and electricity'!$D$74)*Revenue!AI10</f>
        <v>1191.8518201596505</v>
      </c>
      <c r="AF20" s="507">
        <f>('Materials and electricity'!$D$73+'Materials and electricity'!$D$74)*Revenue!AJ10</f>
        <v>1191.8518201596505</v>
      </c>
      <c r="AG20" s="507">
        <f>('Materials and electricity'!$D$73+'Materials and electricity'!$D$74)*Revenue!AK10</f>
        <v>1191.8518201596505</v>
      </c>
      <c r="AH20" s="557">
        <f>('Materials and electricity'!$D$73+'Materials and electricity'!$D$74)*Revenue!AL10</f>
        <v>1191.8518201596505</v>
      </c>
      <c r="AI20" s="540"/>
      <c r="AJ20" s="507"/>
      <c r="AK20" s="557"/>
      <c r="AL20" s="557"/>
      <c r="AM20" s="557"/>
      <c r="AN20" s="557"/>
      <c r="AO20" s="557"/>
      <c r="AP20" s="557"/>
      <c r="AQ20" s="557">
        <f t="shared" si="0"/>
        <v>26405.616609378652</v>
      </c>
      <c r="AR20" s="924"/>
      <c r="AS20" s="439">
        <f t="shared" si="1"/>
        <v>26405.616609378652</v>
      </c>
      <c r="AT20" s="413">
        <f t="shared" si="2"/>
        <v>0.08523337508573248</v>
      </c>
      <c r="AU20" s="413"/>
    </row>
    <row r="21" spans="1:47" ht="12.75" customHeight="1" hidden="1">
      <c r="A21" s="726" t="s">
        <v>520</v>
      </c>
      <c r="B21" s="542"/>
      <c r="C21" s="319"/>
      <c r="D21" s="319"/>
      <c r="E21" s="319"/>
      <c r="F21" s="530"/>
      <c r="G21" s="560"/>
      <c r="H21" s="319"/>
      <c r="I21" s="319"/>
      <c r="J21" s="561"/>
      <c r="K21" s="542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530"/>
      <c r="AE21" s="560"/>
      <c r="AF21" s="319"/>
      <c r="AG21" s="319"/>
      <c r="AH21" s="561"/>
      <c r="AI21" s="542"/>
      <c r="AJ21" s="319"/>
      <c r="AK21" s="561"/>
      <c r="AL21" s="801"/>
      <c r="AM21" s="801"/>
      <c r="AN21" s="801"/>
      <c r="AO21" s="801"/>
      <c r="AP21" s="801"/>
      <c r="AQ21" s="801">
        <f t="shared" si="0"/>
        <v>0</v>
      </c>
      <c r="AR21" s="924"/>
      <c r="AS21" s="439">
        <f t="shared" si="1"/>
        <v>0</v>
      </c>
      <c r="AT21" s="413">
        <f t="shared" si="2"/>
        <v>0</v>
      </c>
      <c r="AU21" s="612"/>
    </row>
    <row r="22" spans="1:47" ht="12.75" customHeight="1" hidden="1">
      <c r="A22" s="728" t="s">
        <v>113</v>
      </c>
      <c r="B22" s="544"/>
      <c r="C22" s="503"/>
      <c r="D22" s="503"/>
      <c r="E22" s="503"/>
      <c r="F22" s="532"/>
      <c r="G22" s="564"/>
      <c r="H22" s="503"/>
      <c r="I22" s="503"/>
      <c r="J22" s="565">
        <v>0</v>
      </c>
      <c r="K22" s="544">
        <v>0</v>
      </c>
      <c r="L22" s="503">
        <v>0</v>
      </c>
      <c r="M22" s="503">
        <v>0</v>
      </c>
      <c r="N22" s="503">
        <v>0</v>
      </c>
      <c r="O22" s="503">
        <v>0</v>
      </c>
      <c r="P22" s="503">
        <v>0</v>
      </c>
      <c r="Q22" s="503">
        <v>0</v>
      </c>
      <c r="R22" s="503">
        <v>0</v>
      </c>
      <c r="S22" s="503">
        <v>0</v>
      </c>
      <c r="T22" s="503">
        <v>0</v>
      </c>
      <c r="U22" s="503">
        <v>0</v>
      </c>
      <c r="V22" s="503">
        <v>0</v>
      </c>
      <c r="W22" s="503">
        <v>0</v>
      </c>
      <c r="X22" s="503">
        <v>0</v>
      </c>
      <c r="Y22" s="503">
        <v>0</v>
      </c>
      <c r="Z22" s="503">
        <v>0</v>
      </c>
      <c r="AA22" s="503">
        <v>0</v>
      </c>
      <c r="AB22" s="503">
        <v>0</v>
      </c>
      <c r="AC22" s="503">
        <v>0</v>
      </c>
      <c r="AD22" s="532">
        <v>0</v>
      </c>
      <c r="AE22" s="564"/>
      <c r="AF22" s="503"/>
      <c r="AG22" s="503"/>
      <c r="AH22" s="565"/>
      <c r="AI22" s="1098"/>
      <c r="AJ22" s="532"/>
      <c r="AK22" s="532"/>
      <c r="AL22" s="532"/>
      <c r="AM22" s="532"/>
      <c r="AN22" s="532"/>
      <c r="AO22" s="532"/>
      <c r="AP22" s="532"/>
      <c r="AQ22" s="532">
        <f t="shared" si="0"/>
        <v>0</v>
      </c>
      <c r="AR22" s="924"/>
      <c r="AS22" s="439">
        <f t="shared" si="1"/>
        <v>0</v>
      </c>
      <c r="AT22" s="413">
        <f t="shared" si="2"/>
        <v>0</v>
      </c>
      <c r="AU22" s="413"/>
    </row>
    <row r="23" spans="1:47" ht="12.75" customHeight="1" hidden="1">
      <c r="A23" s="727" t="s">
        <v>112</v>
      </c>
      <c r="B23" s="543"/>
      <c r="C23" s="449"/>
      <c r="D23" s="449"/>
      <c r="E23" s="449"/>
      <c r="F23" s="531"/>
      <c r="G23" s="562"/>
      <c r="H23" s="449"/>
      <c r="I23" s="449"/>
      <c r="J23" s="563">
        <v>0</v>
      </c>
      <c r="K23" s="543">
        <v>0</v>
      </c>
      <c r="L23" s="449">
        <v>0</v>
      </c>
      <c r="M23" s="449">
        <v>0</v>
      </c>
      <c r="N23" s="449">
        <v>0</v>
      </c>
      <c r="O23" s="449">
        <v>0</v>
      </c>
      <c r="P23" s="449">
        <v>0</v>
      </c>
      <c r="Q23" s="449">
        <v>0</v>
      </c>
      <c r="R23" s="449">
        <v>0</v>
      </c>
      <c r="S23" s="449">
        <v>0</v>
      </c>
      <c r="T23" s="449">
        <v>0</v>
      </c>
      <c r="U23" s="449">
        <v>0</v>
      </c>
      <c r="V23" s="449">
        <v>0</v>
      </c>
      <c r="W23" s="449">
        <v>0</v>
      </c>
      <c r="X23" s="449">
        <v>0</v>
      </c>
      <c r="Y23" s="449">
        <v>0</v>
      </c>
      <c r="Z23" s="449">
        <v>0</v>
      </c>
      <c r="AA23" s="449">
        <v>0</v>
      </c>
      <c r="AB23" s="449">
        <v>0</v>
      </c>
      <c r="AC23" s="449">
        <v>0</v>
      </c>
      <c r="AD23" s="531">
        <v>0</v>
      </c>
      <c r="AE23" s="562"/>
      <c r="AF23" s="449"/>
      <c r="AG23" s="449"/>
      <c r="AH23" s="563"/>
      <c r="AI23" s="1099"/>
      <c r="AJ23" s="531"/>
      <c r="AK23" s="531"/>
      <c r="AL23" s="531"/>
      <c r="AM23" s="531"/>
      <c r="AN23" s="531"/>
      <c r="AO23" s="531"/>
      <c r="AP23" s="531"/>
      <c r="AQ23" s="531">
        <f t="shared" si="0"/>
        <v>0</v>
      </c>
      <c r="AR23" s="924"/>
      <c r="AS23" s="439">
        <f t="shared" si="1"/>
        <v>0</v>
      </c>
      <c r="AT23" s="413">
        <f t="shared" si="2"/>
        <v>0</v>
      </c>
      <c r="AU23" s="413"/>
    </row>
    <row r="24" spans="1:47" ht="12.75" customHeight="1" hidden="1">
      <c r="A24" s="729" t="s">
        <v>521</v>
      </c>
      <c r="B24" s="1127"/>
      <c r="C24" s="506"/>
      <c r="D24" s="506"/>
      <c r="E24" s="506"/>
      <c r="F24" s="533"/>
      <c r="G24" s="566"/>
      <c r="H24" s="506"/>
      <c r="I24" s="506"/>
      <c r="J24" s="1132">
        <v>0</v>
      </c>
      <c r="K24" s="1127">
        <v>0</v>
      </c>
      <c r="L24" s="506">
        <v>0</v>
      </c>
      <c r="M24" s="506">
        <v>0</v>
      </c>
      <c r="N24" s="506">
        <v>0</v>
      </c>
      <c r="O24" s="506">
        <v>0</v>
      </c>
      <c r="P24" s="506">
        <v>0</v>
      </c>
      <c r="Q24" s="506">
        <v>0</v>
      </c>
      <c r="R24" s="506">
        <v>0</v>
      </c>
      <c r="S24" s="506">
        <v>0</v>
      </c>
      <c r="T24" s="506">
        <v>0</v>
      </c>
      <c r="U24" s="506">
        <v>0</v>
      </c>
      <c r="V24" s="506">
        <v>0</v>
      </c>
      <c r="W24" s="506">
        <v>0</v>
      </c>
      <c r="X24" s="506">
        <v>0</v>
      </c>
      <c r="Y24" s="506">
        <v>0</v>
      </c>
      <c r="Z24" s="506">
        <v>0</v>
      </c>
      <c r="AA24" s="506">
        <v>0</v>
      </c>
      <c r="AB24" s="506">
        <v>0</v>
      </c>
      <c r="AC24" s="506">
        <v>0</v>
      </c>
      <c r="AD24" s="533">
        <v>0</v>
      </c>
      <c r="AE24" s="566"/>
      <c r="AF24" s="506"/>
      <c r="AG24" s="506"/>
      <c r="AH24" s="1132"/>
      <c r="AI24" s="1100"/>
      <c r="AJ24" s="533"/>
      <c r="AK24" s="533"/>
      <c r="AL24" s="533"/>
      <c r="AM24" s="533"/>
      <c r="AN24" s="533"/>
      <c r="AO24" s="533"/>
      <c r="AP24" s="533"/>
      <c r="AQ24" s="533">
        <f t="shared" si="0"/>
        <v>0</v>
      </c>
      <c r="AR24" s="924"/>
      <c r="AS24" s="439">
        <f t="shared" si="1"/>
        <v>0</v>
      </c>
      <c r="AT24" s="413">
        <f t="shared" si="2"/>
        <v>0</v>
      </c>
      <c r="AU24" s="413"/>
    </row>
    <row r="25" spans="1:47" ht="12.75" customHeight="1" hidden="1">
      <c r="A25" s="723" t="s">
        <v>522</v>
      </c>
      <c r="B25" s="538"/>
      <c r="C25" s="504"/>
      <c r="D25" s="504"/>
      <c r="E25" s="504"/>
      <c r="F25" s="526"/>
      <c r="G25" s="552"/>
      <c r="H25" s="504"/>
      <c r="I25" s="504"/>
      <c r="J25" s="553">
        <f>Payroll!S127+Payroll!BL127+Payroll!DE127</f>
        <v>0</v>
      </c>
      <c r="K25" s="538">
        <f>Payroll!T127+Payroll!BM127+Payroll!DF127</f>
        <v>0</v>
      </c>
      <c r="L25" s="504">
        <f>Payroll!U127+Payroll!BN127+Payroll!DG127</f>
        <v>0</v>
      </c>
      <c r="M25" s="504">
        <f>Payroll!V127+Payroll!BO127+Payroll!DH127</f>
        <v>0</v>
      </c>
      <c r="N25" s="504">
        <f>Payroll!W127+Payroll!BP127+Payroll!DI127</f>
        <v>0</v>
      </c>
      <c r="O25" s="504">
        <f>Payroll!X127+Payroll!BQ127+Payroll!DJ127</f>
        <v>0</v>
      </c>
      <c r="P25" s="504">
        <f>Payroll!Y127+Payroll!BR127+Payroll!DK127</f>
        <v>0</v>
      </c>
      <c r="Q25" s="504">
        <f>Payroll!Z127+Payroll!BS127+Payroll!DL127</f>
        <v>0</v>
      </c>
      <c r="R25" s="504">
        <f>Payroll!AA127+Payroll!BT127+Payroll!DM127</f>
        <v>0</v>
      </c>
      <c r="S25" s="504">
        <f>Payroll!AB127+Payroll!BU127+Payroll!DN127</f>
        <v>0</v>
      </c>
      <c r="T25" s="504">
        <f>Payroll!AC127+Payroll!BV127+Payroll!DO127</f>
        <v>0</v>
      </c>
      <c r="U25" s="504">
        <f>Payroll!AD127+Payroll!BW127+Payroll!DP127</f>
        <v>0</v>
      </c>
      <c r="V25" s="504">
        <f>Payroll!AE127+Payroll!BX127+Payroll!DQ127</f>
        <v>0</v>
      </c>
      <c r="W25" s="504">
        <f>Payroll!AF127+Payroll!BY127+Payroll!DR127</f>
        <v>0</v>
      </c>
      <c r="X25" s="504">
        <f>Payroll!AG127+Payroll!BZ127+Payroll!DS127</f>
        <v>0</v>
      </c>
      <c r="Y25" s="504">
        <f>Payroll!AH127+Payroll!CA127+Payroll!DT127</f>
        <v>0</v>
      </c>
      <c r="Z25" s="504">
        <f>Payroll!AI127+Payroll!CB127+Payroll!DU127</f>
        <v>0</v>
      </c>
      <c r="AA25" s="504">
        <f>Payroll!AJ127+Payroll!CC127+Payroll!DV127</f>
        <v>0</v>
      </c>
      <c r="AB25" s="504">
        <f>Payroll!AK127+Payroll!CD127+Payroll!DW127</f>
        <v>0</v>
      </c>
      <c r="AC25" s="504">
        <f>Payroll!AL127+Payroll!CE127+Payroll!DX127</f>
        <v>0</v>
      </c>
      <c r="AD25" s="526">
        <f>Payroll!AM127+Payroll!CF127+Payroll!DY127</f>
        <v>0</v>
      </c>
      <c r="AE25" s="552"/>
      <c r="AF25" s="504"/>
      <c r="AG25" s="504"/>
      <c r="AH25" s="553"/>
      <c r="AI25" s="1101"/>
      <c r="AJ25" s="526"/>
      <c r="AK25" s="526"/>
      <c r="AL25" s="526"/>
      <c r="AM25" s="526"/>
      <c r="AN25" s="526"/>
      <c r="AO25" s="526"/>
      <c r="AP25" s="526"/>
      <c r="AQ25" s="526">
        <f t="shared" si="0"/>
        <v>0</v>
      </c>
      <c r="AR25" s="924"/>
      <c r="AS25" s="439">
        <f t="shared" si="1"/>
        <v>0</v>
      </c>
      <c r="AT25" s="413">
        <f t="shared" si="2"/>
        <v>0</v>
      </c>
      <c r="AU25" s="413"/>
    </row>
    <row r="26" spans="1:47" ht="12.75" customHeight="1" hidden="1">
      <c r="A26" s="724" t="s">
        <v>512</v>
      </c>
      <c r="B26" s="539"/>
      <c r="C26" s="320"/>
      <c r="D26" s="320"/>
      <c r="E26" s="320"/>
      <c r="F26" s="527"/>
      <c r="G26" s="554"/>
      <c r="H26" s="320"/>
      <c r="I26" s="320"/>
      <c r="J26" s="555">
        <f>SUM(Payroll!S125,Payroll!S126,Payroll!BL126,Payroll!BL124,Payroll!DE124,Payroll!DE126)</f>
        <v>0</v>
      </c>
      <c r="K26" s="539">
        <f>SUM(Payroll!T125,Payroll!T126,Payroll!BM126,Payroll!BM124,Payroll!DF124,Payroll!DF126)</f>
        <v>0</v>
      </c>
      <c r="L26" s="320">
        <f>SUM(Payroll!U125,Payroll!U126,Payroll!BN126,Payroll!BN124,Payroll!DG124,Payroll!DG126)</f>
        <v>0</v>
      </c>
      <c r="M26" s="320">
        <f>SUM(Payroll!V125,Payroll!V126,Payroll!BO126,Payroll!BO124,Payroll!DH124,Payroll!DH126)</f>
        <v>0</v>
      </c>
      <c r="N26" s="320">
        <f>SUM(Payroll!W125,Payroll!W126,Payroll!BP126,Payroll!BP124,Payroll!DI124,Payroll!DI126)</f>
        <v>0</v>
      </c>
      <c r="O26" s="320">
        <f>SUM(Payroll!X125,Payroll!X126,Payroll!BQ126,Payroll!BQ124,Payroll!DJ124,Payroll!DJ126)</f>
        <v>0</v>
      </c>
      <c r="P26" s="320">
        <f>SUM(Payroll!Y125,Payroll!Y126,Payroll!BR126,Payroll!BR124,Payroll!DK124,Payroll!DK126)</f>
        <v>0</v>
      </c>
      <c r="Q26" s="320">
        <f>SUM(Payroll!Z125,Payroll!Z126,Payroll!BS126,Payroll!BS124,Payroll!DL124,Payroll!DL126)</f>
        <v>0</v>
      </c>
      <c r="R26" s="320">
        <f>SUM(Payroll!AA125,Payroll!AA126,Payroll!BT126,Payroll!BT124,Payroll!DM124,Payroll!DM126)</f>
        <v>0</v>
      </c>
      <c r="S26" s="320">
        <f>SUM(Payroll!AB125,Payroll!AB126,Payroll!BU126,Payroll!BU124,Payroll!DN124,Payroll!DN126)</f>
        <v>0</v>
      </c>
      <c r="T26" s="320">
        <f>SUM(Payroll!AC125,Payroll!AC126,Payroll!BV126,Payroll!BV124,Payroll!DO124,Payroll!DO126)</f>
        <v>0</v>
      </c>
      <c r="U26" s="320">
        <f>SUM(Payroll!AD125,Payroll!AD126,Payroll!BW126,Payroll!BW124,Payroll!DP124,Payroll!DP126)</f>
        <v>0</v>
      </c>
      <c r="V26" s="320">
        <f>SUM(Payroll!AE125,Payroll!AE126,Payroll!BX126,Payroll!BX124,Payroll!DQ124,Payroll!DQ126)</f>
        <v>0</v>
      </c>
      <c r="W26" s="320">
        <f>SUM(Payroll!AF125,Payroll!AF126,Payroll!BY126,Payroll!BY124,Payroll!DR124,Payroll!DR126)</f>
        <v>0</v>
      </c>
      <c r="X26" s="320">
        <f>SUM(Payroll!AG125,Payroll!AG126,Payroll!BZ126,Payroll!BZ124,Payroll!DS124,Payroll!DS126)</f>
        <v>0</v>
      </c>
      <c r="Y26" s="320">
        <f>SUM(Payroll!AH125,Payroll!AH126,Payroll!CA126,Payroll!CA124,Payroll!DT124,Payroll!DT126)</f>
        <v>0</v>
      </c>
      <c r="Z26" s="320">
        <f>SUM(Payroll!AI125,Payroll!AI126,Payroll!CB126,Payroll!CB124,Payroll!DU124,Payroll!DU126)</f>
        <v>0</v>
      </c>
      <c r="AA26" s="320">
        <f>SUM(Payroll!AJ125,Payroll!AJ126,Payroll!CC126,Payroll!CC124,Payroll!DV124,Payroll!DV126)</f>
        <v>0</v>
      </c>
      <c r="AB26" s="320">
        <f>SUM(Payroll!AK125,Payroll!AK126,Payroll!CD126,Payroll!CD124,Payroll!DW124,Payroll!DW126)</f>
        <v>0</v>
      </c>
      <c r="AC26" s="320">
        <f>SUM(Payroll!AL125,Payroll!AL126,Payroll!CE126,Payroll!CE124,Payroll!DX124,Payroll!DX126)</f>
        <v>0</v>
      </c>
      <c r="AD26" s="527">
        <f>SUM(Payroll!AM125,Payroll!AM126,Payroll!CF126,Payroll!CF124,Payroll!DY124,Payroll!DY126)</f>
        <v>0</v>
      </c>
      <c r="AE26" s="554"/>
      <c r="AF26" s="320"/>
      <c r="AG26" s="320"/>
      <c r="AH26" s="555"/>
      <c r="AI26" s="1102"/>
      <c r="AJ26" s="527"/>
      <c r="AK26" s="527"/>
      <c r="AL26" s="527"/>
      <c r="AM26" s="527"/>
      <c r="AN26" s="527"/>
      <c r="AO26" s="527"/>
      <c r="AP26" s="527"/>
      <c r="AQ26" s="527">
        <f t="shared" si="0"/>
        <v>0</v>
      </c>
      <c r="AR26" s="924"/>
      <c r="AS26" s="439">
        <f t="shared" si="1"/>
        <v>0</v>
      </c>
      <c r="AT26" s="413">
        <f t="shared" si="2"/>
        <v>0</v>
      </c>
      <c r="AU26" s="413"/>
    </row>
    <row r="27" spans="1:47" ht="12.75" customHeight="1" hidden="1">
      <c r="A27" s="725" t="s">
        <v>135</v>
      </c>
      <c r="B27" s="540"/>
      <c r="C27" s="507"/>
      <c r="D27" s="507"/>
      <c r="E27" s="507"/>
      <c r="F27" s="528"/>
      <c r="G27" s="556"/>
      <c r="H27" s="507"/>
      <c r="I27" s="507"/>
      <c r="J27" s="557">
        <f aca="true" t="shared" si="5" ref="J27:AD27">SUM(J22:J26)*0.25</f>
        <v>0</v>
      </c>
      <c r="K27" s="540">
        <f t="shared" si="5"/>
        <v>0</v>
      </c>
      <c r="L27" s="507">
        <f t="shared" si="5"/>
        <v>0</v>
      </c>
      <c r="M27" s="507">
        <f t="shared" si="5"/>
        <v>0</v>
      </c>
      <c r="N27" s="507">
        <f t="shared" si="5"/>
        <v>0</v>
      </c>
      <c r="O27" s="507">
        <f t="shared" si="5"/>
        <v>0</v>
      </c>
      <c r="P27" s="507">
        <f t="shared" si="5"/>
        <v>0</v>
      </c>
      <c r="Q27" s="507">
        <f t="shared" si="5"/>
        <v>0</v>
      </c>
      <c r="R27" s="507">
        <f t="shared" si="5"/>
        <v>0</v>
      </c>
      <c r="S27" s="507">
        <f t="shared" si="5"/>
        <v>0</v>
      </c>
      <c r="T27" s="507">
        <f t="shared" si="5"/>
        <v>0</v>
      </c>
      <c r="U27" s="507">
        <f t="shared" si="5"/>
        <v>0</v>
      </c>
      <c r="V27" s="507">
        <f t="shared" si="5"/>
        <v>0</v>
      </c>
      <c r="W27" s="507">
        <f t="shared" si="5"/>
        <v>0</v>
      </c>
      <c r="X27" s="507">
        <f t="shared" si="5"/>
        <v>0</v>
      </c>
      <c r="Y27" s="507">
        <f t="shared" si="5"/>
        <v>0</v>
      </c>
      <c r="Z27" s="507">
        <f t="shared" si="5"/>
        <v>0</v>
      </c>
      <c r="AA27" s="507">
        <f t="shared" si="5"/>
        <v>0</v>
      </c>
      <c r="AB27" s="507">
        <f t="shared" si="5"/>
        <v>0</v>
      </c>
      <c r="AC27" s="507">
        <f t="shared" si="5"/>
        <v>0</v>
      </c>
      <c r="AD27" s="528">
        <f t="shared" si="5"/>
        <v>0</v>
      </c>
      <c r="AE27" s="556"/>
      <c r="AF27" s="507"/>
      <c r="AG27" s="507"/>
      <c r="AH27" s="557"/>
      <c r="AI27" s="1103"/>
      <c r="AJ27" s="528"/>
      <c r="AK27" s="528"/>
      <c r="AL27" s="528"/>
      <c r="AM27" s="528"/>
      <c r="AN27" s="528"/>
      <c r="AO27" s="528"/>
      <c r="AP27" s="528"/>
      <c r="AQ27" s="528">
        <f t="shared" si="0"/>
        <v>0</v>
      </c>
      <c r="AR27" s="924"/>
      <c r="AS27" s="439">
        <f t="shared" si="1"/>
        <v>0</v>
      </c>
      <c r="AT27" s="413">
        <f t="shared" si="2"/>
        <v>0</v>
      </c>
      <c r="AU27" s="413"/>
    </row>
    <row r="28" spans="1:47" ht="25.5">
      <c r="A28" s="726" t="s">
        <v>411</v>
      </c>
      <c r="B28" s="542"/>
      <c r="C28" s="319"/>
      <c r="D28" s="319"/>
      <c r="E28" s="319"/>
      <c r="F28" s="530"/>
      <c r="G28" s="560"/>
      <c r="H28" s="319"/>
      <c r="I28" s="319"/>
      <c r="J28" s="561"/>
      <c r="K28" s="542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530"/>
      <c r="AE28" s="560"/>
      <c r="AF28" s="319"/>
      <c r="AG28" s="319"/>
      <c r="AH28" s="561"/>
      <c r="AI28" s="542"/>
      <c r="AJ28" s="319"/>
      <c r="AK28" s="561"/>
      <c r="AL28" s="801"/>
      <c r="AM28" s="801"/>
      <c r="AN28" s="801"/>
      <c r="AO28" s="801"/>
      <c r="AP28" s="801"/>
      <c r="AQ28" s="801"/>
      <c r="AR28" s="924"/>
      <c r="AS28" s="439">
        <f t="shared" si="1"/>
        <v>0</v>
      </c>
      <c r="AT28" s="413">
        <f t="shared" si="2"/>
        <v>0</v>
      </c>
      <c r="AU28" s="612"/>
    </row>
    <row r="29" spans="1:47" ht="12.75">
      <c r="A29" s="722" t="s">
        <v>112</v>
      </c>
      <c r="B29" s="819"/>
      <c r="C29" s="817"/>
      <c r="D29" s="817"/>
      <c r="E29" s="817"/>
      <c r="F29" s="820"/>
      <c r="G29" s="820">
        <f>'Materials and electricity'!$B$85/1000*Revenue!K5/2</f>
        <v>3.3826</v>
      </c>
      <c r="H29" s="817">
        <f>'Materials and electricity'!$B$85/1000*Revenue!L5/2</f>
        <v>3.3826</v>
      </c>
      <c r="I29" s="817">
        <f>'Materials and electricity'!$B$85/1000*Revenue!M5/2</f>
        <v>3.3826</v>
      </c>
      <c r="J29" s="1307">
        <f>'Materials and electricity'!$B$85/1000*Revenue!N5/2</f>
        <v>3.3826</v>
      </c>
      <c r="K29" s="819">
        <f>'Materials and electricity'!$B$85/1000*Revenue!O5/2</f>
        <v>6.7652</v>
      </c>
      <c r="L29" s="817">
        <f>'Materials and electricity'!$B$85/1000*Revenue!P5/2</f>
        <v>6.7652</v>
      </c>
      <c r="M29" s="817">
        <f>'Materials and electricity'!$B$85/1000*Revenue!Q5/2</f>
        <v>6.7652</v>
      </c>
      <c r="N29" s="817">
        <f>'Materials and electricity'!$B$85/1000*Revenue!R5/2</f>
        <v>6.7652</v>
      </c>
      <c r="O29" s="817">
        <f>'Materials and electricity'!$B$85/1000*Revenue!S5/2</f>
        <v>10.1478</v>
      </c>
      <c r="P29" s="817">
        <f>'Materials and electricity'!$B$85/1000*Revenue!T5/2</f>
        <v>10.1478</v>
      </c>
      <c r="Q29" s="817">
        <f>'Materials and electricity'!$B$85/1000*Revenue!U5/2</f>
        <v>10.1478</v>
      </c>
      <c r="R29" s="817">
        <f>'Materials and electricity'!$B$85/1000*Revenue!V5/2</f>
        <v>10.1478</v>
      </c>
      <c r="S29" s="817">
        <f>'Materials and electricity'!$B$85/1000*Revenue!W5/2</f>
        <v>13.5304</v>
      </c>
      <c r="T29" s="817">
        <f>'Materials and electricity'!$B$85/1000*Revenue!X5/2</f>
        <v>13.5304</v>
      </c>
      <c r="U29" s="817">
        <f>'Materials and electricity'!$B$85/1000*Revenue!Y5/2</f>
        <v>13.5304</v>
      </c>
      <c r="V29" s="817">
        <f>'Materials and electricity'!$B$85/1000*Revenue!Z5/2</f>
        <v>13.5304</v>
      </c>
      <c r="W29" s="817">
        <f>'Materials and electricity'!$B$85/1000*Revenue!AA5/2</f>
        <v>16.913</v>
      </c>
      <c r="X29" s="817">
        <f>'Materials and electricity'!$B$85/1000*Revenue!AB5/2</f>
        <v>16.913</v>
      </c>
      <c r="Y29" s="817">
        <f>'Materials and electricity'!$B$85/1000*Revenue!AC5/2</f>
        <v>16.913</v>
      </c>
      <c r="Z29" s="817">
        <f>'Materials and electricity'!$B$85/1000*Revenue!AD5/2</f>
        <v>16.913</v>
      </c>
      <c r="AA29" s="817">
        <f>'Materials and electricity'!$B$85/1000*Revenue!AE5/2</f>
        <v>16.913</v>
      </c>
      <c r="AB29" s="817">
        <f>'Materials and electricity'!$B$85/1000*Revenue!AF5/2</f>
        <v>16.913</v>
      </c>
      <c r="AC29" s="817">
        <f>'Materials and electricity'!$B$85/1000*Revenue!AG5/2</f>
        <v>16.913</v>
      </c>
      <c r="AD29" s="820">
        <f>'Materials and electricity'!$B$85/1000*Revenue!AH5/2</f>
        <v>16.913</v>
      </c>
      <c r="AE29" s="816">
        <f>'Materials and electricity'!$B$85/1000*Revenue!AI5/2</f>
        <v>16.913</v>
      </c>
      <c r="AF29" s="817">
        <f>'Materials and electricity'!$B$85/1000*Revenue!AJ5/2</f>
        <v>16.913</v>
      </c>
      <c r="AG29" s="817">
        <f>'Materials and electricity'!$B$85/1000*Revenue!AK5/2</f>
        <v>16.913</v>
      </c>
      <c r="AH29" s="818">
        <f>'Materials and electricity'!$B$85/1000*Revenue!AL5/2</f>
        <v>16.913</v>
      </c>
      <c r="AI29" s="819">
        <f>'Materials and electricity'!AA85/1000*Revenue!AM5/2</f>
        <v>0</v>
      </c>
      <c r="AJ29" s="817">
        <f>'Materials and electricity'!AB85/1000*Revenue!AN5/2</f>
        <v>0</v>
      </c>
      <c r="AK29" s="817">
        <f>'Materials and electricity'!AC85/1000*Revenue!AO5/2</f>
        <v>0</v>
      </c>
      <c r="AL29" s="817">
        <f>'Materials and electricity'!AD85/1000*Revenue!AP5/2</f>
        <v>0</v>
      </c>
      <c r="AM29" s="817">
        <f>'Materials and electricity'!AE85/1000*Revenue!AQ5/2</f>
        <v>0</v>
      </c>
      <c r="AN29" s="817">
        <f>'Materials and electricity'!AF85/1000*Revenue!AR5/2</f>
        <v>0</v>
      </c>
      <c r="AO29" s="817">
        <f>'Materials and electricity'!AG85/1000*Revenue!AS5/2</f>
        <v>0</v>
      </c>
      <c r="AP29" s="817">
        <f>'Materials and electricity'!AH85/1000*Revenue!AT5/2</f>
        <v>0</v>
      </c>
      <c r="AQ29" s="817">
        <f>'Materials and electricity'!AI85/1000*Revenue!AU5/2</f>
        <v>0</v>
      </c>
      <c r="AR29" s="817">
        <f>'Materials and electricity'!AJ85/1000*Revenue!AV5/2</f>
        <v>0</v>
      </c>
      <c r="AS29" s="817">
        <f>'Materials and electricity'!AK85/1000*Revenue!AW5/2</f>
        <v>0</v>
      </c>
      <c r="AT29" s="817">
        <f>'Materials and electricity'!AL85/1000*Revenue!AX5/2</f>
        <v>0</v>
      </c>
      <c r="AU29" s="413"/>
    </row>
    <row r="30" spans="1:47" ht="12.75">
      <c r="A30" s="723" t="s">
        <v>134</v>
      </c>
      <c r="B30" s="545"/>
      <c r="C30" s="505"/>
      <c r="D30" s="505"/>
      <c r="E30" s="505"/>
      <c r="F30" s="534"/>
      <c r="G30" s="1310">
        <f>Payroll!P117+Payroll!BI117+Payroll!DB117</f>
        <v>0</v>
      </c>
      <c r="H30" s="505">
        <f>Payroll!Q117+Payroll!BJ117+Payroll!DC117</f>
        <v>0</v>
      </c>
      <c r="I30" s="505">
        <f>Payroll!R117+Payroll!BK117+Payroll!DD117</f>
        <v>0</v>
      </c>
      <c r="J30" s="1308">
        <f>Payroll!S117+Payroll!BL117+Payroll!DE117</f>
        <v>0.21300000000000002</v>
      </c>
      <c r="K30" s="545">
        <f>Payroll!T117+Payroll!BM117+Payroll!DF117</f>
        <v>0.42600000000000005</v>
      </c>
      <c r="L30" s="505">
        <f>Payroll!U117+Payroll!BN117+Payroll!DG117</f>
        <v>0.42600000000000005</v>
      </c>
      <c r="M30" s="505">
        <f>Payroll!V117+Payroll!BO117+Payroll!DH117</f>
        <v>0.42600000000000005</v>
      </c>
      <c r="N30" s="505">
        <f>Payroll!W117+Payroll!BP117+Payroll!DI117</f>
        <v>0.42600000000000005</v>
      </c>
      <c r="O30" s="505">
        <f>Payroll!X117+Payroll!BQ117+Payroll!DJ117</f>
        <v>0.639</v>
      </c>
      <c r="P30" s="505">
        <f>Payroll!Y117+Payroll!BR117+Payroll!DK117</f>
        <v>0.639</v>
      </c>
      <c r="Q30" s="505">
        <f>Payroll!Z117+Payroll!BS117+Payroll!DL117</f>
        <v>0.639</v>
      </c>
      <c r="R30" s="505">
        <f>Payroll!AA117+Payroll!BT117+Payroll!DM117</f>
        <v>0.639</v>
      </c>
      <c r="S30" s="505">
        <f>Payroll!AB117+Payroll!BU117+Payroll!DN117</f>
        <v>0.8520000000000001</v>
      </c>
      <c r="T30" s="505">
        <f>Payroll!AC117+Payroll!BV117+Payroll!DO117</f>
        <v>0.8520000000000001</v>
      </c>
      <c r="U30" s="505">
        <f>Payroll!AD117+Payroll!BW117+Payroll!DP117</f>
        <v>0.8520000000000001</v>
      </c>
      <c r="V30" s="505">
        <f>Payroll!AE117+Payroll!BX117+Payroll!DQ117</f>
        <v>0.8520000000000001</v>
      </c>
      <c r="W30" s="505">
        <f>Payroll!AF117+Payroll!BY117+Payroll!DR117</f>
        <v>1.065</v>
      </c>
      <c r="X30" s="505">
        <f>Payroll!AG117+Payroll!BZ117+Payroll!DS117</f>
        <v>1.065</v>
      </c>
      <c r="Y30" s="505">
        <f>Payroll!AH117+Payroll!CA117+Payroll!DT117</f>
        <v>1.065</v>
      </c>
      <c r="Z30" s="505">
        <f>Payroll!AI117+Payroll!CB117+Payroll!DU117</f>
        <v>1.065</v>
      </c>
      <c r="AA30" s="505">
        <f>Payroll!AJ117+Payroll!CC117+Payroll!DV117</f>
        <v>1.065</v>
      </c>
      <c r="AB30" s="505">
        <f>Payroll!AK117+Payroll!CD117+Payroll!DW117</f>
        <v>1.065</v>
      </c>
      <c r="AC30" s="505">
        <f>Payroll!AL117+Payroll!CE117+Payroll!DX117</f>
        <v>1.065</v>
      </c>
      <c r="AD30" s="534">
        <f>Payroll!AM117+Payroll!CF117+Payroll!DY117</f>
        <v>1.065</v>
      </c>
      <c r="AE30" s="567">
        <f>Payroll!AN117+Payroll!CG117+Payroll!DZ117</f>
        <v>1.065</v>
      </c>
      <c r="AF30" s="505">
        <f>Payroll!AO117+Payroll!CH117+Payroll!EA117</f>
        <v>1.065</v>
      </c>
      <c r="AG30" s="505">
        <f>Payroll!AP117+Payroll!CI117+Payroll!EB117</f>
        <v>1.065</v>
      </c>
      <c r="AH30" s="568">
        <f>Payroll!AQ117+Payroll!CJ117+Payroll!EC117</f>
        <v>1.065</v>
      </c>
      <c r="AI30" s="545"/>
      <c r="AJ30" s="505"/>
      <c r="AK30" s="568"/>
      <c r="AL30" s="568"/>
      <c r="AM30" s="568"/>
      <c r="AN30" s="568"/>
      <c r="AO30" s="568"/>
      <c r="AP30" s="568"/>
      <c r="AQ30" s="568">
        <f t="shared" si="0"/>
        <v>20.661000000000005</v>
      </c>
      <c r="AR30" s="924"/>
      <c r="AS30" s="439">
        <f t="shared" si="1"/>
        <v>20.661000000000005</v>
      </c>
      <c r="AT30" s="413">
        <f t="shared" si="2"/>
        <v>6.669061316374832E-05</v>
      </c>
      <c r="AU30" s="238"/>
    </row>
    <row r="31" spans="1:47" s="828" customFormat="1" ht="12.75">
      <c r="A31" s="821" t="s">
        <v>113</v>
      </c>
      <c r="B31" s="825"/>
      <c r="C31" s="823"/>
      <c r="D31" s="823"/>
      <c r="E31" s="823"/>
      <c r="F31" s="826"/>
      <c r="G31" s="826">
        <f>Revenue!K8*1000000*'Materials and electricity'!$B$89/1000</f>
        <v>24.827587199999993</v>
      </c>
      <c r="H31" s="823">
        <f>Revenue!L8*1000000*'Materials and electricity'!$B$89/1000</f>
        <v>23.985808703999997</v>
      </c>
      <c r="I31" s="823">
        <f>Revenue!M8*1000000*'Materials and electricity'!$B$89/1000</f>
        <v>25.372526399999998</v>
      </c>
      <c r="J31" s="1309">
        <f>Revenue!N8*1000000*'Materials and electricity'!$B$89/1000</f>
        <v>25.102149071999996</v>
      </c>
      <c r="K31" s="825">
        <f>Revenue!O8*1000000*'Materials and electricity'!$B$89/1000</f>
        <v>28.0777068</v>
      </c>
      <c r="L31" s="823">
        <f>Revenue!P8*1000000*'Materials and electricity'!$B$89/1000</f>
        <v>28.0777068</v>
      </c>
      <c r="M31" s="823">
        <f>Revenue!Q8*1000000*'Materials and electricity'!$B$89/1000</f>
        <v>28.0777068</v>
      </c>
      <c r="N31" s="823">
        <f>Revenue!R8*1000000*'Materials and electricity'!$B$89/1000</f>
        <v>28.0777068</v>
      </c>
      <c r="O31" s="823">
        <f>Revenue!S8*1000000*'Materials and electricity'!$B$89/1000</f>
        <v>51.503166</v>
      </c>
      <c r="P31" s="823">
        <f>Revenue!T8*1000000*'Materials and electricity'!$B$89/1000</f>
        <v>51.503166</v>
      </c>
      <c r="Q31" s="823">
        <f>Revenue!U8*1000000*'Materials and electricity'!$B$89/1000</f>
        <v>51.503166</v>
      </c>
      <c r="R31" s="823">
        <f>Revenue!V8*1000000*'Materials and electricity'!$B$89/1000</f>
        <v>51.503166</v>
      </c>
      <c r="S31" s="823">
        <f>Revenue!W8*1000000*'Materials and electricity'!$B$89/1000</f>
        <v>61.8074028</v>
      </c>
      <c r="T31" s="823">
        <f>Revenue!X8*1000000*'Materials and electricity'!$B$89/1000</f>
        <v>61.8074028</v>
      </c>
      <c r="U31" s="823">
        <f>Revenue!Y8*1000000*'Materials and electricity'!$B$89/1000</f>
        <v>61.8074028</v>
      </c>
      <c r="V31" s="823">
        <f>Revenue!Z8*1000000*'Materials and electricity'!$B$89/1000</f>
        <v>61.8074028</v>
      </c>
      <c r="W31" s="823">
        <f>Revenue!AA8*1000000*'Materials and electricity'!$B$89/1000</f>
        <v>61.8074028</v>
      </c>
      <c r="X31" s="823">
        <f>Revenue!AB8*1000000*'Materials and electricity'!$B$89/1000</f>
        <v>61.8074028</v>
      </c>
      <c r="Y31" s="823">
        <f>Revenue!AC8*1000000*'Materials and electricity'!$B$89/1000</f>
        <v>61.8074028</v>
      </c>
      <c r="Z31" s="823">
        <f>Revenue!AD8*1000000*'Materials and electricity'!$B$89/1000</f>
        <v>61.8074028</v>
      </c>
      <c r="AA31" s="823">
        <f>Revenue!AE8*1000000*'Materials and electricity'!$B$89/1000</f>
        <v>61.8074028</v>
      </c>
      <c r="AB31" s="823">
        <f>Revenue!AF8*1000000*'Materials and electricity'!$B$89/1000</f>
        <v>61.8074028</v>
      </c>
      <c r="AC31" s="823">
        <f>Revenue!AG8*1000000*'Materials and electricity'!$B$89/1000</f>
        <v>61.8074028</v>
      </c>
      <c r="AD31" s="826">
        <f>Revenue!AH8*1000000*'Materials and electricity'!$B$89/1000</f>
        <v>61.8074028</v>
      </c>
      <c r="AE31" s="822">
        <f>Revenue!AI8*1000000*'Materials and electricity'!$B$89/1000</f>
        <v>61.8074028</v>
      </c>
      <c r="AF31" s="823">
        <f>Revenue!AJ8*1000000*'Materials and electricity'!$B$89/1000</f>
        <v>61.8074028</v>
      </c>
      <c r="AG31" s="823">
        <f>Revenue!AK8*1000000*'Materials and electricity'!$B$89/1000</f>
        <v>61.8074028</v>
      </c>
      <c r="AH31" s="824">
        <f>Revenue!AL8*1000000*'Materials and electricity'!$B$89/1000</f>
        <v>61.8074028</v>
      </c>
      <c r="AI31" s="825"/>
      <c r="AJ31" s="823"/>
      <c r="AK31" s="824"/>
      <c r="AL31" s="824"/>
      <c r="AM31" s="824"/>
      <c r="AN31" s="824"/>
      <c r="AO31" s="824"/>
      <c r="AP31" s="824"/>
      <c r="AQ31" s="824">
        <f t="shared" si="0"/>
        <v>1406.5300073760004</v>
      </c>
      <c r="AR31" s="924"/>
      <c r="AS31" s="439">
        <f t="shared" si="1"/>
        <v>1406.5300073760004</v>
      </c>
      <c r="AT31" s="413">
        <f t="shared" si="2"/>
        <v>0.00454006817797381</v>
      </c>
      <c r="AU31" s="827"/>
    </row>
    <row r="32" spans="1:47" ht="12.75">
      <c r="A32" s="724" t="s">
        <v>420</v>
      </c>
      <c r="B32" s="539"/>
      <c r="C32" s="320"/>
      <c r="D32" s="320"/>
      <c r="E32" s="320"/>
      <c r="F32" s="527"/>
      <c r="G32" s="1306">
        <f>155.859*1.506/12*3</f>
        <v>58.6809135</v>
      </c>
      <c r="H32" s="320">
        <f>155.859*1.506/12*3</f>
        <v>58.6809135</v>
      </c>
      <c r="I32" s="320">
        <f>155.859*1.506/12*3</f>
        <v>58.6809135</v>
      </c>
      <c r="J32" s="320">
        <f>155.859*1.506/12*3</f>
        <v>58.6809135</v>
      </c>
      <c r="K32" s="539">
        <f>SUM(Payroll!T116,Payroll!T115,Payroll!BM114,Payroll!BM116,Payroll!DF114,Payroll!DF116)</f>
        <v>64.1556</v>
      </c>
      <c r="L32" s="320">
        <f>SUM(Payroll!U116,Payroll!U115,Payroll!BN114,Payroll!BN116,Payroll!DG114,Payroll!DG116)</f>
        <v>64.1556</v>
      </c>
      <c r="M32" s="320">
        <f>SUM(Payroll!V116,Payroll!V115,Payroll!BO114,Payroll!BO116,Payroll!DH114,Payroll!DH116)</f>
        <v>64.1556</v>
      </c>
      <c r="N32" s="320">
        <f>SUM(Payroll!W116,Payroll!W115,Payroll!BP114,Payroll!BP116,Payroll!DI114,Payroll!DI116)</f>
        <v>64.1556</v>
      </c>
      <c r="O32" s="320">
        <f>SUM(Payroll!X116,Payroll!X115,Payroll!BQ114,Payroll!BQ116,Payroll!DJ114,Payroll!DJ116)</f>
        <v>96.23340000000002</v>
      </c>
      <c r="P32" s="320">
        <f>SUM(Payroll!Y116,Payroll!Y115,Payroll!BR114,Payroll!BR116,Payroll!DK114,Payroll!DK116)</f>
        <v>96.23340000000002</v>
      </c>
      <c r="Q32" s="320">
        <f>SUM(Payroll!Z116,Payroll!Z115,Payroll!BS114,Payroll!BS116,Payroll!DL114,Payroll!DL116)</f>
        <v>96.23340000000002</v>
      </c>
      <c r="R32" s="320">
        <f>SUM(Payroll!AA116,Payroll!AA115,Payroll!BT114,Payroll!BT116,Payroll!DM114,Payroll!DM116)</f>
        <v>96.23340000000002</v>
      </c>
      <c r="S32" s="320">
        <f>SUM(Payroll!AB116,Payroll!AB115,Payroll!BU114,Payroll!BU116,Payroll!DN114,Payroll!DN116)</f>
        <v>128.3112</v>
      </c>
      <c r="T32" s="320">
        <f>SUM(Payroll!AC116,Payroll!AC115,Payroll!BV114,Payroll!BV116,Payroll!DO114,Payroll!DO116)</f>
        <v>128.3112</v>
      </c>
      <c r="U32" s="320">
        <f>SUM(Payroll!AD116,Payroll!AD115,Payroll!BW114,Payroll!BW116,Payroll!DP114,Payroll!DP116)</f>
        <v>128.3112</v>
      </c>
      <c r="V32" s="320">
        <f>SUM(Payroll!AE116,Payroll!AE115,Payroll!BX114,Payroll!BX116,Payroll!DQ114,Payroll!DQ116)</f>
        <v>128.3112</v>
      </c>
      <c r="W32" s="320">
        <f>SUM(Payroll!AF116,Payroll!AF115,Payroll!BY114,Payroll!BY116,Payroll!DR114,Payroll!DR116)</f>
        <v>160.389</v>
      </c>
      <c r="X32" s="320">
        <f>SUM(Payroll!AG116,Payroll!AG115,Payroll!BZ114,Payroll!BZ116,Payroll!DS114,Payroll!DS116)</f>
        <v>160.389</v>
      </c>
      <c r="Y32" s="320">
        <f>SUM(Payroll!AH116,Payroll!AH115,Payroll!CA114,Payroll!CA116,Payroll!DT114,Payroll!DT116)</f>
        <v>160.389</v>
      </c>
      <c r="Z32" s="320">
        <f>SUM(Payroll!AI116,Payroll!AI115,Payroll!CB114,Payroll!CB116,Payroll!DU114,Payroll!DU116)</f>
        <v>160.389</v>
      </c>
      <c r="AA32" s="320">
        <f>SUM(Payroll!AJ116,Payroll!AJ115,Payroll!CC114,Payroll!CC116,Payroll!DV114,Payroll!DV116)</f>
        <v>160.389</v>
      </c>
      <c r="AB32" s="320">
        <f>SUM(Payroll!AK116,Payroll!AK115,Payroll!CD114,Payroll!CD116,Payroll!DW114,Payroll!DW116)</f>
        <v>160.389</v>
      </c>
      <c r="AC32" s="320">
        <f>SUM(Payroll!AL116,Payroll!AL115,Payroll!CE114,Payroll!CE116,Payroll!DX114,Payroll!DX116)</f>
        <v>160.389</v>
      </c>
      <c r="AD32" s="527">
        <f>SUM(Payroll!AM116,Payroll!AM115,Payroll!CF114,Payroll!CF116,Payroll!DY114,Payroll!DY116)</f>
        <v>160.389</v>
      </c>
      <c r="AE32" s="554">
        <f>SUM(Payroll!AN116,Payroll!AN115,Payroll!CG114,Payroll!CG116,Payroll!DZ114,Payroll!DZ116)</f>
        <v>160.389</v>
      </c>
      <c r="AF32" s="320">
        <f>SUM(Payroll!AO116,Payroll!AO115,Payroll!CH114,Payroll!CH116,Payroll!EA114,Payroll!EA116)</f>
        <v>160.389</v>
      </c>
      <c r="AG32" s="320">
        <f>SUM(Payroll!AP116,Payroll!AP115,Payroll!CI114,Payroll!CI116,Payroll!EB114,Payroll!EB116)</f>
        <v>160.389</v>
      </c>
      <c r="AH32" s="555">
        <f>SUM(Payroll!AQ116,Payroll!AQ115,Payroll!CJ114,Payroll!CJ116,Payroll!EC114,Payroll!EC116)</f>
        <v>160.389</v>
      </c>
      <c r="AI32" s="539"/>
      <c r="AJ32" s="320"/>
      <c r="AK32" s="555"/>
      <c r="AL32" s="555"/>
      <c r="AM32" s="555"/>
      <c r="AN32" s="555"/>
      <c r="AO32" s="555"/>
      <c r="AP32" s="555"/>
      <c r="AQ32" s="555">
        <f t="shared" si="0"/>
        <v>3314.192454000002</v>
      </c>
      <c r="AR32" s="924"/>
      <c r="AS32" s="439">
        <f t="shared" si="1"/>
        <v>3314.192454000002</v>
      </c>
      <c r="AT32" s="413">
        <f t="shared" si="2"/>
        <v>0.010697716804604221</v>
      </c>
      <c r="AU32" s="413"/>
    </row>
    <row r="33" spans="1:47" ht="13.5" thickBot="1">
      <c r="A33" s="725" t="s">
        <v>135</v>
      </c>
      <c r="B33" s="1128"/>
      <c r="C33" s="1112"/>
      <c r="D33" s="1112"/>
      <c r="E33" s="1112"/>
      <c r="F33" s="1124"/>
      <c r="G33" s="1128">
        <f>SUM(G29:G32)*0.25</f>
        <v>21.722775175</v>
      </c>
      <c r="H33" s="1128">
        <f>SUM(H29:H32)*0.25</f>
        <v>21.512330550999998</v>
      </c>
      <c r="I33" s="1128">
        <f>SUM(I29:I32)*0.25</f>
        <v>21.859009975</v>
      </c>
      <c r="J33" s="1128">
        <f>SUM(J29:J32)*0.25</f>
        <v>21.844665643</v>
      </c>
      <c r="K33" s="1128">
        <f aca="true" t="shared" si="6" ref="K33:AH33">SUM(K29:K32)*0.25</f>
        <v>24.856126700000004</v>
      </c>
      <c r="L33" s="1112">
        <f t="shared" si="6"/>
        <v>24.856126700000004</v>
      </c>
      <c r="M33" s="1112">
        <f t="shared" si="6"/>
        <v>24.856126700000004</v>
      </c>
      <c r="N33" s="1112">
        <f t="shared" si="6"/>
        <v>24.856126700000004</v>
      </c>
      <c r="O33" s="1112">
        <f t="shared" si="6"/>
        <v>39.6308415</v>
      </c>
      <c r="P33" s="1112">
        <f t="shared" si="6"/>
        <v>39.6308415</v>
      </c>
      <c r="Q33" s="1112">
        <f t="shared" si="6"/>
        <v>39.6308415</v>
      </c>
      <c r="R33" s="1112">
        <f t="shared" si="6"/>
        <v>39.6308415</v>
      </c>
      <c r="S33" s="1112">
        <f t="shared" si="6"/>
        <v>51.1252507</v>
      </c>
      <c r="T33" s="1112">
        <f t="shared" si="6"/>
        <v>51.1252507</v>
      </c>
      <c r="U33" s="1112">
        <f t="shared" si="6"/>
        <v>51.1252507</v>
      </c>
      <c r="V33" s="1112">
        <f t="shared" si="6"/>
        <v>51.1252507</v>
      </c>
      <c r="W33" s="1112">
        <f t="shared" si="6"/>
        <v>60.0436007</v>
      </c>
      <c r="X33" s="1112">
        <f t="shared" si="6"/>
        <v>60.0436007</v>
      </c>
      <c r="Y33" s="1112">
        <f t="shared" si="6"/>
        <v>60.0436007</v>
      </c>
      <c r="Z33" s="1112">
        <f t="shared" si="6"/>
        <v>60.0436007</v>
      </c>
      <c r="AA33" s="1112">
        <f t="shared" si="6"/>
        <v>60.0436007</v>
      </c>
      <c r="AB33" s="1112">
        <f t="shared" si="6"/>
        <v>60.0436007</v>
      </c>
      <c r="AC33" s="1112">
        <f t="shared" si="6"/>
        <v>60.0436007</v>
      </c>
      <c r="AD33" s="1124">
        <f t="shared" si="6"/>
        <v>60.0436007</v>
      </c>
      <c r="AE33" s="1133">
        <f t="shared" si="6"/>
        <v>60.0436007</v>
      </c>
      <c r="AF33" s="1112">
        <f t="shared" si="6"/>
        <v>60.0436007</v>
      </c>
      <c r="AG33" s="1112">
        <f t="shared" si="6"/>
        <v>60.0436007</v>
      </c>
      <c r="AH33" s="1134">
        <f t="shared" si="6"/>
        <v>60.0436007</v>
      </c>
      <c r="AI33" s="546"/>
      <c r="AJ33" s="514"/>
      <c r="AK33" s="569"/>
      <c r="AL33" s="569"/>
      <c r="AM33" s="569"/>
      <c r="AN33" s="569"/>
      <c r="AO33" s="569"/>
      <c r="AP33" s="569"/>
      <c r="AQ33" s="569">
        <f t="shared" si="0"/>
        <v>1269.9108653439998</v>
      </c>
      <c r="AR33" s="924"/>
      <c r="AS33" s="439">
        <f t="shared" si="1"/>
        <v>1269.9108653439998</v>
      </c>
      <c r="AT33" s="413">
        <f t="shared" si="2"/>
        <v>0.004099082051841515</v>
      </c>
      <c r="AU33" s="238"/>
    </row>
    <row r="34" spans="1:47" ht="13.5" customHeight="1" hidden="1" thickBot="1">
      <c r="A34" s="1138" t="s">
        <v>47</v>
      </c>
      <c r="B34" s="1129"/>
      <c r="C34" s="1113"/>
      <c r="D34" s="1113"/>
      <c r="E34" s="1113"/>
      <c r="F34" s="1125"/>
      <c r="G34" s="1135"/>
      <c r="H34" s="1113"/>
      <c r="I34" s="1113"/>
      <c r="J34" s="1136"/>
      <c r="K34" s="1129"/>
      <c r="L34" s="1113"/>
      <c r="M34" s="1113"/>
      <c r="N34" s="1113"/>
      <c r="O34" s="1113"/>
      <c r="P34" s="1113"/>
      <c r="Q34" s="1113"/>
      <c r="R34" s="1113"/>
      <c r="S34" s="1113"/>
      <c r="T34" s="1113"/>
      <c r="U34" s="1113"/>
      <c r="V34" s="1113"/>
      <c r="W34" s="1113"/>
      <c r="X34" s="1113"/>
      <c r="Y34" s="1113"/>
      <c r="Z34" s="1113"/>
      <c r="AA34" s="1113"/>
      <c r="AB34" s="1113"/>
      <c r="AC34" s="1113"/>
      <c r="AD34" s="1125"/>
      <c r="AE34" s="1135"/>
      <c r="AF34" s="1113"/>
      <c r="AG34" s="1113"/>
      <c r="AH34" s="1136"/>
      <c r="AI34" s="721"/>
      <c r="AJ34" s="715"/>
      <c r="AK34" s="718"/>
      <c r="AL34" s="802"/>
      <c r="AM34" s="802"/>
      <c r="AN34" s="802"/>
      <c r="AO34" s="802"/>
      <c r="AP34" s="802"/>
      <c r="AQ34" s="802">
        <f t="shared" si="0"/>
        <v>0</v>
      </c>
      <c r="AR34" s="924"/>
      <c r="AS34" s="439">
        <f t="shared" si="1"/>
        <v>0</v>
      </c>
      <c r="AT34" s="413">
        <f t="shared" si="2"/>
        <v>0</v>
      </c>
      <c r="AU34" s="612"/>
    </row>
    <row r="35" spans="1:47" ht="12.75" customHeight="1" hidden="1">
      <c r="A35" s="726" t="s">
        <v>48</v>
      </c>
      <c r="B35" s="542"/>
      <c r="C35" s="319"/>
      <c r="D35" s="319"/>
      <c r="E35" s="319"/>
      <c r="F35" s="530"/>
      <c r="G35" s="560"/>
      <c r="H35" s="319"/>
      <c r="I35" s="319"/>
      <c r="J35" s="561"/>
      <c r="K35" s="542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530"/>
      <c r="AE35" s="560"/>
      <c r="AF35" s="319"/>
      <c r="AG35" s="319"/>
      <c r="AH35" s="561"/>
      <c r="AI35" s="547"/>
      <c r="AJ35" s="516"/>
      <c r="AK35" s="570"/>
      <c r="AL35" s="803"/>
      <c r="AM35" s="803"/>
      <c r="AN35" s="803"/>
      <c r="AO35" s="803"/>
      <c r="AP35" s="803"/>
      <c r="AQ35" s="803">
        <f t="shared" si="0"/>
        <v>0</v>
      </c>
      <c r="AR35" s="924"/>
      <c r="AS35" s="439">
        <f t="shared" si="1"/>
        <v>0</v>
      </c>
      <c r="AT35" s="413">
        <f t="shared" si="2"/>
        <v>0</v>
      </c>
      <c r="AU35" s="612"/>
    </row>
    <row r="36" spans="1:47" ht="12.75" customHeight="1" hidden="1">
      <c r="A36" s="727" t="s">
        <v>51</v>
      </c>
      <c r="B36" s="543"/>
      <c r="C36" s="449"/>
      <c r="D36" s="449"/>
      <c r="E36" s="449"/>
      <c r="F36" s="531"/>
      <c r="G36" s="562"/>
      <c r="H36" s="449"/>
      <c r="I36" s="449"/>
      <c r="J36" s="563"/>
      <c r="K36" s="543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531"/>
      <c r="AE36" s="562"/>
      <c r="AF36" s="449"/>
      <c r="AG36" s="449"/>
      <c r="AH36" s="563"/>
      <c r="AI36" s="543"/>
      <c r="AJ36" s="449"/>
      <c r="AK36" s="563"/>
      <c r="AL36" s="563"/>
      <c r="AM36" s="563"/>
      <c r="AN36" s="563"/>
      <c r="AO36" s="563"/>
      <c r="AP36" s="563"/>
      <c r="AQ36" s="563">
        <f t="shared" si="0"/>
        <v>0</v>
      </c>
      <c r="AR36" s="924"/>
      <c r="AS36" s="439">
        <f t="shared" si="1"/>
        <v>0</v>
      </c>
      <c r="AT36" s="413">
        <f t="shared" si="2"/>
        <v>0</v>
      </c>
      <c r="AU36" s="413"/>
    </row>
    <row r="37" spans="1:47" ht="12.75" customHeight="1" hidden="1">
      <c r="A37" s="728" t="s">
        <v>0</v>
      </c>
      <c r="B37" s="544"/>
      <c r="C37" s="503"/>
      <c r="D37" s="503"/>
      <c r="E37" s="503"/>
      <c r="F37" s="532"/>
      <c r="G37" s="564"/>
      <c r="H37" s="503"/>
      <c r="I37" s="503"/>
      <c r="J37" s="565"/>
      <c r="K37" s="544"/>
      <c r="L37" s="503"/>
      <c r="M37" s="503"/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32"/>
      <c r="AE37" s="564"/>
      <c r="AF37" s="503"/>
      <c r="AG37" s="503"/>
      <c r="AH37" s="565"/>
      <c r="AI37" s="544"/>
      <c r="AJ37" s="503"/>
      <c r="AK37" s="565"/>
      <c r="AL37" s="565"/>
      <c r="AM37" s="565"/>
      <c r="AN37" s="565"/>
      <c r="AO37" s="565"/>
      <c r="AP37" s="565"/>
      <c r="AQ37" s="565">
        <f t="shared" si="0"/>
        <v>0</v>
      </c>
      <c r="AR37" s="924"/>
      <c r="AS37" s="439">
        <f t="shared" si="1"/>
        <v>0</v>
      </c>
      <c r="AT37" s="413">
        <f t="shared" si="2"/>
        <v>0</v>
      </c>
      <c r="AU37" s="413"/>
    </row>
    <row r="38" spans="1:47" ht="12.75" customHeight="1" hidden="1">
      <c r="A38" s="723" t="s">
        <v>45</v>
      </c>
      <c r="B38" s="538"/>
      <c r="C38" s="504"/>
      <c r="D38" s="504"/>
      <c r="E38" s="504"/>
      <c r="F38" s="526"/>
      <c r="G38" s="552"/>
      <c r="H38" s="504"/>
      <c r="I38" s="504"/>
      <c r="J38" s="553"/>
      <c r="K38" s="538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526"/>
      <c r="AE38" s="552"/>
      <c r="AF38" s="504"/>
      <c r="AG38" s="504"/>
      <c r="AH38" s="553"/>
      <c r="AI38" s="538"/>
      <c r="AJ38" s="504"/>
      <c r="AK38" s="553"/>
      <c r="AL38" s="553"/>
      <c r="AM38" s="553"/>
      <c r="AN38" s="553"/>
      <c r="AO38" s="553"/>
      <c r="AP38" s="553"/>
      <c r="AQ38" s="553">
        <f t="shared" si="0"/>
        <v>0</v>
      </c>
      <c r="AR38" s="924"/>
      <c r="AS38" s="439">
        <f t="shared" si="1"/>
        <v>0</v>
      </c>
      <c r="AT38" s="413">
        <f t="shared" si="2"/>
        <v>0</v>
      </c>
      <c r="AU38" s="413"/>
    </row>
    <row r="39" spans="1:47" ht="12.75" customHeight="1" hidden="1">
      <c r="A39" s="724" t="s">
        <v>46</v>
      </c>
      <c r="B39" s="539"/>
      <c r="C39" s="320"/>
      <c r="D39" s="320"/>
      <c r="E39" s="320"/>
      <c r="F39" s="527"/>
      <c r="G39" s="554"/>
      <c r="H39" s="320"/>
      <c r="I39" s="320"/>
      <c r="J39" s="555"/>
      <c r="K39" s="539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527"/>
      <c r="AE39" s="554"/>
      <c r="AF39" s="320"/>
      <c r="AG39" s="320"/>
      <c r="AH39" s="555"/>
      <c r="AI39" s="539"/>
      <c r="AJ39" s="320"/>
      <c r="AK39" s="555"/>
      <c r="AL39" s="555"/>
      <c r="AM39" s="555"/>
      <c r="AN39" s="555"/>
      <c r="AO39" s="555"/>
      <c r="AP39" s="555"/>
      <c r="AQ39" s="555">
        <f t="shared" si="0"/>
        <v>0</v>
      </c>
      <c r="AR39" s="924"/>
      <c r="AS39" s="439">
        <f t="shared" si="1"/>
        <v>0</v>
      </c>
      <c r="AT39" s="413">
        <f t="shared" si="2"/>
        <v>0</v>
      </c>
      <c r="AU39" s="413"/>
    </row>
    <row r="40" spans="1:47" ht="12.75" customHeight="1" hidden="1">
      <c r="A40" s="725" t="s">
        <v>44</v>
      </c>
      <c r="B40" s="540"/>
      <c r="C40" s="507"/>
      <c r="D40" s="507"/>
      <c r="E40" s="507"/>
      <c r="F40" s="528"/>
      <c r="G40" s="556"/>
      <c r="H40" s="507"/>
      <c r="I40" s="507"/>
      <c r="J40" s="557"/>
      <c r="K40" s="540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28"/>
      <c r="AE40" s="556"/>
      <c r="AF40" s="507"/>
      <c r="AG40" s="507"/>
      <c r="AH40" s="557"/>
      <c r="AI40" s="540"/>
      <c r="AJ40" s="507"/>
      <c r="AK40" s="557"/>
      <c r="AL40" s="557"/>
      <c r="AM40" s="557"/>
      <c r="AN40" s="557"/>
      <c r="AO40" s="557"/>
      <c r="AP40" s="557"/>
      <c r="AQ40" s="557">
        <f t="shared" si="0"/>
        <v>0</v>
      </c>
      <c r="AR40" s="924"/>
      <c r="AS40" s="439">
        <f t="shared" si="1"/>
        <v>0</v>
      </c>
      <c r="AT40" s="413">
        <f t="shared" si="2"/>
        <v>0</v>
      </c>
      <c r="AU40" s="413"/>
    </row>
    <row r="41" spans="1:47" ht="25.5" customHeight="1" hidden="1">
      <c r="A41" s="731" t="s">
        <v>14</v>
      </c>
      <c r="B41" s="542"/>
      <c r="C41" s="319"/>
      <c r="D41" s="319"/>
      <c r="E41" s="319"/>
      <c r="F41" s="530"/>
      <c r="G41" s="560"/>
      <c r="H41" s="319"/>
      <c r="I41" s="319"/>
      <c r="J41" s="561"/>
      <c r="K41" s="542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530"/>
      <c r="AE41" s="560"/>
      <c r="AF41" s="319"/>
      <c r="AG41" s="319"/>
      <c r="AH41" s="561"/>
      <c r="AI41" s="542"/>
      <c r="AJ41" s="319"/>
      <c r="AK41" s="561"/>
      <c r="AL41" s="801"/>
      <c r="AM41" s="801"/>
      <c r="AN41" s="801"/>
      <c r="AO41" s="801"/>
      <c r="AP41" s="801"/>
      <c r="AQ41" s="801">
        <f t="shared" si="0"/>
        <v>0</v>
      </c>
      <c r="AR41" s="924"/>
      <c r="AS41" s="439">
        <f t="shared" si="1"/>
        <v>0</v>
      </c>
      <c r="AT41" s="413">
        <f t="shared" si="2"/>
        <v>0</v>
      </c>
      <c r="AU41" s="612"/>
    </row>
    <row r="42" spans="1:47" ht="12.75" customHeight="1" hidden="1">
      <c r="A42" s="727" t="s">
        <v>51</v>
      </c>
      <c r="B42" s="543"/>
      <c r="C42" s="449"/>
      <c r="D42" s="449"/>
      <c r="E42" s="449"/>
      <c r="F42" s="531"/>
      <c r="G42" s="562"/>
      <c r="H42" s="449"/>
      <c r="I42" s="449"/>
      <c r="J42" s="563"/>
      <c r="K42" s="543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531"/>
      <c r="AE42" s="562"/>
      <c r="AF42" s="449"/>
      <c r="AG42" s="449"/>
      <c r="AH42" s="563"/>
      <c r="AI42" s="543"/>
      <c r="AJ42" s="449"/>
      <c r="AK42" s="563"/>
      <c r="AL42" s="563"/>
      <c r="AM42" s="563"/>
      <c r="AN42" s="563"/>
      <c r="AO42" s="563"/>
      <c r="AP42" s="563"/>
      <c r="AQ42" s="563">
        <f t="shared" si="0"/>
        <v>0</v>
      </c>
      <c r="AR42" s="924"/>
      <c r="AS42" s="439">
        <f t="shared" si="1"/>
        <v>0</v>
      </c>
      <c r="AT42" s="413">
        <f t="shared" si="2"/>
        <v>0</v>
      </c>
      <c r="AU42" s="413"/>
    </row>
    <row r="43" spans="1:47" ht="12.75" customHeight="1" hidden="1">
      <c r="A43" s="728" t="s">
        <v>0</v>
      </c>
      <c r="B43" s="544"/>
      <c r="C43" s="503"/>
      <c r="D43" s="503"/>
      <c r="E43" s="503"/>
      <c r="F43" s="532"/>
      <c r="G43" s="564"/>
      <c r="H43" s="503"/>
      <c r="I43" s="503"/>
      <c r="J43" s="565"/>
      <c r="K43" s="544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32"/>
      <c r="AE43" s="564"/>
      <c r="AF43" s="503"/>
      <c r="AG43" s="503"/>
      <c r="AH43" s="565"/>
      <c r="AI43" s="544"/>
      <c r="AJ43" s="503"/>
      <c r="AK43" s="565"/>
      <c r="AL43" s="565"/>
      <c r="AM43" s="565"/>
      <c r="AN43" s="565"/>
      <c r="AO43" s="565"/>
      <c r="AP43" s="565"/>
      <c r="AQ43" s="565">
        <f t="shared" si="0"/>
        <v>0</v>
      </c>
      <c r="AR43" s="924"/>
      <c r="AS43" s="439">
        <f t="shared" si="1"/>
        <v>0</v>
      </c>
      <c r="AT43" s="413">
        <f t="shared" si="2"/>
        <v>0</v>
      </c>
      <c r="AU43" s="413"/>
    </row>
    <row r="44" spans="1:47" ht="12.75" customHeight="1" hidden="1">
      <c r="A44" s="723" t="s">
        <v>45</v>
      </c>
      <c r="B44" s="538"/>
      <c r="C44" s="504"/>
      <c r="D44" s="504"/>
      <c r="E44" s="504"/>
      <c r="F44" s="526"/>
      <c r="G44" s="552"/>
      <c r="H44" s="504"/>
      <c r="I44" s="504"/>
      <c r="J44" s="553"/>
      <c r="K44" s="538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504"/>
      <c r="X44" s="504"/>
      <c r="Y44" s="504"/>
      <c r="Z44" s="504"/>
      <c r="AA44" s="504"/>
      <c r="AB44" s="504"/>
      <c r="AC44" s="504"/>
      <c r="AD44" s="526"/>
      <c r="AE44" s="552"/>
      <c r="AF44" s="504"/>
      <c r="AG44" s="504"/>
      <c r="AH44" s="553"/>
      <c r="AI44" s="538"/>
      <c r="AJ44" s="504"/>
      <c r="AK44" s="553"/>
      <c r="AL44" s="553"/>
      <c r="AM44" s="553"/>
      <c r="AN44" s="553"/>
      <c r="AO44" s="553"/>
      <c r="AP44" s="553"/>
      <c r="AQ44" s="553">
        <f t="shared" si="0"/>
        <v>0</v>
      </c>
      <c r="AR44" s="924"/>
      <c r="AS44" s="439">
        <f t="shared" si="1"/>
        <v>0</v>
      </c>
      <c r="AT44" s="413">
        <f t="shared" si="2"/>
        <v>0</v>
      </c>
      <c r="AU44" s="413"/>
    </row>
    <row r="45" spans="1:47" ht="12.75" customHeight="1" hidden="1">
      <c r="A45" s="724" t="s">
        <v>46</v>
      </c>
      <c r="B45" s="539"/>
      <c r="C45" s="320"/>
      <c r="D45" s="320"/>
      <c r="E45" s="320"/>
      <c r="F45" s="527"/>
      <c r="G45" s="554"/>
      <c r="H45" s="320"/>
      <c r="I45" s="320"/>
      <c r="J45" s="555"/>
      <c r="K45" s="539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527"/>
      <c r="AE45" s="554"/>
      <c r="AF45" s="320"/>
      <c r="AG45" s="320"/>
      <c r="AH45" s="555"/>
      <c r="AI45" s="539"/>
      <c r="AJ45" s="320"/>
      <c r="AK45" s="555"/>
      <c r="AL45" s="555"/>
      <c r="AM45" s="555"/>
      <c r="AN45" s="555"/>
      <c r="AO45" s="555"/>
      <c r="AP45" s="555"/>
      <c r="AQ45" s="555">
        <f t="shared" si="0"/>
        <v>0</v>
      </c>
      <c r="AR45" s="924"/>
      <c r="AS45" s="439">
        <f t="shared" si="1"/>
        <v>0</v>
      </c>
      <c r="AT45" s="413">
        <f t="shared" si="2"/>
        <v>0</v>
      </c>
      <c r="AU45" s="413"/>
    </row>
    <row r="46" spans="1:47" ht="12.75" customHeight="1" hidden="1">
      <c r="A46" s="725" t="s">
        <v>44</v>
      </c>
      <c r="B46" s="540"/>
      <c r="C46" s="507"/>
      <c r="D46" s="507"/>
      <c r="E46" s="507"/>
      <c r="F46" s="528"/>
      <c r="G46" s="556"/>
      <c r="H46" s="507"/>
      <c r="I46" s="507"/>
      <c r="J46" s="557"/>
      <c r="K46" s="540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28"/>
      <c r="AE46" s="556"/>
      <c r="AF46" s="507"/>
      <c r="AG46" s="507"/>
      <c r="AH46" s="557"/>
      <c r="AI46" s="540"/>
      <c r="AJ46" s="507"/>
      <c r="AK46" s="557"/>
      <c r="AL46" s="557"/>
      <c r="AM46" s="557"/>
      <c r="AN46" s="557"/>
      <c r="AO46" s="557"/>
      <c r="AP46" s="557"/>
      <c r="AQ46" s="557">
        <f t="shared" si="0"/>
        <v>0</v>
      </c>
      <c r="AR46" s="924"/>
      <c r="AS46" s="439">
        <f t="shared" si="1"/>
        <v>0</v>
      </c>
      <c r="AT46" s="413">
        <f t="shared" si="2"/>
        <v>0</v>
      </c>
      <c r="AU46" s="413"/>
    </row>
    <row r="47" spans="1:47" ht="25.5" hidden="1">
      <c r="A47" s="731" t="s">
        <v>2</v>
      </c>
      <c r="B47" s="542"/>
      <c r="C47" s="319"/>
      <c r="D47" s="319"/>
      <c r="E47" s="319"/>
      <c r="F47" s="530"/>
      <c r="G47" s="560"/>
      <c r="H47" s="319"/>
      <c r="I47" s="319"/>
      <c r="J47" s="561"/>
      <c r="K47" s="542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530"/>
      <c r="AE47" s="560"/>
      <c r="AF47" s="319"/>
      <c r="AG47" s="319"/>
      <c r="AH47" s="561"/>
      <c r="AI47" s="542"/>
      <c r="AJ47" s="319"/>
      <c r="AK47" s="561"/>
      <c r="AL47" s="801"/>
      <c r="AM47" s="801"/>
      <c r="AN47" s="801"/>
      <c r="AO47" s="801"/>
      <c r="AP47" s="801"/>
      <c r="AQ47" s="801"/>
      <c r="AR47" s="924"/>
      <c r="AS47" s="439">
        <f t="shared" si="1"/>
        <v>0</v>
      </c>
      <c r="AT47" s="413">
        <f t="shared" si="2"/>
        <v>0</v>
      </c>
      <c r="AU47" s="612"/>
    </row>
    <row r="48" spans="1:47" ht="12.75" hidden="1">
      <c r="A48" s="727" t="s">
        <v>51</v>
      </c>
      <c r="B48" s="543"/>
      <c r="C48" s="449"/>
      <c r="D48" s="449"/>
      <c r="E48" s="449"/>
      <c r="F48" s="531"/>
      <c r="G48" s="562"/>
      <c r="H48" s="449"/>
      <c r="I48" s="449"/>
      <c r="J48" s="563"/>
      <c r="K48" s="543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531"/>
      <c r="AE48" s="562"/>
      <c r="AF48" s="449"/>
      <c r="AG48" s="449"/>
      <c r="AH48" s="563"/>
      <c r="AI48" s="543"/>
      <c r="AJ48" s="449"/>
      <c r="AK48" s="563"/>
      <c r="AL48" s="563"/>
      <c r="AM48" s="563"/>
      <c r="AN48" s="563"/>
      <c r="AO48" s="563"/>
      <c r="AP48" s="563"/>
      <c r="AQ48" s="563">
        <f t="shared" si="0"/>
        <v>0</v>
      </c>
      <c r="AR48" s="924"/>
      <c r="AS48" s="439">
        <f t="shared" si="1"/>
        <v>0</v>
      </c>
      <c r="AT48" s="413">
        <f t="shared" si="2"/>
        <v>0</v>
      </c>
      <c r="AU48" s="413"/>
    </row>
    <row r="49" spans="1:47" ht="12.75" hidden="1">
      <c r="A49" s="728" t="s">
        <v>0</v>
      </c>
      <c r="B49" s="544"/>
      <c r="C49" s="503"/>
      <c r="D49" s="503"/>
      <c r="E49" s="503"/>
      <c r="F49" s="532"/>
      <c r="G49" s="564"/>
      <c r="H49" s="503"/>
      <c r="I49" s="503"/>
      <c r="J49" s="565"/>
      <c r="K49" s="544"/>
      <c r="L49" s="503"/>
      <c r="M49" s="503"/>
      <c r="N49" s="503"/>
      <c r="O49" s="503"/>
      <c r="P49" s="503"/>
      <c r="Q49" s="503"/>
      <c r="R49" s="503"/>
      <c r="S49" s="503"/>
      <c r="T49" s="503"/>
      <c r="U49" s="503"/>
      <c r="V49" s="503"/>
      <c r="W49" s="503"/>
      <c r="X49" s="503"/>
      <c r="Y49" s="503"/>
      <c r="Z49" s="503"/>
      <c r="AA49" s="503"/>
      <c r="AB49" s="503"/>
      <c r="AC49" s="503"/>
      <c r="AD49" s="532"/>
      <c r="AE49" s="564"/>
      <c r="AF49" s="503"/>
      <c r="AG49" s="503"/>
      <c r="AH49" s="565"/>
      <c r="AI49" s="544"/>
      <c r="AJ49" s="503"/>
      <c r="AK49" s="565"/>
      <c r="AL49" s="565"/>
      <c r="AM49" s="565"/>
      <c r="AN49" s="565"/>
      <c r="AO49" s="565"/>
      <c r="AP49" s="565"/>
      <c r="AQ49" s="565">
        <f t="shared" si="0"/>
        <v>0</v>
      </c>
      <c r="AR49" s="924"/>
      <c r="AS49" s="439">
        <f t="shared" si="1"/>
        <v>0</v>
      </c>
      <c r="AT49" s="413">
        <f t="shared" si="2"/>
        <v>0</v>
      </c>
      <c r="AU49" s="413"/>
    </row>
    <row r="50" spans="1:47" ht="12.75" hidden="1">
      <c r="A50" s="723" t="s">
        <v>45</v>
      </c>
      <c r="B50" s="538"/>
      <c r="C50" s="504"/>
      <c r="D50" s="504"/>
      <c r="E50" s="504"/>
      <c r="F50" s="526"/>
      <c r="G50" s="552"/>
      <c r="H50" s="504"/>
      <c r="I50" s="504"/>
      <c r="J50" s="553"/>
      <c r="K50" s="538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504"/>
      <c r="Z50" s="504"/>
      <c r="AA50" s="504"/>
      <c r="AB50" s="504"/>
      <c r="AC50" s="504"/>
      <c r="AD50" s="526"/>
      <c r="AE50" s="552"/>
      <c r="AF50" s="504"/>
      <c r="AG50" s="504"/>
      <c r="AH50" s="553"/>
      <c r="AI50" s="538"/>
      <c r="AJ50" s="504"/>
      <c r="AK50" s="553"/>
      <c r="AL50" s="553"/>
      <c r="AM50" s="553"/>
      <c r="AN50" s="553"/>
      <c r="AO50" s="553"/>
      <c r="AP50" s="553"/>
      <c r="AQ50" s="553">
        <f t="shared" si="0"/>
        <v>0</v>
      </c>
      <c r="AR50" s="924"/>
      <c r="AS50" s="439">
        <f t="shared" si="1"/>
        <v>0</v>
      </c>
      <c r="AT50" s="413">
        <f t="shared" si="2"/>
        <v>0</v>
      </c>
      <c r="AU50" s="413"/>
    </row>
    <row r="51" spans="1:47" ht="12.75" hidden="1">
      <c r="A51" s="724" t="s">
        <v>46</v>
      </c>
      <c r="B51" s="539"/>
      <c r="C51" s="320"/>
      <c r="D51" s="320"/>
      <c r="E51" s="320"/>
      <c r="F51" s="527"/>
      <c r="G51" s="554"/>
      <c r="H51" s="320"/>
      <c r="I51" s="320"/>
      <c r="J51" s="555"/>
      <c r="K51" s="539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527"/>
      <c r="AE51" s="554"/>
      <c r="AF51" s="320"/>
      <c r="AG51" s="320"/>
      <c r="AH51" s="555"/>
      <c r="AI51" s="539"/>
      <c r="AJ51" s="320"/>
      <c r="AK51" s="555"/>
      <c r="AL51" s="555"/>
      <c r="AM51" s="555"/>
      <c r="AN51" s="555"/>
      <c r="AO51" s="555"/>
      <c r="AP51" s="555"/>
      <c r="AQ51" s="555">
        <f t="shared" si="0"/>
        <v>0</v>
      </c>
      <c r="AR51" s="924"/>
      <c r="AS51" s="439">
        <f t="shared" si="1"/>
        <v>0</v>
      </c>
      <c r="AT51" s="413">
        <f t="shared" si="2"/>
        <v>0</v>
      </c>
      <c r="AU51" s="413"/>
    </row>
    <row r="52" spans="1:47" ht="12.75" hidden="1">
      <c r="A52" s="725" t="s">
        <v>44</v>
      </c>
      <c r="B52" s="540"/>
      <c r="C52" s="507"/>
      <c r="D52" s="507"/>
      <c r="E52" s="507"/>
      <c r="F52" s="528"/>
      <c r="G52" s="556"/>
      <c r="H52" s="507"/>
      <c r="I52" s="507"/>
      <c r="J52" s="557"/>
      <c r="K52" s="540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28"/>
      <c r="AE52" s="556"/>
      <c r="AF52" s="507"/>
      <c r="AG52" s="507"/>
      <c r="AH52" s="557"/>
      <c r="AI52" s="540"/>
      <c r="AJ52" s="507"/>
      <c r="AK52" s="557"/>
      <c r="AL52" s="557"/>
      <c r="AM52" s="557"/>
      <c r="AN52" s="557"/>
      <c r="AO52" s="557"/>
      <c r="AP52" s="557"/>
      <c r="AQ52" s="557">
        <f t="shared" si="0"/>
        <v>0</v>
      </c>
      <c r="AR52" s="924"/>
      <c r="AS52" s="439">
        <f>AQ52</f>
        <v>0</v>
      </c>
      <c r="AT52" s="413">
        <f t="shared" si="2"/>
        <v>0</v>
      </c>
      <c r="AU52" s="413"/>
    </row>
    <row r="53" spans="1:47" ht="26.25" customHeight="1" hidden="1">
      <c r="A53" s="731" t="s">
        <v>3</v>
      </c>
      <c r="B53" s="542"/>
      <c r="C53" s="319"/>
      <c r="D53" s="319"/>
      <c r="E53" s="319"/>
      <c r="F53" s="530"/>
      <c r="G53" s="560"/>
      <c r="H53" s="319"/>
      <c r="I53" s="319"/>
      <c r="J53" s="561"/>
      <c r="K53" s="542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530"/>
      <c r="AE53" s="560"/>
      <c r="AF53" s="319"/>
      <c r="AG53" s="319"/>
      <c r="AH53" s="561"/>
      <c r="AI53" s="542"/>
      <c r="AJ53" s="319"/>
      <c r="AK53" s="561"/>
      <c r="AL53" s="801"/>
      <c r="AM53" s="801"/>
      <c r="AN53" s="801"/>
      <c r="AO53" s="801"/>
      <c r="AP53" s="801"/>
      <c r="AQ53" s="801"/>
      <c r="AS53" s="612"/>
      <c r="AU53" s="612"/>
    </row>
    <row r="54" spans="1:47" ht="13.5" customHeight="1" hidden="1">
      <c r="A54" s="727" t="s">
        <v>51</v>
      </c>
      <c r="B54" s="543"/>
      <c r="C54" s="449"/>
      <c r="D54" s="449"/>
      <c r="E54" s="449"/>
      <c r="F54" s="531"/>
      <c r="G54" s="562"/>
      <c r="H54" s="449"/>
      <c r="I54" s="449"/>
      <c r="J54" s="563"/>
      <c r="K54" s="543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  <c r="AC54" s="449"/>
      <c r="AD54" s="531"/>
      <c r="AE54" s="562"/>
      <c r="AF54" s="449"/>
      <c r="AG54" s="449"/>
      <c r="AH54" s="563"/>
      <c r="AI54" s="543"/>
      <c r="AJ54" s="449"/>
      <c r="AK54" s="563"/>
      <c r="AL54" s="563"/>
      <c r="AM54" s="563"/>
      <c r="AN54" s="563"/>
      <c r="AO54" s="563"/>
      <c r="AP54" s="563"/>
      <c r="AQ54" s="563">
        <f>SUM(B54:AP54)</f>
        <v>0</v>
      </c>
      <c r="AS54" s="413">
        <f>SUM(H54:AR54)</f>
        <v>0</v>
      </c>
      <c r="AU54" s="413"/>
    </row>
    <row r="55" spans="1:47" ht="13.5" customHeight="1" hidden="1">
      <c r="A55" s="728" t="s">
        <v>0</v>
      </c>
      <c r="B55" s="544"/>
      <c r="C55" s="503"/>
      <c r="D55" s="503"/>
      <c r="E55" s="503"/>
      <c r="F55" s="532"/>
      <c r="G55" s="564"/>
      <c r="H55" s="503"/>
      <c r="I55" s="503"/>
      <c r="J55" s="565"/>
      <c r="K55" s="544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503"/>
      <c r="AB55" s="503"/>
      <c r="AC55" s="503"/>
      <c r="AD55" s="532"/>
      <c r="AE55" s="564"/>
      <c r="AF55" s="503"/>
      <c r="AG55" s="503"/>
      <c r="AH55" s="565"/>
      <c r="AI55" s="544"/>
      <c r="AJ55" s="503"/>
      <c r="AK55" s="565"/>
      <c r="AL55" s="565"/>
      <c r="AM55" s="565"/>
      <c r="AN55" s="565"/>
      <c r="AO55" s="565"/>
      <c r="AP55" s="565"/>
      <c r="AQ55" s="565">
        <f>SUM(B55:AP55)</f>
        <v>0</v>
      </c>
      <c r="AS55" s="413">
        <f>SUM(H55:AR55)</f>
        <v>0</v>
      </c>
      <c r="AU55" s="413"/>
    </row>
    <row r="56" spans="1:47" ht="13.5" customHeight="1" hidden="1">
      <c r="A56" s="723" t="s">
        <v>45</v>
      </c>
      <c r="B56" s="538"/>
      <c r="C56" s="504"/>
      <c r="D56" s="504"/>
      <c r="E56" s="504"/>
      <c r="F56" s="526"/>
      <c r="G56" s="552"/>
      <c r="H56" s="504"/>
      <c r="I56" s="504"/>
      <c r="J56" s="553"/>
      <c r="K56" s="538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504"/>
      <c r="AC56" s="504"/>
      <c r="AD56" s="526"/>
      <c r="AE56" s="552"/>
      <c r="AF56" s="504"/>
      <c r="AG56" s="504"/>
      <c r="AH56" s="553"/>
      <c r="AI56" s="538"/>
      <c r="AJ56" s="504"/>
      <c r="AK56" s="553"/>
      <c r="AL56" s="553"/>
      <c r="AM56" s="553"/>
      <c r="AN56" s="553"/>
      <c r="AO56" s="553"/>
      <c r="AP56" s="553"/>
      <c r="AQ56" s="553">
        <f>SUM(B56:AP56)</f>
        <v>0</v>
      </c>
      <c r="AS56" s="413">
        <f>SUM(H56:AR56)</f>
        <v>0</v>
      </c>
      <c r="AU56" s="413"/>
    </row>
    <row r="57" spans="1:47" ht="13.5" customHeight="1" hidden="1">
      <c r="A57" s="724" t="s">
        <v>46</v>
      </c>
      <c r="B57" s="539"/>
      <c r="C57" s="320"/>
      <c r="D57" s="320"/>
      <c r="E57" s="320"/>
      <c r="F57" s="527"/>
      <c r="G57" s="554"/>
      <c r="H57" s="320"/>
      <c r="I57" s="320"/>
      <c r="J57" s="555"/>
      <c r="K57" s="539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527"/>
      <c r="AE57" s="554"/>
      <c r="AF57" s="320"/>
      <c r="AG57" s="320"/>
      <c r="AH57" s="555"/>
      <c r="AI57" s="539"/>
      <c r="AJ57" s="320"/>
      <c r="AK57" s="555"/>
      <c r="AL57" s="555"/>
      <c r="AM57" s="555"/>
      <c r="AN57" s="555"/>
      <c r="AO57" s="555"/>
      <c r="AP57" s="555"/>
      <c r="AQ57" s="555">
        <f>SUM(B57:AP57)</f>
        <v>0</v>
      </c>
      <c r="AS57" s="413">
        <f>SUM(H57:AR57)</f>
        <v>0</v>
      </c>
      <c r="AU57" s="413"/>
    </row>
    <row r="58" spans="1:47" ht="13.5" customHeight="1" hidden="1" thickBot="1">
      <c r="A58" s="730" t="s">
        <v>44</v>
      </c>
      <c r="B58" s="573"/>
      <c r="C58" s="515"/>
      <c r="D58" s="515"/>
      <c r="E58" s="515"/>
      <c r="F58" s="574"/>
      <c r="G58" s="571"/>
      <c r="H58" s="515"/>
      <c r="I58" s="515"/>
      <c r="J58" s="572"/>
      <c r="K58" s="573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74"/>
      <c r="AE58" s="571"/>
      <c r="AF58" s="515"/>
      <c r="AG58" s="515"/>
      <c r="AH58" s="572"/>
      <c r="AI58" s="573"/>
      <c r="AJ58" s="515"/>
      <c r="AK58" s="572"/>
      <c r="AL58" s="572"/>
      <c r="AM58" s="572"/>
      <c r="AN58" s="572"/>
      <c r="AO58" s="572"/>
      <c r="AP58" s="572"/>
      <c r="AQ58" s="572">
        <f>SUM(B58:AP58)</f>
        <v>0</v>
      </c>
      <c r="AS58" s="413">
        <f>SUM(H58:AR58)</f>
        <v>0</v>
      </c>
      <c r="AU58" s="413"/>
    </row>
    <row r="59" spans="1:47" s="517" customFormat="1" ht="13.5" thickBot="1">
      <c r="A59" s="732" t="s">
        <v>84</v>
      </c>
      <c r="B59" s="1104"/>
      <c r="C59" s="1139"/>
      <c r="D59" s="1139"/>
      <c r="E59" s="1139"/>
      <c r="F59" s="1140"/>
      <c r="G59" s="719"/>
      <c r="H59" s="1139"/>
      <c r="I59" s="1139"/>
      <c r="J59" s="1141">
        <f aca="true" t="shared" si="7" ref="J59:AP59">SUM(J7:J58)</f>
        <v>2916.549488843624</v>
      </c>
      <c r="K59" s="1104">
        <f t="shared" si="7"/>
        <v>7244.665171563191</v>
      </c>
      <c r="L59" s="1139">
        <f t="shared" si="7"/>
        <v>7244.665171563191</v>
      </c>
      <c r="M59" s="1139">
        <f t="shared" si="7"/>
        <v>7244.665171563191</v>
      </c>
      <c r="N59" s="1139">
        <f t="shared" si="7"/>
        <v>7244.665171563191</v>
      </c>
      <c r="O59" s="1139">
        <f t="shared" si="7"/>
        <v>14634.160219013902</v>
      </c>
      <c r="P59" s="1139">
        <f t="shared" si="7"/>
        <v>14634.160219013902</v>
      </c>
      <c r="Q59" s="1139">
        <f t="shared" si="7"/>
        <v>14634.160219013902</v>
      </c>
      <c r="R59" s="1139">
        <f t="shared" si="7"/>
        <v>14634.160219013902</v>
      </c>
      <c r="S59" s="1139">
        <f t="shared" si="7"/>
        <v>14691.632265013903</v>
      </c>
      <c r="T59" s="1139">
        <f t="shared" si="7"/>
        <v>14691.632265013903</v>
      </c>
      <c r="U59" s="1139">
        <f t="shared" si="7"/>
        <v>14691.632265013903</v>
      </c>
      <c r="V59" s="1139">
        <f t="shared" si="7"/>
        <v>14691.632265013903</v>
      </c>
      <c r="W59" s="1139">
        <f t="shared" si="7"/>
        <v>14736.224015013902</v>
      </c>
      <c r="X59" s="1139">
        <f t="shared" si="7"/>
        <v>14736.224015013902</v>
      </c>
      <c r="Y59" s="1139">
        <f t="shared" si="7"/>
        <v>14736.224015013902</v>
      </c>
      <c r="Z59" s="1139">
        <f t="shared" si="7"/>
        <v>14736.224015013902</v>
      </c>
      <c r="AA59" s="1139">
        <f t="shared" si="7"/>
        <v>14736.224015013902</v>
      </c>
      <c r="AB59" s="1139">
        <f t="shared" si="7"/>
        <v>14736.224015013902</v>
      </c>
      <c r="AC59" s="1139">
        <f t="shared" si="7"/>
        <v>14736.224015013902</v>
      </c>
      <c r="AD59" s="1140">
        <f t="shared" si="7"/>
        <v>14736.224015013902</v>
      </c>
      <c r="AE59" s="719">
        <f t="shared" si="7"/>
        <v>14736.224015013902</v>
      </c>
      <c r="AF59" s="1139">
        <f t="shared" si="7"/>
        <v>14736.224015013902</v>
      </c>
      <c r="AG59" s="1139">
        <f t="shared" si="7"/>
        <v>14736.224015013902</v>
      </c>
      <c r="AH59" s="1141">
        <f t="shared" si="7"/>
        <v>14736.224015013902</v>
      </c>
      <c r="AI59" s="1104">
        <f t="shared" si="7"/>
        <v>0</v>
      </c>
      <c r="AJ59" s="719">
        <f t="shared" si="7"/>
        <v>0</v>
      </c>
      <c r="AK59" s="719">
        <f t="shared" si="7"/>
        <v>0</v>
      </c>
      <c r="AL59" s="719">
        <f t="shared" si="7"/>
        <v>0</v>
      </c>
      <c r="AM59" s="719">
        <f t="shared" si="7"/>
        <v>0</v>
      </c>
      <c r="AN59" s="719">
        <f t="shared" si="7"/>
        <v>0</v>
      </c>
      <c r="AO59" s="719">
        <f t="shared" si="7"/>
        <v>0</v>
      </c>
      <c r="AP59" s="719">
        <f t="shared" si="7"/>
        <v>0</v>
      </c>
      <c r="AQ59" s="716">
        <f>SUM(AQ6:AQ52)</f>
        <v>309803.7192921014</v>
      </c>
      <c r="AR59" s="810"/>
      <c r="AS59" s="613">
        <f>SUM(AS6:AS52)</f>
        <v>309803.7192921014</v>
      </c>
      <c r="AT59" s="613">
        <f>SUM(AT6:AT52)</f>
        <v>0.9999999999999999</v>
      </c>
      <c r="AU59" s="613"/>
    </row>
    <row r="60" spans="2:44" ht="12.75">
      <c r="B60" s="419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Q60" s="363"/>
      <c r="AR60" s="419"/>
    </row>
    <row r="61" ht="12.75">
      <c r="AQ61" s="33"/>
    </row>
    <row r="62" ht="12.75">
      <c r="AQ62" s="33"/>
    </row>
    <row r="63" ht="12.75">
      <c r="AQ63" s="363"/>
    </row>
    <row r="64" ht="12.75">
      <c r="AV64" s="434"/>
    </row>
    <row r="65" spans="1:49" s="340" customFormat="1" ht="12.75">
      <c r="A65" s="21"/>
      <c r="B65" s="413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413"/>
      <c r="AS65" s="413"/>
      <c r="AT65" s="413"/>
      <c r="AU65" s="413"/>
      <c r="AV65" s="413"/>
      <c r="AW65" s="518"/>
    </row>
    <row r="66" ht="12.75">
      <c r="AV66" s="434"/>
    </row>
    <row r="71" spans="2:47" s="340" customFormat="1" ht="12.75">
      <c r="B71" s="413"/>
      <c r="C71" s="413"/>
      <c r="D71" s="413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  <c r="AR71" s="413"/>
      <c r="AS71" s="413"/>
      <c r="AT71" s="413"/>
      <c r="AU71" s="413"/>
    </row>
    <row r="76" spans="1:47" s="340" customFormat="1" ht="12.75">
      <c r="A76" s="21"/>
      <c r="B76" s="413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413"/>
      <c r="AS76" s="413"/>
      <c r="AT76" s="413"/>
      <c r="AU76" s="413"/>
    </row>
    <row r="77" spans="1:47" s="340" customFormat="1" ht="12.75">
      <c r="A77" s="21"/>
      <c r="B77" s="413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413"/>
      <c r="AS77" s="413"/>
      <c r="AT77" s="413"/>
      <c r="AU77" s="413"/>
    </row>
    <row r="78" spans="1:47" s="340" customFormat="1" ht="12.75">
      <c r="A78" s="21"/>
      <c r="B78" s="413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413"/>
      <c r="AS78" s="413"/>
      <c r="AT78" s="413"/>
      <c r="AU78" s="413"/>
    </row>
    <row r="79" spans="1:47" s="340" customFormat="1" ht="12.75">
      <c r="A79" s="21"/>
      <c r="B79" s="413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413"/>
      <c r="AS79" s="413"/>
      <c r="AT79" s="413"/>
      <c r="AU79" s="413"/>
    </row>
    <row r="80" spans="1:47" s="340" customFormat="1" ht="12.75">
      <c r="A80" s="21"/>
      <c r="B80" s="413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413"/>
      <c r="AS80" s="413"/>
      <c r="AT80" s="413"/>
      <c r="AU80" s="413"/>
    </row>
  </sheetData>
  <mergeCells count="12">
    <mergeCell ref="AI3:AL3"/>
    <mergeCell ref="AM3:AP3"/>
    <mergeCell ref="AE3:AH3"/>
    <mergeCell ref="AA3:AD3"/>
    <mergeCell ref="A3:A4"/>
    <mergeCell ref="O3:R3"/>
    <mergeCell ref="S3:V3"/>
    <mergeCell ref="W3:Z3"/>
    <mergeCell ref="C3:F3"/>
    <mergeCell ref="G3:J3"/>
    <mergeCell ref="B3:B4"/>
    <mergeCell ref="K3:N3"/>
  </mergeCells>
  <printOptions verticalCentered="1"/>
  <pageMargins left="0.7874015748031497" right="0.3937007874015748" top="0.24" bottom="0.16" header="0.17" footer="0.16"/>
  <pageSetup horizontalDpi="600" verticalDpi="600" orientation="portrait" paperSize="9" r:id="rId3"/>
  <headerFooter alignWithMargins="0">
    <oddHeader>&amp;RПриложение 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57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IV3"/>
    </sheetView>
  </sheetViews>
  <sheetFormatPr defaultColWidth="9.00390625" defaultRowHeight="15" customHeight="1"/>
  <cols>
    <col min="1" max="1" width="20.25390625" style="152" customWidth="1"/>
    <col min="2" max="2" width="43.875" style="151" bestFit="1" customWidth="1"/>
    <col min="3" max="3" width="10.625" style="152" customWidth="1"/>
    <col min="4" max="4" width="10.375" style="152" customWidth="1"/>
    <col min="5" max="5" width="11.125" style="152" customWidth="1"/>
    <col min="6" max="6" width="17.125" style="152" customWidth="1"/>
    <col min="7" max="7" width="8.75390625" style="152" customWidth="1"/>
    <col min="8" max="8" width="14.25390625" style="152" customWidth="1"/>
    <col min="9" max="18" width="11.75390625" style="152" customWidth="1"/>
    <col min="19" max="19" width="11.75390625" style="152" bestFit="1" customWidth="1"/>
    <col min="20" max="22" width="10.625" style="152" customWidth="1"/>
    <col min="23" max="26" width="11.00390625" style="152" customWidth="1"/>
    <col min="27" max="27" width="11.75390625" style="152" bestFit="1" customWidth="1"/>
    <col min="28" max="30" width="10.625" style="152" customWidth="1"/>
    <col min="31" max="31" width="11.75390625" style="152" bestFit="1" customWidth="1"/>
    <col min="32" max="34" width="10.625" style="152" customWidth="1"/>
    <col min="35" max="35" width="11.75390625" style="152" bestFit="1" customWidth="1"/>
    <col min="36" max="38" width="10.625" style="152" customWidth="1"/>
    <col min="39" max="39" width="11.75390625" style="152" bestFit="1" customWidth="1"/>
    <col min="40" max="51" width="10.625" style="152" customWidth="1"/>
    <col min="52" max="52" width="9.125" style="155" customWidth="1"/>
    <col min="53" max="55" width="9.25390625" style="152" customWidth="1"/>
    <col min="56" max="56" width="10.00390625" style="152" customWidth="1"/>
    <col min="57" max="59" width="9.25390625" style="152" customWidth="1"/>
    <col min="60" max="60" width="10.00390625" style="152" customWidth="1"/>
    <col min="61" max="63" width="9.25390625" style="152" customWidth="1"/>
    <col min="64" max="64" width="10.00390625" style="152" bestFit="1" customWidth="1"/>
    <col min="65" max="67" width="9.25390625" style="152" customWidth="1"/>
    <col min="68" max="68" width="10.00390625" style="152" bestFit="1" customWidth="1"/>
    <col min="69" max="71" width="9.25390625" style="152" customWidth="1"/>
    <col min="72" max="72" width="10.00390625" style="152" bestFit="1" customWidth="1"/>
    <col min="73" max="75" width="9.25390625" style="152" customWidth="1"/>
    <col min="76" max="87" width="10.00390625" style="152" bestFit="1" customWidth="1"/>
    <col min="88" max="96" width="10.00390625" style="152" customWidth="1"/>
    <col min="97" max="97" width="9.125" style="237" customWidth="1"/>
    <col min="98" max="133" width="9.125" style="152" customWidth="1"/>
    <col min="134" max="141" width="0" style="152" hidden="1" customWidth="1"/>
    <col min="142" max="142" width="17.75390625" style="152" bestFit="1" customWidth="1"/>
    <col min="143" max="143" width="9.125" style="152" customWidth="1"/>
    <col min="144" max="144" width="22.125" style="152" hidden="1" customWidth="1"/>
    <col min="145" max="152" width="0" style="152" hidden="1" customWidth="1"/>
    <col min="153" max="155" width="12.00390625" style="152" hidden="1" customWidth="1"/>
    <col min="156" max="156" width="19.375" style="152" hidden="1" customWidth="1"/>
    <col min="157" max="157" width="10.00390625" style="152" hidden="1" customWidth="1"/>
    <col min="158" max="158" width="10.375" style="152" bestFit="1" customWidth="1"/>
    <col min="159" max="159" width="11.375" style="152" bestFit="1" customWidth="1"/>
    <col min="160" max="185" width="9.125" style="152" customWidth="1"/>
    <col min="186" max="186" width="10.00390625" style="237" bestFit="1" customWidth="1"/>
    <col min="187" max="194" width="10.00390625" style="152" bestFit="1" customWidth="1"/>
    <col min="195" max="195" width="9.125" style="152" customWidth="1"/>
    <col min="196" max="201" width="9.125" style="151" customWidth="1"/>
    <col min="202" max="207" width="10.625" style="152" customWidth="1"/>
    <col min="208" max="212" width="9.125" style="152" customWidth="1"/>
    <col min="213" max="213" width="10.625" style="620" customWidth="1"/>
    <col min="214" max="217" width="9.125" style="152" customWidth="1"/>
    <col min="218" max="219" width="10.625" style="152" customWidth="1"/>
    <col min="220" max="220" width="10.875" style="152" customWidth="1"/>
    <col min="221" max="16384" width="9.125" style="151" customWidth="1"/>
  </cols>
  <sheetData>
    <row r="1" spans="1:220" ht="32.25" customHeight="1" thickBot="1">
      <c r="A1" s="1421" t="s">
        <v>136</v>
      </c>
      <c r="B1" s="1422"/>
      <c r="C1" s="1422"/>
      <c r="D1" s="1422"/>
      <c r="E1" s="1423"/>
      <c r="F1" s="1424" t="s">
        <v>291</v>
      </c>
      <c r="G1" s="1425"/>
      <c r="H1" s="1425"/>
      <c r="I1" s="1425"/>
      <c r="J1" s="1425"/>
      <c r="K1" s="1425"/>
      <c r="L1" s="1425"/>
      <c r="M1" s="1425"/>
      <c r="N1" s="1425"/>
      <c r="O1" s="1425"/>
      <c r="P1" s="1425"/>
      <c r="Q1" s="1425"/>
      <c r="R1" s="1425"/>
      <c r="S1" s="1425"/>
      <c r="T1" s="1425"/>
      <c r="U1" s="1425"/>
      <c r="V1" s="1425"/>
      <c r="W1" s="1425"/>
      <c r="X1" s="1425"/>
      <c r="Y1" s="1425"/>
      <c r="Z1" s="1425"/>
      <c r="AA1" s="1425"/>
      <c r="AB1" s="1425"/>
      <c r="AC1" s="1425"/>
      <c r="AD1" s="1425"/>
      <c r="AE1" s="1425"/>
      <c r="AF1" s="1425"/>
      <c r="AG1" s="1425"/>
      <c r="AH1" s="1425"/>
      <c r="AI1" s="1425"/>
      <c r="AJ1" s="1425"/>
      <c r="AK1" s="1425"/>
      <c r="AL1" s="1425"/>
      <c r="AM1" s="1425"/>
      <c r="AN1" s="1425"/>
      <c r="AO1" s="1425"/>
      <c r="AP1" s="1425"/>
      <c r="AQ1" s="588"/>
      <c r="AR1" s="588"/>
      <c r="AS1" s="588"/>
      <c r="AT1" s="588"/>
      <c r="AU1" s="588"/>
      <c r="AV1" s="588"/>
      <c r="AW1" s="588"/>
      <c r="AX1" s="588"/>
      <c r="AY1" s="588"/>
      <c r="BA1" s="1425" t="s">
        <v>382</v>
      </c>
      <c r="BB1" s="1425"/>
      <c r="BC1" s="1425"/>
      <c r="BD1" s="1425"/>
      <c r="BE1" s="1425"/>
      <c r="BF1" s="1425"/>
      <c r="BG1" s="1425"/>
      <c r="BH1" s="1425"/>
      <c r="BI1" s="1425"/>
      <c r="BJ1" s="1425"/>
      <c r="BK1" s="1425"/>
      <c r="BL1" s="1425"/>
      <c r="BM1" s="1425"/>
      <c r="BN1" s="1425"/>
      <c r="BO1" s="1425"/>
      <c r="BP1" s="1425"/>
      <c r="BQ1" s="1425"/>
      <c r="BR1" s="1425"/>
      <c r="BS1" s="1425"/>
      <c r="BT1" s="1425"/>
      <c r="BU1" s="1425"/>
      <c r="BV1" s="1425"/>
      <c r="BW1" s="1425"/>
      <c r="BX1" s="1425"/>
      <c r="BY1" s="1425"/>
      <c r="BZ1" s="1425"/>
      <c r="CA1" s="1425"/>
      <c r="CB1" s="1425"/>
      <c r="CC1" s="1425"/>
      <c r="CD1" s="1425"/>
      <c r="CE1" s="1425"/>
      <c r="CF1" s="1425"/>
      <c r="CG1" s="1425"/>
      <c r="CH1" s="1425"/>
      <c r="CI1" s="1425"/>
      <c r="CJ1" s="588"/>
      <c r="CK1" s="588"/>
      <c r="CL1" s="588"/>
      <c r="CM1" s="588"/>
      <c r="CN1" s="588"/>
      <c r="CO1" s="588"/>
      <c r="CP1" s="588"/>
      <c r="CQ1" s="588"/>
      <c r="CR1" s="588"/>
      <c r="CT1" s="1429" t="s">
        <v>114</v>
      </c>
      <c r="CU1" s="1430"/>
      <c r="CV1" s="1430"/>
      <c r="CW1" s="1430"/>
      <c r="CX1" s="1430"/>
      <c r="CY1" s="1430"/>
      <c r="CZ1" s="1430"/>
      <c r="DA1" s="1430"/>
      <c r="DB1" s="1430"/>
      <c r="DC1" s="1430"/>
      <c r="DD1" s="1430"/>
      <c r="DE1" s="1430"/>
      <c r="DF1" s="1430"/>
      <c r="DG1" s="1430"/>
      <c r="DH1" s="1430"/>
      <c r="DI1" s="1430"/>
      <c r="DJ1" s="1430"/>
      <c r="DK1" s="1430"/>
      <c r="DL1" s="1430"/>
      <c r="DM1" s="1430"/>
      <c r="DN1" s="1430"/>
      <c r="DO1" s="1430"/>
      <c r="DP1" s="1430"/>
      <c r="DQ1" s="1430"/>
      <c r="DR1" s="1430"/>
      <c r="DS1" s="1430"/>
      <c r="DT1" s="1430"/>
      <c r="DU1" s="1430"/>
      <c r="DV1" s="1430"/>
      <c r="DW1" s="1430"/>
      <c r="DX1" s="1430"/>
      <c r="DY1" s="1430"/>
      <c r="DZ1" s="1430"/>
      <c r="EA1" s="1430"/>
      <c r="EB1" s="1430"/>
      <c r="EC1" s="588"/>
      <c r="ED1" s="588"/>
      <c r="EE1" s="588"/>
      <c r="EF1" s="588"/>
      <c r="EG1" s="588"/>
      <c r="EH1" s="588"/>
      <c r="EI1" s="588"/>
      <c r="EJ1" s="588"/>
      <c r="EK1" s="588"/>
      <c r="GD1" s="588"/>
      <c r="GE1" s="588"/>
      <c r="GF1" s="588"/>
      <c r="GG1" s="588"/>
      <c r="GH1" s="588"/>
      <c r="GI1" s="588"/>
      <c r="GJ1" s="588"/>
      <c r="GK1" s="588"/>
      <c r="GL1" s="588"/>
      <c r="GT1" s="588"/>
      <c r="GU1" s="588"/>
      <c r="GV1" s="588"/>
      <c r="GW1" s="588"/>
      <c r="GX1" s="588"/>
      <c r="GY1" s="588"/>
      <c r="GZ1" s="654"/>
      <c r="HA1" s="654"/>
      <c r="HB1" s="654"/>
      <c r="HC1" s="654"/>
      <c r="HD1" s="654"/>
      <c r="HE1" s="665"/>
      <c r="HF1" s="654"/>
      <c r="HG1" s="654"/>
      <c r="HH1" s="654"/>
      <c r="HI1" s="655"/>
      <c r="HJ1" s="588"/>
      <c r="HK1" s="588"/>
      <c r="HL1" s="588"/>
    </row>
    <row r="2" spans="1:220" ht="36" customHeight="1" thickBot="1">
      <c r="A2" s="242" t="s">
        <v>137</v>
      </c>
      <c r="B2" s="243" t="s">
        <v>462</v>
      </c>
      <c r="C2" s="243" t="s">
        <v>423</v>
      </c>
      <c r="D2" s="243" t="s">
        <v>424</v>
      </c>
      <c r="E2" s="796" t="s">
        <v>425</v>
      </c>
      <c r="F2" s="242" t="s">
        <v>177</v>
      </c>
      <c r="G2" s="244"/>
      <c r="H2" s="1416">
        <v>2004</v>
      </c>
      <c r="I2" s="1416"/>
      <c r="J2" s="1416"/>
      <c r="K2" s="1416"/>
      <c r="L2" s="1416">
        <v>2005</v>
      </c>
      <c r="M2" s="1416"/>
      <c r="N2" s="1416"/>
      <c r="O2" s="1416"/>
      <c r="P2" s="1416">
        <v>2006</v>
      </c>
      <c r="Q2" s="1416"/>
      <c r="R2" s="1416"/>
      <c r="S2" s="1416"/>
      <c r="T2" s="1416">
        <v>2007</v>
      </c>
      <c r="U2" s="1416"/>
      <c r="V2" s="1416"/>
      <c r="W2" s="1416"/>
      <c r="X2" s="1416">
        <v>2008</v>
      </c>
      <c r="Y2" s="1416"/>
      <c r="Z2" s="1416"/>
      <c r="AA2" s="1416"/>
      <c r="AB2" s="1416">
        <v>2009</v>
      </c>
      <c r="AC2" s="1416"/>
      <c r="AD2" s="1416"/>
      <c r="AE2" s="1416"/>
      <c r="AF2" s="1416">
        <v>2010</v>
      </c>
      <c r="AG2" s="1416"/>
      <c r="AH2" s="1416"/>
      <c r="AI2" s="1416"/>
      <c r="AJ2" s="1416">
        <v>2011</v>
      </c>
      <c r="AK2" s="1416"/>
      <c r="AL2" s="1416"/>
      <c r="AM2" s="1416"/>
      <c r="AN2" s="1416">
        <v>2012</v>
      </c>
      <c r="AO2" s="1416"/>
      <c r="AP2" s="1416"/>
      <c r="AQ2" s="1416"/>
      <c r="AR2" s="1416">
        <v>2013</v>
      </c>
      <c r="AS2" s="1416"/>
      <c r="AT2" s="1416"/>
      <c r="AU2" s="1416"/>
      <c r="AV2" s="1416">
        <v>2014</v>
      </c>
      <c r="AW2" s="1416"/>
      <c r="AX2" s="1416"/>
      <c r="AY2" s="1418"/>
      <c r="AZ2" s="695"/>
      <c r="BA2" s="1419">
        <v>2004</v>
      </c>
      <c r="BB2" s="1416"/>
      <c r="BC2" s="1416"/>
      <c r="BD2" s="1416"/>
      <c r="BE2" s="1416">
        <v>2005</v>
      </c>
      <c r="BF2" s="1416"/>
      <c r="BG2" s="1416"/>
      <c r="BH2" s="1417"/>
      <c r="BI2" s="1419" t="s">
        <v>443</v>
      </c>
      <c r="BJ2" s="1416"/>
      <c r="BK2" s="1416"/>
      <c r="BL2" s="1418"/>
      <c r="BM2" s="1428">
        <v>2007</v>
      </c>
      <c r="BN2" s="1416"/>
      <c r="BO2" s="1416"/>
      <c r="BP2" s="1416"/>
      <c r="BQ2" s="1416">
        <v>2008</v>
      </c>
      <c r="BR2" s="1416"/>
      <c r="BS2" s="1416"/>
      <c r="BT2" s="1416"/>
      <c r="BU2" s="1416">
        <v>2009</v>
      </c>
      <c r="BV2" s="1416"/>
      <c r="BW2" s="1416"/>
      <c r="BX2" s="1416"/>
      <c r="BY2" s="1416">
        <v>2010</v>
      </c>
      <c r="BZ2" s="1416"/>
      <c r="CA2" s="1416"/>
      <c r="CB2" s="1416"/>
      <c r="CC2" s="1416">
        <v>2011</v>
      </c>
      <c r="CD2" s="1416"/>
      <c r="CE2" s="1416"/>
      <c r="CF2" s="1416"/>
      <c r="CG2" s="1416">
        <v>2012</v>
      </c>
      <c r="CH2" s="1416"/>
      <c r="CI2" s="1416"/>
      <c r="CJ2" s="1416"/>
      <c r="CK2" s="1416">
        <v>2013</v>
      </c>
      <c r="CL2" s="1416"/>
      <c r="CM2" s="1416"/>
      <c r="CN2" s="1416"/>
      <c r="CO2" s="1416">
        <v>2014</v>
      </c>
      <c r="CP2" s="1416"/>
      <c r="CQ2" s="1416"/>
      <c r="CR2" s="1418"/>
      <c r="CS2" s="248"/>
      <c r="CT2" s="1419">
        <v>2004</v>
      </c>
      <c r="CU2" s="1416"/>
      <c r="CV2" s="1416"/>
      <c r="CW2" s="1416"/>
      <c r="CX2" s="1416">
        <v>2005</v>
      </c>
      <c r="CY2" s="1416"/>
      <c r="CZ2" s="1416"/>
      <c r="DA2" s="1417"/>
      <c r="DB2" s="1419">
        <v>2006</v>
      </c>
      <c r="DC2" s="1416"/>
      <c r="DD2" s="1416"/>
      <c r="DE2" s="1418"/>
      <c r="DF2" s="1428">
        <v>2007</v>
      </c>
      <c r="DG2" s="1416"/>
      <c r="DH2" s="1416"/>
      <c r="DI2" s="1416"/>
      <c r="DJ2" s="1416">
        <v>2008</v>
      </c>
      <c r="DK2" s="1416"/>
      <c r="DL2" s="1416"/>
      <c r="DM2" s="1416"/>
      <c r="DN2" s="1416">
        <v>2009</v>
      </c>
      <c r="DO2" s="1416"/>
      <c r="DP2" s="1416"/>
      <c r="DQ2" s="1416"/>
      <c r="DR2" s="1416">
        <v>2010</v>
      </c>
      <c r="DS2" s="1416"/>
      <c r="DT2" s="1416"/>
      <c r="DU2" s="1416"/>
      <c r="DV2" s="1416">
        <v>2011</v>
      </c>
      <c r="DW2" s="1416"/>
      <c r="DX2" s="1416"/>
      <c r="DY2" s="1416"/>
      <c r="DZ2" s="1417">
        <v>2012</v>
      </c>
      <c r="EA2" s="1431"/>
      <c r="EB2" s="1431"/>
      <c r="EC2" s="1431"/>
      <c r="ED2" s="1416">
        <v>2013</v>
      </c>
      <c r="EE2" s="1416"/>
      <c r="EF2" s="1416"/>
      <c r="EG2" s="1416"/>
      <c r="EH2" s="1416">
        <v>2014</v>
      </c>
      <c r="EI2" s="1416"/>
      <c r="EJ2" s="1416"/>
      <c r="EK2" s="1418"/>
      <c r="GD2" s="338"/>
      <c r="GE2" s="338"/>
      <c r="GF2" s="338"/>
      <c r="GG2" s="338"/>
      <c r="GH2" s="338"/>
      <c r="GI2" s="338"/>
      <c r="GJ2" s="338"/>
      <c r="GK2" s="338"/>
      <c r="GL2" s="338"/>
      <c r="GT2" s="338"/>
      <c r="GU2" s="338"/>
      <c r="GV2" s="338"/>
      <c r="GW2" s="338"/>
      <c r="GX2" s="338"/>
      <c r="GY2" s="338"/>
      <c r="GZ2" s="338"/>
      <c r="HA2" s="338"/>
      <c r="HB2" s="338"/>
      <c r="HC2" s="338"/>
      <c r="HD2" s="338"/>
      <c r="HE2" s="338"/>
      <c r="HF2" s="338"/>
      <c r="HG2" s="338"/>
      <c r="HH2" s="338"/>
      <c r="HI2" s="338"/>
      <c r="HJ2" s="338"/>
      <c r="HK2" s="338"/>
      <c r="HL2" s="338"/>
    </row>
    <row r="3" spans="1:220" ht="16.5" customHeight="1">
      <c r="A3" s="171">
        <v>1</v>
      </c>
      <c r="B3" s="172">
        <v>2</v>
      </c>
      <c r="C3" s="172">
        <v>3</v>
      </c>
      <c r="D3" s="172">
        <v>4</v>
      </c>
      <c r="E3" s="173">
        <v>5</v>
      </c>
      <c r="F3" s="172"/>
      <c r="G3" s="240"/>
      <c r="H3" s="241" t="s">
        <v>307</v>
      </c>
      <c r="I3" s="241" t="s">
        <v>308</v>
      </c>
      <c r="J3" s="241" t="s">
        <v>309</v>
      </c>
      <c r="K3" s="241" t="s">
        <v>310</v>
      </c>
      <c r="L3" s="241" t="s">
        <v>307</v>
      </c>
      <c r="M3" s="241" t="s">
        <v>308</v>
      </c>
      <c r="N3" s="241" t="s">
        <v>309</v>
      </c>
      <c r="O3" s="241" t="s">
        <v>310</v>
      </c>
      <c r="P3" s="241" t="s">
        <v>307</v>
      </c>
      <c r="Q3" s="241" t="s">
        <v>308</v>
      </c>
      <c r="R3" s="241" t="s">
        <v>309</v>
      </c>
      <c r="S3" s="241" t="s">
        <v>310</v>
      </c>
      <c r="T3" s="241" t="s">
        <v>307</v>
      </c>
      <c r="U3" s="241" t="s">
        <v>308</v>
      </c>
      <c r="V3" s="241" t="s">
        <v>309</v>
      </c>
      <c r="W3" s="241" t="s">
        <v>310</v>
      </c>
      <c r="X3" s="241" t="s">
        <v>307</v>
      </c>
      <c r="Y3" s="241" t="s">
        <v>308</v>
      </c>
      <c r="Z3" s="241" t="s">
        <v>309</v>
      </c>
      <c r="AA3" s="241" t="s">
        <v>310</v>
      </c>
      <c r="AB3" s="241" t="s">
        <v>307</v>
      </c>
      <c r="AC3" s="241" t="s">
        <v>308</v>
      </c>
      <c r="AD3" s="241" t="s">
        <v>309</v>
      </c>
      <c r="AE3" s="241" t="s">
        <v>310</v>
      </c>
      <c r="AF3" s="241" t="s">
        <v>307</v>
      </c>
      <c r="AG3" s="241" t="s">
        <v>308</v>
      </c>
      <c r="AH3" s="241" t="s">
        <v>309</v>
      </c>
      <c r="AI3" s="241" t="s">
        <v>310</v>
      </c>
      <c r="AJ3" s="241" t="s">
        <v>307</v>
      </c>
      <c r="AK3" s="241" t="s">
        <v>308</v>
      </c>
      <c r="AL3" s="241" t="s">
        <v>309</v>
      </c>
      <c r="AM3" s="241" t="s">
        <v>310</v>
      </c>
      <c r="AN3" s="241" t="s">
        <v>307</v>
      </c>
      <c r="AO3" s="241" t="s">
        <v>308</v>
      </c>
      <c r="AP3" s="638" t="s">
        <v>309</v>
      </c>
      <c r="AQ3" s="638" t="s">
        <v>310</v>
      </c>
      <c r="AR3" s="241" t="s">
        <v>307</v>
      </c>
      <c r="AS3" s="241" t="s">
        <v>308</v>
      </c>
      <c r="AT3" s="241" t="s">
        <v>309</v>
      </c>
      <c r="AU3" s="241" t="s">
        <v>310</v>
      </c>
      <c r="AV3" s="241" t="s">
        <v>307</v>
      </c>
      <c r="AW3" s="241" t="s">
        <v>308</v>
      </c>
      <c r="AX3" s="241" t="s">
        <v>309</v>
      </c>
      <c r="AY3" s="241" t="s">
        <v>310</v>
      </c>
      <c r="AZ3" s="237"/>
      <c r="BA3" s="240" t="s">
        <v>307</v>
      </c>
      <c r="BB3" s="240" t="s">
        <v>308</v>
      </c>
      <c r="BC3" s="245" t="s">
        <v>309</v>
      </c>
      <c r="BD3" s="245" t="s">
        <v>310</v>
      </c>
      <c r="BE3" s="240" t="s">
        <v>307</v>
      </c>
      <c r="BF3" s="240" t="s">
        <v>308</v>
      </c>
      <c r="BG3" s="245" t="s">
        <v>309</v>
      </c>
      <c r="BH3" s="245" t="s">
        <v>310</v>
      </c>
      <c r="BI3" s="240" t="s">
        <v>307</v>
      </c>
      <c r="BJ3" s="240" t="s">
        <v>308</v>
      </c>
      <c r="BK3" s="245" t="s">
        <v>309</v>
      </c>
      <c r="BL3" s="245" t="s">
        <v>310</v>
      </c>
      <c r="BM3" s="240" t="s">
        <v>307</v>
      </c>
      <c r="BN3" s="240" t="s">
        <v>308</v>
      </c>
      <c r="BO3" s="240" t="s">
        <v>309</v>
      </c>
      <c r="BP3" s="240" t="s">
        <v>310</v>
      </c>
      <c r="BQ3" s="240" t="s">
        <v>307</v>
      </c>
      <c r="BR3" s="240" t="s">
        <v>308</v>
      </c>
      <c r="BS3" s="240" t="s">
        <v>309</v>
      </c>
      <c r="BT3" s="240" t="s">
        <v>310</v>
      </c>
      <c r="BU3" s="240" t="s">
        <v>307</v>
      </c>
      <c r="BV3" s="240" t="s">
        <v>308</v>
      </c>
      <c r="BW3" s="240" t="s">
        <v>309</v>
      </c>
      <c r="BX3" s="240" t="s">
        <v>310</v>
      </c>
      <c r="BY3" s="240" t="s">
        <v>307</v>
      </c>
      <c r="BZ3" s="240" t="s">
        <v>308</v>
      </c>
      <c r="CA3" s="240" t="s">
        <v>309</v>
      </c>
      <c r="CB3" s="240" t="s">
        <v>310</v>
      </c>
      <c r="CC3" s="240" t="s">
        <v>307</v>
      </c>
      <c r="CD3" s="240" t="s">
        <v>308</v>
      </c>
      <c r="CE3" s="240" t="s">
        <v>309</v>
      </c>
      <c r="CF3" s="240" t="s">
        <v>444</v>
      </c>
      <c r="CG3" s="240" t="s">
        <v>307</v>
      </c>
      <c r="CH3" s="240" t="s">
        <v>308</v>
      </c>
      <c r="CI3" s="245" t="s">
        <v>309</v>
      </c>
      <c r="CJ3" s="245" t="s">
        <v>310</v>
      </c>
      <c r="CK3" s="240" t="s">
        <v>307</v>
      </c>
      <c r="CL3" s="240" t="s">
        <v>308</v>
      </c>
      <c r="CM3" s="245" t="s">
        <v>309</v>
      </c>
      <c r="CN3" s="245" t="s">
        <v>310</v>
      </c>
      <c r="CO3" s="240" t="s">
        <v>307</v>
      </c>
      <c r="CP3" s="240" t="s">
        <v>308</v>
      </c>
      <c r="CQ3" s="245" t="s">
        <v>309</v>
      </c>
      <c r="CR3" s="245" t="s">
        <v>310</v>
      </c>
      <c r="CT3" s="240" t="s">
        <v>307</v>
      </c>
      <c r="CU3" s="240" t="s">
        <v>308</v>
      </c>
      <c r="CV3" s="245" t="s">
        <v>309</v>
      </c>
      <c r="CW3" s="245" t="s">
        <v>310</v>
      </c>
      <c r="CX3" s="240" t="s">
        <v>307</v>
      </c>
      <c r="CY3" s="240" t="s">
        <v>308</v>
      </c>
      <c r="CZ3" s="245" t="s">
        <v>309</v>
      </c>
      <c r="DA3" s="245" t="s">
        <v>310</v>
      </c>
      <c r="DB3" s="240" t="s">
        <v>307</v>
      </c>
      <c r="DC3" s="240" t="s">
        <v>308</v>
      </c>
      <c r="DD3" s="245" t="s">
        <v>309</v>
      </c>
      <c r="DE3" s="245" t="s">
        <v>310</v>
      </c>
      <c r="DF3" s="240" t="s">
        <v>307</v>
      </c>
      <c r="DG3" s="240" t="s">
        <v>308</v>
      </c>
      <c r="DH3" s="240" t="s">
        <v>309</v>
      </c>
      <c r="DI3" s="240" t="s">
        <v>310</v>
      </c>
      <c r="DJ3" s="240" t="s">
        <v>307</v>
      </c>
      <c r="DK3" s="240" t="s">
        <v>308</v>
      </c>
      <c r="DL3" s="240" t="s">
        <v>309</v>
      </c>
      <c r="DM3" s="240" t="s">
        <v>310</v>
      </c>
      <c r="DN3" s="240" t="s">
        <v>307</v>
      </c>
      <c r="DO3" s="240" t="s">
        <v>308</v>
      </c>
      <c r="DP3" s="240" t="s">
        <v>309</v>
      </c>
      <c r="DQ3" s="240" t="s">
        <v>310</v>
      </c>
      <c r="DR3" s="240" t="s">
        <v>307</v>
      </c>
      <c r="DS3" s="240" t="s">
        <v>308</v>
      </c>
      <c r="DT3" s="240" t="s">
        <v>309</v>
      </c>
      <c r="DU3" s="240" t="s">
        <v>310</v>
      </c>
      <c r="DV3" s="240" t="s">
        <v>307</v>
      </c>
      <c r="DW3" s="240" t="s">
        <v>308</v>
      </c>
      <c r="DX3" s="240" t="s">
        <v>309</v>
      </c>
      <c r="DY3" s="240" t="s">
        <v>310</v>
      </c>
      <c r="DZ3" s="240" t="s">
        <v>307</v>
      </c>
      <c r="EA3" s="240" t="s">
        <v>308</v>
      </c>
      <c r="EB3" s="240" t="s">
        <v>309</v>
      </c>
      <c r="EC3" s="240" t="s">
        <v>310</v>
      </c>
      <c r="ED3" s="240" t="s">
        <v>307</v>
      </c>
      <c r="EE3" s="240" t="s">
        <v>308</v>
      </c>
      <c r="EF3" s="245" t="s">
        <v>309</v>
      </c>
      <c r="EG3" s="245" t="s">
        <v>310</v>
      </c>
      <c r="EH3" s="240" t="s">
        <v>307</v>
      </c>
      <c r="EI3" s="240" t="s">
        <v>308</v>
      </c>
      <c r="EJ3" s="245" t="s">
        <v>309</v>
      </c>
      <c r="EK3" s="245" t="s">
        <v>310</v>
      </c>
      <c r="GE3" s="237"/>
      <c r="GF3" s="237"/>
      <c r="GG3" s="237"/>
      <c r="GH3" s="237"/>
      <c r="GI3" s="237"/>
      <c r="GJ3" s="237"/>
      <c r="GK3" s="237"/>
      <c r="GL3" s="237"/>
      <c r="GT3" s="337"/>
      <c r="GU3" s="337"/>
      <c r="GV3" s="337"/>
      <c r="GW3" s="337"/>
      <c r="GX3" s="337"/>
      <c r="GY3" s="337"/>
      <c r="GZ3" s="237"/>
      <c r="HA3" s="237"/>
      <c r="HB3" s="237"/>
      <c r="HC3" s="237"/>
      <c r="HD3" s="237"/>
      <c r="HE3" s="337"/>
      <c r="HF3" s="237"/>
      <c r="HG3" s="237"/>
      <c r="HH3" s="237"/>
      <c r="HI3" s="237"/>
      <c r="HJ3" s="337"/>
      <c r="HK3" s="337"/>
      <c r="HL3" s="337"/>
    </row>
    <row r="4" spans="1:220" ht="23.25" customHeight="1">
      <c r="A4" s="174" t="s">
        <v>4</v>
      </c>
      <c r="B4" s="175" t="s">
        <v>138</v>
      </c>
      <c r="C4" s="176"/>
      <c r="D4" s="176"/>
      <c r="E4" s="177"/>
      <c r="F4" s="222"/>
      <c r="G4" s="206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>
        <v>3</v>
      </c>
      <c r="T4" s="207">
        <v>3</v>
      </c>
      <c r="U4" s="207">
        <v>3</v>
      </c>
      <c r="V4" s="207">
        <v>3</v>
      </c>
      <c r="W4" s="207">
        <v>3</v>
      </c>
      <c r="X4" s="207">
        <v>3</v>
      </c>
      <c r="Y4" s="207">
        <v>3</v>
      </c>
      <c r="Z4" s="207">
        <v>3</v>
      </c>
      <c r="AA4" s="207">
        <v>3</v>
      </c>
      <c r="AB4" s="207">
        <v>3</v>
      </c>
      <c r="AC4" s="207">
        <v>3</v>
      </c>
      <c r="AD4" s="207">
        <v>3</v>
      </c>
      <c r="AE4" s="207">
        <v>3</v>
      </c>
      <c r="AF4" s="207">
        <v>3</v>
      </c>
      <c r="AG4" s="207">
        <v>3</v>
      </c>
      <c r="AH4" s="207">
        <v>3</v>
      </c>
      <c r="AI4" s="207">
        <v>3</v>
      </c>
      <c r="AJ4" s="207">
        <v>3</v>
      </c>
      <c r="AK4" s="207">
        <v>3</v>
      </c>
      <c r="AL4" s="207">
        <v>3</v>
      </c>
      <c r="AM4" s="207">
        <v>3</v>
      </c>
      <c r="AN4" s="207">
        <v>3</v>
      </c>
      <c r="AO4" s="207">
        <v>3</v>
      </c>
      <c r="AP4" s="207">
        <v>3</v>
      </c>
      <c r="AQ4" s="207">
        <v>3</v>
      </c>
      <c r="AR4" s="207">
        <v>3</v>
      </c>
      <c r="AS4" s="207">
        <v>3</v>
      </c>
      <c r="AT4" s="207">
        <v>3</v>
      </c>
      <c r="AU4" s="207">
        <v>3</v>
      </c>
      <c r="AV4" s="207">
        <v>3</v>
      </c>
      <c r="AW4" s="207">
        <v>3</v>
      </c>
      <c r="AX4" s="207">
        <v>3</v>
      </c>
      <c r="AY4" s="207">
        <v>3</v>
      </c>
      <c r="AZ4" s="237"/>
      <c r="BA4" s="249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>
        <v>3</v>
      </c>
      <c r="BM4" s="206">
        <v>3</v>
      </c>
      <c r="BN4" s="206">
        <v>3</v>
      </c>
      <c r="BO4" s="206">
        <v>3</v>
      </c>
      <c r="BP4" s="206">
        <v>3</v>
      </c>
      <c r="BQ4" s="206">
        <v>3</v>
      </c>
      <c r="BR4" s="206">
        <v>3</v>
      </c>
      <c r="BS4" s="206">
        <v>3</v>
      </c>
      <c r="BT4" s="206">
        <v>3</v>
      </c>
      <c r="BU4" s="206">
        <v>3</v>
      </c>
      <c r="BV4" s="206">
        <v>3</v>
      </c>
      <c r="BW4" s="206">
        <v>3</v>
      </c>
      <c r="BX4" s="206">
        <v>3</v>
      </c>
      <c r="BY4" s="206">
        <v>3</v>
      </c>
      <c r="BZ4" s="206">
        <v>3</v>
      </c>
      <c r="CA4" s="206">
        <v>3</v>
      </c>
      <c r="CB4" s="206">
        <v>3</v>
      </c>
      <c r="CC4" s="206">
        <v>3</v>
      </c>
      <c r="CD4" s="206">
        <v>3</v>
      </c>
      <c r="CE4" s="206">
        <v>3</v>
      </c>
      <c r="CF4" s="206">
        <v>3</v>
      </c>
      <c r="CG4" s="206">
        <v>3</v>
      </c>
      <c r="CH4" s="206">
        <v>3</v>
      </c>
      <c r="CI4" s="206">
        <v>3</v>
      </c>
      <c r="CJ4" s="206">
        <v>3</v>
      </c>
      <c r="CK4" s="206">
        <v>3</v>
      </c>
      <c r="CL4" s="206">
        <v>3</v>
      </c>
      <c r="CM4" s="206">
        <v>3</v>
      </c>
      <c r="CN4" s="206">
        <v>3</v>
      </c>
      <c r="CO4" s="206">
        <v>3</v>
      </c>
      <c r="CP4" s="206">
        <v>3</v>
      </c>
      <c r="CQ4" s="206">
        <v>3</v>
      </c>
      <c r="CR4" s="206">
        <v>3</v>
      </c>
      <c r="CS4" s="235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>
        <v>3</v>
      </c>
      <c r="DF4" s="206">
        <v>3</v>
      </c>
      <c r="DG4" s="206">
        <v>3</v>
      </c>
      <c r="DH4" s="206">
        <v>3</v>
      </c>
      <c r="DI4" s="206">
        <v>3</v>
      </c>
      <c r="DJ4" s="206">
        <v>3</v>
      </c>
      <c r="DK4" s="206">
        <v>3</v>
      </c>
      <c r="DL4" s="206">
        <v>3</v>
      </c>
      <c r="DM4" s="206">
        <v>3</v>
      </c>
      <c r="DN4" s="206">
        <v>3</v>
      </c>
      <c r="DO4" s="206">
        <v>3</v>
      </c>
      <c r="DP4" s="206">
        <v>3</v>
      </c>
      <c r="DQ4" s="206">
        <v>3</v>
      </c>
      <c r="DR4" s="206">
        <v>3</v>
      </c>
      <c r="DS4" s="206">
        <v>3</v>
      </c>
      <c r="DT4" s="206">
        <v>3</v>
      </c>
      <c r="DU4" s="206">
        <v>3</v>
      </c>
      <c r="DV4" s="206">
        <v>3</v>
      </c>
      <c r="DW4" s="206">
        <v>3</v>
      </c>
      <c r="DX4" s="206">
        <v>3</v>
      </c>
      <c r="DY4" s="206">
        <v>3</v>
      </c>
      <c r="DZ4" s="206">
        <v>3</v>
      </c>
      <c r="EA4" s="206">
        <v>3</v>
      </c>
      <c r="EB4" s="206">
        <v>3</v>
      </c>
      <c r="EC4" s="206">
        <v>3</v>
      </c>
      <c r="ED4" s="206">
        <v>3</v>
      </c>
      <c r="EE4" s="206">
        <v>3</v>
      </c>
      <c r="EF4" s="206">
        <v>3</v>
      </c>
      <c r="EG4" s="206">
        <v>3</v>
      </c>
      <c r="EH4" s="206">
        <v>3</v>
      </c>
      <c r="EI4" s="206">
        <v>3</v>
      </c>
      <c r="EJ4" s="206">
        <v>3</v>
      </c>
      <c r="EK4" s="206">
        <v>3</v>
      </c>
      <c r="GE4" s="237"/>
      <c r="GF4" s="237"/>
      <c r="GG4" s="237"/>
      <c r="GH4" s="237"/>
      <c r="GI4" s="237"/>
      <c r="GJ4" s="237"/>
      <c r="GK4" s="237"/>
      <c r="GL4" s="237"/>
      <c r="GT4" s="337"/>
      <c r="GU4" s="337"/>
      <c r="GV4" s="337"/>
      <c r="GW4" s="337"/>
      <c r="GX4" s="337"/>
      <c r="GY4" s="337"/>
      <c r="GZ4" s="237"/>
      <c r="HA4" s="237"/>
      <c r="HB4" s="237"/>
      <c r="HC4" s="237"/>
      <c r="HD4" s="237"/>
      <c r="HE4" s="337"/>
      <c r="HF4" s="237"/>
      <c r="HG4" s="237"/>
      <c r="HH4" s="237"/>
      <c r="HI4" s="237"/>
      <c r="HJ4" s="337"/>
      <c r="HK4" s="337"/>
      <c r="HL4" s="337"/>
    </row>
    <row r="5" spans="1:220" ht="15" customHeight="1">
      <c r="A5" s="178" t="s">
        <v>5</v>
      </c>
      <c r="B5" s="179" t="s">
        <v>481</v>
      </c>
      <c r="C5" s="180"/>
      <c r="D5" s="180"/>
      <c r="E5" s="181"/>
      <c r="F5" s="223"/>
      <c r="G5" s="208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639"/>
      <c r="AQ5" s="664"/>
      <c r="AR5" s="664"/>
      <c r="AS5" s="664"/>
      <c r="AT5" s="669"/>
      <c r="AU5" s="669"/>
      <c r="AV5" s="669"/>
      <c r="AW5" s="669"/>
      <c r="AX5" s="669"/>
      <c r="AY5" s="669"/>
      <c r="AZ5" s="237"/>
      <c r="BA5" s="251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622"/>
      <c r="CJ5" s="622"/>
      <c r="CK5" s="622"/>
      <c r="CL5" s="622"/>
      <c r="CM5" s="622"/>
      <c r="CN5" s="622"/>
      <c r="CO5" s="622"/>
      <c r="CP5" s="622"/>
      <c r="CQ5" s="622"/>
      <c r="CR5" s="622"/>
      <c r="CT5" s="188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98"/>
      <c r="EC5" s="198"/>
      <c r="ED5" s="198"/>
      <c r="EE5" s="198"/>
      <c r="EF5" s="250"/>
      <c r="EG5" s="250"/>
      <c r="EH5" s="250"/>
      <c r="EI5" s="250"/>
      <c r="EJ5" s="250"/>
      <c r="EK5" s="250"/>
      <c r="GE5" s="237"/>
      <c r="GF5" s="237"/>
      <c r="GG5" s="237"/>
      <c r="GH5" s="237"/>
      <c r="GI5" s="237"/>
      <c r="GJ5" s="237"/>
      <c r="GK5" s="237"/>
      <c r="GL5" s="237"/>
      <c r="GT5" s="337"/>
      <c r="GU5" s="337"/>
      <c r="GV5" s="337"/>
      <c r="GW5" s="337"/>
      <c r="GX5" s="337"/>
      <c r="GY5" s="337"/>
      <c r="GZ5" s="237"/>
      <c r="HA5" s="237"/>
      <c r="HB5" s="237"/>
      <c r="HC5" s="237"/>
      <c r="HD5" s="237"/>
      <c r="HE5" s="337"/>
      <c r="HF5" s="237"/>
      <c r="HG5" s="237"/>
      <c r="HH5" s="237"/>
      <c r="HI5" s="237"/>
      <c r="HJ5" s="337"/>
      <c r="HK5" s="337"/>
      <c r="HL5" s="337"/>
    </row>
    <row r="6" spans="1:220" ht="15" customHeight="1">
      <c r="A6" s="153" t="s">
        <v>6</v>
      </c>
      <c r="B6" s="156" t="s">
        <v>482</v>
      </c>
      <c r="C6" s="154">
        <v>0</v>
      </c>
      <c r="D6" s="154">
        <f>950</f>
        <v>950</v>
      </c>
      <c r="E6" s="161">
        <f>C6*D6/1000</f>
        <v>0</v>
      </c>
      <c r="F6" s="224"/>
      <c r="G6" s="115"/>
      <c r="H6" s="199"/>
      <c r="I6" s="199"/>
      <c r="J6" s="199"/>
      <c r="K6" s="199"/>
      <c r="L6" s="199">
        <f aca="true" t="shared" si="0" ref="L6:AN12">$E6*L$4</f>
        <v>0</v>
      </c>
      <c r="M6" s="199">
        <f t="shared" si="0"/>
        <v>0</v>
      </c>
      <c r="N6" s="199">
        <f t="shared" si="0"/>
        <v>0</v>
      </c>
      <c r="O6" s="199">
        <f t="shared" si="0"/>
        <v>0</v>
      </c>
      <c r="P6" s="199">
        <f t="shared" si="0"/>
        <v>0</v>
      </c>
      <c r="Q6" s="199">
        <f t="shared" si="0"/>
        <v>0</v>
      </c>
      <c r="R6" s="199">
        <f t="shared" si="0"/>
        <v>0</v>
      </c>
      <c r="S6" s="199">
        <f t="shared" si="0"/>
        <v>0</v>
      </c>
      <c r="T6" s="199">
        <f t="shared" si="0"/>
        <v>0</v>
      </c>
      <c r="U6" s="199">
        <f t="shared" si="0"/>
        <v>0</v>
      </c>
      <c r="V6" s="199">
        <f t="shared" si="0"/>
        <v>0</v>
      </c>
      <c r="W6" s="199">
        <f t="shared" si="0"/>
        <v>0</v>
      </c>
      <c r="X6" s="199">
        <f t="shared" si="0"/>
        <v>0</v>
      </c>
      <c r="Y6" s="199">
        <f t="shared" si="0"/>
        <v>0</v>
      </c>
      <c r="Z6" s="199">
        <f t="shared" si="0"/>
        <v>0</v>
      </c>
      <c r="AA6" s="199">
        <f t="shared" si="0"/>
        <v>0</v>
      </c>
      <c r="AB6" s="199">
        <f t="shared" si="0"/>
        <v>0</v>
      </c>
      <c r="AC6" s="199">
        <f t="shared" si="0"/>
        <v>0</v>
      </c>
      <c r="AD6" s="199">
        <f t="shared" si="0"/>
        <v>0</v>
      </c>
      <c r="AE6" s="199">
        <f t="shared" si="0"/>
        <v>0</v>
      </c>
      <c r="AF6" s="199">
        <f t="shared" si="0"/>
        <v>0</v>
      </c>
      <c r="AG6" s="199">
        <f t="shared" si="0"/>
        <v>0</v>
      </c>
      <c r="AH6" s="199">
        <f t="shared" si="0"/>
        <v>0</v>
      </c>
      <c r="AI6" s="199">
        <f t="shared" si="0"/>
        <v>0</v>
      </c>
      <c r="AJ6" s="199">
        <f t="shared" si="0"/>
        <v>0</v>
      </c>
      <c r="AK6" s="199">
        <f t="shared" si="0"/>
        <v>0</v>
      </c>
      <c r="AL6" s="199">
        <f t="shared" si="0"/>
        <v>0</v>
      </c>
      <c r="AM6" s="199">
        <f t="shared" si="0"/>
        <v>0</v>
      </c>
      <c r="AN6" s="199">
        <f t="shared" si="0"/>
        <v>0</v>
      </c>
      <c r="AO6" s="199">
        <f aca="true" t="shared" si="1" ref="AO6:AQ7">$E6*AO$4</f>
        <v>0</v>
      </c>
      <c r="AP6" s="640">
        <f t="shared" si="1"/>
        <v>0</v>
      </c>
      <c r="AQ6" s="640">
        <f t="shared" si="1"/>
        <v>0</v>
      </c>
      <c r="AR6" s="640"/>
      <c r="AS6" s="640"/>
      <c r="AT6" s="670"/>
      <c r="AU6" s="670"/>
      <c r="AV6" s="670"/>
      <c r="AW6" s="670"/>
      <c r="AX6" s="670"/>
      <c r="AY6" s="670"/>
      <c r="AZ6" s="237"/>
      <c r="BA6" s="188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T6" s="188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98"/>
      <c r="EC6" s="198"/>
      <c r="ED6" s="198"/>
      <c r="EE6" s="198"/>
      <c r="EF6" s="250"/>
      <c r="EG6" s="250"/>
      <c r="EH6" s="250"/>
      <c r="EI6" s="250"/>
      <c r="EJ6" s="250"/>
      <c r="EK6" s="250"/>
      <c r="GE6" s="237"/>
      <c r="GF6" s="237"/>
      <c r="GG6" s="237"/>
      <c r="GH6" s="237"/>
      <c r="GI6" s="237"/>
      <c r="GJ6" s="237"/>
      <c r="GK6" s="237"/>
      <c r="GL6" s="237"/>
      <c r="GT6" s="337"/>
      <c r="GU6" s="337"/>
      <c r="GV6" s="337"/>
      <c r="GW6" s="337"/>
      <c r="GX6" s="337"/>
      <c r="GY6" s="337"/>
      <c r="GZ6" s="237"/>
      <c r="HA6" s="237"/>
      <c r="HB6" s="237"/>
      <c r="HC6" s="237"/>
      <c r="HD6" s="237"/>
      <c r="HE6" s="337"/>
      <c r="HF6" s="237"/>
      <c r="HG6" s="237"/>
      <c r="HH6" s="237"/>
      <c r="HI6" s="237"/>
      <c r="HJ6" s="337"/>
      <c r="HK6" s="337"/>
      <c r="HL6" s="337"/>
    </row>
    <row r="7" spans="1:220" ht="15" customHeight="1">
      <c r="A7" s="153" t="s">
        <v>7</v>
      </c>
      <c r="B7" s="156" t="s">
        <v>483</v>
      </c>
      <c r="C7" s="154">
        <v>0</v>
      </c>
      <c r="D7" s="154">
        <f>1200</f>
        <v>1200</v>
      </c>
      <c r="E7" s="161">
        <f aca="true" t="shared" si="2" ref="E7:E102">C7*D7/1000</f>
        <v>0</v>
      </c>
      <c r="F7" s="224"/>
      <c r="G7" s="115"/>
      <c r="H7" s="199"/>
      <c r="I7" s="199"/>
      <c r="J7" s="199"/>
      <c r="K7" s="199"/>
      <c r="L7" s="199">
        <f aca="true" t="shared" si="3" ref="L7:Y7">$E7*L$4</f>
        <v>0</v>
      </c>
      <c r="M7" s="199">
        <f t="shared" si="3"/>
        <v>0</v>
      </c>
      <c r="N7" s="199">
        <f t="shared" si="3"/>
        <v>0</v>
      </c>
      <c r="O7" s="199">
        <f t="shared" si="3"/>
        <v>0</v>
      </c>
      <c r="P7" s="199">
        <f t="shared" si="3"/>
        <v>0</v>
      </c>
      <c r="Q7" s="199">
        <f t="shared" si="3"/>
        <v>0</v>
      </c>
      <c r="R7" s="199">
        <f t="shared" si="3"/>
        <v>0</v>
      </c>
      <c r="S7" s="199">
        <f t="shared" si="3"/>
        <v>0</v>
      </c>
      <c r="T7" s="199">
        <f t="shared" si="3"/>
        <v>0</v>
      </c>
      <c r="U7" s="199">
        <f t="shared" si="3"/>
        <v>0</v>
      </c>
      <c r="V7" s="199">
        <f t="shared" si="3"/>
        <v>0</v>
      </c>
      <c r="W7" s="199">
        <f t="shared" si="3"/>
        <v>0</v>
      </c>
      <c r="X7" s="199">
        <f t="shared" si="3"/>
        <v>0</v>
      </c>
      <c r="Y7" s="199">
        <f t="shared" si="3"/>
        <v>0</v>
      </c>
      <c r="Z7" s="199">
        <f t="shared" si="0"/>
        <v>0</v>
      </c>
      <c r="AA7" s="199">
        <f t="shared" si="0"/>
        <v>0</v>
      </c>
      <c r="AB7" s="199">
        <f t="shared" si="0"/>
        <v>0</v>
      </c>
      <c r="AC7" s="199">
        <f t="shared" si="0"/>
        <v>0</v>
      </c>
      <c r="AD7" s="199">
        <f t="shared" si="0"/>
        <v>0</v>
      </c>
      <c r="AE7" s="199">
        <f t="shared" si="0"/>
        <v>0</v>
      </c>
      <c r="AF7" s="199">
        <f t="shared" si="0"/>
        <v>0</v>
      </c>
      <c r="AG7" s="199">
        <f t="shared" si="0"/>
        <v>0</v>
      </c>
      <c r="AH7" s="199">
        <f t="shared" si="0"/>
        <v>0</v>
      </c>
      <c r="AI7" s="199">
        <f t="shared" si="0"/>
        <v>0</v>
      </c>
      <c r="AJ7" s="199">
        <f t="shared" si="0"/>
        <v>0</v>
      </c>
      <c r="AK7" s="199">
        <f t="shared" si="0"/>
        <v>0</v>
      </c>
      <c r="AL7" s="199">
        <f t="shared" si="0"/>
        <v>0</v>
      </c>
      <c r="AM7" s="199">
        <f t="shared" si="0"/>
        <v>0</v>
      </c>
      <c r="AN7" s="199">
        <f>$E7*AN$4</f>
        <v>0</v>
      </c>
      <c r="AO7" s="199">
        <f t="shared" si="1"/>
        <v>0</v>
      </c>
      <c r="AP7" s="640">
        <f t="shared" si="1"/>
        <v>0</v>
      </c>
      <c r="AQ7" s="640">
        <f t="shared" si="1"/>
        <v>0</v>
      </c>
      <c r="AR7" s="640"/>
      <c r="AS7" s="640"/>
      <c r="AT7" s="670"/>
      <c r="AU7" s="670"/>
      <c r="AV7" s="670"/>
      <c r="AW7" s="670"/>
      <c r="AX7" s="670"/>
      <c r="AY7" s="670"/>
      <c r="AZ7" s="237"/>
      <c r="BA7" s="188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T7" s="188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98"/>
      <c r="EC7" s="198"/>
      <c r="ED7" s="198"/>
      <c r="EE7" s="198"/>
      <c r="EF7" s="250"/>
      <c r="EG7" s="250"/>
      <c r="EH7" s="250"/>
      <c r="EI7" s="250"/>
      <c r="EJ7" s="250"/>
      <c r="EK7" s="250"/>
      <c r="GE7" s="237"/>
      <c r="GF7" s="237"/>
      <c r="GG7" s="237"/>
      <c r="GH7" s="237"/>
      <c r="GI7" s="237"/>
      <c r="GJ7" s="237"/>
      <c r="GK7" s="237"/>
      <c r="GL7" s="237"/>
      <c r="GT7" s="337"/>
      <c r="GU7" s="337"/>
      <c r="GV7" s="337"/>
      <c r="GW7" s="337"/>
      <c r="GX7" s="337"/>
      <c r="GY7" s="337"/>
      <c r="GZ7" s="237"/>
      <c r="HA7" s="237"/>
      <c r="HB7" s="237"/>
      <c r="HC7" s="237"/>
      <c r="HD7" s="237"/>
      <c r="HE7" s="337"/>
      <c r="HF7" s="237"/>
      <c r="HG7" s="237"/>
      <c r="HH7" s="237"/>
      <c r="HI7" s="237"/>
      <c r="HJ7" s="337"/>
      <c r="HK7" s="337"/>
      <c r="HL7" s="337"/>
    </row>
    <row r="8" spans="1:220" ht="15" customHeight="1">
      <c r="A8" s="153" t="s">
        <v>8</v>
      </c>
      <c r="B8" s="156" t="s">
        <v>484</v>
      </c>
      <c r="C8" s="154">
        <v>0</v>
      </c>
      <c r="D8" s="154">
        <f>1550</f>
        <v>1550</v>
      </c>
      <c r="E8" s="161">
        <f t="shared" si="2"/>
        <v>0</v>
      </c>
      <c r="F8" s="224"/>
      <c r="G8" s="115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640"/>
      <c r="AQ8" s="640"/>
      <c r="AR8" s="640"/>
      <c r="AS8" s="640"/>
      <c r="AT8" s="670"/>
      <c r="AU8" s="670"/>
      <c r="AV8" s="670"/>
      <c r="AW8" s="670"/>
      <c r="AX8" s="670"/>
      <c r="AY8" s="670"/>
      <c r="AZ8" s="237"/>
      <c r="BA8" s="188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T8" s="188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>
        <f aca="true" t="shared" si="4" ref="DE8:EK8">$E8*DE$4</f>
        <v>0</v>
      </c>
      <c r="DF8" s="115">
        <f t="shared" si="4"/>
        <v>0</v>
      </c>
      <c r="DG8" s="115">
        <f t="shared" si="4"/>
        <v>0</v>
      </c>
      <c r="DH8" s="115">
        <f t="shared" si="4"/>
        <v>0</v>
      </c>
      <c r="DI8" s="115">
        <f t="shared" si="4"/>
        <v>0</v>
      </c>
      <c r="DJ8" s="115">
        <f t="shared" si="4"/>
        <v>0</v>
      </c>
      <c r="DK8" s="115">
        <f t="shared" si="4"/>
        <v>0</v>
      </c>
      <c r="DL8" s="115">
        <f t="shared" si="4"/>
        <v>0</v>
      </c>
      <c r="DM8" s="115">
        <f t="shared" si="4"/>
        <v>0</v>
      </c>
      <c r="DN8" s="115">
        <f t="shared" si="4"/>
        <v>0</v>
      </c>
      <c r="DO8" s="115">
        <f t="shared" si="4"/>
        <v>0</v>
      </c>
      <c r="DP8" s="115">
        <f t="shared" si="4"/>
        <v>0</v>
      </c>
      <c r="DQ8" s="115">
        <f t="shared" si="4"/>
        <v>0</v>
      </c>
      <c r="DR8" s="115">
        <f t="shared" si="4"/>
        <v>0</v>
      </c>
      <c r="DS8" s="115">
        <f t="shared" si="4"/>
        <v>0</v>
      </c>
      <c r="DT8" s="115">
        <f t="shared" si="4"/>
        <v>0</v>
      </c>
      <c r="DU8" s="115">
        <f t="shared" si="4"/>
        <v>0</v>
      </c>
      <c r="DV8" s="115">
        <f t="shared" si="4"/>
        <v>0</v>
      </c>
      <c r="DW8" s="115">
        <f t="shared" si="4"/>
        <v>0</v>
      </c>
      <c r="DX8" s="115">
        <f t="shared" si="4"/>
        <v>0</v>
      </c>
      <c r="DY8" s="115">
        <f t="shared" si="4"/>
        <v>0</v>
      </c>
      <c r="DZ8" s="115">
        <f t="shared" si="4"/>
        <v>0</v>
      </c>
      <c r="EA8" s="115">
        <f t="shared" si="4"/>
        <v>0</v>
      </c>
      <c r="EB8" s="198">
        <f t="shared" si="4"/>
        <v>0</v>
      </c>
      <c r="EC8" s="198">
        <f t="shared" si="4"/>
        <v>0</v>
      </c>
      <c r="ED8" s="198">
        <f t="shared" si="4"/>
        <v>0</v>
      </c>
      <c r="EE8" s="198">
        <f t="shared" si="4"/>
        <v>0</v>
      </c>
      <c r="EF8" s="250">
        <f t="shared" si="4"/>
        <v>0</v>
      </c>
      <c r="EG8" s="250">
        <f t="shared" si="4"/>
        <v>0</v>
      </c>
      <c r="EH8" s="250">
        <f t="shared" si="4"/>
        <v>0</v>
      </c>
      <c r="EI8" s="250">
        <f t="shared" si="4"/>
        <v>0</v>
      </c>
      <c r="EJ8" s="250">
        <f t="shared" si="4"/>
        <v>0</v>
      </c>
      <c r="EK8" s="250">
        <f t="shared" si="4"/>
        <v>0</v>
      </c>
      <c r="GE8" s="237"/>
      <c r="GF8" s="237"/>
      <c r="GG8" s="237"/>
      <c r="GH8" s="237"/>
      <c r="GI8" s="237"/>
      <c r="GJ8" s="237"/>
      <c r="GK8" s="237"/>
      <c r="GL8" s="237"/>
      <c r="GT8" s="337"/>
      <c r="GU8" s="337"/>
      <c r="GV8" s="337"/>
      <c r="GW8" s="337"/>
      <c r="GX8" s="337"/>
      <c r="GY8" s="337"/>
      <c r="GZ8" s="237"/>
      <c r="HA8" s="237"/>
      <c r="HB8" s="237"/>
      <c r="HC8" s="237"/>
      <c r="HD8" s="237"/>
      <c r="HE8" s="337"/>
      <c r="HF8" s="237"/>
      <c r="HG8" s="237"/>
      <c r="HH8" s="237"/>
      <c r="HI8" s="237"/>
      <c r="HJ8" s="337"/>
      <c r="HK8" s="337"/>
      <c r="HL8" s="337"/>
    </row>
    <row r="9" spans="1:220" ht="15" customHeight="1">
      <c r="A9" s="153" t="s">
        <v>9</v>
      </c>
      <c r="B9" s="156" t="s">
        <v>485</v>
      </c>
      <c r="C9" s="154">
        <v>0</v>
      </c>
      <c r="D9" s="154">
        <v>950</v>
      </c>
      <c r="E9" s="161">
        <f t="shared" si="2"/>
        <v>0</v>
      </c>
      <c r="F9" s="224"/>
      <c r="G9" s="115"/>
      <c r="H9" s="199"/>
      <c r="I9" s="199"/>
      <c r="J9" s="199"/>
      <c r="K9" s="199"/>
      <c r="L9" s="199">
        <f t="shared" si="0"/>
        <v>0</v>
      </c>
      <c r="M9" s="199">
        <f t="shared" si="0"/>
        <v>0</v>
      </c>
      <c r="N9" s="199">
        <f t="shared" si="0"/>
        <v>0</v>
      </c>
      <c r="O9" s="199">
        <f t="shared" si="0"/>
        <v>0</v>
      </c>
      <c r="P9" s="199">
        <f t="shared" si="0"/>
        <v>0</v>
      </c>
      <c r="Q9" s="199">
        <f t="shared" si="0"/>
        <v>0</v>
      </c>
      <c r="R9" s="199">
        <f t="shared" si="0"/>
        <v>0</v>
      </c>
      <c r="S9" s="199">
        <f t="shared" si="0"/>
        <v>0</v>
      </c>
      <c r="T9" s="199">
        <f t="shared" si="0"/>
        <v>0</v>
      </c>
      <c r="U9" s="199">
        <f t="shared" si="0"/>
        <v>0</v>
      </c>
      <c r="V9" s="199">
        <f t="shared" si="0"/>
        <v>0</v>
      </c>
      <c r="W9" s="199">
        <f t="shared" si="0"/>
        <v>0</v>
      </c>
      <c r="X9" s="199">
        <f t="shared" si="0"/>
        <v>0</v>
      </c>
      <c r="Y9" s="199">
        <f t="shared" si="0"/>
        <v>0</v>
      </c>
      <c r="Z9" s="199">
        <f t="shared" si="0"/>
        <v>0</v>
      </c>
      <c r="AA9" s="199">
        <f t="shared" si="0"/>
        <v>0</v>
      </c>
      <c r="AB9" s="199">
        <f t="shared" si="0"/>
        <v>0</v>
      </c>
      <c r="AC9" s="199">
        <f t="shared" si="0"/>
        <v>0</v>
      </c>
      <c r="AD9" s="199">
        <f t="shared" si="0"/>
        <v>0</v>
      </c>
      <c r="AE9" s="199">
        <f t="shared" si="0"/>
        <v>0</v>
      </c>
      <c r="AF9" s="199">
        <f t="shared" si="0"/>
        <v>0</v>
      </c>
      <c r="AG9" s="199">
        <f t="shared" si="0"/>
        <v>0</v>
      </c>
      <c r="AH9" s="199">
        <f t="shared" si="0"/>
        <v>0</v>
      </c>
      <c r="AI9" s="199">
        <f t="shared" si="0"/>
        <v>0</v>
      </c>
      <c r="AJ9" s="199">
        <f t="shared" si="0"/>
        <v>0</v>
      </c>
      <c r="AK9" s="199">
        <f t="shared" si="0"/>
        <v>0</v>
      </c>
      <c r="AL9" s="199">
        <f t="shared" si="0"/>
        <v>0</v>
      </c>
      <c r="AM9" s="199">
        <f t="shared" si="0"/>
        <v>0</v>
      </c>
      <c r="AN9" s="199">
        <f aca="true" t="shared" si="5" ref="AN9:AQ12">$E9*AN$4</f>
        <v>0</v>
      </c>
      <c r="AO9" s="199">
        <f t="shared" si="5"/>
        <v>0</v>
      </c>
      <c r="AP9" s="640">
        <f t="shared" si="5"/>
        <v>0</v>
      </c>
      <c r="AQ9" s="640">
        <f t="shared" si="5"/>
        <v>0</v>
      </c>
      <c r="AR9" s="640"/>
      <c r="AS9" s="640"/>
      <c r="AT9" s="670"/>
      <c r="AU9" s="670"/>
      <c r="AV9" s="670"/>
      <c r="AW9" s="670"/>
      <c r="AX9" s="670"/>
      <c r="AY9" s="670"/>
      <c r="AZ9" s="237"/>
      <c r="BA9" s="188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T9" s="188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98"/>
      <c r="EC9" s="198"/>
      <c r="ED9" s="198"/>
      <c r="EE9" s="198"/>
      <c r="EF9" s="250"/>
      <c r="EG9" s="250"/>
      <c r="EH9" s="250"/>
      <c r="EI9" s="250"/>
      <c r="EJ9" s="250"/>
      <c r="EK9" s="250"/>
      <c r="GE9" s="237"/>
      <c r="GF9" s="237"/>
      <c r="GG9" s="237"/>
      <c r="GH9" s="237"/>
      <c r="GI9" s="237"/>
      <c r="GJ9" s="237"/>
      <c r="GK9" s="237"/>
      <c r="GL9" s="237"/>
      <c r="GT9" s="337"/>
      <c r="GU9" s="337"/>
      <c r="GV9" s="337"/>
      <c r="GW9" s="337"/>
      <c r="GX9" s="337"/>
      <c r="GY9" s="337"/>
      <c r="GZ9" s="237"/>
      <c r="HA9" s="237"/>
      <c r="HB9" s="237"/>
      <c r="HC9" s="237"/>
      <c r="HD9" s="237"/>
      <c r="HE9" s="337"/>
      <c r="HF9" s="237"/>
      <c r="HG9" s="237"/>
      <c r="HH9" s="237"/>
      <c r="HI9" s="237"/>
      <c r="HJ9" s="337"/>
      <c r="HK9" s="337"/>
      <c r="HL9" s="337"/>
    </row>
    <row r="10" spans="1:220" ht="15" customHeight="1">
      <c r="A10" s="153" t="s">
        <v>10</v>
      </c>
      <c r="B10" s="156" t="s">
        <v>486</v>
      </c>
      <c r="C10" s="154">
        <v>0</v>
      </c>
      <c r="D10" s="154">
        <v>1200</v>
      </c>
      <c r="E10" s="161">
        <f t="shared" si="2"/>
        <v>0</v>
      </c>
      <c r="F10" s="224"/>
      <c r="G10" s="115"/>
      <c r="H10" s="199"/>
      <c r="I10" s="199"/>
      <c r="J10" s="199"/>
      <c r="K10" s="199"/>
      <c r="L10" s="199">
        <f t="shared" si="0"/>
        <v>0</v>
      </c>
      <c r="M10" s="199">
        <f t="shared" si="0"/>
        <v>0</v>
      </c>
      <c r="N10" s="199">
        <f t="shared" si="0"/>
        <v>0</v>
      </c>
      <c r="O10" s="199">
        <f t="shared" si="0"/>
        <v>0</v>
      </c>
      <c r="P10" s="199">
        <f t="shared" si="0"/>
        <v>0</v>
      </c>
      <c r="Q10" s="199">
        <f t="shared" si="0"/>
        <v>0</v>
      </c>
      <c r="R10" s="199">
        <f t="shared" si="0"/>
        <v>0</v>
      </c>
      <c r="S10" s="199">
        <f t="shared" si="0"/>
        <v>0</v>
      </c>
      <c r="T10" s="199">
        <f t="shared" si="0"/>
        <v>0</v>
      </c>
      <c r="U10" s="199">
        <f t="shared" si="0"/>
        <v>0</v>
      </c>
      <c r="V10" s="199">
        <f t="shared" si="0"/>
        <v>0</v>
      </c>
      <c r="W10" s="199">
        <f t="shared" si="0"/>
        <v>0</v>
      </c>
      <c r="X10" s="199">
        <f t="shared" si="0"/>
        <v>0</v>
      </c>
      <c r="Y10" s="199">
        <f t="shared" si="0"/>
        <v>0</v>
      </c>
      <c r="Z10" s="199">
        <f t="shared" si="0"/>
        <v>0</v>
      </c>
      <c r="AA10" s="199">
        <f t="shared" si="0"/>
        <v>0</v>
      </c>
      <c r="AB10" s="199">
        <f t="shared" si="0"/>
        <v>0</v>
      </c>
      <c r="AC10" s="199">
        <f t="shared" si="0"/>
        <v>0</v>
      </c>
      <c r="AD10" s="199">
        <f t="shared" si="0"/>
        <v>0</v>
      </c>
      <c r="AE10" s="199">
        <f t="shared" si="0"/>
        <v>0</v>
      </c>
      <c r="AF10" s="199">
        <f t="shared" si="0"/>
        <v>0</v>
      </c>
      <c r="AG10" s="199">
        <f t="shared" si="0"/>
        <v>0</v>
      </c>
      <c r="AH10" s="199">
        <f t="shared" si="0"/>
        <v>0</v>
      </c>
      <c r="AI10" s="199">
        <f t="shared" si="0"/>
        <v>0</v>
      </c>
      <c r="AJ10" s="199">
        <f t="shared" si="0"/>
        <v>0</v>
      </c>
      <c r="AK10" s="199">
        <f t="shared" si="0"/>
        <v>0</v>
      </c>
      <c r="AL10" s="199">
        <f t="shared" si="0"/>
        <v>0</v>
      </c>
      <c r="AM10" s="199">
        <f t="shared" si="0"/>
        <v>0</v>
      </c>
      <c r="AN10" s="199">
        <f t="shared" si="5"/>
        <v>0</v>
      </c>
      <c r="AO10" s="199">
        <f t="shared" si="5"/>
        <v>0</v>
      </c>
      <c r="AP10" s="640">
        <f t="shared" si="5"/>
        <v>0</v>
      </c>
      <c r="AQ10" s="640">
        <f t="shared" si="5"/>
        <v>0</v>
      </c>
      <c r="AR10" s="640"/>
      <c r="AS10" s="640"/>
      <c r="AT10" s="670"/>
      <c r="AU10" s="670"/>
      <c r="AV10" s="670"/>
      <c r="AW10" s="670"/>
      <c r="AX10" s="670"/>
      <c r="AY10" s="670"/>
      <c r="AZ10" s="237"/>
      <c r="BA10" s="188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T10" s="188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98"/>
      <c r="EC10" s="198"/>
      <c r="ED10" s="198"/>
      <c r="EE10" s="198"/>
      <c r="EF10" s="250"/>
      <c r="EG10" s="250"/>
      <c r="EH10" s="250"/>
      <c r="EI10" s="250"/>
      <c r="EJ10" s="250"/>
      <c r="EK10" s="250"/>
      <c r="GE10" s="237"/>
      <c r="GF10" s="237"/>
      <c r="GG10" s="237"/>
      <c r="GH10" s="237"/>
      <c r="GI10" s="237"/>
      <c r="GJ10" s="237"/>
      <c r="GK10" s="237"/>
      <c r="GL10" s="237"/>
      <c r="GT10" s="337"/>
      <c r="GU10" s="337"/>
      <c r="GV10" s="337"/>
      <c r="GW10" s="337"/>
      <c r="GX10" s="337"/>
      <c r="GY10" s="337"/>
      <c r="GZ10" s="237"/>
      <c r="HA10" s="237"/>
      <c r="HB10" s="237"/>
      <c r="HC10" s="237"/>
      <c r="HD10" s="237"/>
      <c r="HE10" s="337"/>
      <c r="HF10" s="237"/>
      <c r="HG10" s="237"/>
      <c r="HH10" s="237"/>
      <c r="HI10" s="237"/>
      <c r="HJ10" s="337"/>
      <c r="HK10" s="337"/>
      <c r="HL10" s="337"/>
    </row>
    <row r="11" spans="1:220" ht="15" customHeight="1">
      <c r="A11" s="153" t="s">
        <v>11</v>
      </c>
      <c r="B11" s="156" t="s">
        <v>487</v>
      </c>
      <c r="C11" s="154">
        <v>0</v>
      </c>
      <c r="D11" s="154">
        <v>900</v>
      </c>
      <c r="E11" s="161">
        <f t="shared" si="2"/>
        <v>0</v>
      </c>
      <c r="F11" s="224"/>
      <c r="G11" s="115"/>
      <c r="H11" s="199"/>
      <c r="I11" s="199"/>
      <c r="J11" s="199"/>
      <c r="K11" s="199"/>
      <c r="L11" s="199">
        <f t="shared" si="0"/>
        <v>0</v>
      </c>
      <c r="M11" s="199">
        <f t="shared" si="0"/>
        <v>0</v>
      </c>
      <c r="N11" s="199">
        <f t="shared" si="0"/>
        <v>0</v>
      </c>
      <c r="O11" s="199">
        <f t="shared" si="0"/>
        <v>0</v>
      </c>
      <c r="P11" s="199">
        <f t="shared" si="0"/>
        <v>0</v>
      </c>
      <c r="Q11" s="199">
        <f t="shared" si="0"/>
        <v>0</v>
      </c>
      <c r="R11" s="199">
        <f t="shared" si="0"/>
        <v>0</v>
      </c>
      <c r="S11" s="199">
        <f t="shared" si="0"/>
        <v>0</v>
      </c>
      <c r="T11" s="199">
        <f t="shared" si="0"/>
        <v>0</v>
      </c>
      <c r="U11" s="199">
        <f t="shared" si="0"/>
        <v>0</v>
      </c>
      <c r="V11" s="199">
        <f t="shared" si="0"/>
        <v>0</v>
      </c>
      <c r="W11" s="199">
        <f t="shared" si="0"/>
        <v>0</v>
      </c>
      <c r="X11" s="199">
        <f t="shared" si="0"/>
        <v>0</v>
      </c>
      <c r="Y11" s="199">
        <f t="shared" si="0"/>
        <v>0</v>
      </c>
      <c r="Z11" s="199">
        <f t="shared" si="0"/>
        <v>0</v>
      </c>
      <c r="AA11" s="199">
        <f t="shared" si="0"/>
        <v>0</v>
      </c>
      <c r="AB11" s="199">
        <f t="shared" si="0"/>
        <v>0</v>
      </c>
      <c r="AC11" s="199">
        <f t="shared" si="0"/>
        <v>0</v>
      </c>
      <c r="AD11" s="199">
        <f t="shared" si="0"/>
        <v>0</v>
      </c>
      <c r="AE11" s="199">
        <f t="shared" si="0"/>
        <v>0</v>
      </c>
      <c r="AF11" s="199">
        <f t="shared" si="0"/>
        <v>0</v>
      </c>
      <c r="AG11" s="199">
        <f t="shared" si="0"/>
        <v>0</v>
      </c>
      <c r="AH11" s="199">
        <f t="shared" si="0"/>
        <v>0</v>
      </c>
      <c r="AI11" s="199">
        <f t="shared" si="0"/>
        <v>0</v>
      </c>
      <c r="AJ11" s="199">
        <f t="shared" si="0"/>
        <v>0</v>
      </c>
      <c r="AK11" s="199">
        <f t="shared" si="0"/>
        <v>0</v>
      </c>
      <c r="AL11" s="199">
        <f t="shared" si="0"/>
        <v>0</v>
      </c>
      <c r="AM11" s="199">
        <f t="shared" si="0"/>
        <v>0</v>
      </c>
      <c r="AN11" s="199">
        <f t="shared" si="5"/>
        <v>0</v>
      </c>
      <c r="AO11" s="199">
        <f t="shared" si="5"/>
        <v>0</v>
      </c>
      <c r="AP11" s="640">
        <f t="shared" si="5"/>
        <v>0</v>
      </c>
      <c r="AQ11" s="640">
        <f t="shared" si="5"/>
        <v>0</v>
      </c>
      <c r="AR11" s="640"/>
      <c r="AS11" s="640"/>
      <c r="AT11" s="670"/>
      <c r="AU11" s="670"/>
      <c r="AV11" s="670"/>
      <c r="AW11" s="670"/>
      <c r="AX11" s="670"/>
      <c r="AY11" s="670"/>
      <c r="AZ11" s="237"/>
      <c r="BA11" s="188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T11" s="188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98"/>
      <c r="EC11" s="198"/>
      <c r="ED11" s="198"/>
      <c r="EE11" s="198"/>
      <c r="EF11" s="250"/>
      <c r="EG11" s="250"/>
      <c r="EH11" s="250"/>
      <c r="EI11" s="250"/>
      <c r="EJ11" s="250"/>
      <c r="EK11" s="250"/>
      <c r="GE11" s="237"/>
      <c r="GF11" s="237"/>
      <c r="GG11" s="237"/>
      <c r="GH11" s="237"/>
      <c r="GI11" s="237"/>
      <c r="GJ11" s="237"/>
      <c r="GK11" s="237"/>
      <c r="GL11" s="237"/>
      <c r="GT11" s="337"/>
      <c r="GU11" s="337"/>
      <c r="GV11" s="337"/>
      <c r="GW11" s="337"/>
      <c r="GX11" s="337"/>
      <c r="GY11" s="337"/>
      <c r="GZ11" s="237"/>
      <c r="HA11" s="237"/>
      <c r="HB11" s="237"/>
      <c r="HC11" s="237"/>
      <c r="HD11" s="237"/>
      <c r="HE11" s="337"/>
      <c r="HF11" s="237"/>
      <c r="HG11" s="237"/>
      <c r="HH11" s="237"/>
      <c r="HI11" s="237"/>
      <c r="HJ11" s="337"/>
      <c r="HK11" s="337"/>
      <c r="HL11" s="337"/>
    </row>
    <row r="12" spans="1:220" ht="15" customHeight="1">
      <c r="A12" s="153" t="s">
        <v>12</v>
      </c>
      <c r="B12" s="156" t="s">
        <v>488</v>
      </c>
      <c r="C12" s="154">
        <v>0</v>
      </c>
      <c r="D12" s="154">
        <v>500</v>
      </c>
      <c r="E12" s="161">
        <f t="shared" si="2"/>
        <v>0</v>
      </c>
      <c r="F12" s="224"/>
      <c r="G12" s="115"/>
      <c r="H12" s="199"/>
      <c r="I12" s="199"/>
      <c r="J12" s="199"/>
      <c r="K12" s="199"/>
      <c r="L12" s="199">
        <f t="shared" si="0"/>
        <v>0</v>
      </c>
      <c r="M12" s="199">
        <f t="shared" si="0"/>
        <v>0</v>
      </c>
      <c r="N12" s="199">
        <f t="shared" si="0"/>
        <v>0</v>
      </c>
      <c r="O12" s="199">
        <f t="shared" si="0"/>
        <v>0</v>
      </c>
      <c r="P12" s="199">
        <f t="shared" si="0"/>
        <v>0</v>
      </c>
      <c r="Q12" s="199">
        <f t="shared" si="0"/>
        <v>0</v>
      </c>
      <c r="R12" s="199">
        <f t="shared" si="0"/>
        <v>0</v>
      </c>
      <c r="S12" s="199">
        <f t="shared" si="0"/>
        <v>0</v>
      </c>
      <c r="T12" s="199">
        <f t="shared" si="0"/>
        <v>0</v>
      </c>
      <c r="U12" s="199">
        <f t="shared" si="0"/>
        <v>0</v>
      </c>
      <c r="V12" s="199">
        <f t="shared" si="0"/>
        <v>0</v>
      </c>
      <c r="W12" s="199">
        <f t="shared" si="0"/>
        <v>0</v>
      </c>
      <c r="X12" s="199">
        <f t="shared" si="0"/>
        <v>0</v>
      </c>
      <c r="Y12" s="199">
        <f t="shared" si="0"/>
        <v>0</v>
      </c>
      <c r="Z12" s="199">
        <f t="shared" si="0"/>
        <v>0</v>
      </c>
      <c r="AA12" s="199">
        <f t="shared" si="0"/>
        <v>0</v>
      </c>
      <c r="AB12" s="199">
        <f t="shared" si="0"/>
        <v>0</v>
      </c>
      <c r="AC12" s="199">
        <f t="shared" si="0"/>
        <v>0</v>
      </c>
      <c r="AD12" s="199">
        <f t="shared" si="0"/>
        <v>0</v>
      </c>
      <c r="AE12" s="199">
        <f t="shared" si="0"/>
        <v>0</v>
      </c>
      <c r="AF12" s="199">
        <f t="shared" si="0"/>
        <v>0</v>
      </c>
      <c r="AG12" s="199">
        <f t="shared" si="0"/>
        <v>0</v>
      </c>
      <c r="AH12" s="199">
        <f t="shared" si="0"/>
        <v>0</v>
      </c>
      <c r="AI12" s="199">
        <f t="shared" si="0"/>
        <v>0</v>
      </c>
      <c r="AJ12" s="199">
        <f t="shared" si="0"/>
        <v>0</v>
      </c>
      <c r="AK12" s="199">
        <f t="shared" si="0"/>
        <v>0</v>
      </c>
      <c r="AL12" s="199">
        <f t="shared" si="0"/>
        <v>0</v>
      </c>
      <c r="AM12" s="199">
        <f t="shared" si="0"/>
        <v>0</v>
      </c>
      <c r="AN12" s="199">
        <f t="shared" si="5"/>
        <v>0</v>
      </c>
      <c r="AO12" s="199">
        <f t="shared" si="5"/>
        <v>0</v>
      </c>
      <c r="AP12" s="640">
        <f t="shared" si="5"/>
        <v>0</v>
      </c>
      <c r="AQ12" s="640">
        <f t="shared" si="5"/>
        <v>0</v>
      </c>
      <c r="AR12" s="640"/>
      <c r="AS12" s="640"/>
      <c r="AT12" s="670"/>
      <c r="AU12" s="670"/>
      <c r="AV12" s="670"/>
      <c r="AW12" s="670"/>
      <c r="AX12" s="670"/>
      <c r="AY12" s="670"/>
      <c r="AZ12" s="237"/>
      <c r="BA12" s="188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T12" s="188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98"/>
      <c r="EC12" s="198"/>
      <c r="ED12" s="198"/>
      <c r="EE12" s="198"/>
      <c r="EF12" s="250"/>
      <c r="EG12" s="250"/>
      <c r="EH12" s="250"/>
      <c r="EI12" s="250"/>
      <c r="EJ12" s="250"/>
      <c r="EK12" s="250"/>
      <c r="GE12" s="237"/>
      <c r="GF12" s="237"/>
      <c r="GG12" s="237"/>
      <c r="GH12" s="237"/>
      <c r="GI12" s="237"/>
      <c r="GJ12" s="237"/>
      <c r="GK12" s="237"/>
      <c r="GL12" s="237"/>
      <c r="GT12" s="337"/>
      <c r="GU12" s="337"/>
      <c r="GV12" s="337"/>
      <c r="GW12" s="337"/>
      <c r="GX12" s="337"/>
      <c r="GY12" s="337"/>
      <c r="GZ12" s="237"/>
      <c r="HA12" s="237"/>
      <c r="HB12" s="237"/>
      <c r="HC12" s="237"/>
      <c r="HD12" s="237"/>
      <c r="HE12" s="337"/>
      <c r="HF12" s="237"/>
      <c r="HG12" s="237"/>
      <c r="HH12" s="237"/>
      <c r="HI12" s="237"/>
      <c r="HJ12" s="337"/>
      <c r="HK12" s="337"/>
      <c r="HL12" s="337"/>
    </row>
    <row r="13" spans="1:220" ht="15" customHeight="1">
      <c r="A13" s="153" t="s">
        <v>38</v>
      </c>
      <c r="B13" s="156" t="s">
        <v>489</v>
      </c>
      <c r="C13" s="154">
        <v>0</v>
      </c>
      <c r="D13" s="154">
        <v>1850</v>
      </c>
      <c r="E13" s="161">
        <f t="shared" si="2"/>
        <v>0</v>
      </c>
      <c r="F13" s="224"/>
      <c r="G13" s="115"/>
      <c r="H13" s="199"/>
      <c r="I13" s="199"/>
      <c r="J13" s="199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641"/>
      <c r="AQ13" s="641"/>
      <c r="AR13" s="641"/>
      <c r="AS13" s="641"/>
      <c r="AT13" s="671"/>
      <c r="AU13" s="671"/>
      <c r="AV13" s="671"/>
      <c r="AW13" s="671"/>
      <c r="AX13" s="671"/>
      <c r="AY13" s="671"/>
      <c r="AZ13" s="237"/>
      <c r="BA13" s="188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T13" s="188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>
        <f aca="true" t="shared" si="6" ref="DE13:DL14">$E13*DE$4</f>
        <v>0</v>
      </c>
      <c r="DF13" s="115">
        <f t="shared" si="6"/>
        <v>0</v>
      </c>
      <c r="DG13" s="115">
        <f t="shared" si="6"/>
        <v>0</v>
      </c>
      <c r="DH13" s="115">
        <f t="shared" si="6"/>
        <v>0</v>
      </c>
      <c r="DI13" s="115">
        <f t="shared" si="6"/>
        <v>0</v>
      </c>
      <c r="DJ13" s="115">
        <f t="shared" si="6"/>
        <v>0</v>
      </c>
      <c r="DK13" s="115">
        <f t="shared" si="6"/>
        <v>0</v>
      </c>
      <c r="DL13" s="115">
        <f t="shared" si="6"/>
        <v>0</v>
      </c>
      <c r="DM13" s="115">
        <f aca="true" t="shared" si="7" ref="DM13:EC14">$E13*DM$4</f>
        <v>0</v>
      </c>
      <c r="DN13" s="115">
        <f t="shared" si="7"/>
        <v>0</v>
      </c>
      <c r="DO13" s="115">
        <f t="shared" si="7"/>
        <v>0</v>
      </c>
      <c r="DP13" s="115">
        <f t="shared" si="7"/>
        <v>0</v>
      </c>
      <c r="DQ13" s="115">
        <f t="shared" si="7"/>
        <v>0</v>
      </c>
      <c r="DR13" s="115">
        <f t="shared" si="7"/>
        <v>0</v>
      </c>
      <c r="DS13" s="115">
        <f t="shared" si="7"/>
        <v>0</v>
      </c>
      <c r="DT13" s="115">
        <f t="shared" si="7"/>
        <v>0</v>
      </c>
      <c r="DU13" s="115">
        <f t="shared" si="7"/>
        <v>0</v>
      </c>
      <c r="DV13" s="115">
        <f t="shared" si="7"/>
        <v>0</v>
      </c>
      <c r="DW13" s="115">
        <f t="shared" si="7"/>
        <v>0</v>
      </c>
      <c r="DX13" s="115">
        <f t="shared" si="7"/>
        <v>0</v>
      </c>
      <c r="DY13" s="115">
        <f t="shared" si="7"/>
        <v>0</v>
      </c>
      <c r="DZ13" s="115">
        <f t="shared" si="7"/>
        <v>0</v>
      </c>
      <c r="EA13" s="115">
        <f t="shared" si="7"/>
        <v>0</v>
      </c>
      <c r="EB13" s="198">
        <f t="shared" si="7"/>
        <v>0</v>
      </c>
      <c r="EC13" s="198">
        <f t="shared" si="7"/>
        <v>0</v>
      </c>
      <c r="ED13" s="198">
        <f aca="true" t="shared" si="8" ref="ED13:EK14">$E13*ED$4</f>
        <v>0</v>
      </c>
      <c r="EE13" s="198">
        <f t="shared" si="8"/>
        <v>0</v>
      </c>
      <c r="EF13" s="250">
        <f t="shared" si="8"/>
        <v>0</v>
      </c>
      <c r="EG13" s="250">
        <f t="shared" si="8"/>
        <v>0</v>
      </c>
      <c r="EH13" s="250">
        <f t="shared" si="8"/>
        <v>0</v>
      </c>
      <c r="EI13" s="250">
        <f t="shared" si="8"/>
        <v>0</v>
      </c>
      <c r="EJ13" s="250">
        <f t="shared" si="8"/>
        <v>0</v>
      </c>
      <c r="EK13" s="250">
        <f t="shared" si="8"/>
        <v>0</v>
      </c>
      <c r="GE13" s="237"/>
      <c r="GF13" s="237"/>
      <c r="GG13" s="237"/>
      <c r="GH13" s="237"/>
      <c r="GI13" s="237"/>
      <c r="GJ13" s="237"/>
      <c r="GK13" s="237"/>
      <c r="GL13" s="237"/>
      <c r="GT13" s="649"/>
      <c r="GU13" s="649"/>
      <c r="GV13" s="649"/>
      <c r="GW13" s="649"/>
      <c r="GX13" s="649"/>
      <c r="GY13" s="649"/>
      <c r="GZ13" s="237"/>
      <c r="HA13" s="237"/>
      <c r="HB13" s="237"/>
      <c r="HC13" s="237"/>
      <c r="HD13" s="237"/>
      <c r="HE13" s="649"/>
      <c r="HF13" s="237"/>
      <c r="HG13" s="237"/>
      <c r="HH13" s="237"/>
      <c r="HI13" s="237"/>
      <c r="HJ13" s="649"/>
      <c r="HK13" s="649"/>
      <c r="HL13" s="649"/>
    </row>
    <row r="14" spans="1:220" ht="15" customHeight="1">
      <c r="A14" s="153" t="s">
        <v>39</v>
      </c>
      <c r="B14" s="156" t="s">
        <v>490</v>
      </c>
      <c r="C14" s="154">
        <v>0</v>
      </c>
      <c r="D14" s="154">
        <v>1650</v>
      </c>
      <c r="E14" s="161">
        <f t="shared" si="2"/>
        <v>0</v>
      </c>
      <c r="F14" s="224"/>
      <c r="G14" s="115"/>
      <c r="H14" s="199"/>
      <c r="I14" s="199"/>
      <c r="J14" s="199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641"/>
      <c r="AQ14" s="641"/>
      <c r="AR14" s="641"/>
      <c r="AS14" s="641"/>
      <c r="AT14" s="671"/>
      <c r="AU14" s="671"/>
      <c r="AV14" s="671"/>
      <c r="AW14" s="671"/>
      <c r="AX14" s="671"/>
      <c r="AY14" s="671"/>
      <c r="AZ14" s="237"/>
      <c r="BA14" s="188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T14" s="188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>
        <f t="shared" si="6"/>
        <v>0</v>
      </c>
      <c r="DF14" s="115">
        <f t="shared" si="6"/>
        <v>0</v>
      </c>
      <c r="DG14" s="115">
        <f t="shared" si="6"/>
        <v>0</v>
      </c>
      <c r="DH14" s="115">
        <f t="shared" si="6"/>
        <v>0</v>
      </c>
      <c r="DI14" s="115">
        <f t="shared" si="6"/>
        <v>0</v>
      </c>
      <c r="DJ14" s="115">
        <f t="shared" si="6"/>
        <v>0</v>
      </c>
      <c r="DK14" s="115">
        <f t="shared" si="6"/>
        <v>0</v>
      </c>
      <c r="DL14" s="115">
        <f t="shared" si="6"/>
        <v>0</v>
      </c>
      <c r="DM14" s="115">
        <f t="shared" si="7"/>
        <v>0</v>
      </c>
      <c r="DN14" s="115">
        <f t="shared" si="7"/>
        <v>0</v>
      </c>
      <c r="DO14" s="115">
        <f t="shared" si="7"/>
        <v>0</v>
      </c>
      <c r="DP14" s="115">
        <f t="shared" si="7"/>
        <v>0</v>
      </c>
      <c r="DQ14" s="115">
        <f t="shared" si="7"/>
        <v>0</v>
      </c>
      <c r="DR14" s="115">
        <f t="shared" si="7"/>
        <v>0</v>
      </c>
      <c r="DS14" s="115">
        <f t="shared" si="7"/>
        <v>0</v>
      </c>
      <c r="DT14" s="115">
        <f t="shared" si="7"/>
        <v>0</v>
      </c>
      <c r="DU14" s="115">
        <f t="shared" si="7"/>
        <v>0</v>
      </c>
      <c r="DV14" s="115">
        <f t="shared" si="7"/>
        <v>0</v>
      </c>
      <c r="DW14" s="115">
        <f t="shared" si="7"/>
        <v>0</v>
      </c>
      <c r="DX14" s="115">
        <f t="shared" si="7"/>
        <v>0</v>
      </c>
      <c r="DY14" s="115">
        <f t="shared" si="7"/>
        <v>0</v>
      </c>
      <c r="DZ14" s="115">
        <f>$E14*DZ$4</f>
        <v>0</v>
      </c>
      <c r="EA14" s="115">
        <f>$E14*EA$4</f>
        <v>0</v>
      </c>
      <c r="EB14" s="198">
        <f>$E14*EB$4</f>
        <v>0</v>
      </c>
      <c r="EC14" s="198">
        <f t="shared" si="7"/>
        <v>0</v>
      </c>
      <c r="ED14" s="198">
        <f t="shared" si="8"/>
        <v>0</v>
      </c>
      <c r="EE14" s="198">
        <f t="shared" si="8"/>
        <v>0</v>
      </c>
      <c r="EF14" s="250">
        <f t="shared" si="8"/>
        <v>0</v>
      </c>
      <c r="EG14" s="250">
        <f t="shared" si="8"/>
        <v>0</v>
      </c>
      <c r="EH14" s="250">
        <f t="shared" si="8"/>
        <v>0</v>
      </c>
      <c r="EI14" s="250">
        <f t="shared" si="8"/>
        <v>0</v>
      </c>
      <c r="EJ14" s="250">
        <f t="shared" si="8"/>
        <v>0</v>
      </c>
      <c r="EK14" s="250">
        <f t="shared" si="8"/>
        <v>0</v>
      </c>
      <c r="EN14" s="275" t="s">
        <v>184</v>
      </c>
      <c r="EO14" s="275">
        <v>2004</v>
      </c>
      <c r="EP14" s="275">
        <v>2005</v>
      </c>
      <c r="EQ14" s="275">
        <v>2006</v>
      </c>
      <c r="ER14" s="275">
        <v>2007</v>
      </c>
      <c r="ES14" s="275">
        <v>2008</v>
      </c>
      <c r="ET14" s="275">
        <v>2009</v>
      </c>
      <c r="EU14" s="275">
        <v>2010</v>
      </c>
      <c r="EV14" s="275">
        <v>2011</v>
      </c>
      <c r="EW14" s="275">
        <v>2012</v>
      </c>
      <c r="EX14" s="275">
        <v>2013</v>
      </c>
      <c r="EY14" s="275">
        <v>2014</v>
      </c>
      <c r="EZ14" s="275" t="s">
        <v>518</v>
      </c>
      <c r="FA14" s="35"/>
      <c r="GE14" s="237"/>
      <c r="GF14" s="237"/>
      <c r="GG14" s="237"/>
      <c r="GH14" s="237"/>
      <c r="GI14" s="237"/>
      <c r="GJ14" s="237"/>
      <c r="GK14" s="237"/>
      <c r="GL14" s="237"/>
      <c r="GT14" s="649"/>
      <c r="GU14" s="649"/>
      <c r="GV14" s="649"/>
      <c r="GW14" s="649"/>
      <c r="GX14" s="649"/>
      <c r="GY14" s="649"/>
      <c r="GZ14" s="237"/>
      <c r="HA14" s="237"/>
      <c r="HB14" s="237"/>
      <c r="HC14" s="237"/>
      <c r="HD14" s="237"/>
      <c r="HE14" s="649"/>
      <c r="HF14" s="237"/>
      <c r="HG14" s="237"/>
      <c r="HH14" s="237"/>
      <c r="HI14" s="237"/>
      <c r="HJ14" s="649"/>
      <c r="HK14" s="649"/>
      <c r="HL14" s="649"/>
    </row>
    <row r="15" spans="1:220" ht="15" customHeight="1">
      <c r="A15" s="153"/>
      <c r="B15" s="156" t="s">
        <v>139</v>
      </c>
      <c r="C15" s="154">
        <f>SUM(C13:C14,C8)</f>
        <v>0</v>
      </c>
      <c r="D15" s="154"/>
      <c r="E15" s="184">
        <f>SUM(E13:E14,E8)</f>
        <v>0</v>
      </c>
      <c r="F15" s="224"/>
      <c r="G15" s="115"/>
      <c r="H15" s="115"/>
      <c r="I15" s="115"/>
      <c r="J15" s="11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633"/>
      <c r="AQ15" s="633"/>
      <c r="AR15" s="633"/>
      <c r="AS15" s="633"/>
      <c r="AT15" s="672"/>
      <c r="AU15" s="672"/>
      <c r="AV15" s="672"/>
      <c r="AW15" s="672"/>
      <c r="AX15" s="672"/>
      <c r="AY15" s="672"/>
      <c r="AZ15" s="237"/>
      <c r="BA15" s="188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T15" s="188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>
        <f aca="true" t="shared" si="9" ref="DE15:EB15">SUM(DE13:DE14,DE8)</f>
        <v>0</v>
      </c>
      <c r="DF15" s="115">
        <f t="shared" si="9"/>
        <v>0</v>
      </c>
      <c r="DG15" s="115">
        <f t="shared" si="9"/>
        <v>0</v>
      </c>
      <c r="DH15" s="115">
        <f t="shared" si="9"/>
        <v>0</v>
      </c>
      <c r="DI15" s="115">
        <f t="shared" si="9"/>
        <v>0</v>
      </c>
      <c r="DJ15" s="115">
        <f t="shared" si="9"/>
        <v>0</v>
      </c>
      <c r="DK15" s="115">
        <f t="shared" si="9"/>
        <v>0</v>
      </c>
      <c r="DL15" s="115">
        <f t="shared" si="9"/>
        <v>0</v>
      </c>
      <c r="DM15" s="115">
        <f t="shared" si="9"/>
        <v>0</v>
      </c>
      <c r="DN15" s="115">
        <f t="shared" si="9"/>
        <v>0</v>
      </c>
      <c r="DO15" s="115">
        <f t="shared" si="9"/>
        <v>0</v>
      </c>
      <c r="DP15" s="115">
        <f t="shared" si="9"/>
        <v>0</v>
      </c>
      <c r="DQ15" s="115">
        <f t="shared" si="9"/>
        <v>0</v>
      </c>
      <c r="DR15" s="115">
        <f t="shared" si="9"/>
        <v>0</v>
      </c>
      <c r="DS15" s="115">
        <f t="shared" si="9"/>
        <v>0</v>
      </c>
      <c r="DT15" s="115">
        <f t="shared" si="9"/>
        <v>0</v>
      </c>
      <c r="DU15" s="115">
        <f t="shared" si="9"/>
        <v>0</v>
      </c>
      <c r="DV15" s="115">
        <f t="shared" si="9"/>
        <v>0</v>
      </c>
      <c r="DW15" s="115">
        <f t="shared" si="9"/>
        <v>0</v>
      </c>
      <c r="DX15" s="115">
        <f t="shared" si="9"/>
        <v>0</v>
      </c>
      <c r="DY15" s="115">
        <f t="shared" si="9"/>
        <v>0</v>
      </c>
      <c r="DZ15" s="115">
        <f t="shared" si="9"/>
        <v>0</v>
      </c>
      <c r="EA15" s="115">
        <f t="shared" si="9"/>
        <v>0</v>
      </c>
      <c r="EB15" s="198">
        <f t="shared" si="9"/>
        <v>0</v>
      </c>
      <c r="EC15" s="198">
        <f>SUM(EC13:EC14,EC8)</f>
        <v>0</v>
      </c>
      <c r="ED15" s="198">
        <f>SUM(ED13:ED14,ED8)</f>
        <v>0</v>
      </c>
      <c r="EE15" s="198">
        <f>SUM(EE13:EE14,EE8)</f>
        <v>0</v>
      </c>
      <c r="EF15" s="250">
        <f>SUM(EF13:EF14,EF8)</f>
        <v>0</v>
      </c>
      <c r="EG15" s="250">
        <f>SUM(EG13:EG14,EG8)</f>
        <v>0</v>
      </c>
      <c r="EH15" s="250">
        <f>SUM(EH13:EH14,EH8)</f>
        <v>0</v>
      </c>
      <c r="EI15" s="250">
        <f>SUM(EI13:EI14,EI8)</f>
        <v>0</v>
      </c>
      <c r="EJ15" s="250">
        <f>SUM(EJ13:EJ14,EJ8)</f>
        <v>0</v>
      </c>
      <c r="EK15" s="250">
        <f>SUM(EK13:EK14,EK8)</f>
        <v>0</v>
      </c>
      <c r="EN15" s="114" t="s">
        <v>239</v>
      </c>
      <c r="EO15" s="115">
        <f>SUM(H16:K16,BA15:BD15,CT15:CW15)</f>
        <v>0</v>
      </c>
      <c r="EP15" s="115">
        <f>SUM(L16:O16,BE15:BH15,CX15:DA15)</f>
        <v>0</v>
      </c>
      <c r="EQ15" s="115">
        <f>SUM(P16:S16,BI15:BL15,DB15:DE15)</f>
        <v>0</v>
      </c>
      <c r="ER15" s="115">
        <f>SUM(T16:W16,BM15:BP15,DF15:DI15)</f>
        <v>0</v>
      </c>
      <c r="ES15" s="115">
        <f>SUM(X16:AA16,BQ15:BT15,DJ15:DM15)</f>
        <v>0</v>
      </c>
      <c r="ET15" s="115">
        <f>SUM(AB16:AE16,BU15:BX15,DN15:DQ15)</f>
        <v>0</v>
      </c>
      <c r="EU15" s="115">
        <f>SUM(AF16:AI16,BY15:CB15,DR15:DU15)</f>
        <v>0</v>
      </c>
      <c r="EV15" s="115">
        <f>SUM(AJ16:AM16,CC15:CF15,DV15:DY15)</f>
        <v>0</v>
      </c>
      <c r="EW15" s="115">
        <f>SUM(AN16:AQ16,CG15:CJ15,DZ15:EC15)</f>
        <v>0</v>
      </c>
      <c r="EX15" s="115">
        <f>SUM(AR16:AU16,CK15:CN15,ED15:EG15)</f>
        <v>0</v>
      </c>
      <c r="EY15" s="115">
        <f>SUM(AV16:AY16,CO15:CR15,EH15:EK15)</f>
        <v>0</v>
      </c>
      <c r="EZ15" s="115">
        <f>SUM(EO15:EY15)</f>
        <v>0</v>
      </c>
      <c r="FA15" s="237"/>
      <c r="GE15" s="237"/>
      <c r="GF15" s="237"/>
      <c r="GG15" s="237"/>
      <c r="GH15" s="237"/>
      <c r="GI15" s="237"/>
      <c r="GJ15" s="237"/>
      <c r="GK15" s="237"/>
      <c r="GL15" s="237"/>
      <c r="GT15" s="636"/>
      <c r="GU15" s="636"/>
      <c r="GV15" s="636"/>
      <c r="GW15" s="636"/>
      <c r="GX15" s="636"/>
      <c r="GY15" s="636"/>
      <c r="GZ15" s="237"/>
      <c r="HA15" s="237"/>
      <c r="HB15" s="237"/>
      <c r="HC15" s="237"/>
      <c r="HD15" s="237"/>
      <c r="HE15" s="636"/>
      <c r="HF15" s="237"/>
      <c r="HG15" s="237"/>
      <c r="HH15" s="237"/>
      <c r="HI15" s="237"/>
      <c r="HJ15" s="636"/>
      <c r="HK15" s="636"/>
      <c r="HL15" s="636"/>
    </row>
    <row r="16" spans="1:220" ht="15" customHeight="1">
      <c r="A16" s="153"/>
      <c r="B16" s="156" t="s">
        <v>140</v>
      </c>
      <c r="C16" s="154">
        <f>SUM(C6:C7,C9:C12)</f>
        <v>0</v>
      </c>
      <c r="D16" s="154"/>
      <c r="E16" s="184">
        <f>SUM(E6:E7,E9:E12)</f>
        <v>0</v>
      </c>
      <c r="F16" s="224"/>
      <c r="G16" s="115"/>
      <c r="H16" s="154">
        <f>SUM(H6:H7,H9:H12)</f>
        <v>0</v>
      </c>
      <c r="I16" s="154">
        <f aca="true" t="shared" si="10" ref="I16:AP16">SUM(I6:I7,I9:I12)</f>
        <v>0</v>
      </c>
      <c r="J16" s="154">
        <f t="shared" si="10"/>
        <v>0</v>
      </c>
      <c r="K16" s="154">
        <f t="shared" si="10"/>
        <v>0</v>
      </c>
      <c r="L16" s="154">
        <f t="shared" si="10"/>
        <v>0</v>
      </c>
      <c r="M16" s="154">
        <f t="shared" si="10"/>
        <v>0</v>
      </c>
      <c r="N16" s="154">
        <f t="shared" si="10"/>
        <v>0</v>
      </c>
      <c r="O16" s="154">
        <f t="shared" si="10"/>
        <v>0</v>
      </c>
      <c r="P16" s="154">
        <f t="shared" si="10"/>
        <v>0</v>
      </c>
      <c r="Q16" s="154">
        <f t="shared" si="10"/>
        <v>0</v>
      </c>
      <c r="R16" s="154">
        <f t="shared" si="10"/>
        <v>0</v>
      </c>
      <c r="S16" s="154">
        <f t="shared" si="10"/>
        <v>0</v>
      </c>
      <c r="T16" s="154">
        <f t="shared" si="10"/>
        <v>0</v>
      </c>
      <c r="U16" s="154">
        <f t="shared" si="10"/>
        <v>0</v>
      </c>
      <c r="V16" s="154">
        <f t="shared" si="10"/>
        <v>0</v>
      </c>
      <c r="W16" s="154">
        <f t="shared" si="10"/>
        <v>0</v>
      </c>
      <c r="X16" s="154">
        <f t="shared" si="10"/>
        <v>0</v>
      </c>
      <c r="Y16" s="154">
        <f t="shared" si="10"/>
        <v>0</v>
      </c>
      <c r="Z16" s="154">
        <f t="shared" si="10"/>
        <v>0</v>
      </c>
      <c r="AA16" s="154">
        <f t="shared" si="10"/>
        <v>0</v>
      </c>
      <c r="AB16" s="154">
        <f t="shared" si="10"/>
        <v>0</v>
      </c>
      <c r="AC16" s="154">
        <f t="shared" si="10"/>
        <v>0</v>
      </c>
      <c r="AD16" s="154">
        <f t="shared" si="10"/>
        <v>0</v>
      </c>
      <c r="AE16" s="154">
        <f t="shared" si="10"/>
        <v>0</v>
      </c>
      <c r="AF16" s="154">
        <f t="shared" si="10"/>
        <v>0</v>
      </c>
      <c r="AG16" s="154">
        <f t="shared" si="10"/>
        <v>0</v>
      </c>
      <c r="AH16" s="154">
        <f t="shared" si="10"/>
        <v>0</v>
      </c>
      <c r="AI16" s="154">
        <f t="shared" si="10"/>
        <v>0</v>
      </c>
      <c r="AJ16" s="154">
        <f t="shared" si="10"/>
        <v>0</v>
      </c>
      <c r="AK16" s="154">
        <f t="shared" si="10"/>
        <v>0</v>
      </c>
      <c r="AL16" s="154">
        <f t="shared" si="10"/>
        <v>0</v>
      </c>
      <c r="AM16" s="154">
        <f t="shared" si="10"/>
        <v>0</v>
      </c>
      <c r="AN16" s="154">
        <f t="shared" si="10"/>
        <v>0</v>
      </c>
      <c r="AO16" s="154">
        <f t="shared" si="10"/>
        <v>0</v>
      </c>
      <c r="AP16" s="642">
        <f t="shared" si="10"/>
        <v>0</v>
      </c>
      <c r="AQ16" s="642">
        <f>SUM(AQ6:AQ7,AQ9:AQ12)</f>
        <v>0</v>
      </c>
      <c r="AR16" s="642"/>
      <c r="AS16" s="642"/>
      <c r="AT16" s="673"/>
      <c r="AU16" s="673"/>
      <c r="AV16" s="673"/>
      <c r="AW16" s="673"/>
      <c r="AX16" s="673"/>
      <c r="AY16" s="673"/>
      <c r="AZ16" s="237"/>
      <c r="BA16" s="188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T16" s="188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98"/>
      <c r="EC16" s="198"/>
      <c r="ED16" s="198"/>
      <c r="EE16" s="198"/>
      <c r="EF16" s="250"/>
      <c r="EG16" s="250"/>
      <c r="EH16" s="250"/>
      <c r="EI16" s="250"/>
      <c r="EJ16" s="250"/>
      <c r="EK16" s="250"/>
      <c r="EN16" s="114" t="s">
        <v>185</v>
      </c>
      <c r="EO16" s="115">
        <f>EO15*0.506</f>
        <v>0</v>
      </c>
      <c r="EP16" s="115">
        <f aca="true" t="shared" si="11" ref="EP16:EY16">EP15*0.506</f>
        <v>0</v>
      </c>
      <c r="EQ16" s="115">
        <f t="shared" si="11"/>
        <v>0</v>
      </c>
      <c r="ER16" s="115">
        <f t="shared" si="11"/>
        <v>0</v>
      </c>
      <c r="ES16" s="115">
        <f t="shared" si="11"/>
        <v>0</v>
      </c>
      <c r="ET16" s="115">
        <f t="shared" si="11"/>
        <v>0</v>
      </c>
      <c r="EU16" s="115">
        <f t="shared" si="11"/>
        <v>0</v>
      </c>
      <c r="EV16" s="115">
        <f t="shared" si="11"/>
        <v>0</v>
      </c>
      <c r="EW16" s="115">
        <f t="shared" si="11"/>
        <v>0</v>
      </c>
      <c r="EX16" s="115">
        <f t="shared" si="11"/>
        <v>0</v>
      </c>
      <c r="EY16" s="115">
        <f t="shared" si="11"/>
        <v>0</v>
      </c>
      <c r="EZ16" s="115">
        <f>SUM(EO16:EY16)</f>
        <v>0</v>
      </c>
      <c r="FA16" s="237"/>
      <c r="GE16" s="237"/>
      <c r="GF16" s="237"/>
      <c r="GG16" s="237"/>
      <c r="GH16" s="237"/>
      <c r="GI16" s="237"/>
      <c r="GJ16" s="237"/>
      <c r="GK16" s="237"/>
      <c r="GL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636"/>
    </row>
    <row r="17" spans="1:220" ht="15" customHeight="1">
      <c r="A17" s="210"/>
      <c r="B17" s="211"/>
      <c r="C17" s="212">
        <f>SUM(C15:C16)</f>
        <v>0</v>
      </c>
      <c r="D17" s="212"/>
      <c r="E17" s="229">
        <f>SUM(E15:E16)</f>
        <v>0</v>
      </c>
      <c r="F17" s="225" t="s">
        <v>110</v>
      </c>
      <c r="G17" s="202">
        <f>G$132</f>
        <v>0.506</v>
      </c>
      <c r="H17" s="203">
        <f aca="true" t="shared" si="12" ref="H17:AP17">SUM(H6:H14)*$G17</f>
        <v>0</v>
      </c>
      <c r="I17" s="203">
        <f t="shared" si="12"/>
        <v>0</v>
      </c>
      <c r="J17" s="203">
        <f t="shared" si="12"/>
        <v>0</v>
      </c>
      <c r="K17" s="203">
        <f t="shared" si="12"/>
        <v>0</v>
      </c>
      <c r="L17" s="203">
        <f t="shared" si="12"/>
        <v>0</v>
      </c>
      <c r="M17" s="203">
        <f t="shared" si="12"/>
        <v>0</v>
      </c>
      <c r="N17" s="203">
        <f t="shared" si="12"/>
        <v>0</v>
      </c>
      <c r="O17" s="203">
        <f t="shared" si="12"/>
        <v>0</v>
      </c>
      <c r="P17" s="203">
        <f t="shared" si="12"/>
        <v>0</v>
      </c>
      <c r="Q17" s="203">
        <f t="shared" si="12"/>
        <v>0</v>
      </c>
      <c r="R17" s="203">
        <f t="shared" si="12"/>
        <v>0</v>
      </c>
      <c r="S17" s="203">
        <f t="shared" si="12"/>
        <v>0</v>
      </c>
      <c r="T17" s="203">
        <f t="shared" si="12"/>
        <v>0</v>
      </c>
      <c r="U17" s="203">
        <f t="shared" si="12"/>
        <v>0</v>
      </c>
      <c r="V17" s="203">
        <f t="shared" si="12"/>
        <v>0</v>
      </c>
      <c r="W17" s="203">
        <f t="shared" si="12"/>
        <v>0</v>
      </c>
      <c r="X17" s="203">
        <f t="shared" si="12"/>
        <v>0</v>
      </c>
      <c r="Y17" s="203">
        <f t="shared" si="12"/>
        <v>0</v>
      </c>
      <c r="Z17" s="203">
        <f t="shared" si="12"/>
        <v>0</v>
      </c>
      <c r="AA17" s="203">
        <f t="shared" si="12"/>
        <v>0</v>
      </c>
      <c r="AB17" s="203">
        <f t="shared" si="12"/>
        <v>0</v>
      </c>
      <c r="AC17" s="203">
        <f t="shared" si="12"/>
        <v>0</v>
      </c>
      <c r="AD17" s="203">
        <f t="shared" si="12"/>
        <v>0</v>
      </c>
      <c r="AE17" s="203">
        <f t="shared" si="12"/>
        <v>0</v>
      </c>
      <c r="AF17" s="203">
        <f t="shared" si="12"/>
        <v>0</v>
      </c>
      <c r="AG17" s="203">
        <f t="shared" si="12"/>
        <v>0</v>
      </c>
      <c r="AH17" s="203">
        <f t="shared" si="12"/>
        <v>0</v>
      </c>
      <c r="AI17" s="203">
        <f t="shared" si="12"/>
        <v>0</v>
      </c>
      <c r="AJ17" s="203">
        <f t="shared" si="12"/>
        <v>0</v>
      </c>
      <c r="AK17" s="203">
        <f t="shared" si="12"/>
        <v>0</v>
      </c>
      <c r="AL17" s="203">
        <f t="shared" si="12"/>
        <v>0</v>
      </c>
      <c r="AM17" s="203">
        <f t="shared" si="12"/>
        <v>0</v>
      </c>
      <c r="AN17" s="203">
        <f t="shared" si="12"/>
        <v>0</v>
      </c>
      <c r="AO17" s="203">
        <f t="shared" si="12"/>
        <v>0</v>
      </c>
      <c r="AP17" s="246">
        <f t="shared" si="12"/>
        <v>0</v>
      </c>
      <c r="AQ17" s="246">
        <f>SUM(AQ6:AQ14)*$G17</f>
        <v>0</v>
      </c>
      <c r="AR17" s="246"/>
      <c r="AS17" s="246"/>
      <c r="AT17" s="674"/>
      <c r="AU17" s="674"/>
      <c r="AV17" s="674"/>
      <c r="AW17" s="674"/>
      <c r="AX17" s="674"/>
      <c r="AY17" s="674"/>
      <c r="AZ17" s="237"/>
      <c r="BA17" s="252">
        <f aca="true" t="shared" si="13" ref="BA17:CI17">SUM(BA6:BA14)*$G17</f>
        <v>0</v>
      </c>
      <c r="BB17" s="203">
        <f t="shared" si="13"/>
        <v>0</v>
      </c>
      <c r="BC17" s="203">
        <f t="shared" si="13"/>
        <v>0</v>
      </c>
      <c r="BD17" s="203">
        <f t="shared" si="13"/>
        <v>0</v>
      </c>
      <c r="BE17" s="203">
        <f t="shared" si="13"/>
        <v>0</v>
      </c>
      <c r="BF17" s="203">
        <f t="shared" si="13"/>
        <v>0</v>
      </c>
      <c r="BG17" s="203">
        <f t="shared" si="13"/>
        <v>0</v>
      </c>
      <c r="BH17" s="203">
        <f t="shared" si="13"/>
        <v>0</v>
      </c>
      <c r="BI17" s="203">
        <f t="shared" si="13"/>
        <v>0</v>
      </c>
      <c r="BJ17" s="203">
        <f t="shared" si="13"/>
        <v>0</v>
      </c>
      <c r="BK17" s="203">
        <f t="shared" si="13"/>
        <v>0</v>
      </c>
      <c r="BL17" s="203">
        <f t="shared" si="13"/>
        <v>0</v>
      </c>
      <c r="BM17" s="203">
        <f t="shared" si="13"/>
        <v>0</v>
      </c>
      <c r="BN17" s="203">
        <f t="shared" si="13"/>
        <v>0</v>
      </c>
      <c r="BO17" s="203">
        <f t="shared" si="13"/>
        <v>0</v>
      </c>
      <c r="BP17" s="203">
        <f t="shared" si="13"/>
        <v>0</v>
      </c>
      <c r="BQ17" s="203">
        <f t="shared" si="13"/>
        <v>0</v>
      </c>
      <c r="BR17" s="203">
        <f t="shared" si="13"/>
        <v>0</v>
      </c>
      <c r="BS17" s="203">
        <f t="shared" si="13"/>
        <v>0</v>
      </c>
      <c r="BT17" s="203">
        <f t="shared" si="13"/>
        <v>0</v>
      </c>
      <c r="BU17" s="203">
        <f t="shared" si="13"/>
        <v>0</v>
      </c>
      <c r="BV17" s="203">
        <f t="shared" si="13"/>
        <v>0</v>
      </c>
      <c r="BW17" s="203">
        <f t="shared" si="13"/>
        <v>0</v>
      </c>
      <c r="BX17" s="203">
        <f t="shared" si="13"/>
        <v>0</v>
      </c>
      <c r="BY17" s="203">
        <f t="shared" si="13"/>
        <v>0</v>
      </c>
      <c r="BZ17" s="203">
        <f t="shared" si="13"/>
        <v>0</v>
      </c>
      <c r="CA17" s="203">
        <f t="shared" si="13"/>
        <v>0</v>
      </c>
      <c r="CB17" s="203">
        <f t="shared" si="13"/>
        <v>0</v>
      </c>
      <c r="CC17" s="203">
        <f t="shared" si="13"/>
        <v>0</v>
      </c>
      <c r="CD17" s="203">
        <f t="shared" si="13"/>
        <v>0</v>
      </c>
      <c r="CE17" s="203">
        <f t="shared" si="13"/>
        <v>0</v>
      </c>
      <c r="CF17" s="203">
        <f t="shared" si="13"/>
        <v>0</v>
      </c>
      <c r="CG17" s="203">
        <f t="shared" si="13"/>
        <v>0</v>
      </c>
      <c r="CH17" s="203">
        <f t="shared" si="13"/>
        <v>0</v>
      </c>
      <c r="CI17" s="246">
        <f t="shared" si="13"/>
        <v>0</v>
      </c>
      <c r="CJ17" s="246">
        <f aca="true" t="shared" si="14" ref="CJ17:CR17">SUM(CJ6:CJ14)*$G17</f>
        <v>0</v>
      </c>
      <c r="CK17" s="246">
        <f t="shared" si="14"/>
        <v>0</v>
      </c>
      <c r="CL17" s="246">
        <f t="shared" si="14"/>
        <v>0</v>
      </c>
      <c r="CM17" s="246">
        <f t="shared" si="14"/>
        <v>0</v>
      </c>
      <c r="CN17" s="246">
        <f t="shared" si="14"/>
        <v>0</v>
      </c>
      <c r="CO17" s="246">
        <f t="shared" si="14"/>
        <v>0</v>
      </c>
      <c r="CP17" s="246">
        <f t="shared" si="14"/>
        <v>0</v>
      </c>
      <c r="CQ17" s="246">
        <f t="shared" si="14"/>
        <v>0</v>
      </c>
      <c r="CR17" s="246">
        <f t="shared" si="14"/>
        <v>0</v>
      </c>
      <c r="CT17" s="252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>
        <f aca="true" t="shared" si="15" ref="DE17:EB17">SUM(DE6:DE14)*$G17</f>
        <v>0</v>
      </c>
      <c r="DF17" s="203">
        <f t="shared" si="15"/>
        <v>0</v>
      </c>
      <c r="DG17" s="203">
        <f t="shared" si="15"/>
        <v>0</v>
      </c>
      <c r="DH17" s="203">
        <f t="shared" si="15"/>
        <v>0</v>
      </c>
      <c r="DI17" s="203">
        <f t="shared" si="15"/>
        <v>0</v>
      </c>
      <c r="DJ17" s="203">
        <f t="shared" si="15"/>
        <v>0</v>
      </c>
      <c r="DK17" s="203">
        <f t="shared" si="15"/>
        <v>0</v>
      </c>
      <c r="DL17" s="203">
        <f t="shared" si="15"/>
        <v>0</v>
      </c>
      <c r="DM17" s="203">
        <f t="shared" si="15"/>
        <v>0</v>
      </c>
      <c r="DN17" s="203">
        <f t="shared" si="15"/>
        <v>0</v>
      </c>
      <c r="DO17" s="203">
        <f t="shared" si="15"/>
        <v>0</v>
      </c>
      <c r="DP17" s="203">
        <f t="shared" si="15"/>
        <v>0</v>
      </c>
      <c r="DQ17" s="203">
        <f t="shared" si="15"/>
        <v>0</v>
      </c>
      <c r="DR17" s="203">
        <f t="shared" si="15"/>
        <v>0</v>
      </c>
      <c r="DS17" s="203">
        <f t="shared" si="15"/>
        <v>0</v>
      </c>
      <c r="DT17" s="203">
        <f t="shared" si="15"/>
        <v>0</v>
      </c>
      <c r="DU17" s="203">
        <f t="shared" si="15"/>
        <v>0</v>
      </c>
      <c r="DV17" s="203">
        <f t="shared" si="15"/>
        <v>0</v>
      </c>
      <c r="DW17" s="203">
        <f t="shared" si="15"/>
        <v>0</v>
      </c>
      <c r="DX17" s="203">
        <f t="shared" si="15"/>
        <v>0</v>
      </c>
      <c r="DY17" s="203">
        <f t="shared" si="15"/>
        <v>0</v>
      </c>
      <c r="DZ17" s="203">
        <f t="shared" si="15"/>
        <v>0</v>
      </c>
      <c r="EA17" s="203">
        <f t="shared" si="15"/>
        <v>0</v>
      </c>
      <c r="EB17" s="246">
        <f t="shared" si="15"/>
        <v>0</v>
      </c>
      <c r="EC17" s="246">
        <f>SUM(EC6:EC14)*$G17</f>
        <v>0</v>
      </c>
      <c r="ED17" s="246">
        <f>SUM(ED6:ED14)*$G17</f>
        <v>0</v>
      </c>
      <c r="EE17" s="246">
        <f>SUM(EE6:EE14)*$G17</f>
        <v>0</v>
      </c>
      <c r="EF17" s="674">
        <f>SUM(EF6:EF14)*$G17</f>
        <v>0</v>
      </c>
      <c r="EG17" s="674">
        <f>SUM(EG6:EG14)*$G17</f>
        <v>0</v>
      </c>
      <c r="EH17" s="674">
        <f>SUM(EH6:EH14)*$G17</f>
        <v>0</v>
      </c>
      <c r="EI17" s="674">
        <f>SUM(EI6:EI14)*$G17</f>
        <v>0</v>
      </c>
      <c r="EJ17" s="674">
        <f>SUM(EJ6:EJ14)*$G17</f>
        <v>0</v>
      </c>
      <c r="EK17" s="674">
        <f>SUM(EK6:EK14)*$G17</f>
        <v>0</v>
      </c>
      <c r="EN17" s="114" t="s">
        <v>238</v>
      </c>
      <c r="EO17" s="115">
        <f aca="true" t="shared" si="16" ref="EO17:EY17">SUM(EO15:EO16)</f>
        <v>0</v>
      </c>
      <c r="EP17" s="115">
        <f t="shared" si="16"/>
        <v>0</v>
      </c>
      <c r="EQ17" s="115">
        <f t="shared" si="16"/>
        <v>0</v>
      </c>
      <c r="ER17" s="115">
        <f t="shared" si="16"/>
        <v>0</v>
      </c>
      <c r="ES17" s="115">
        <f t="shared" si="16"/>
        <v>0</v>
      </c>
      <c r="ET17" s="115">
        <f t="shared" si="16"/>
        <v>0</v>
      </c>
      <c r="EU17" s="115">
        <f t="shared" si="16"/>
        <v>0</v>
      </c>
      <c r="EV17" s="115">
        <f t="shared" si="16"/>
        <v>0</v>
      </c>
      <c r="EW17" s="115">
        <f t="shared" si="16"/>
        <v>0</v>
      </c>
      <c r="EX17" s="115">
        <f t="shared" si="16"/>
        <v>0</v>
      </c>
      <c r="EY17" s="115">
        <f t="shared" si="16"/>
        <v>0</v>
      </c>
      <c r="EZ17" s="115">
        <f>SUM(EO17:EY17)</f>
        <v>0</v>
      </c>
      <c r="FA17" s="237"/>
      <c r="GE17" s="237"/>
      <c r="GF17" s="237"/>
      <c r="GG17" s="237"/>
      <c r="GH17" s="237"/>
      <c r="GI17" s="237"/>
      <c r="GJ17" s="237"/>
      <c r="GK17" s="237"/>
      <c r="GL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7"/>
      <c r="HF17" s="237"/>
      <c r="HG17" s="237"/>
      <c r="HH17" s="237"/>
      <c r="HI17" s="237"/>
      <c r="HJ17" s="237"/>
      <c r="HK17" s="237"/>
      <c r="HL17" s="237"/>
    </row>
    <row r="18" spans="1:220" ht="15" customHeight="1">
      <c r="A18" s="391"/>
      <c r="B18" s="392"/>
      <c r="C18" s="393"/>
      <c r="D18" s="393"/>
      <c r="E18" s="394"/>
      <c r="F18" s="395" t="s">
        <v>178</v>
      </c>
      <c r="G18" s="396">
        <v>0.01</v>
      </c>
      <c r="H18" s="397">
        <f>H16*$G$18</f>
        <v>0</v>
      </c>
      <c r="I18" s="397">
        <f aca="true" t="shared" si="17" ref="I18:AP18">I16*$G$18</f>
        <v>0</v>
      </c>
      <c r="J18" s="397">
        <f t="shared" si="17"/>
        <v>0</v>
      </c>
      <c r="K18" s="397">
        <f t="shared" si="17"/>
        <v>0</v>
      </c>
      <c r="L18" s="397">
        <f t="shared" si="17"/>
        <v>0</v>
      </c>
      <c r="M18" s="397">
        <f t="shared" si="17"/>
        <v>0</v>
      </c>
      <c r="N18" s="397">
        <f t="shared" si="17"/>
        <v>0</v>
      </c>
      <c r="O18" s="397">
        <f t="shared" si="17"/>
        <v>0</v>
      </c>
      <c r="P18" s="397">
        <f t="shared" si="17"/>
        <v>0</v>
      </c>
      <c r="Q18" s="397">
        <f t="shared" si="17"/>
        <v>0</v>
      </c>
      <c r="R18" s="397">
        <f t="shared" si="17"/>
        <v>0</v>
      </c>
      <c r="S18" s="397">
        <f t="shared" si="17"/>
        <v>0</v>
      </c>
      <c r="T18" s="397">
        <f t="shared" si="17"/>
        <v>0</v>
      </c>
      <c r="U18" s="397">
        <f t="shared" si="17"/>
        <v>0</v>
      </c>
      <c r="V18" s="397">
        <f t="shared" si="17"/>
        <v>0</v>
      </c>
      <c r="W18" s="397">
        <f t="shared" si="17"/>
        <v>0</v>
      </c>
      <c r="X18" s="397">
        <f t="shared" si="17"/>
        <v>0</v>
      </c>
      <c r="Y18" s="397">
        <f t="shared" si="17"/>
        <v>0</v>
      </c>
      <c r="Z18" s="397">
        <f t="shared" si="17"/>
        <v>0</v>
      </c>
      <c r="AA18" s="397">
        <f t="shared" si="17"/>
        <v>0</v>
      </c>
      <c r="AB18" s="397">
        <f t="shared" si="17"/>
        <v>0</v>
      </c>
      <c r="AC18" s="397">
        <f t="shared" si="17"/>
        <v>0</v>
      </c>
      <c r="AD18" s="397">
        <f t="shared" si="17"/>
        <v>0</v>
      </c>
      <c r="AE18" s="397">
        <f t="shared" si="17"/>
        <v>0</v>
      </c>
      <c r="AF18" s="397">
        <f t="shared" si="17"/>
        <v>0</v>
      </c>
      <c r="AG18" s="397">
        <f t="shared" si="17"/>
        <v>0</v>
      </c>
      <c r="AH18" s="397">
        <f t="shared" si="17"/>
        <v>0</v>
      </c>
      <c r="AI18" s="397">
        <f t="shared" si="17"/>
        <v>0</v>
      </c>
      <c r="AJ18" s="397">
        <f t="shared" si="17"/>
        <v>0</v>
      </c>
      <c r="AK18" s="397">
        <f t="shared" si="17"/>
        <v>0</v>
      </c>
      <c r="AL18" s="397">
        <f t="shared" si="17"/>
        <v>0</v>
      </c>
      <c r="AM18" s="397">
        <f t="shared" si="17"/>
        <v>0</v>
      </c>
      <c r="AN18" s="397">
        <f t="shared" si="17"/>
        <v>0</v>
      </c>
      <c r="AO18" s="397">
        <f t="shared" si="17"/>
        <v>0</v>
      </c>
      <c r="AP18" s="623">
        <f t="shared" si="17"/>
        <v>0</v>
      </c>
      <c r="AQ18" s="623">
        <f>AQ16*$G$18</f>
        <v>0</v>
      </c>
      <c r="AR18" s="623"/>
      <c r="AS18" s="623"/>
      <c r="AT18" s="675"/>
      <c r="AU18" s="675"/>
      <c r="AV18" s="675"/>
      <c r="AW18" s="675"/>
      <c r="AX18" s="675"/>
      <c r="AY18" s="675"/>
      <c r="AZ18" s="237"/>
      <c r="BA18" s="397">
        <f>BA15*$G$18</f>
        <v>0</v>
      </c>
      <c r="BB18" s="397">
        <f aca="true" t="shared" si="18" ref="BB18:CI18">BB15*$G$18</f>
        <v>0</v>
      </c>
      <c r="BC18" s="397">
        <f t="shared" si="18"/>
        <v>0</v>
      </c>
      <c r="BD18" s="397">
        <f t="shared" si="18"/>
        <v>0</v>
      </c>
      <c r="BE18" s="397">
        <f t="shared" si="18"/>
        <v>0</v>
      </c>
      <c r="BF18" s="397">
        <f t="shared" si="18"/>
        <v>0</v>
      </c>
      <c r="BG18" s="397">
        <f t="shared" si="18"/>
        <v>0</v>
      </c>
      <c r="BH18" s="397">
        <f t="shared" si="18"/>
        <v>0</v>
      </c>
      <c r="BI18" s="397">
        <f t="shared" si="18"/>
        <v>0</v>
      </c>
      <c r="BJ18" s="397">
        <f t="shared" si="18"/>
        <v>0</v>
      </c>
      <c r="BK18" s="397">
        <f t="shared" si="18"/>
        <v>0</v>
      </c>
      <c r="BL18" s="397">
        <f t="shared" si="18"/>
        <v>0</v>
      </c>
      <c r="BM18" s="397">
        <f t="shared" si="18"/>
        <v>0</v>
      </c>
      <c r="BN18" s="397">
        <f t="shared" si="18"/>
        <v>0</v>
      </c>
      <c r="BO18" s="397">
        <f t="shared" si="18"/>
        <v>0</v>
      </c>
      <c r="BP18" s="397">
        <f t="shared" si="18"/>
        <v>0</v>
      </c>
      <c r="BQ18" s="397">
        <f t="shared" si="18"/>
        <v>0</v>
      </c>
      <c r="BR18" s="397">
        <f t="shared" si="18"/>
        <v>0</v>
      </c>
      <c r="BS18" s="397">
        <f t="shared" si="18"/>
        <v>0</v>
      </c>
      <c r="BT18" s="397">
        <f t="shared" si="18"/>
        <v>0</v>
      </c>
      <c r="BU18" s="397">
        <f t="shared" si="18"/>
        <v>0</v>
      </c>
      <c r="BV18" s="397">
        <f t="shared" si="18"/>
        <v>0</v>
      </c>
      <c r="BW18" s="397">
        <f t="shared" si="18"/>
        <v>0</v>
      </c>
      <c r="BX18" s="397">
        <f t="shared" si="18"/>
        <v>0</v>
      </c>
      <c r="BY18" s="397">
        <f t="shared" si="18"/>
        <v>0</v>
      </c>
      <c r="BZ18" s="397">
        <f t="shared" si="18"/>
        <v>0</v>
      </c>
      <c r="CA18" s="397">
        <f t="shared" si="18"/>
        <v>0</v>
      </c>
      <c r="CB18" s="397">
        <f t="shared" si="18"/>
        <v>0</v>
      </c>
      <c r="CC18" s="397">
        <f t="shared" si="18"/>
        <v>0</v>
      </c>
      <c r="CD18" s="397">
        <f t="shared" si="18"/>
        <v>0</v>
      </c>
      <c r="CE18" s="397">
        <f t="shared" si="18"/>
        <v>0</v>
      </c>
      <c r="CF18" s="397">
        <f t="shared" si="18"/>
        <v>0</v>
      </c>
      <c r="CG18" s="397">
        <f t="shared" si="18"/>
        <v>0</v>
      </c>
      <c r="CH18" s="397">
        <f t="shared" si="18"/>
        <v>0</v>
      </c>
      <c r="CI18" s="623">
        <f t="shared" si="18"/>
        <v>0</v>
      </c>
      <c r="CJ18" s="623">
        <f aca="true" t="shared" si="19" ref="CJ18:CR18">CJ15*$G$18</f>
        <v>0</v>
      </c>
      <c r="CK18" s="623">
        <f t="shared" si="19"/>
        <v>0</v>
      </c>
      <c r="CL18" s="623">
        <f t="shared" si="19"/>
        <v>0</v>
      </c>
      <c r="CM18" s="623">
        <f t="shared" si="19"/>
        <v>0</v>
      </c>
      <c r="CN18" s="623">
        <f t="shared" si="19"/>
        <v>0</v>
      </c>
      <c r="CO18" s="623">
        <f t="shared" si="19"/>
        <v>0</v>
      </c>
      <c r="CP18" s="623">
        <f t="shared" si="19"/>
        <v>0</v>
      </c>
      <c r="CQ18" s="623">
        <f t="shared" si="19"/>
        <v>0</v>
      </c>
      <c r="CR18" s="623">
        <f t="shared" si="19"/>
        <v>0</v>
      </c>
      <c r="CT18" s="689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>
        <f aca="true" t="shared" si="20" ref="DE18:EB18">DE15*$G$18</f>
        <v>0</v>
      </c>
      <c r="DF18" s="397">
        <f t="shared" si="20"/>
        <v>0</v>
      </c>
      <c r="DG18" s="397">
        <f t="shared" si="20"/>
        <v>0</v>
      </c>
      <c r="DH18" s="397">
        <f t="shared" si="20"/>
        <v>0</v>
      </c>
      <c r="DI18" s="397">
        <f t="shared" si="20"/>
        <v>0</v>
      </c>
      <c r="DJ18" s="397">
        <f t="shared" si="20"/>
        <v>0</v>
      </c>
      <c r="DK18" s="397">
        <f t="shared" si="20"/>
        <v>0</v>
      </c>
      <c r="DL18" s="397">
        <f t="shared" si="20"/>
        <v>0</v>
      </c>
      <c r="DM18" s="397">
        <f t="shared" si="20"/>
        <v>0</v>
      </c>
      <c r="DN18" s="397">
        <f t="shared" si="20"/>
        <v>0</v>
      </c>
      <c r="DO18" s="397">
        <f t="shared" si="20"/>
        <v>0</v>
      </c>
      <c r="DP18" s="397">
        <f t="shared" si="20"/>
        <v>0</v>
      </c>
      <c r="DQ18" s="397">
        <f t="shared" si="20"/>
        <v>0</v>
      </c>
      <c r="DR18" s="397">
        <f t="shared" si="20"/>
        <v>0</v>
      </c>
      <c r="DS18" s="397">
        <f t="shared" si="20"/>
        <v>0</v>
      </c>
      <c r="DT18" s="397">
        <f t="shared" si="20"/>
        <v>0</v>
      </c>
      <c r="DU18" s="397">
        <f t="shared" si="20"/>
        <v>0</v>
      </c>
      <c r="DV18" s="397">
        <f t="shared" si="20"/>
        <v>0</v>
      </c>
      <c r="DW18" s="397">
        <f t="shared" si="20"/>
        <v>0</v>
      </c>
      <c r="DX18" s="397">
        <f t="shared" si="20"/>
        <v>0</v>
      </c>
      <c r="DY18" s="397">
        <f t="shared" si="20"/>
        <v>0</v>
      </c>
      <c r="DZ18" s="397">
        <f t="shared" si="20"/>
        <v>0</v>
      </c>
      <c r="EA18" s="397">
        <f t="shared" si="20"/>
        <v>0</v>
      </c>
      <c r="EB18" s="623">
        <f t="shared" si="20"/>
        <v>0</v>
      </c>
      <c r="EC18" s="623">
        <f aca="true" t="shared" si="21" ref="EC18:EK18">EC15*$G$18</f>
        <v>0</v>
      </c>
      <c r="ED18" s="623">
        <f t="shared" si="21"/>
        <v>0</v>
      </c>
      <c r="EE18" s="623">
        <f t="shared" si="21"/>
        <v>0</v>
      </c>
      <c r="EF18" s="675">
        <f t="shared" si="21"/>
        <v>0</v>
      </c>
      <c r="EG18" s="675">
        <f t="shared" si="21"/>
        <v>0</v>
      </c>
      <c r="EH18" s="675">
        <f t="shared" si="21"/>
        <v>0</v>
      </c>
      <c r="EI18" s="675">
        <f t="shared" si="21"/>
        <v>0</v>
      </c>
      <c r="EJ18" s="675">
        <f t="shared" si="21"/>
        <v>0</v>
      </c>
      <c r="EK18" s="675">
        <f t="shared" si="21"/>
        <v>0</v>
      </c>
      <c r="EN18" s="390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GE18" s="237"/>
      <c r="GF18" s="237"/>
      <c r="GG18" s="237"/>
      <c r="GH18" s="237"/>
      <c r="GI18" s="237"/>
      <c r="GJ18" s="237"/>
      <c r="GK18" s="237"/>
      <c r="GL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</row>
    <row r="19" spans="1:220" ht="30" customHeight="1">
      <c r="A19" s="178" t="s">
        <v>13</v>
      </c>
      <c r="B19" s="731" t="s">
        <v>491</v>
      </c>
      <c r="C19" s="180"/>
      <c r="D19" s="180"/>
      <c r="E19" s="182"/>
      <c r="F19" s="223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622"/>
      <c r="AQ19" s="622"/>
      <c r="AR19" s="622"/>
      <c r="AS19" s="622"/>
      <c r="AT19" s="253"/>
      <c r="AU19" s="253"/>
      <c r="AV19" s="253"/>
      <c r="AW19" s="253"/>
      <c r="AX19" s="253"/>
      <c r="AY19" s="253"/>
      <c r="AZ19" s="237"/>
      <c r="BA19" s="251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622"/>
      <c r="CJ19" s="622"/>
      <c r="CK19" s="622"/>
      <c r="CL19" s="622"/>
      <c r="CM19" s="622"/>
      <c r="CN19" s="622"/>
      <c r="CO19" s="622"/>
      <c r="CP19" s="622"/>
      <c r="CQ19" s="622"/>
      <c r="CR19" s="622"/>
      <c r="CT19" s="251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622"/>
      <c r="EC19" s="622"/>
      <c r="ED19" s="622"/>
      <c r="EE19" s="622"/>
      <c r="EF19" s="253"/>
      <c r="EG19" s="253"/>
      <c r="EH19" s="253"/>
      <c r="EI19" s="253"/>
      <c r="EJ19" s="253"/>
      <c r="EK19" s="253"/>
      <c r="GE19" s="237"/>
      <c r="GF19" s="237"/>
      <c r="GG19" s="237"/>
      <c r="GH19" s="237"/>
      <c r="GI19" s="237"/>
      <c r="GJ19" s="237"/>
      <c r="GK19" s="237"/>
      <c r="GL19" s="237"/>
      <c r="GT19" s="237"/>
      <c r="GU19" s="237"/>
      <c r="GV19" s="237"/>
      <c r="GW19" s="237"/>
      <c r="GX19" s="237"/>
      <c r="GY19" s="237"/>
      <c r="GZ19" s="237"/>
      <c r="HA19" s="237"/>
      <c r="HB19" s="237"/>
      <c r="HC19" s="237"/>
      <c r="HD19" s="237"/>
      <c r="HE19" s="237"/>
      <c r="HF19" s="237"/>
      <c r="HG19" s="237"/>
      <c r="HH19" s="237"/>
      <c r="HI19" s="237"/>
      <c r="HJ19" s="237"/>
      <c r="HK19" s="237"/>
      <c r="HL19" s="237"/>
    </row>
    <row r="20" spans="1:220" ht="15" customHeight="1">
      <c r="A20" s="153" t="s">
        <v>15</v>
      </c>
      <c r="B20" s="156" t="s">
        <v>492</v>
      </c>
      <c r="C20" s="154">
        <v>0</v>
      </c>
      <c r="D20" s="154">
        <v>2380</v>
      </c>
      <c r="E20" s="161">
        <f t="shared" si="2"/>
        <v>0</v>
      </c>
      <c r="F20" s="224"/>
      <c r="G20" s="115"/>
      <c r="H20" s="115"/>
      <c r="I20" s="115"/>
      <c r="J20" s="115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633"/>
      <c r="AQ20" s="633"/>
      <c r="AR20" s="633"/>
      <c r="AS20" s="633"/>
      <c r="AT20" s="672"/>
      <c r="AU20" s="672"/>
      <c r="AV20" s="672"/>
      <c r="AW20" s="672"/>
      <c r="AX20" s="672"/>
      <c r="AY20" s="672"/>
      <c r="AZ20" s="237"/>
      <c r="BA20" s="188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T20" s="188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>
        <f aca="true" t="shared" si="22" ref="DE20:DL20">$E20*DE$4</f>
        <v>0</v>
      </c>
      <c r="DF20" s="115">
        <f t="shared" si="22"/>
        <v>0</v>
      </c>
      <c r="DG20" s="115">
        <f t="shared" si="22"/>
        <v>0</v>
      </c>
      <c r="DH20" s="115">
        <f t="shared" si="22"/>
        <v>0</v>
      </c>
      <c r="DI20" s="115">
        <f t="shared" si="22"/>
        <v>0</v>
      </c>
      <c r="DJ20" s="115">
        <f t="shared" si="22"/>
        <v>0</v>
      </c>
      <c r="DK20" s="115">
        <f t="shared" si="22"/>
        <v>0</v>
      </c>
      <c r="DL20" s="115">
        <f t="shared" si="22"/>
        <v>0</v>
      </c>
      <c r="DM20" s="115">
        <f aca="true" t="shared" si="23" ref="DE20:DZ24">$E20*DM$4</f>
        <v>0</v>
      </c>
      <c r="DN20" s="115">
        <f t="shared" si="23"/>
        <v>0</v>
      </c>
      <c r="DO20" s="115">
        <f t="shared" si="23"/>
        <v>0</v>
      </c>
      <c r="DP20" s="115">
        <f t="shared" si="23"/>
        <v>0</v>
      </c>
      <c r="DQ20" s="115">
        <f t="shared" si="23"/>
        <v>0</v>
      </c>
      <c r="DR20" s="115">
        <f t="shared" si="23"/>
        <v>0</v>
      </c>
      <c r="DS20" s="115">
        <f t="shared" si="23"/>
        <v>0</v>
      </c>
      <c r="DT20" s="115">
        <f t="shared" si="23"/>
        <v>0</v>
      </c>
      <c r="DU20" s="115">
        <f t="shared" si="23"/>
        <v>0</v>
      </c>
      <c r="DV20" s="115">
        <f t="shared" si="23"/>
        <v>0</v>
      </c>
      <c r="DW20" s="115">
        <f t="shared" si="23"/>
        <v>0</v>
      </c>
      <c r="DX20" s="115">
        <f t="shared" si="23"/>
        <v>0</v>
      </c>
      <c r="DY20" s="115">
        <f t="shared" si="23"/>
        <v>0</v>
      </c>
      <c r="DZ20" s="115">
        <f t="shared" si="23"/>
        <v>0</v>
      </c>
      <c r="EA20" s="115">
        <f aca="true" t="shared" si="24" ref="DZ20:EK24">$E20*EA$4</f>
        <v>0</v>
      </c>
      <c r="EB20" s="198">
        <f t="shared" si="24"/>
        <v>0</v>
      </c>
      <c r="EC20" s="198">
        <f t="shared" si="24"/>
        <v>0</v>
      </c>
      <c r="ED20" s="198">
        <f t="shared" si="24"/>
        <v>0</v>
      </c>
      <c r="EE20" s="198">
        <f t="shared" si="24"/>
        <v>0</v>
      </c>
      <c r="EF20" s="250">
        <f t="shared" si="24"/>
        <v>0</v>
      </c>
      <c r="EG20" s="250">
        <f t="shared" si="24"/>
        <v>0</v>
      </c>
      <c r="EH20" s="250">
        <f t="shared" si="24"/>
        <v>0</v>
      </c>
      <c r="EI20" s="250">
        <f t="shared" si="24"/>
        <v>0</v>
      </c>
      <c r="EJ20" s="250">
        <f t="shared" si="24"/>
        <v>0</v>
      </c>
      <c r="EK20" s="250">
        <f t="shared" si="24"/>
        <v>0</v>
      </c>
      <c r="GE20" s="237"/>
      <c r="GF20" s="237"/>
      <c r="GG20" s="237"/>
      <c r="GH20" s="237"/>
      <c r="GI20" s="237"/>
      <c r="GJ20" s="237"/>
      <c r="GK20" s="237"/>
      <c r="GL20" s="237"/>
      <c r="GT20" s="636"/>
      <c r="GU20" s="636"/>
      <c r="GV20" s="636"/>
      <c r="GW20" s="636"/>
      <c r="GX20" s="636"/>
      <c r="GY20" s="636"/>
      <c r="GZ20" s="237"/>
      <c r="HA20" s="237"/>
      <c r="HB20" s="237"/>
      <c r="HC20" s="237"/>
      <c r="HD20" s="237"/>
      <c r="HE20" s="636"/>
      <c r="HF20" s="237"/>
      <c r="HG20" s="237"/>
      <c r="HH20" s="237"/>
      <c r="HI20" s="237"/>
      <c r="HJ20" s="636"/>
      <c r="HK20" s="636"/>
      <c r="HL20" s="636"/>
    </row>
    <row r="21" spans="1:220" ht="15" customHeight="1">
      <c r="A21" s="153" t="s">
        <v>16</v>
      </c>
      <c r="B21" s="156" t="s">
        <v>493</v>
      </c>
      <c r="C21" s="154">
        <v>0</v>
      </c>
      <c r="D21" s="154">
        <v>1770</v>
      </c>
      <c r="E21" s="161">
        <f t="shared" si="2"/>
        <v>0</v>
      </c>
      <c r="F21" s="224"/>
      <c r="G21" s="115"/>
      <c r="H21" s="115"/>
      <c r="I21" s="115"/>
      <c r="J21" s="115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633"/>
      <c r="AQ21" s="633"/>
      <c r="AR21" s="633"/>
      <c r="AS21" s="633"/>
      <c r="AT21" s="672"/>
      <c r="AU21" s="672"/>
      <c r="AV21" s="672"/>
      <c r="AW21" s="672"/>
      <c r="AX21" s="672"/>
      <c r="AY21" s="672"/>
      <c r="AZ21" s="237"/>
      <c r="BA21" s="188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T21" s="188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>
        <f t="shared" si="23"/>
        <v>0</v>
      </c>
      <c r="DF21" s="115">
        <f t="shared" si="23"/>
        <v>0</v>
      </c>
      <c r="DG21" s="115">
        <f t="shared" si="23"/>
        <v>0</v>
      </c>
      <c r="DH21" s="115">
        <f t="shared" si="23"/>
        <v>0</v>
      </c>
      <c r="DI21" s="115">
        <f t="shared" si="23"/>
        <v>0</v>
      </c>
      <c r="DJ21" s="115">
        <f t="shared" si="23"/>
        <v>0</v>
      </c>
      <c r="DK21" s="115">
        <f t="shared" si="23"/>
        <v>0</v>
      </c>
      <c r="DL21" s="115">
        <f t="shared" si="23"/>
        <v>0</v>
      </c>
      <c r="DM21" s="115">
        <f t="shared" si="23"/>
        <v>0</v>
      </c>
      <c r="DN21" s="115">
        <f t="shared" si="23"/>
        <v>0</v>
      </c>
      <c r="DO21" s="115">
        <f t="shared" si="23"/>
        <v>0</v>
      </c>
      <c r="DP21" s="115">
        <f t="shared" si="23"/>
        <v>0</v>
      </c>
      <c r="DQ21" s="115">
        <f t="shared" si="23"/>
        <v>0</v>
      </c>
      <c r="DR21" s="115">
        <f t="shared" si="23"/>
        <v>0</v>
      </c>
      <c r="DS21" s="115">
        <f t="shared" si="23"/>
        <v>0</v>
      </c>
      <c r="DT21" s="115">
        <f t="shared" si="23"/>
        <v>0</v>
      </c>
      <c r="DU21" s="115">
        <f t="shared" si="23"/>
        <v>0</v>
      </c>
      <c r="DV21" s="115">
        <f t="shared" si="23"/>
        <v>0</v>
      </c>
      <c r="DW21" s="115">
        <f t="shared" si="23"/>
        <v>0</v>
      </c>
      <c r="DX21" s="115">
        <f t="shared" si="23"/>
        <v>0</v>
      </c>
      <c r="DY21" s="115">
        <f t="shared" si="23"/>
        <v>0</v>
      </c>
      <c r="DZ21" s="115">
        <f t="shared" si="24"/>
        <v>0</v>
      </c>
      <c r="EA21" s="115">
        <f t="shared" si="24"/>
        <v>0</v>
      </c>
      <c r="EB21" s="198">
        <f t="shared" si="24"/>
        <v>0</v>
      </c>
      <c r="EC21" s="198">
        <f t="shared" si="24"/>
        <v>0</v>
      </c>
      <c r="ED21" s="198">
        <f t="shared" si="24"/>
        <v>0</v>
      </c>
      <c r="EE21" s="198">
        <f t="shared" si="24"/>
        <v>0</v>
      </c>
      <c r="EF21" s="250">
        <f t="shared" si="24"/>
        <v>0</v>
      </c>
      <c r="EG21" s="250">
        <f t="shared" si="24"/>
        <v>0</v>
      </c>
      <c r="EH21" s="250">
        <f t="shared" si="24"/>
        <v>0</v>
      </c>
      <c r="EI21" s="250">
        <f t="shared" si="24"/>
        <v>0</v>
      </c>
      <c r="EJ21" s="250">
        <f t="shared" si="24"/>
        <v>0</v>
      </c>
      <c r="EK21" s="250">
        <f t="shared" si="24"/>
        <v>0</v>
      </c>
      <c r="GE21" s="237"/>
      <c r="GF21" s="237"/>
      <c r="GG21" s="237"/>
      <c r="GH21" s="237"/>
      <c r="GI21" s="237"/>
      <c r="GJ21" s="237"/>
      <c r="GK21" s="237"/>
      <c r="GL21" s="237"/>
      <c r="GT21" s="636"/>
      <c r="GU21" s="636"/>
      <c r="GV21" s="636"/>
      <c r="GW21" s="636"/>
      <c r="GX21" s="636"/>
      <c r="GY21" s="636"/>
      <c r="GZ21" s="237"/>
      <c r="HA21" s="237"/>
      <c r="HB21" s="237"/>
      <c r="HC21" s="237"/>
      <c r="HD21" s="237"/>
      <c r="HE21" s="636"/>
      <c r="HF21" s="237"/>
      <c r="HG21" s="237"/>
      <c r="HH21" s="237"/>
      <c r="HI21" s="237"/>
      <c r="HJ21" s="636"/>
      <c r="HK21" s="636"/>
      <c r="HL21" s="636"/>
    </row>
    <row r="22" spans="1:220" ht="15" customHeight="1">
      <c r="A22" s="153" t="s">
        <v>17</v>
      </c>
      <c r="B22" s="156" t="s">
        <v>489</v>
      </c>
      <c r="C22" s="154">
        <v>0</v>
      </c>
      <c r="D22" s="154">
        <v>1770</v>
      </c>
      <c r="E22" s="161">
        <f t="shared" si="2"/>
        <v>0</v>
      </c>
      <c r="F22" s="224"/>
      <c r="G22" s="115"/>
      <c r="H22" s="115"/>
      <c r="I22" s="115"/>
      <c r="J22" s="115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633"/>
      <c r="AQ22" s="633"/>
      <c r="AR22" s="633"/>
      <c r="AS22" s="633"/>
      <c r="AT22" s="672"/>
      <c r="AU22" s="672"/>
      <c r="AV22" s="672"/>
      <c r="AW22" s="672"/>
      <c r="AX22" s="672"/>
      <c r="AY22" s="672"/>
      <c r="BA22" s="188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T22" s="188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>
        <f t="shared" si="23"/>
        <v>0</v>
      </c>
      <c r="DF22" s="115">
        <f t="shared" si="23"/>
        <v>0</v>
      </c>
      <c r="DG22" s="115">
        <f t="shared" si="23"/>
        <v>0</v>
      </c>
      <c r="DH22" s="115">
        <f t="shared" si="23"/>
        <v>0</v>
      </c>
      <c r="DI22" s="115">
        <f t="shared" si="23"/>
        <v>0</v>
      </c>
      <c r="DJ22" s="115">
        <f t="shared" si="23"/>
        <v>0</v>
      </c>
      <c r="DK22" s="115">
        <f t="shared" si="23"/>
        <v>0</v>
      </c>
      <c r="DL22" s="115">
        <f t="shared" si="23"/>
        <v>0</v>
      </c>
      <c r="DM22" s="115">
        <f t="shared" si="23"/>
        <v>0</v>
      </c>
      <c r="DN22" s="115">
        <f t="shared" si="23"/>
        <v>0</v>
      </c>
      <c r="DO22" s="115">
        <f t="shared" si="23"/>
        <v>0</v>
      </c>
      <c r="DP22" s="115">
        <f t="shared" si="23"/>
        <v>0</v>
      </c>
      <c r="DQ22" s="115">
        <f t="shared" si="23"/>
        <v>0</v>
      </c>
      <c r="DR22" s="115">
        <f t="shared" si="23"/>
        <v>0</v>
      </c>
      <c r="DS22" s="115">
        <f t="shared" si="23"/>
        <v>0</v>
      </c>
      <c r="DT22" s="115">
        <f t="shared" si="23"/>
        <v>0</v>
      </c>
      <c r="DU22" s="115">
        <f t="shared" si="23"/>
        <v>0</v>
      </c>
      <c r="DV22" s="115">
        <f t="shared" si="23"/>
        <v>0</v>
      </c>
      <c r="DW22" s="115">
        <f t="shared" si="23"/>
        <v>0</v>
      </c>
      <c r="DX22" s="115">
        <f t="shared" si="23"/>
        <v>0</v>
      </c>
      <c r="DY22" s="115">
        <f t="shared" si="23"/>
        <v>0</v>
      </c>
      <c r="DZ22" s="115">
        <f t="shared" si="24"/>
        <v>0</v>
      </c>
      <c r="EA22" s="115">
        <f t="shared" si="24"/>
        <v>0</v>
      </c>
      <c r="EB22" s="198">
        <f t="shared" si="24"/>
        <v>0</v>
      </c>
      <c r="EC22" s="198">
        <f t="shared" si="24"/>
        <v>0</v>
      </c>
      <c r="ED22" s="198">
        <f t="shared" si="24"/>
        <v>0</v>
      </c>
      <c r="EE22" s="198">
        <f t="shared" si="24"/>
        <v>0</v>
      </c>
      <c r="EF22" s="250">
        <f t="shared" si="24"/>
        <v>0</v>
      </c>
      <c r="EG22" s="250">
        <f t="shared" si="24"/>
        <v>0</v>
      </c>
      <c r="EH22" s="250">
        <f t="shared" si="24"/>
        <v>0</v>
      </c>
      <c r="EI22" s="250">
        <f t="shared" si="24"/>
        <v>0</v>
      </c>
      <c r="EJ22" s="250">
        <f t="shared" si="24"/>
        <v>0</v>
      </c>
      <c r="EK22" s="250">
        <f t="shared" si="24"/>
        <v>0</v>
      </c>
      <c r="GE22" s="237"/>
      <c r="GF22" s="237"/>
      <c r="GG22" s="237"/>
      <c r="GH22" s="237"/>
      <c r="GI22" s="237"/>
      <c r="GJ22" s="237"/>
      <c r="GK22" s="237"/>
      <c r="GL22" s="237"/>
      <c r="GT22" s="636"/>
      <c r="GU22" s="636"/>
      <c r="GV22" s="636"/>
      <c r="GW22" s="636"/>
      <c r="GX22" s="636"/>
      <c r="GY22" s="636"/>
      <c r="GZ22" s="237"/>
      <c r="HA22" s="237"/>
      <c r="HB22" s="237"/>
      <c r="HC22" s="237"/>
      <c r="HD22" s="237"/>
      <c r="HE22" s="636"/>
      <c r="HF22" s="237"/>
      <c r="HG22" s="237"/>
      <c r="HH22" s="237"/>
      <c r="HI22" s="237"/>
      <c r="HJ22" s="636"/>
      <c r="HK22" s="636"/>
      <c r="HL22" s="636"/>
    </row>
    <row r="23" spans="1:220" ht="15" customHeight="1">
      <c r="A23" s="153" t="s">
        <v>18</v>
      </c>
      <c r="B23" s="156" t="s">
        <v>494</v>
      </c>
      <c r="C23" s="154">
        <v>0</v>
      </c>
      <c r="D23" s="154">
        <v>1450</v>
      </c>
      <c r="E23" s="161">
        <f t="shared" si="2"/>
        <v>0</v>
      </c>
      <c r="F23" s="224"/>
      <c r="G23" s="115"/>
      <c r="H23" s="115"/>
      <c r="I23" s="115"/>
      <c r="J23" s="115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633"/>
      <c r="AQ23" s="633"/>
      <c r="AR23" s="633"/>
      <c r="AS23" s="633"/>
      <c r="AT23" s="672"/>
      <c r="AU23" s="672"/>
      <c r="AV23" s="672"/>
      <c r="AW23" s="672"/>
      <c r="AX23" s="672"/>
      <c r="AY23" s="672"/>
      <c r="BA23" s="188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T23" s="188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>
        <f t="shared" si="23"/>
        <v>0</v>
      </c>
      <c r="DF23" s="115">
        <f t="shared" si="23"/>
        <v>0</v>
      </c>
      <c r="DG23" s="115">
        <f t="shared" si="23"/>
        <v>0</v>
      </c>
      <c r="DH23" s="115">
        <f t="shared" si="23"/>
        <v>0</v>
      </c>
      <c r="DI23" s="115">
        <f t="shared" si="23"/>
        <v>0</v>
      </c>
      <c r="DJ23" s="115">
        <f t="shared" si="23"/>
        <v>0</v>
      </c>
      <c r="DK23" s="115">
        <f t="shared" si="23"/>
        <v>0</v>
      </c>
      <c r="DL23" s="115">
        <f t="shared" si="23"/>
        <v>0</v>
      </c>
      <c r="DM23" s="115">
        <f t="shared" si="23"/>
        <v>0</v>
      </c>
      <c r="DN23" s="115">
        <f t="shared" si="23"/>
        <v>0</v>
      </c>
      <c r="DO23" s="115">
        <f t="shared" si="23"/>
        <v>0</v>
      </c>
      <c r="DP23" s="115">
        <f t="shared" si="23"/>
        <v>0</v>
      </c>
      <c r="DQ23" s="115">
        <f t="shared" si="23"/>
        <v>0</v>
      </c>
      <c r="DR23" s="115">
        <f t="shared" si="23"/>
        <v>0</v>
      </c>
      <c r="DS23" s="115">
        <f t="shared" si="23"/>
        <v>0</v>
      </c>
      <c r="DT23" s="115">
        <f t="shared" si="23"/>
        <v>0</v>
      </c>
      <c r="DU23" s="115">
        <f t="shared" si="23"/>
        <v>0</v>
      </c>
      <c r="DV23" s="115">
        <f t="shared" si="23"/>
        <v>0</v>
      </c>
      <c r="DW23" s="115">
        <f t="shared" si="23"/>
        <v>0</v>
      </c>
      <c r="DX23" s="115">
        <f t="shared" si="23"/>
        <v>0</v>
      </c>
      <c r="DY23" s="115">
        <f t="shared" si="23"/>
        <v>0</v>
      </c>
      <c r="DZ23" s="115">
        <f t="shared" si="24"/>
        <v>0</v>
      </c>
      <c r="EA23" s="115">
        <f t="shared" si="24"/>
        <v>0</v>
      </c>
      <c r="EB23" s="198">
        <f t="shared" si="24"/>
        <v>0</v>
      </c>
      <c r="EC23" s="198">
        <f t="shared" si="24"/>
        <v>0</v>
      </c>
      <c r="ED23" s="198">
        <f t="shared" si="24"/>
        <v>0</v>
      </c>
      <c r="EE23" s="198">
        <f t="shared" si="24"/>
        <v>0</v>
      </c>
      <c r="EF23" s="250">
        <f t="shared" si="24"/>
        <v>0</v>
      </c>
      <c r="EG23" s="250">
        <f t="shared" si="24"/>
        <v>0</v>
      </c>
      <c r="EH23" s="250">
        <f t="shared" si="24"/>
        <v>0</v>
      </c>
      <c r="EI23" s="250">
        <f t="shared" si="24"/>
        <v>0</v>
      </c>
      <c r="EJ23" s="250">
        <f t="shared" si="24"/>
        <v>0</v>
      </c>
      <c r="EK23" s="250">
        <f t="shared" si="24"/>
        <v>0</v>
      </c>
      <c r="GE23" s="237"/>
      <c r="GF23" s="237"/>
      <c r="GG23" s="237"/>
      <c r="GH23" s="237"/>
      <c r="GI23" s="237"/>
      <c r="GJ23" s="237"/>
      <c r="GK23" s="237"/>
      <c r="GL23" s="237"/>
      <c r="GT23" s="636"/>
      <c r="GU23" s="636"/>
      <c r="GV23" s="636"/>
      <c r="GW23" s="636"/>
      <c r="GX23" s="636"/>
      <c r="GY23" s="636"/>
      <c r="GZ23" s="237"/>
      <c r="HA23" s="237"/>
      <c r="HB23" s="237"/>
      <c r="HC23" s="237"/>
      <c r="HD23" s="237"/>
      <c r="HE23" s="636"/>
      <c r="HF23" s="237"/>
      <c r="HG23" s="237"/>
      <c r="HH23" s="237"/>
      <c r="HI23" s="237"/>
      <c r="HJ23" s="636"/>
      <c r="HK23" s="636"/>
      <c r="HL23" s="636"/>
    </row>
    <row r="24" spans="1:220" ht="15" customHeight="1">
      <c r="A24" s="153" t="s">
        <v>19</v>
      </c>
      <c r="B24" s="156" t="s">
        <v>484</v>
      </c>
      <c r="C24" s="154">
        <v>0</v>
      </c>
      <c r="D24" s="154">
        <v>1390</v>
      </c>
      <c r="E24" s="161">
        <f t="shared" si="2"/>
        <v>0</v>
      </c>
      <c r="F24" s="224"/>
      <c r="G24" s="115"/>
      <c r="H24" s="115"/>
      <c r="I24" s="115"/>
      <c r="J24" s="115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633"/>
      <c r="AQ24" s="633"/>
      <c r="AR24" s="633"/>
      <c r="AS24" s="633"/>
      <c r="AT24" s="672"/>
      <c r="AU24" s="672"/>
      <c r="AV24" s="672"/>
      <c r="AW24" s="672"/>
      <c r="AX24" s="672"/>
      <c r="AY24" s="672"/>
      <c r="BA24" s="188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T24" s="188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>
        <f t="shared" si="23"/>
        <v>0</v>
      </c>
      <c r="DF24" s="115">
        <f t="shared" si="23"/>
        <v>0</v>
      </c>
      <c r="DG24" s="115">
        <f t="shared" si="23"/>
        <v>0</v>
      </c>
      <c r="DH24" s="115">
        <f t="shared" si="23"/>
        <v>0</v>
      </c>
      <c r="DI24" s="115">
        <f t="shared" si="23"/>
        <v>0</v>
      </c>
      <c r="DJ24" s="115">
        <f t="shared" si="23"/>
        <v>0</v>
      </c>
      <c r="DK24" s="115">
        <f t="shared" si="23"/>
        <v>0</v>
      </c>
      <c r="DL24" s="115">
        <f t="shared" si="23"/>
        <v>0</v>
      </c>
      <c r="DM24" s="115">
        <f t="shared" si="23"/>
        <v>0</v>
      </c>
      <c r="DN24" s="115">
        <f t="shared" si="23"/>
        <v>0</v>
      </c>
      <c r="DO24" s="115">
        <f t="shared" si="23"/>
        <v>0</v>
      </c>
      <c r="DP24" s="115">
        <f t="shared" si="23"/>
        <v>0</v>
      </c>
      <c r="DQ24" s="115">
        <f t="shared" si="23"/>
        <v>0</v>
      </c>
      <c r="DR24" s="115">
        <f t="shared" si="23"/>
        <v>0</v>
      </c>
      <c r="DS24" s="115">
        <f t="shared" si="23"/>
        <v>0</v>
      </c>
      <c r="DT24" s="115">
        <f t="shared" si="23"/>
        <v>0</v>
      </c>
      <c r="DU24" s="115">
        <f t="shared" si="23"/>
        <v>0</v>
      </c>
      <c r="DV24" s="115">
        <f t="shared" si="23"/>
        <v>0</v>
      </c>
      <c r="DW24" s="115">
        <f t="shared" si="23"/>
        <v>0</v>
      </c>
      <c r="DX24" s="115">
        <f t="shared" si="23"/>
        <v>0</v>
      </c>
      <c r="DY24" s="115">
        <f t="shared" si="23"/>
        <v>0</v>
      </c>
      <c r="DZ24" s="115">
        <f t="shared" si="24"/>
        <v>0</v>
      </c>
      <c r="EA24" s="115">
        <f t="shared" si="24"/>
        <v>0</v>
      </c>
      <c r="EB24" s="198">
        <f t="shared" si="24"/>
        <v>0</v>
      </c>
      <c r="EC24" s="198">
        <f t="shared" si="24"/>
        <v>0</v>
      </c>
      <c r="ED24" s="198">
        <f t="shared" si="24"/>
        <v>0</v>
      </c>
      <c r="EE24" s="198">
        <f t="shared" si="24"/>
        <v>0</v>
      </c>
      <c r="EF24" s="250">
        <f t="shared" si="24"/>
        <v>0</v>
      </c>
      <c r="EG24" s="250">
        <f t="shared" si="24"/>
        <v>0</v>
      </c>
      <c r="EH24" s="250">
        <f t="shared" si="24"/>
        <v>0</v>
      </c>
      <c r="EI24" s="250">
        <f t="shared" si="24"/>
        <v>0</v>
      </c>
      <c r="EJ24" s="250">
        <f t="shared" si="24"/>
        <v>0</v>
      </c>
      <c r="EK24" s="250">
        <f t="shared" si="24"/>
        <v>0</v>
      </c>
      <c r="GE24" s="237"/>
      <c r="GF24" s="237"/>
      <c r="GG24" s="237"/>
      <c r="GH24" s="237"/>
      <c r="GI24" s="237"/>
      <c r="GJ24" s="237"/>
      <c r="GK24" s="237"/>
      <c r="GL24" s="237"/>
      <c r="GT24" s="636"/>
      <c r="GU24" s="636"/>
      <c r="GV24" s="636"/>
      <c r="GW24" s="636"/>
      <c r="GX24" s="636"/>
      <c r="GY24" s="636"/>
      <c r="GZ24" s="237"/>
      <c r="HA24" s="237"/>
      <c r="HB24" s="237"/>
      <c r="HC24" s="237"/>
      <c r="HD24" s="237"/>
      <c r="HE24" s="636"/>
      <c r="HF24" s="237"/>
      <c r="HG24" s="237"/>
      <c r="HH24" s="237"/>
      <c r="HI24" s="237"/>
      <c r="HJ24" s="636"/>
      <c r="HK24" s="636"/>
      <c r="HL24" s="636"/>
    </row>
    <row r="25" spans="1:220" ht="15" customHeight="1">
      <c r="A25" s="153" t="s">
        <v>20</v>
      </c>
      <c r="B25" s="156" t="s">
        <v>495</v>
      </c>
      <c r="C25" s="154">
        <v>0</v>
      </c>
      <c r="D25" s="154">
        <v>1366</v>
      </c>
      <c r="E25" s="161">
        <f t="shared" si="2"/>
        <v>0</v>
      </c>
      <c r="F25" s="224"/>
      <c r="G25" s="115"/>
      <c r="H25" s="115"/>
      <c r="I25" s="115"/>
      <c r="J25" s="115"/>
      <c r="K25" s="115"/>
      <c r="L25" s="115">
        <f aca="true" t="shared" si="25" ref="L25:W25">$E25*L$4</f>
        <v>0</v>
      </c>
      <c r="M25" s="115">
        <f t="shared" si="25"/>
        <v>0</v>
      </c>
      <c r="N25" s="115">
        <f t="shared" si="25"/>
        <v>0</v>
      </c>
      <c r="O25" s="115">
        <f t="shared" si="25"/>
        <v>0</v>
      </c>
      <c r="P25" s="115">
        <f t="shared" si="25"/>
        <v>0</v>
      </c>
      <c r="Q25" s="115">
        <f t="shared" si="25"/>
        <v>0</v>
      </c>
      <c r="R25" s="115">
        <f t="shared" si="25"/>
        <v>0</v>
      </c>
      <c r="S25" s="115">
        <f t="shared" si="25"/>
        <v>0</v>
      </c>
      <c r="T25" s="115">
        <f t="shared" si="25"/>
        <v>0</v>
      </c>
      <c r="U25" s="115">
        <f t="shared" si="25"/>
        <v>0</v>
      </c>
      <c r="V25" s="115">
        <f t="shared" si="25"/>
        <v>0</v>
      </c>
      <c r="W25" s="115">
        <f t="shared" si="25"/>
        <v>0</v>
      </c>
      <c r="X25" s="115">
        <f aca="true" t="shared" si="26" ref="L25:AN28">$E25*X$4</f>
        <v>0</v>
      </c>
      <c r="Y25" s="115">
        <f t="shared" si="26"/>
        <v>0</v>
      </c>
      <c r="Z25" s="115">
        <f t="shared" si="26"/>
        <v>0</v>
      </c>
      <c r="AA25" s="115">
        <f t="shared" si="26"/>
        <v>0</v>
      </c>
      <c r="AB25" s="115">
        <f t="shared" si="26"/>
        <v>0</v>
      </c>
      <c r="AC25" s="115">
        <f t="shared" si="26"/>
        <v>0</v>
      </c>
      <c r="AD25" s="115">
        <f t="shared" si="26"/>
        <v>0</v>
      </c>
      <c r="AE25" s="115">
        <f t="shared" si="26"/>
        <v>0</v>
      </c>
      <c r="AF25" s="115">
        <f t="shared" si="26"/>
        <v>0</v>
      </c>
      <c r="AG25" s="115">
        <f t="shared" si="26"/>
        <v>0</v>
      </c>
      <c r="AH25" s="115">
        <f t="shared" si="26"/>
        <v>0</v>
      </c>
      <c r="AI25" s="115">
        <f t="shared" si="26"/>
        <v>0</v>
      </c>
      <c r="AJ25" s="115">
        <f t="shared" si="26"/>
        <v>0</v>
      </c>
      <c r="AK25" s="115">
        <f t="shared" si="26"/>
        <v>0</v>
      </c>
      <c r="AL25" s="115">
        <f t="shared" si="26"/>
        <v>0</v>
      </c>
      <c r="AM25" s="115">
        <f t="shared" si="26"/>
        <v>0</v>
      </c>
      <c r="AN25" s="115">
        <f t="shared" si="26"/>
        <v>0</v>
      </c>
      <c r="AO25" s="115">
        <f aca="true" t="shared" si="27" ref="AO25:AQ28">$E25*AO$4</f>
        <v>0</v>
      </c>
      <c r="AP25" s="198">
        <f t="shared" si="27"/>
        <v>0</v>
      </c>
      <c r="AQ25" s="198">
        <f t="shared" si="27"/>
        <v>0</v>
      </c>
      <c r="AR25" s="198"/>
      <c r="AS25" s="198"/>
      <c r="AT25" s="250"/>
      <c r="AU25" s="250"/>
      <c r="AV25" s="250"/>
      <c r="AW25" s="250"/>
      <c r="AX25" s="250"/>
      <c r="AY25" s="250"/>
      <c r="BA25" s="188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T25" s="188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98"/>
      <c r="EC25" s="198"/>
      <c r="ED25" s="198"/>
      <c r="EE25" s="198"/>
      <c r="EF25" s="250"/>
      <c r="EG25" s="250"/>
      <c r="EH25" s="250"/>
      <c r="EI25" s="250"/>
      <c r="EJ25" s="250"/>
      <c r="EK25" s="250"/>
      <c r="GE25" s="237"/>
      <c r="GF25" s="237"/>
      <c r="GG25" s="237"/>
      <c r="GH25" s="237"/>
      <c r="GI25" s="237"/>
      <c r="GJ25" s="237"/>
      <c r="GK25" s="237"/>
      <c r="GL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</row>
    <row r="26" spans="1:220" ht="15" customHeight="1">
      <c r="A26" s="153" t="s">
        <v>21</v>
      </c>
      <c r="B26" s="156" t="s">
        <v>487</v>
      </c>
      <c r="C26" s="154">
        <v>0</v>
      </c>
      <c r="D26" s="154">
        <v>1123</v>
      </c>
      <c r="E26" s="161">
        <f t="shared" si="2"/>
        <v>0</v>
      </c>
      <c r="F26" s="224"/>
      <c r="G26" s="115"/>
      <c r="H26" s="115"/>
      <c r="I26" s="115"/>
      <c r="J26" s="115"/>
      <c r="K26" s="115"/>
      <c r="L26" s="115">
        <f t="shared" si="26"/>
        <v>0</v>
      </c>
      <c r="M26" s="115">
        <f t="shared" si="26"/>
        <v>0</v>
      </c>
      <c r="N26" s="115">
        <f t="shared" si="26"/>
        <v>0</v>
      </c>
      <c r="O26" s="115">
        <f t="shared" si="26"/>
        <v>0</v>
      </c>
      <c r="P26" s="115">
        <f t="shared" si="26"/>
        <v>0</v>
      </c>
      <c r="Q26" s="115">
        <f t="shared" si="26"/>
        <v>0</v>
      </c>
      <c r="R26" s="115">
        <f t="shared" si="26"/>
        <v>0</v>
      </c>
      <c r="S26" s="115">
        <f t="shared" si="26"/>
        <v>0</v>
      </c>
      <c r="T26" s="115">
        <f t="shared" si="26"/>
        <v>0</v>
      </c>
      <c r="U26" s="115">
        <f t="shared" si="26"/>
        <v>0</v>
      </c>
      <c r="V26" s="115">
        <f t="shared" si="26"/>
        <v>0</v>
      </c>
      <c r="W26" s="115">
        <f t="shared" si="26"/>
        <v>0</v>
      </c>
      <c r="X26" s="115">
        <f t="shared" si="26"/>
        <v>0</v>
      </c>
      <c r="Y26" s="115">
        <f t="shared" si="26"/>
        <v>0</v>
      </c>
      <c r="Z26" s="115">
        <f t="shared" si="26"/>
        <v>0</v>
      </c>
      <c r="AA26" s="115">
        <f t="shared" si="26"/>
        <v>0</v>
      </c>
      <c r="AB26" s="115">
        <f t="shared" si="26"/>
        <v>0</v>
      </c>
      <c r="AC26" s="115">
        <f t="shared" si="26"/>
        <v>0</v>
      </c>
      <c r="AD26" s="115">
        <f t="shared" si="26"/>
        <v>0</v>
      </c>
      <c r="AE26" s="115">
        <f t="shared" si="26"/>
        <v>0</v>
      </c>
      <c r="AF26" s="115">
        <f t="shared" si="26"/>
        <v>0</v>
      </c>
      <c r="AG26" s="115">
        <f t="shared" si="26"/>
        <v>0</v>
      </c>
      <c r="AH26" s="115">
        <f t="shared" si="26"/>
        <v>0</v>
      </c>
      <c r="AI26" s="115">
        <f t="shared" si="26"/>
        <v>0</v>
      </c>
      <c r="AJ26" s="115">
        <f t="shared" si="26"/>
        <v>0</v>
      </c>
      <c r="AK26" s="115">
        <f t="shared" si="26"/>
        <v>0</v>
      </c>
      <c r="AL26" s="115">
        <f t="shared" si="26"/>
        <v>0</v>
      </c>
      <c r="AM26" s="115">
        <f t="shared" si="26"/>
        <v>0</v>
      </c>
      <c r="AN26" s="115">
        <f>$E26*AN$4</f>
        <v>0</v>
      </c>
      <c r="AO26" s="115">
        <f t="shared" si="27"/>
        <v>0</v>
      </c>
      <c r="AP26" s="198">
        <f t="shared" si="27"/>
        <v>0</v>
      </c>
      <c r="AQ26" s="198">
        <f t="shared" si="27"/>
        <v>0</v>
      </c>
      <c r="AR26" s="198"/>
      <c r="AS26" s="198"/>
      <c r="AT26" s="250"/>
      <c r="AU26" s="250"/>
      <c r="AV26" s="250"/>
      <c r="AW26" s="250"/>
      <c r="AX26" s="250"/>
      <c r="AY26" s="250"/>
      <c r="BA26" s="188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T26" s="188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98"/>
      <c r="EC26" s="198"/>
      <c r="ED26" s="198"/>
      <c r="EE26" s="198"/>
      <c r="EF26" s="250"/>
      <c r="EG26" s="250"/>
      <c r="EH26" s="250"/>
      <c r="EI26" s="250"/>
      <c r="EJ26" s="250"/>
      <c r="EK26" s="250"/>
      <c r="GE26" s="237"/>
      <c r="GF26" s="237"/>
      <c r="GG26" s="237"/>
      <c r="GH26" s="237"/>
      <c r="GI26" s="237"/>
      <c r="GJ26" s="237"/>
      <c r="GK26" s="237"/>
      <c r="GL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</row>
    <row r="27" spans="1:220" ht="15" customHeight="1">
      <c r="A27" s="153" t="s">
        <v>22</v>
      </c>
      <c r="B27" s="156" t="s">
        <v>496</v>
      </c>
      <c r="C27" s="154">
        <v>0</v>
      </c>
      <c r="D27" s="154">
        <v>500</v>
      </c>
      <c r="E27" s="161">
        <f t="shared" si="2"/>
        <v>0</v>
      </c>
      <c r="F27" s="224"/>
      <c r="G27" s="115"/>
      <c r="H27" s="115"/>
      <c r="I27" s="115"/>
      <c r="J27" s="115"/>
      <c r="K27" s="115"/>
      <c r="L27" s="115">
        <f t="shared" si="26"/>
        <v>0</v>
      </c>
      <c r="M27" s="115">
        <f t="shared" si="26"/>
        <v>0</v>
      </c>
      <c r="N27" s="115">
        <f t="shared" si="26"/>
        <v>0</v>
      </c>
      <c r="O27" s="115">
        <f t="shared" si="26"/>
        <v>0</v>
      </c>
      <c r="P27" s="115">
        <f t="shared" si="26"/>
        <v>0</v>
      </c>
      <c r="Q27" s="115">
        <f t="shared" si="26"/>
        <v>0</v>
      </c>
      <c r="R27" s="115">
        <f t="shared" si="26"/>
        <v>0</v>
      </c>
      <c r="S27" s="115">
        <f t="shared" si="26"/>
        <v>0</v>
      </c>
      <c r="T27" s="115">
        <f t="shared" si="26"/>
        <v>0</v>
      </c>
      <c r="U27" s="115">
        <f t="shared" si="26"/>
        <v>0</v>
      </c>
      <c r="V27" s="115">
        <f t="shared" si="26"/>
        <v>0</v>
      </c>
      <c r="W27" s="115">
        <f t="shared" si="26"/>
        <v>0</v>
      </c>
      <c r="X27" s="115">
        <f t="shared" si="26"/>
        <v>0</v>
      </c>
      <c r="Y27" s="115">
        <f t="shared" si="26"/>
        <v>0</v>
      </c>
      <c r="Z27" s="115">
        <f t="shared" si="26"/>
        <v>0</v>
      </c>
      <c r="AA27" s="115">
        <f t="shared" si="26"/>
        <v>0</v>
      </c>
      <c r="AB27" s="115">
        <f t="shared" si="26"/>
        <v>0</v>
      </c>
      <c r="AC27" s="115">
        <f t="shared" si="26"/>
        <v>0</v>
      </c>
      <c r="AD27" s="115">
        <f t="shared" si="26"/>
        <v>0</v>
      </c>
      <c r="AE27" s="115">
        <f t="shared" si="26"/>
        <v>0</v>
      </c>
      <c r="AF27" s="115">
        <f t="shared" si="26"/>
        <v>0</v>
      </c>
      <c r="AG27" s="115">
        <f t="shared" si="26"/>
        <v>0</v>
      </c>
      <c r="AH27" s="115">
        <f t="shared" si="26"/>
        <v>0</v>
      </c>
      <c r="AI27" s="115">
        <f t="shared" si="26"/>
        <v>0</v>
      </c>
      <c r="AJ27" s="115">
        <f t="shared" si="26"/>
        <v>0</v>
      </c>
      <c r="AK27" s="115">
        <f t="shared" si="26"/>
        <v>0</v>
      </c>
      <c r="AL27" s="115">
        <f t="shared" si="26"/>
        <v>0</v>
      </c>
      <c r="AM27" s="115">
        <f t="shared" si="26"/>
        <v>0</v>
      </c>
      <c r="AN27" s="115">
        <f>$E27*AN$4</f>
        <v>0</v>
      </c>
      <c r="AO27" s="115">
        <f t="shared" si="27"/>
        <v>0</v>
      </c>
      <c r="AP27" s="198">
        <f t="shared" si="27"/>
        <v>0</v>
      </c>
      <c r="AQ27" s="198">
        <f t="shared" si="27"/>
        <v>0</v>
      </c>
      <c r="AR27" s="198"/>
      <c r="AS27" s="198"/>
      <c r="AT27" s="250"/>
      <c r="AU27" s="250"/>
      <c r="AV27" s="250"/>
      <c r="AW27" s="250"/>
      <c r="AX27" s="250"/>
      <c r="AY27" s="250"/>
      <c r="BA27" s="188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T27" s="188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98"/>
      <c r="EC27" s="198"/>
      <c r="ED27" s="198"/>
      <c r="EE27" s="198"/>
      <c r="EF27" s="250"/>
      <c r="EG27" s="250"/>
      <c r="EH27" s="250"/>
      <c r="EI27" s="250"/>
      <c r="EJ27" s="250"/>
      <c r="EK27" s="250"/>
      <c r="GE27" s="237"/>
      <c r="GF27" s="237"/>
      <c r="GG27" s="237"/>
      <c r="GH27" s="237"/>
      <c r="GI27" s="237"/>
      <c r="GJ27" s="237"/>
      <c r="GK27" s="237"/>
      <c r="GL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</row>
    <row r="28" spans="1:220" ht="15" customHeight="1">
      <c r="A28" s="153" t="s">
        <v>23</v>
      </c>
      <c r="B28" s="156" t="s">
        <v>497</v>
      </c>
      <c r="C28" s="154">
        <v>0</v>
      </c>
      <c r="D28" s="154">
        <v>870</v>
      </c>
      <c r="E28" s="161">
        <f t="shared" si="2"/>
        <v>0</v>
      </c>
      <c r="F28" s="224"/>
      <c r="G28" s="115"/>
      <c r="H28" s="115"/>
      <c r="I28" s="115"/>
      <c r="J28" s="115"/>
      <c r="K28" s="115"/>
      <c r="L28" s="115">
        <f t="shared" si="26"/>
        <v>0</v>
      </c>
      <c r="M28" s="115">
        <f t="shared" si="26"/>
        <v>0</v>
      </c>
      <c r="N28" s="115">
        <f t="shared" si="26"/>
        <v>0</v>
      </c>
      <c r="O28" s="115">
        <f t="shared" si="26"/>
        <v>0</v>
      </c>
      <c r="P28" s="115">
        <f t="shared" si="26"/>
        <v>0</v>
      </c>
      <c r="Q28" s="115">
        <f t="shared" si="26"/>
        <v>0</v>
      </c>
      <c r="R28" s="115">
        <f t="shared" si="26"/>
        <v>0</v>
      </c>
      <c r="S28" s="115">
        <f t="shared" si="26"/>
        <v>0</v>
      </c>
      <c r="T28" s="115">
        <f t="shared" si="26"/>
        <v>0</v>
      </c>
      <c r="U28" s="115">
        <f t="shared" si="26"/>
        <v>0</v>
      </c>
      <c r="V28" s="115">
        <f t="shared" si="26"/>
        <v>0</v>
      </c>
      <c r="W28" s="115">
        <f t="shared" si="26"/>
        <v>0</v>
      </c>
      <c r="X28" s="115">
        <f t="shared" si="26"/>
        <v>0</v>
      </c>
      <c r="Y28" s="115">
        <f t="shared" si="26"/>
        <v>0</v>
      </c>
      <c r="Z28" s="115">
        <f t="shared" si="26"/>
        <v>0</v>
      </c>
      <c r="AA28" s="115">
        <f t="shared" si="26"/>
        <v>0</v>
      </c>
      <c r="AB28" s="115">
        <f t="shared" si="26"/>
        <v>0</v>
      </c>
      <c r="AC28" s="115">
        <f t="shared" si="26"/>
        <v>0</v>
      </c>
      <c r="AD28" s="115">
        <f t="shared" si="26"/>
        <v>0</v>
      </c>
      <c r="AE28" s="115">
        <f t="shared" si="26"/>
        <v>0</v>
      </c>
      <c r="AF28" s="115">
        <f t="shared" si="26"/>
        <v>0</v>
      </c>
      <c r="AG28" s="115">
        <f t="shared" si="26"/>
        <v>0</v>
      </c>
      <c r="AH28" s="115">
        <f t="shared" si="26"/>
        <v>0</v>
      </c>
      <c r="AI28" s="115">
        <f t="shared" si="26"/>
        <v>0</v>
      </c>
      <c r="AJ28" s="115">
        <f t="shared" si="26"/>
        <v>0</v>
      </c>
      <c r="AK28" s="115">
        <f t="shared" si="26"/>
        <v>0</v>
      </c>
      <c r="AL28" s="115">
        <f t="shared" si="26"/>
        <v>0</v>
      </c>
      <c r="AM28" s="115">
        <f t="shared" si="26"/>
        <v>0</v>
      </c>
      <c r="AN28" s="115">
        <f>$E28*AN$4</f>
        <v>0</v>
      </c>
      <c r="AO28" s="115">
        <f t="shared" si="27"/>
        <v>0</v>
      </c>
      <c r="AP28" s="198">
        <f t="shared" si="27"/>
        <v>0</v>
      </c>
      <c r="AQ28" s="198">
        <f t="shared" si="27"/>
        <v>0</v>
      </c>
      <c r="AR28" s="198"/>
      <c r="AS28" s="198"/>
      <c r="AT28" s="250"/>
      <c r="AU28" s="250"/>
      <c r="AV28" s="250"/>
      <c r="AW28" s="250"/>
      <c r="AX28" s="250"/>
      <c r="AY28" s="250"/>
      <c r="BA28" s="188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T28" s="188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98"/>
      <c r="EC28" s="198"/>
      <c r="ED28" s="198"/>
      <c r="EE28" s="198"/>
      <c r="EF28" s="250"/>
      <c r="EG28" s="250"/>
      <c r="EH28" s="250"/>
      <c r="EI28" s="250"/>
      <c r="EJ28" s="250"/>
      <c r="EK28" s="250"/>
      <c r="EN28" s="275" t="s">
        <v>184</v>
      </c>
      <c r="EO28" s="275">
        <v>2004</v>
      </c>
      <c r="EP28" s="275">
        <v>2005</v>
      </c>
      <c r="EQ28" s="275">
        <v>2006</v>
      </c>
      <c r="ER28" s="275">
        <v>2007</v>
      </c>
      <c r="ES28" s="275">
        <v>2008</v>
      </c>
      <c r="ET28" s="275">
        <v>2009</v>
      </c>
      <c r="EU28" s="275">
        <v>2010</v>
      </c>
      <c r="EV28" s="275">
        <v>2011</v>
      </c>
      <c r="EW28" s="275">
        <v>2012</v>
      </c>
      <c r="EX28" s="275">
        <v>2013</v>
      </c>
      <c r="EY28" s="275">
        <v>2014</v>
      </c>
      <c r="EZ28" s="808" t="s">
        <v>519</v>
      </c>
      <c r="FA28" s="35"/>
      <c r="GE28" s="237"/>
      <c r="GF28" s="237"/>
      <c r="GG28" s="237"/>
      <c r="GH28" s="237"/>
      <c r="GI28" s="237"/>
      <c r="GJ28" s="237"/>
      <c r="GK28" s="237"/>
      <c r="GL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</row>
    <row r="29" spans="1:220" ht="15" customHeight="1">
      <c r="A29" s="153"/>
      <c r="B29" s="156" t="s">
        <v>139</v>
      </c>
      <c r="C29" s="154">
        <v>0</v>
      </c>
      <c r="D29" s="154"/>
      <c r="E29" s="184">
        <f>SUM(E20:E24)</f>
        <v>0</v>
      </c>
      <c r="F29" s="22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98"/>
      <c r="AQ29" s="198"/>
      <c r="AR29" s="198"/>
      <c r="AS29" s="198"/>
      <c r="AT29" s="250"/>
      <c r="AU29" s="250"/>
      <c r="AV29" s="250"/>
      <c r="AW29" s="250"/>
      <c r="AX29" s="250"/>
      <c r="AY29" s="250"/>
      <c r="BA29" s="188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T29" s="188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>
        <f aca="true" t="shared" si="28" ref="DE29:EB29">SUM(DE20:DE24)</f>
        <v>0</v>
      </c>
      <c r="DF29" s="115">
        <f t="shared" si="28"/>
        <v>0</v>
      </c>
      <c r="DG29" s="115">
        <f t="shared" si="28"/>
        <v>0</v>
      </c>
      <c r="DH29" s="115">
        <f t="shared" si="28"/>
        <v>0</v>
      </c>
      <c r="DI29" s="115">
        <f t="shared" si="28"/>
        <v>0</v>
      </c>
      <c r="DJ29" s="115">
        <f t="shared" si="28"/>
        <v>0</v>
      </c>
      <c r="DK29" s="115">
        <f t="shared" si="28"/>
        <v>0</v>
      </c>
      <c r="DL29" s="115">
        <f t="shared" si="28"/>
        <v>0</v>
      </c>
      <c r="DM29" s="115">
        <f t="shared" si="28"/>
        <v>0</v>
      </c>
      <c r="DN29" s="115">
        <f t="shared" si="28"/>
        <v>0</v>
      </c>
      <c r="DO29" s="115">
        <f t="shared" si="28"/>
        <v>0</v>
      </c>
      <c r="DP29" s="115">
        <f t="shared" si="28"/>
        <v>0</v>
      </c>
      <c r="DQ29" s="115">
        <f t="shared" si="28"/>
        <v>0</v>
      </c>
      <c r="DR29" s="115">
        <f t="shared" si="28"/>
        <v>0</v>
      </c>
      <c r="DS29" s="115">
        <f t="shared" si="28"/>
        <v>0</v>
      </c>
      <c r="DT29" s="115">
        <f t="shared" si="28"/>
        <v>0</v>
      </c>
      <c r="DU29" s="115">
        <f t="shared" si="28"/>
        <v>0</v>
      </c>
      <c r="DV29" s="115">
        <f t="shared" si="28"/>
        <v>0</v>
      </c>
      <c r="DW29" s="115">
        <f t="shared" si="28"/>
        <v>0</v>
      </c>
      <c r="DX29" s="115">
        <f t="shared" si="28"/>
        <v>0</v>
      </c>
      <c r="DY29" s="115">
        <f t="shared" si="28"/>
        <v>0</v>
      </c>
      <c r="DZ29" s="115">
        <f t="shared" si="28"/>
        <v>0</v>
      </c>
      <c r="EA29" s="115">
        <f t="shared" si="28"/>
        <v>0</v>
      </c>
      <c r="EB29" s="198">
        <f t="shared" si="28"/>
        <v>0</v>
      </c>
      <c r="EC29" s="198">
        <f>SUM(EC20:EC24)</f>
        <v>0</v>
      </c>
      <c r="ED29" s="198">
        <f>SUM(ED20:ED24)</f>
        <v>0</v>
      </c>
      <c r="EE29" s="198">
        <f>SUM(EE20:EE24)</f>
        <v>0</v>
      </c>
      <c r="EF29" s="250">
        <f>SUM(EF20:EF24)</f>
        <v>0</v>
      </c>
      <c r="EG29" s="250">
        <f>SUM(EG20:EG24)</f>
        <v>0</v>
      </c>
      <c r="EH29" s="250">
        <f>SUM(EH20:EH24)</f>
        <v>0</v>
      </c>
      <c r="EI29" s="250">
        <f>SUM(EI20:EI24)</f>
        <v>0</v>
      </c>
      <c r="EJ29" s="250">
        <f>SUM(EJ20:EJ24)</f>
        <v>0</v>
      </c>
      <c r="EK29" s="250">
        <f>SUM(EK20:EK24)</f>
        <v>0</v>
      </c>
      <c r="EN29" s="114" t="s">
        <v>239</v>
      </c>
      <c r="EO29" s="115">
        <f>SUM(H30:K30,BA29:BD29,CT29:CW29)</f>
        <v>0</v>
      </c>
      <c r="EP29" s="115">
        <f>SUM(L30:O30,BE29:BH29,CX29:DA29)</f>
        <v>0</v>
      </c>
      <c r="EQ29" s="115">
        <f>SUM(P30:S30,BI29:BL29,DB29:DE29)</f>
        <v>0</v>
      </c>
      <c r="ER29" s="115">
        <f>SUM(T30:W30,BM29:BP29,DF29:DI29)</f>
        <v>0</v>
      </c>
      <c r="ES29" s="115">
        <f>SUM(X30:AA30,BQ29:BT29,DJ29:DM29)</f>
        <v>0</v>
      </c>
      <c r="ET29" s="115">
        <f>SUM(AB30:AE30,BU29:BX29,DN29:DQ29)</f>
        <v>0</v>
      </c>
      <c r="EU29" s="115">
        <f>SUM(AF30:AI30,BY29:CB29,DR29:DU29)</f>
        <v>0</v>
      </c>
      <c r="EV29" s="115">
        <f>SUM(AJ30:AM30,CC29:CF29,DV29:DY29)</f>
        <v>0</v>
      </c>
      <c r="EW29" s="115">
        <f>SUM(AN30:AQ30,CG29:CJ29,DZ29:EC29)</f>
        <v>0</v>
      </c>
      <c r="EX29" s="115">
        <f>SUM(AR30:AU30,CK29:CN29,ED29:EG29)</f>
        <v>0</v>
      </c>
      <c r="EY29" s="115">
        <f>SUM(AV30:AY30,CO29:CR29,EH29:EK29)</f>
        <v>0</v>
      </c>
      <c r="EZ29" s="239">
        <f>SUM(EO29:EY29)</f>
        <v>0</v>
      </c>
      <c r="FA29" s="237"/>
      <c r="GE29" s="237"/>
      <c r="GF29" s="237"/>
      <c r="GG29" s="237"/>
      <c r="GH29" s="237"/>
      <c r="GI29" s="237"/>
      <c r="GJ29" s="237"/>
      <c r="GK29" s="237"/>
      <c r="GL29" s="237"/>
      <c r="GT29" s="237"/>
      <c r="GU29" s="237"/>
      <c r="GV29" s="237"/>
      <c r="GW29" s="237"/>
      <c r="GX29" s="237"/>
      <c r="GY29" s="237"/>
      <c r="GZ29" s="237"/>
      <c r="HA29" s="237"/>
      <c r="HB29" s="237"/>
      <c r="HC29" s="237"/>
      <c r="HD29" s="237"/>
      <c r="HE29" s="237"/>
      <c r="HF29" s="237"/>
      <c r="HG29" s="237"/>
      <c r="HH29" s="237"/>
      <c r="HI29" s="237"/>
      <c r="HJ29" s="237"/>
      <c r="HK29" s="237"/>
      <c r="HL29" s="237"/>
    </row>
    <row r="30" spans="1:220" ht="15" customHeight="1">
      <c r="A30" s="153"/>
      <c r="B30" s="156" t="s">
        <v>140</v>
      </c>
      <c r="C30" s="154">
        <f>SUM(C25:C28)</f>
        <v>0</v>
      </c>
      <c r="D30" s="154"/>
      <c r="E30" s="184">
        <f>SUM(E25:E28)</f>
        <v>0</v>
      </c>
      <c r="F30" s="224"/>
      <c r="G30" s="115"/>
      <c r="H30" s="154">
        <f>SUM(H25:H28)</f>
        <v>0</v>
      </c>
      <c r="I30" s="154">
        <f aca="true" t="shared" si="29" ref="I30:AP30">SUM(I25:I28)</f>
        <v>0</v>
      </c>
      <c r="J30" s="154">
        <f t="shared" si="29"/>
        <v>0</v>
      </c>
      <c r="K30" s="154">
        <f t="shared" si="29"/>
        <v>0</v>
      </c>
      <c r="L30" s="154">
        <f t="shared" si="29"/>
        <v>0</v>
      </c>
      <c r="M30" s="154">
        <f t="shared" si="29"/>
        <v>0</v>
      </c>
      <c r="N30" s="154">
        <f t="shared" si="29"/>
        <v>0</v>
      </c>
      <c r="O30" s="154">
        <f t="shared" si="29"/>
        <v>0</v>
      </c>
      <c r="P30" s="154">
        <f t="shared" si="29"/>
        <v>0</v>
      </c>
      <c r="Q30" s="154">
        <f t="shared" si="29"/>
        <v>0</v>
      </c>
      <c r="R30" s="154">
        <f t="shared" si="29"/>
        <v>0</v>
      </c>
      <c r="S30" s="154">
        <f t="shared" si="29"/>
        <v>0</v>
      </c>
      <c r="T30" s="154">
        <f t="shared" si="29"/>
        <v>0</v>
      </c>
      <c r="U30" s="154">
        <f t="shared" si="29"/>
        <v>0</v>
      </c>
      <c r="V30" s="154">
        <f t="shared" si="29"/>
        <v>0</v>
      </c>
      <c r="W30" s="154">
        <f t="shared" si="29"/>
        <v>0</v>
      </c>
      <c r="X30" s="154">
        <f t="shared" si="29"/>
        <v>0</v>
      </c>
      <c r="Y30" s="154">
        <f t="shared" si="29"/>
        <v>0</v>
      </c>
      <c r="Z30" s="154">
        <f t="shared" si="29"/>
        <v>0</v>
      </c>
      <c r="AA30" s="154">
        <f t="shared" si="29"/>
        <v>0</v>
      </c>
      <c r="AB30" s="154">
        <f t="shared" si="29"/>
        <v>0</v>
      </c>
      <c r="AC30" s="154">
        <f t="shared" si="29"/>
        <v>0</v>
      </c>
      <c r="AD30" s="154">
        <f t="shared" si="29"/>
        <v>0</v>
      </c>
      <c r="AE30" s="154">
        <f t="shared" si="29"/>
        <v>0</v>
      </c>
      <c r="AF30" s="154">
        <f t="shared" si="29"/>
        <v>0</v>
      </c>
      <c r="AG30" s="154">
        <f t="shared" si="29"/>
        <v>0</v>
      </c>
      <c r="AH30" s="154">
        <f t="shared" si="29"/>
        <v>0</v>
      </c>
      <c r="AI30" s="154">
        <f t="shared" si="29"/>
        <v>0</v>
      </c>
      <c r="AJ30" s="154">
        <f t="shared" si="29"/>
        <v>0</v>
      </c>
      <c r="AK30" s="154">
        <f t="shared" si="29"/>
        <v>0</v>
      </c>
      <c r="AL30" s="154">
        <f t="shared" si="29"/>
        <v>0</v>
      </c>
      <c r="AM30" s="154">
        <f t="shared" si="29"/>
        <v>0</v>
      </c>
      <c r="AN30" s="154">
        <f t="shared" si="29"/>
        <v>0</v>
      </c>
      <c r="AO30" s="154">
        <f t="shared" si="29"/>
        <v>0</v>
      </c>
      <c r="AP30" s="642">
        <f t="shared" si="29"/>
        <v>0</v>
      </c>
      <c r="AQ30" s="642">
        <f>SUM(AQ25:AQ28)</f>
        <v>0</v>
      </c>
      <c r="AR30" s="642"/>
      <c r="AS30" s="642"/>
      <c r="AT30" s="673"/>
      <c r="AU30" s="673"/>
      <c r="AV30" s="673"/>
      <c r="AW30" s="673"/>
      <c r="AX30" s="673"/>
      <c r="AY30" s="673"/>
      <c r="BA30" s="188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T30" s="188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98"/>
      <c r="EC30" s="198"/>
      <c r="ED30" s="198"/>
      <c r="EE30" s="198"/>
      <c r="EF30" s="250"/>
      <c r="EG30" s="250"/>
      <c r="EH30" s="250"/>
      <c r="EI30" s="250"/>
      <c r="EJ30" s="250"/>
      <c r="EK30" s="250"/>
      <c r="EN30" s="114" t="s">
        <v>185</v>
      </c>
      <c r="EO30" s="115">
        <f aca="true" t="shared" si="30" ref="EO30:EY30">EO29*0.506</f>
        <v>0</v>
      </c>
      <c r="EP30" s="115">
        <f t="shared" si="30"/>
        <v>0</v>
      </c>
      <c r="EQ30" s="115">
        <f t="shared" si="30"/>
        <v>0</v>
      </c>
      <c r="ER30" s="115">
        <f t="shared" si="30"/>
        <v>0</v>
      </c>
      <c r="ES30" s="115">
        <f t="shared" si="30"/>
        <v>0</v>
      </c>
      <c r="ET30" s="115">
        <f t="shared" si="30"/>
        <v>0</v>
      </c>
      <c r="EU30" s="115">
        <f t="shared" si="30"/>
        <v>0</v>
      </c>
      <c r="EV30" s="115">
        <f t="shared" si="30"/>
        <v>0</v>
      </c>
      <c r="EW30" s="115">
        <f t="shared" si="30"/>
        <v>0</v>
      </c>
      <c r="EX30" s="115">
        <f t="shared" si="30"/>
        <v>0</v>
      </c>
      <c r="EY30" s="115">
        <f t="shared" si="30"/>
        <v>0</v>
      </c>
      <c r="EZ30" s="239">
        <f>SUM(EO30:EY30)</f>
        <v>0</v>
      </c>
      <c r="FA30" s="237"/>
      <c r="GE30" s="237"/>
      <c r="GF30" s="237"/>
      <c r="GG30" s="237"/>
      <c r="GH30" s="237"/>
      <c r="GI30" s="237"/>
      <c r="GJ30" s="237"/>
      <c r="GK30" s="237"/>
      <c r="GL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</row>
    <row r="31" spans="1:220" ht="15" customHeight="1">
      <c r="A31" s="210"/>
      <c r="B31" s="211" t="s">
        <v>70</v>
      </c>
      <c r="C31" s="212">
        <f>SUM(C29:C30)</f>
        <v>0</v>
      </c>
      <c r="D31" s="187"/>
      <c r="E31" s="229">
        <f>SUM(E29:E30)</f>
        <v>0</v>
      </c>
      <c r="F31" s="225" t="s">
        <v>110</v>
      </c>
      <c r="G31" s="202">
        <f>G$132</f>
        <v>0.506</v>
      </c>
      <c r="H31" s="203">
        <f aca="true" t="shared" si="31" ref="H31:AP31">SUM(H20:H28)*$G31</f>
        <v>0</v>
      </c>
      <c r="I31" s="203">
        <f t="shared" si="31"/>
        <v>0</v>
      </c>
      <c r="J31" s="203">
        <f t="shared" si="31"/>
        <v>0</v>
      </c>
      <c r="K31" s="203">
        <f t="shared" si="31"/>
        <v>0</v>
      </c>
      <c r="L31" s="203">
        <f t="shared" si="31"/>
        <v>0</v>
      </c>
      <c r="M31" s="203">
        <f t="shared" si="31"/>
        <v>0</v>
      </c>
      <c r="N31" s="203">
        <f t="shared" si="31"/>
        <v>0</v>
      </c>
      <c r="O31" s="203">
        <f t="shared" si="31"/>
        <v>0</v>
      </c>
      <c r="P31" s="203">
        <f t="shared" si="31"/>
        <v>0</v>
      </c>
      <c r="Q31" s="203">
        <f t="shared" si="31"/>
        <v>0</v>
      </c>
      <c r="R31" s="203">
        <f t="shared" si="31"/>
        <v>0</v>
      </c>
      <c r="S31" s="203">
        <f t="shared" si="31"/>
        <v>0</v>
      </c>
      <c r="T31" s="203">
        <f t="shared" si="31"/>
        <v>0</v>
      </c>
      <c r="U31" s="203">
        <f t="shared" si="31"/>
        <v>0</v>
      </c>
      <c r="V31" s="203">
        <f t="shared" si="31"/>
        <v>0</v>
      </c>
      <c r="W31" s="203">
        <f t="shared" si="31"/>
        <v>0</v>
      </c>
      <c r="X31" s="203">
        <f t="shared" si="31"/>
        <v>0</v>
      </c>
      <c r="Y31" s="203">
        <f t="shared" si="31"/>
        <v>0</v>
      </c>
      <c r="Z31" s="203">
        <f t="shared" si="31"/>
        <v>0</v>
      </c>
      <c r="AA31" s="203">
        <f t="shared" si="31"/>
        <v>0</v>
      </c>
      <c r="AB31" s="203">
        <f t="shared" si="31"/>
        <v>0</v>
      </c>
      <c r="AC31" s="203">
        <f t="shared" si="31"/>
        <v>0</v>
      </c>
      <c r="AD31" s="203">
        <f t="shared" si="31"/>
        <v>0</v>
      </c>
      <c r="AE31" s="203">
        <f t="shared" si="31"/>
        <v>0</v>
      </c>
      <c r="AF31" s="203">
        <f t="shared" si="31"/>
        <v>0</v>
      </c>
      <c r="AG31" s="203">
        <f t="shared" si="31"/>
        <v>0</v>
      </c>
      <c r="AH31" s="203">
        <f t="shared" si="31"/>
        <v>0</v>
      </c>
      <c r="AI31" s="203">
        <f t="shared" si="31"/>
        <v>0</v>
      </c>
      <c r="AJ31" s="203">
        <f t="shared" si="31"/>
        <v>0</v>
      </c>
      <c r="AK31" s="203">
        <f t="shared" si="31"/>
        <v>0</v>
      </c>
      <c r="AL31" s="203">
        <f t="shared" si="31"/>
        <v>0</v>
      </c>
      <c r="AM31" s="203">
        <f t="shared" si="31"/>
        <v>0</v>
      </c>
      <c r="AN31" s="203">
        <f t="shared" si="31"/>
        <v>0</v>
      </c>
      <c r="AO31" s="203">
        <f t="shared" si="31"/>
        <v>0</v>
      </c>
      <c r="AP31" s="246">
        <f t="shared" si="31"/>
        <v>0</v>
      </c>
      <c r="AQ31" s="246">
        <f>SUM(AQ20:AQ28)*$G31</f>
        <v>0</v>
      </c>
      <c r="AR31" s="246"/>
      <c r="AS31" s="246"/>
      <c r="AT31" s="674"/>
      <c r="AU31" s="674"/>
      <c r="AV31" s="674"/>
      <c r="AW31" s="674"/>
      <c r="AX31" s="674"/>
      <c r="AY31" s="674"/>
      <c r="BA31" s="252">
        <f aca="true" t="shared" si="32" ref="BA31:CI31">SUM(BA20:BA28)*$G31</f>
        <v>0</v>
      </c>
      <c r="BB31" s="203">
        <f t="shared" si="32"/>
        <v>0</v>
      </c>
      <c r="BC31" s="203">
        <f t="shared" si="32"/>
        <v>0</v>
      </c>
      <c r="BD31" s="203">
        <f t="shared" si="32"/>
        <v>0</v>
      </c>
      <c r="BE31" s="203">
        <f t="shared" si="32"/>
        <v>0</v>
      </c>
      <c r="BF31" s="203">
        <f t="shared" si="32"/>
        <v>0</v>
      </c>
      <c r="BG31" s="203">
        <f t="shared" si="32"/>
        <v>0</v>
      </c>
      <c r="BH31" s="203">
        <f t="shared" si="32"/>
        <v>0</v>
      </c>
      <c r="BI31" s="203">
        <f t="shared" si="32"/>
        <v>0</v>
      </c>
      <c r="BJ31" s="203">
        <f t="shared" si="32"/>
        <v>0</v>
      </c>
      <c r="BK31" s="203">
        <f t="shared" si="32"/>
        <v>0</v>
      </c>
      <c r="BL31" s="203">
        <f t="shared" si="32"/>
        <v>0</v>
      </c>
      <c r="BM31" s="203">
        <f t="shared" si="32"/>
        <v>0</v>
      </c>
      <c r="BN31" s="203">
        <f t="shared" si="32"/>
        <v>0</v>
      </c>
      <c r="BO31" s="203">
        <f t="shared" si="32"/>
        <v>0</v>
      </c>
      <c r="BP31" s="203">
        <f t="shared" si="32"/>
        <v>0</v>
      </c>
      <c r="BQ31" s="203">
        <f t="shared" si="32"/>
        <v>0</v>
      </c>
      <c r="BR31" s="203">
        <f t="shared" si="32"/>
        <v>0</v>
      </c>
      <c r="BS31" s="203">
        <f t="shared" si="32"/>
        <v>0</v>
      </c>
      <c r="BT31" s="203">
        <f t="shared" si="32"/>
        <v>0</v>
      </c>
      <c r="BU31" s="203">
        <f t="shared" si="32"/>
        <v>0</v>
      </c>
      <c r="BV31" s="203">
        <f t="shared" si="32"/>
        <v>0</v>
      </c>
      <c r="BW31" s="203">
        <f t="shared" si="32"/>
        <v>0</v>
      </c>
      <c r="BX31" s="203">
        <f t="shared" si="32"/>
        <v>0</v>
      </c>
      <c r="BY31" s="203">
        <f t="shared" si="32"/>
        <v>0</v>
      </c>
      <c r="BZ31" s="203">
        <f t="shared" si="32"/>
        <v>0</v>
      </c>
      <c r="CA31" s="203">
        <f t="shared" si="32"/>
        <v>0</v>
      </c>
      <c r="CB31" s="203">
        <f t="shared" si="32"/>
        <v>0</v>
      </c>
      <c r="CC31" s="203">
        <f t="shared" si="32"/>
        <v>0</v>
      </c>
      <c r="CD31" s="203">
        <f t="shared" si="32"/>
        <v>0</v>
      </c>
      <c r="CE31" s="203">
        <f t="shared" si="32"/>
        <v>0</v>
      </c>
      <c r="CF31" s="203">
        <f t="shared" si="32"/>
        <v>0</v>
      </c>
      <c r="CG31" s="203">
        <f t="shared" si="32"/>
        <v>0</v>
      </c>
      <c r="CH31" s="203">
        <f t="shared" si="32"/>
        <v>0</v>
      </c>
      <c r="CI31" s="246">
        <f t="shared" si="32"/>
        <v>0</v>
      </c>
      <c r="CJ31" s="246">
        <f aca="true" t="shared" si="33" ref="CJ31:CR31">SUM(CJ20:CJ28)*$G31</f>
        <v>0</v>
      </c>
      <c r="CK31" s="246">
        <f t="shared" si="33"/>
        <v>0</v>
      </c>
      <c r="CL31" s="246">
        <f t="shared" si="33"/>
        <v>0</v>
      </c>
      <c r="CM31" s="246">
        <f t="shared" si="33"/>
        <v>0</v>
      </c>
      <c r="CN31" s="246">
        <f t="shared" si="33"/>
        <v>0</v>
      </c>
      <c r="CO31" s="246">
        <f t="shared" si="33"/>
        <v>0</v>
      </c>
      <c r="CP31" s="246">
        <f t="shared" si="33"/>
        <v>0</v>
      </c>
      <c r="CQ31" s="246">
        <f t="shared" si="33"/>
        <v>0</v>
      </c>
      <c r="CR31" s="246">
        <f t="shared" si="33"/>
        <v>0</v>
      </c>
      <c r="CT31" s="252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>
        <f aca="true" t="shared" si="34" ref="DE31:EB31">SUM(DE20:DE28)*$G31</f>
        <v>0</v>
      </c>
      <c r="DF31" s="203">
        <f t="shared" si="34"/>
        <v>0</v>
      </c>
      <c r="DG31" s="203">
        <f t="shared" si="34"/>
        <v>0</v>
      </c>
      <c r="DH31" s="203">
        <f t="shared" si="34"/>
        <v>0</v>
      </c>
      <c r="DI31" s="203">
        <f t="shared" si="34"/>
        <v>0</v>
      </c>
      <c r="DJ31" s="203">
        <f t="shared" si="34"/>
        <v>0</v>
      </c>
      <c r="DK31" s="203">
        <f t="shared" si="34"/>
        <v>0</v>
      </c>
      <c r="DL31" s="203">
        <f t="shared" si="34"/>
        <v>0</v>
      </c>
      <c r="DM31" s="203">
        <f t="shared" si="34"/>
        <v>0</v>
      </c>
      <c r="DN31" s="203">
        <f t="shared" si="34"/>
        <v>0</v>
      </c>
      <c r="DO31" s="203">
        <f t="shared" si="34"/>
        <v>0</v>
      </c>
      <c r="DP31" s="203">
        <f t="shared" si="34"/>
        <v>0</v>
      </c>
      <c r="DQ31" s="203">
        <f t="shared" si="34"/>
        <v>0</v>
      </c>
      <c r="DR31" s="203">
        <f t="shared" si="34"/>
        <v>0</v>
      </c>
      <c r="DS31" s="203">
        <f t="shared" si="34"/>
        <v>0</v>
      </c>
      <c r="DT31" s="203">
        <f t="shared" si="34"/>
        <v>0</v>
      </c>
      <c r="DU31" s="203">
        <f t="shared" si="34"/>
        <v>0</v>
      </c>
      <c r="DV31" s="203">
        <f t="shared" si="34"/>
        <v>0</v>
      </c>
      <c r="DW31" s="203">
        <f t="shared" si="34"/>
        <v>0</v>
      </c>
      <c r="DX31" s="203">
        <f t="shared" si="34"/>
        <v>0</v>
      </c>
      <c r="DY31" s="203">
        <f t="shared" si="34"/>
        <v>0</v>
      </c>
      <c r="DZ31" s="203">
        <f t="shared" si="34"/>
        <v>0</v>
      </c>
      <c r="EA31" s="203">
        <f t="shared" si="34"/>
        <v>0</v>
      </c>
      <c r="EB31" s="246">
        <f t="shared" si="34"/>
        <v>0</v>
      </c>
      <c r="EC31" s="246">
        <f>SUM(EC20:EC28)*$G31</f>
        <v>0</v>
      </c>
      <c r="ED31" s="246">
        <f>SUM(ED20:ED28)*$G31</f>
        <v>0</v>
      </c>
      <c r="EE31" s="246">
        <f>SUM(EE20:EE28)*$G31</f>
        <v>0</v>
      </c>
      <c r="EF31" s="674">
        <f>SUM(EF20:EF28)*$G31</f>
        <v>0</v>
      </c>
      <c r="EG31" s="674">
        <f>SUM(EG20:EG28)*$G31</f>
        <v>0</v>
      </c>
      <c r="EH31" s="674">
        <f>SUM(EH20:EH28)*$G31</f>
        <v>0</v>
      </c>
      <c r="EI31" s="674">
        <f>SUM(EI20:EI28)*$G31</f>
        <v>0</v>
      </c>
      <c r="EJ31" s="674">
        <f>SUM(EJ20:EJ28)*$G31</f>
        <v>0</v>
      </c>
      <c r="EK31" s="674">
        <f>SUM(EK20:EK28)*$G31</f>
        <v>0</v>
      </c>
      <c r="EN31" s="114" t="s">
        <v>238</v>
      </c>
      <c r="EO31" s="115">
        <f aca="true" t="shared" si="35" ref="EO31:EY31">SUM(EO29:EO30)</f>
        <v>0</v>
      </c>
      <c r="EP31" s="115">
        <f t="shared" si="35"/>
        <v>0</v>
      </c>
      <c r="EQ31" s="115">
        <f t="shared" si="35"/>
        <v>0</v>
      </c>
      <c r="ER31" s="115">
        <f t="shared" si="35"/>
        <v>0</v>
      </c>
      <c r="ES31" s="115">
        <f t="shared" si="35"/>
        <v>0</v>
      </c>
      <c r="ET31" s="115">
        <f t="shared" si="35"/>
        <v>0</v>
      </c>
      <c r="EU31" s="115">
        <f t="shared" si="35"/>
        <v>0</v>
      </c>
      <c r="EV31" s="115">
        <f t="shared" si="35"/>
        <v>0</v>
      </c>
      <c r="EW31" s="115">
        <f t="shared" si="35"/>
        <v>0</v>
      </c>
      <c r="EX31" s="115">
        <f t="shared" si="35"/>
        <v>0</v>
      </c>
      <c r="EY31" s="115">
        <f t="shared" si="35"/>
        <v>0</v>
      </c>
      <c r="EZ31" s="239">
        <f>SUM(EO31:EY31)</f>
        <v>0</v>
      </c>
      <c r="FA31" s="237"/>
      <c r="GE31" s="237"/>
      <c r="GF31" s="237"/>
      <c r="GG31" s="237"/>
      <c r="GH31" s="237"/>
      <c r="GI31" s="237"/>
      <c r="GJ31" s="237"/>
      <c r="GK31" s="237"/>
      <c r="GL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</row>
    <row r="32" spans="1:220" ht="16.5" customHeight="1">
      <c r="A32" s="391"/>
      <c r="B32" s="392"/>
      <c r="C32" s="393"/>
      <c r="D32" s="398"/>
      <c r="E32" s="394"/>
      <c r="F32" s="395" t="s">
        <v>178</v>
      </c>
      <c r="G32" s="396">
        <v>0.01</v>
      </c>
      <c r="H32" s="397">
        <f>H30*$G$32</f>
        <v>0</v>
      </c>
      <c r="I32" s="397">
        <f aca="true" t="shared" si="36" ref="I32:AP32">I30*$G$32</f>
        <v>0</v>
      </c>
      <c r="J32" s="397">
        <f t="shared" si="36"/>
        <v>0</v>
      </c>
      <c r="K32" s="397">
        <f t="shared" si="36"/>
        <v>0</v>
      </c>
      <c r="L32" s="397">
        <f t="shared" si="36"/>
        <v>0</v>
      </c>
      <c r="M32" s="397">
        <f t="shared" si="36"/>
        <v>0</v>
      </c>
      <c r="N32" s="397">
        <f t="shared" si="36"/>
        <v>0</v>
      </c>
      <c r="O32" s="397">
        <f t="shared" si="36"/>
        <v>0</v>
      </c>
      <c r="P32" s="397">
        <f t="shared" si="36"/>
        <v>0</v>
      </c>
      <c r="Q32" s="397">
        <f t="shared" si="36"/>
        <v>0</v>
      </c>
      <c r="R32" s="397">
        <f t="shared" si="36"/>
        <v>0</v>
      </c>
      <c r="S32" s="397">
        <f t="shared" si="36"/>
        <v>0</v>
      </c>
      <c r="T32" s="397">
        <f t="shared" si="36"/>
        <v>0</v>
      </c>
      <c r="U32" s="397">
        <f t="shared" si="36"/>
        <v>0</v>
      </c>
      <c r="V32" s="397">
        <f t="shared" si="36"/>
        <v>0</v>
      </c>
      <c r="W32" s="397">
        <f t="shared" si="36"/>
        <v>0</v>
      </c>
      <c r="X32" s="397">
        <f t="shared" si="36"/>
        <v>0</v>
      </c>
      <c r="Y32" s="397">
        <f t="shared" si="36"/>
        <v>0</v>
      </c>
      <c r="Z32" s="397">
        <f t="shared" si="36"/>
        <v>0</v>
      </c>
      <c r="AA32" s="397">
        <f t="shared" si="36"/>
        <v>0</v>
      </c>
      <c r="AB32" s="397">
        <f t="shared" si="36"/>
        <v>0</v>
      </c>
      <c r="AC32" s="397">
        <f t="shared" si="36"/>
        <v>0</v>
      </c>
      <c r="AD32" s="397">
        <f t="shared" si="36"/>
        <v>0</v>
      </c>
      <c r="AE32" s="397">
        <f t="shared" si="36"/>
        <v>0</v>
      </c>
      <c r="AF32" s="397">
        <f t="shared" si="36"/>
        <v>0</v>
      </c>
      <c r="AG32" s="397">
        <f t="shared" si="36"/>
        <v>0</v>
      </c>
      <c r="AH32" s="397">
        <f t="shared" si="36"/>
        <v>0</v>
      </c>
      <c r="AI32" s="397">
        <f t="shared" si="36"/>
        <v>0</v>
      </c>
      <c r="AJ32" s="397">
        <f t="shared" si="36"/>
        <v>0</v>
      </c>
      <c r="AK32" s="397">
        <f t="shared" si="36"/>
        <v>0</v>
      </c>
      <c r="AL32" s="397">
        <f t="shared" si="36"/>
        <v>0</v>
      </c>
      <c r="AM32" s="397">
        <f t="shared" si="36"/>
        <v>0</v>
      </c>
      <c r="AN32" s="397">
        <f t="shared" si="36"/>
        <v>0</v>
      </c>
      <c r="AO32" s="397">
        <f t="shared" si="36"/>
        <v>0</v>
      </c>
      <c r="AP32" s="623">
        <f t="shared" si="36"/>
        <v>0</v>
      </c>
      <c r="AQ32" s="623">
        <f>AQ30*$G$32</f>
        <v>0</v>
      </c>
      <c r="AR32" s="623"/>
      <c r="AS32" s="623"/>
      <c r="AT32" s="675"/>
      <c r="AU32" s="675"/>
      <c r="AV32" s="675"/>
      <c r="AW32" s="675"/>
      <c r="AX32" s="675"/>
      <c r="AY32" s="675"/>
      <c r="BA32" s="397">
        <f>BA29*$G$32</f>
        <v>0</v>
      </c>
      <c r="BB32" s="397">
        <f aca="true" t="shared" si="37" ref="BB32:DM32">BB29*$G$32</f>
        <v>0</v>
      </c>
      <c r="BC32" s="397">
        <f t="shared" si="37"/>
        <v>0</v>
      </c>
      <c r="BD32" s="397">
        <f t="shared" si="37"/>
        <v>0</v>
      </c>
      <c r="BE32" s="397">
        <f t="shared" si="37"/>
        <v>0</v>
      </c>
      <c r="BF32" s="397">
        <f t="shared" si="37"/>
        <v>0</v>
      </c>
      <c r="BG32" s="397">
        <f t="shared" si="37"/>
        <v>0</v>
      </c>
      <c r="BH32" s="397">
        <f t="shared" si="37"/>
        <v>0</v>
      </c>
      <c r="BI32" s="397">
        <f t="shared" si="37"/>
        <v>0</v>
      </c>
      <c r="BJ32" s="397">
        <f t="shared" si="37"/>
        <v>0</v>
      </c>
      <c r="BK32" s="397">
        <f t="shared" si="37"/>
        <v>0</v>
      </c>
      <c r="BL32" s="397">
        <f t="shared" si="37"/>
        <v>0</v>
      </c>
      <c r="BM32" s="397">
        <f t="shared" si="37"/>
        <v>0</v>
      </c>
      <c r="BN32" s="397">
        <f t="shared" si="37"/>
        <v>0</v>
      </c>
      <c r="BO32" s="397">
        <f t="shared" si="37"/>
        <v>0</v>
      </c>
      <c r="BP32" s="397">
        <f t="shared" si="37"/>
        <v>0</v>
      </c>
      <c r="BQ32" s="397">
        <f t="shared" si="37"/>
        <v>0</v>
      </c>
      <c r="BR32" s="397">
        <f t="shared" si="37"/>
        <v>0</v>
      </c>
      <c r="BS32" s="397">
        <f t="shared" si="37"/>
        <v>0</v>
      </c>
      <c r="BT32" s="397">
        <f t="shared" si="37"/>
        <v>0</v>
      </c>
      <c r="BU32" s="397">
        <f t="shared" si="37"/>
        <v>0</v>
      </c>
      <c r="BV32" s="397">
        <f t="shared" si="37"/>
        <v>0</v>
      </c>
      <c r="BW32" s="397">
        <f t="shared" si="37"/>
        <v>0</v>
      </c>
      <c r="BX32" s="397">
        <f t="shared" si="37"/>
        <v>0</v>
      </c>
      <c r="BY32" s="397">
        <f t="shared" si="37"/>
        <v>0</v>
      </c>
      <c r="BZ32" s="397">
        <f t="shared" si="37"/>
        <v>0</v>
      </c>
      <c r="CA32" s="397">
        <f t="shared" si="37"/>
        <v>0</v>
      </c>
      <c r="CB32" s="397">
        <f t="shared" si="37"/>
        <v>0</v>
      </c>
      <c r="CC32" s="397">
        <f t="shared" si="37"/>
        <v>0</v>
      </c>
      <c r="CD32" s="397">
        <f t="shared" si="37"/>
        <v>0</v>
      </c>
      <c r="CE32" s="397">
        <f t="shared" si="37"/>
        <v>0</v>
      </c>
      <c r="CF32" s="397">
        <f t="shared" si="37"/>
        <v>0</v>
      </c>
      <c r="CG32" s="397">
        <f t="shared" si="37"/>
        <v>0</v>
      </c>
      <c r="CH32" s="397">
        <f t="shared" si="37"/>
        <v>0</v>
      </c>
      <c r="CI32" s="623">
        <f t="shared" si="37"/>
        <v>0</v>
      </c>
      <c r="CJ32" s="623">
        <f aca="true" t="shared" si="38" ref="CJ32:CR32">CJ29*$G$32</f>
        <v>0</v>
      </c>
      <c r="CK32" s="623">
        <f t="shared" si="38"/>
        <v>0</v>
      </c>
      <c r="CL32" s="623">
        <f t="shared" si="38"/>
        <v>0</v>
      </c>
      <c r="CM32" s="623">
        <f t="shared" si="38"/>
        <v>0</v>
      </c>
      <c r="CN32" s="623">
        <f t="shared" si="38"/>
        <v>0</v>
      </c>
      <c r="CO32" s="623">
        <f t="shared" si="38"/>
        <v>0</v>
      </c>
      <c r="CP32" s="623">
        <f t="shared" si="38"/>
        <v>0</v>
      </c>
      <c r="CQ32" s="623">
        <f t="shared" si="38"/>
        <v>0</v>
      </c>
      <c r="CR32" s="623">
        <f t="shared" si="38"/>
        <v>0</v>
      </c>
      <c r="CT32" s="689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>
        <f t="shared" si="37"/>
        <v>0</v>
      </c>
      <c r="DF32" s="397">
        <f t="shared" si="37"/>
        <v>0</v>
      </c>
      <c r="DG32" s="397">
        <f t="shared" si="37"/>
        <v>0</v>
      </c>
      <c r="DH32" s="397">
        <f t="shared" si="37"/>
        <v>0</v>
      </c>
      <c r="DI32" s="397">
        <f t="shared" si="37"/>
        <v>0</v>
      </c>
      <c r="DJ32" s="397">
        <f t="shared" si="37"/>
        <v>0</v>
      </c>
      <c r="DK32" s="397">
        <f t="shared" si="37"/>
        <v>0</v>
      </c>
      <c r="DL32" s="397">
        <f t="shared" si="37"/>
        <v>0</v>
      </c>
      <c r="DM32" s="397">
        <f t="shared" si="37"/>
        <v>0</v>
      </c>
      <c r="DN32" s="397">
        <f aca="true" t="shared" si="39" ref="DN32:EB32">DN29*$G$32</f>
        <v>0</v>
      </c>
      <c r="DO32" s="397">
        <f t="shared" si="39"/>
        <v>0</v>
      </c>
      <c r="DP32" s="397">
        <f t="shared" si="39"/>
        <v>0</v>
      </c>
      <c r="DQ32" s="397">
        <f t="shared" si="39"/>
        <v>0</v>
      </c>
      <c r="DR32" s="397">
        <f t="shared" si="39"/>
        <v>0</v>
      </c>
      <c r="DS32" s="397">
        <f t="shared" si="39"/>
        <v>0</v>
      </c>
      <c r="DT32" s="397">
        <f t="shared" si="39"/>
        <v>0</v>
      </c>
      <c r="DU32" s="397">
        <f t="shared" si="39"/>
        <v>0</v>
      </c>
      <c r="DV32" s="397">
        <f t="shared" si="39"/>
        <v>0</v>
      </c>
      <c r="DW32" s="397">
        <f t="shared" si="39"/>
        <v>0</v>
      </c>
      <c r="DX32" s="397">
        <f t="shared" si="39"/>
        <v>0</v>
      </c>
      <c r="DY32" s="397">
        <f t="shared" si="39"/>
        <v>0</v>
      </c>
      <c r="DZ32" s="397">
        <f t="shared" si="39"/>
        <v>0</v>
      </c>
      <c r="EA32" s="397">
        <f t="shared" si="39"/>
        <v>0</v>
      </c>
      <c r="EB32" s="623">
        <f t="shared" si="39"/>
        <v>0</v>
      </c>
      <c r="EC32" s="623">
        <f aca="true" t="shared" si="40" ref="EC32:EK32">EC29*$G$32</f>
        <v>0</v>
      </c>
      <c r="ED32" s="623">
        <f t="shared" si="40"/>
        <v>0</v>
      </c>
      <c r="EE32" s="623">
        <f t="shared" si="40"/>
        <v>0</v>
      </c>
      <c r="EF32" s="675">
        <f t="shared" si="40"/>
        <v>0</v>
      </c>
      <c r="EG32" s="675">
        <f t="shared" si="40"/>
        <v>0</v>
      </c>
      <c r="EH32" s="675">
        <f t="shared" si="40"/>
        <v>0</v>
      </c>
      <c r="EI32" s="675">
        <f t="shared" si="40"/>
        <v>0</v>
      </c>
      <c r="EJ32" s="675">
        <f t="shared" si="40"/>
        <v>0</v>
      </c>
      <c r="EK32" s="675">
        <f t="shared" si="40"/>
        <v>0</v>
      </c>
      <c r="EN32" s="390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GE32" s="237"/>
      <c r="GF32" s="237"/>
      <c r="GG32" s="237"/>
      <c r="GH32" s="237"/>
      <c r="GI32" s="237"/>
      <c r="GJ32" s="237"/>
      <c r="GK32" s="237"/>
      <c r="GL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</row>
    <row r="33" spans="1:220" ht="32.25" customHeight="1">
      <c r="A33" s="178">
        <v>1</v>
      </c>
      <c r="B33" s="179" t="s">
        <v>498</v>
      </c>
      <c r="C33" s="180"/>
      <c r="D33" s="180"/>
      <c r="E33" s="230"/>
      <c r="F33" s="223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622"/>
      <c r="AQ33" s="622"/>
      <c r="AR33" s="622"/>
      <c r="AS33" s="622"/>
      <c r="AT33" s="253"/>
      <c r="AU33" s="253"/>
      <c r="AV33" s="253"/>
      <c r="AW33" s="253"/>
      <c r="AX33" s="253"/>
      <c r="AY33" s="253"/>
      <c r="AZ33" s="237"/>
      <c r="BA33" s="251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622"/>
      <c r="CJ33" s="622"/>
      <c r="CK33" s="622"/>
      <c r="CL33" s="622"/>
      <c r="CM33" s="622"/>
      <c r="CN33" s="622"/>
      <c r="CO33" s="622"/>
      <c r="CP33" s="622"/>
      <c r="CQ33" s="622"/>
      <c r="CR33" s="622"/>
      <c r="CT33" s="251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622"/>
      <c r="EC33" s="622"/>
      <c r="ED33" s="622"/>
      <c r="EE33" s="622"/>
      <c r="EF33" s="253"/>
      <c r="EG33" s="253"/>
      <c r="EH33" s="253"/>
      <c r="EI33" s="253"/>
      <c r="EJ33" s="253"/>
      <c r="EK33" s="253"/>
      <c r="GE33" s="237"/>
      <c r="GF33" s="237"/>
      <c r="GG33" s="237"/>
      <c r="GH33" s="237"/>
      <c r="GI33" s="237"/>
      <c r="GJ33" s="237"/>
      <c r="GK33" s="237"/>
      <c r="GL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</row>
    <row r="34" spans="1:220" ht="15" customHeight="1">
      <c r="A34" s="153">
        <v>1</v>
      </c>
      <c r="B34" s="156" t="s">
        <v>492</v>
      </c>
      <c r="C34" s="154">
        <v>0</v>
      </c>
      <c r="D34" s="154">
        <f>1750*1.2</f>
        <v>2100</v>
      </c>
      <c r="E34" s="161">
        <f t="shared" si="2"/>
        <v>0</v>
      </c>
      <c r="F34" s="224"/>
      <c r="G34" s="115"/>
      <c r="H34" s="115"/>
      <c r="I34" s="115"/>
      <c r="J34" s="115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633"/>
      <c r="AQ34" s="633"/>
      <c r="AR34" s="633"/>
      <c r="AS34" s="633"/>
      <c r="AT34" s="672"/>
      <c r="AU34" s="672"/>
      <c r="AV34" s="672"/>
      <c r="AW34" s="672"/>
      <c r="AX34" s="672"/>
      <c r="AY34" s="672"/>
      <c r="BA34" s="188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T34" s="188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>
        <f aca="true" t="shared" si="41" ref="DE34:DL34">$E34*DE$4</f>
        <v>0</v>
      </c>
      <c r="DF34" s="115">
        <f t="shared" si="41"/>
        <v>0</v>
      </c>
      <c r="DG34" s="115">
        <f t="shared" si="41"/>
        <v>0</v>
      </c>
      <c r="DH34" s="115">
        <f t="shared" si="41"/>
        <v>0</v>
      </c>
      <c r="DI34" s="115">
        <f t="shared" si="41"/>
        <v>0</v>
      </c>
      <c r="DJ34" s="115">
        <f t="shared" si="41"/>
        <v>0</v>
      </c>
      <c r="DK34" s="115">
        <f t="shared" si="41"/>
        <v>0</v>
      </c>
      <c r="DL34" s="115">
        <f t="shared" si="41"/>
        <v>0</v>
      </c>
      <c r="DM34" s="115">
        <f aca="true" t="shared" si="42" ref="DE34:DZ39">$E34*DM$4</f>
        <v>0</v>
      </c>
      <c r="DN34" s="115">
        <f t="shared" si="42"/>
        <v>0</v>
      </c>
      <c r="DO34" s="115">
        <f t="shared" si="42"/>
        <v>0</v>
      </c>
      <c r="DP34" s="115">
        <f t="shared" si="42"/>
        <v>0</v>
      </c>
      <c r="DQ34" s="115">
        <f t="shared" si="42"/>
        <v>0</v>
      </c>
      <c r="DR34" s="115">
        <f t="shared" si="42"/>
        <v>0</v>
      </c>
      <c r="DS34" s="115">
        <f t="shared" si="42"/>
        <v>0</v>
      </c>
      <c r="DT34" s="115">
        <f t="shared" si="42"/>
        <v>0</v>
      </c>
      <c r="DU34" s="115">
        <f t="shared" si="42"/>
        <v>0</v>
      </c>
      <c r="DV34" s="115">
        <f t="shared" si="42"/>
        <v>0</v>
      </c>
      <c r="DW34" s="115">
        <f t="shared" si="42"/>
        <v>0</v>
      </c>
      <c r="DX34" s="115">
        <f t="shared" si="42"/>
        <v>0</v>
      </c>
      <c r="DY34" s="115">
        <f t="shared" si="42"/>
        <v>0</v>
      </c>
      <c r="DZ34" s="115">
        <f t="shared" si="42"/>
        <v>0</v>
      </c>
      <c r="EA34" s="115">
        <f aca="true" t="shared" si="43" ref="EA34:EC39">$E34*EA$4</f>
        <v>0</v>
      </c>
      <c r="EB34" s="198">
        <f t="shared" si="43"/>
        <v>0</v>
      </c>
      <c r="EC34" s="198">
        <f t="shared" si="43"/>
        <v>0</v>
      </c>
      <c r="ED34" s="198"/>
      <c r="EE34" s="198"/>
      <c r="EF34" s="250"/>
      <c r="EG34" s="250"/>
      <c r="EH34" s="250"/>
      <c r="EI34" s="250"/>
      <c r="EJ34" s="250"/>
      <c r="EK34" s="250"/>
      <c r="GE34" s="237"/>
      <c r="GF34" s="237"/>
      <c r="GG34" s="237"/>
      <c r="GH34" s="237"/>
      <c r="GI34" s="237"/>
      <c r="GJ34" s="237"/>
      <c r="GK34" s="237"/>
      <c r="GL34" s="237"/>
      <c r="GT34" s="636"/>
      <c r="GU34" s="636"/>
      <c r="GV34" s="636"/>
      <c r="GW34" s="636"/>
      <c r="GX34" s="636"/>
      <c r="GY34" s="636"/>
      <c r="GZ34" s="237"/>
      <c r="HA34" s="237"/>
      <c r="HB34" s="237"/>
      <c r="HC34" s="237"/>
      <c r="HD34" s="237"/>
      <c r="HE34" s="636"/>
      <c r="HF34" s="237"/>
      <c r="HG34" s="237"/>
      <c r="HH34" s="237"/>
      <c r="HI34" s="237"/>
      <c r="HJ34" s="636"/>
      <c r="HK34" s="636"/>
      <c r="HL34" s="636"/>
    </row>
    <row r="35" spans="1:220" ht="15" customHeight="1">
      <c r="A35" s="153">
        <v>2</v>
      </c>
      <c r="B35" s="156" t="s">
        <v>493</v>
      </c>
      <c r="C35" s="154">
        <v>0</v>
      </c>
      <c r="D35" s="154">
        <f>1550*1.2</f>
        <v>1860</v>
      </c>
      <c r="E35" s="161">
        <f t="shared" si="2"/>
        <v>0</v>
      </c>
      <c r="F35" s="224"/>
      <c r="G35" s="115"/>
      <c r="H35" s="115"/>
      <c r="I35" s="115"/>
      <c r="J35" s="115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633"/>
      <c r="AQ35" s="633"/>
      <c r="AR35" s="633"/>
      <c r="AS35" s="633"/>
      <c r="AT35" s="672"/>
      <c r="AU35" s="672"/>
      <c r="AV35" s="672"/>
      <c r="AW35" s="672"/>
      <c r="AX35" s="672"/>
      <c r="AY35" s="672"/>
      <c r="BA35" s="188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T35" s="188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>
        <f t="shared" si="42"/>
        <v>0</v>
      </c>
      <c r="DF35" s="115">
        <f t="shared" si="42"/>
        <v>0</v>
      </c>
      <c r="DG35" s="115">
        <f t="shared" si="42"/>
        <v>0</v>
      </c>
      <c r="DH35" s="115">
        <f t="shared" si="42"/>
        <v>0</v>
      </c>
      <c r="DI35" s="115">
        <f t="shared" si="42"/>
        <v>0</v>
      </c>
      <c r="DJ35" s="115">
        <f t="shared" si="42"/>
        <v>0</v>
      </c>
      <c r="DK35" s="115">
        <f t="shared" si="42"/>
        <v>0</v>
      </c>
      <c r="DL35" s="115">
        <f t="shared" si="42"/>
        <v>0</v>
      </c>
      <c r="DM35" s="115">
        <f t="shared" si="42"/>
        <v>0</v>
      </c>
      <c r="DN35" s="115">
        <f t="shared" si="42"/>
        <v>0</v>
      </c>
      <c r="DO35" s="115">
        <f t="shared" si="42"/>
        <v>0</v>
      </c>
      <c r="DP35" s="115">
        <f t="shared" si="42"/>
        <v>0</v>
      </c>
      <c r="DQ35" s="115">
        <f t="shared" si="42"/>
        <v>0</v>
      </c>
      <c r="DR35" s="115">
        <f t="shared" si="42"/>
        <v>0</v>
      </c>
      <c r="DS35" s="115">
        <f t="shared" si="42"/>
        <v>0</v>
      </c>
      <c r="DT35" s="115">
        <f t="shared" si="42"/>
        <v>0</v>
      </c>
      <c r="DU35" s="115">
        <f t="shared" si="42"/>
        <v>0</v>
      </c>
      <c r="DV35" s="115">
        <f t="shared" si="42"/>
        <v>0</v>
      </c>
      <c r="DW35" s="115">
        <f t="shared" si="42"/>
        <v>0</v>
      </c>
      <c r="DX35" s="115">
        <f t="shared" si="42"/>
        <v>0</v>
      </c>
      <c r="DY35" s="115">
        <f t="shared" si="42"/>
        <v>0</v>
      </c>
      <c r="DZ35" s="115">
        <f>$E35*DZ$4</f>
        <v>0</v>
      </c>
      <c r="EA35" s="115">
        <f t="shared" si="43"/>
        <v>0</v>
      </c>
      <c r="EB35" s="198">
        <f t="shared" si="43"/>
        <v>0</v>
      </c>
      <c r="EC35" s="198">
        <f t="shared" si="43"/>
        <v>0</v>
      </c>
      <c r="ED35" s="198"/>
      <c r="EE35" s="198"/>
      <c r="EF35" s="250"/>
      <c r="EG35" s="250"/>
      <c r="EH35" s="250"/>
      <c r="EI35" s="250"/>
      <c r="EJ35" s="250"/>
      <c r="EK35" s="250"/>
      <c r="GE35" s="237"/>
      <c r="GF35" s="237"/>
      <c r="GG35" s="237"/>
      <c r="GH35" s="237"/>
      <c r="GI35" s="237"/>
      <c r="GJ35" s="237"/>
      <c r="GK35" s="237"/>
      <c r="GL35" s="237"/>
      <c r="GT35" s="636"/>
      <c r="GU35" s="636"/>
      <c r="GV35" s="636"/>
      <c r="GW35" s="636"/>
      <c r="GX35" s="636"/>
      <c r="GY35" s="636"/>
      <c r="GZ35" s="237"/>
      <c r="HA35" s="237"/>
      <c r="HB35" s="237"/>
      <c r="HC35" s="237"/>
      <c r="HD35" s="237"/>
      <c r="HE35" s="636"/>
      <c r="HF35" s="237"/>
      <c r="HG35" s="237"/>
      <c r="HH35" s="237"/>
      <c r="HI35" s="237"/>
      <c r="HJ35" s="636"/>
      <c r="HK35" s="636"/>
      <c r="HL35" s="636"/>
    </row>
    <row r="36" spans="1:220" ht="15" customHeight="1">
      <c r="A36" s="153">
        <v>3</v>
      </c>
      <c r="B36" s="156" t="s">
        <v>499</v>
      </c>
      <c r="C36" s="154">
        <v>0</v>
      </c>
      <c r="D36" s="154">
        <f>1550*1.2</f>
        <v>1860</v>
      </c>
      <c r="E36" s="161">
        <f t="shared" si="2"/>
        <v>0</v>
      </c>
      <c r="F36" s="224"/>
      <c r="G36" s="115"/>
      <c r="H36" s="115"/>
      <c r="I36" s="115"/>
      <c r="J36" s="115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633"/>
      <c r="AQ36" s="633"/>
      <c r="AR36" s="633"/>
      <c r="AS36" s="633"/>
      <c r="AT36" s="672"/>
      <c r="AU36" s="672"/>
      <c r="AV36" s="672"/>
      <c r="AW36" s="672"/>
      <c r="AX36" s="672"/>
      <c r="AY36" s="672"/>
      <c r="BA36" s="188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T36" s="188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>
        <f t="shared" si="42"/>
        <v>0</v>
      </c>
      <c r="DF36" s="115">
        <f t="shared" si="42"/>
        <v>0</v>
      </c>
      <c r="DG36" s="115">
        <f t="shared" si="42"/>
        <v>0</v>
      </c>
      <c r="DH36" s="115">
        <f t="shared" si="42"/>
        <v>0</v>
      </c>
      <c r="DI36" s="115">
        <f t="shared" si="42"/>
        <v>0</v>
      </c>
      <c r="DJ36" s="115">
        <f t="shared" si="42"/>
        <v>0</v>
      </c>
      <c r="DK36" s="115">
        <f t="shared" si="42"/>
        <v>0</v>
      </c>
      <c r="DL36" s="115">
        <f t="shared" si="42"/>
        <v>0</v>
      </c>
      <c r="DM36" s="115">
        <f t="shared" si="42"/>
        <v>0</v>
      </c>
      <c r="DN36" s="115">
        <f t="shared" si="42"/>
        <v>0</v>
      </c>
      <c r="DO36" s="115">
        <f t="shared" si="42"/>
        <v>0</v>
      </c>
      <c r="DP36" s="115">
        <f t="shared" si="42"/>
        <v>0</v>
      </c>
      <c r="DQ36" s="115">
        <f t="shared" si="42"/>
        <v>0</v>
      </c>
      <c r="DR36" s="115">
        <f t="shared" si="42"/>
        <v>0</v>
      </c>
      <c r="DS36" s="115">
        <f t="shared" si="42"/>
        <v>0</v>
      </c>
      <c r="DT36" s="115">
        <f t="shared" si="42"/>
        <v>0</v>
      </c>
      <c r="DU36" s="115">
        <f t="shared" si="42"/>
        <v>0</v>
      </c>
      <c r="DV36" s="115">
        <f t="shared" si="42"/>
        <v>0</v>
      </c>
      <c r="DW36" s="115">
        <f t="shared" si="42"/>
        <v>0</v>
      </c>
      <c r="DX36" s="115">
        <f t="shared" si="42"/>
        <v>0</v>
      </c>
      <c r="DY36" s="115">
        <f t="shared" si="42"/>
        <v>0</v>
      </c>
      <c r="DZ36" s="115">
        <f>$E36*DZ$4</f>
        <v>0</v>
      </c>
      <c r="EA36" s="115">
        <f t="shared" si="43"/>
        <v>0</v>
      </c>
      <c r="EB36" s="198">
        <f t="shared" si="43"/>
        <v>0</v>
      </c>
      <c r="EC36" s="198">
        <f t="shared" si="43"/>
        <v>0</v>
      </c>
      <c r="ED36" s="198"/>
      <c r="EE36" s="198"/>
      <c r="EF36" s="250"/>
      <c r="EG36" s="250"/>
      <c r="EH36" s="250"/>
      <c r="EI36" s="250"/>
      <c r="EJ36" s="250"/>
      <c r="EK36" s="250"/>
      <c r="GE36" s="237"/>
      <c r="GF36" s="237"/>
      <c r="GG36" s="237"/>
      <c r="GH36" s="237"/>
      <c r="GI36" s="237"/>
      <c r="GJ36" s="237"/>
      <c r="GK36" s="237"/>
      <c r="GL36" s="237"/>
      <c r="GT36" s="636"/>
      <c r="GU36" s="636"/>
      <c r="GV36" s="636"/>
      <c r="GW36" s="636"/>
      <c r="GX36" s="636"/>
      <c r="GY36" s="636"/>
      <c r="GZ36" s="237"/>
      <c r="HA36" s="237"/>
      <c r="HB36" s="237"/>
      <c r="HC36" s="237"/>
      <c r="HD36" s="237"/>
      <c r="HE36" s="636"/>
      <c r="HF36" s="237"/>
      <c r="HG36" s="237"/>
      <c r="HH36" s="237"/>
      <c r="HI36" s="237"/>
      <c r="HJ36" s="636"/>
      <c r="HK36" s="636"/>
      <c r="HL36" s="636"/>
    </row>
    <row r="37" spans="1:220" ht="15" customHeight="1">
      <c r="A37" s="153">
        <v>4</v>
      </c>
      <c r="B37" s="156" t="s">
        <v>427</v>
      </c>
      <c r="C37" s="154">
        <v>0</v>
      </c>
      <c r="D37" s="154">
        <f>1400*1.2</f>
        <v>1680</v>
      </c>
      <c r="E37" s="161">
        <f t="shared" si="2"/>
        <v>0</v>
      </c>
      <c r="F37" s="224"/>
      <c r="G37" s="115"/>
      <c r="H37" s="115"/>
      <c r="I37" s="115"/>
      <c r="J37" s="115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633"/>
      <c r="AQ37" s="633"/>
      <c r="AR37" s="633"/>
      <c r="AS37" s="633"/>
      <c r="AT37" s="672"/>
      <c r="AU37" s="672"/>
      <c r="AV37" s="672"/>
      <c r="AW37" s="672"/>
      <c r="AX37" s="672"/>
      <c r="AY37" s="672"/>
      <c r="BA37" s="188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T37" s="188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>
        <f t="shared" si="42"/>
        <v>0</v>
      </c>
      <c r="DF37" s="115">
        <f t="shared" si="42"/>
        <v>0</v>
      </c>
      <c r="DG37" s="115">
        <f t="shared" si="42"/>
        <v>0</v>
      </c>
      <c r="DH37" s="115">
        <f t="shared" si="42"/>
        <v>0</v>
      </c>
      <c r="DI37" s="115">
        <f t="shared" si="42"/>
        <v>0</v>
      </c>
      <c r="DJ37" s="115">
        <f t="shared" si="42"/>
        <v>0</v>
      </c>
      <c r="DK37" s="115">
        <f t="shared" si="42"/>
        <v>0</v>
      </c>
      <c r="DL37" s="115">
        <f t="shared" si="42"/>
        <v>0</v>
      </c>
      <c r="DM37" s="115">
        <f t="shared" si="42"/>
        <v>0</v>
      </c>
      <c r="DN37" s="115">
        <f t="shared" si="42"/>
        <v>0</v>
      </c>
      <c r="DO37" s="115">
        <f t="shared" si="42"/>
        <v>0</v>
      </c>
      <c r="DP37" s="115">
        <f t="shared" si="42"/>
        <v>0</v>
      </c>
      <c r="DQ37" s="115">
        <f t="shared" si="42"/>
        <v>0</v>
      </c>
      <c r="DR37" s="115">
        <f t="shared" si="42"/>
        <v>0</v>
      </c>
      <c r="DS37" s="115">
        <f t="shared" si="42"/>
        <v>0</v>
      </c>
      <c r="DT37" s="115">
        <f t="shared" si="42"/>
        <v>0</v>
      </c>
      <c r="DU37" s="115">
        <f t="shared" si="42"/>
        <v>0</v>
      </c>
      <c r="DV37" s="115">
        <f t="shared" si="42"/>
        <v>0</v>
      </c>
      <c r="DW37" s="115">
        <f t="shared" si="42"/>
        <v>0</v>
      </c>
      <c r="DX37" s="115">
        <f t="shared" si="42"/>
        <v>0</v>
      </c>
      <c r="DY37" s="115">
        <f t="shared" si="42"/>
        <v>0</v>
      </c>
      <c r="DZ37" s="115">
        <f>$E37*DZ$4</f>
        <v>0</v>
      </c>
      <c r="EA37" s="115">
        <f t="shared" si="43"/>
        <v>0</v>
      </c>
      <c r="EB37" s="198">
        <f t="shared" si="43"/>
        <v>0</v>
      </c>
      <c r="EC37" s="198">
        <f t="shared" si="43"/>
        <v>0</v>
      </c>
      <c r="ED37" s="198"/>
      <c r="EE37" s="198"/>
      <c r="EF37" s="250"/>
      <c r="EG37" s="250"/>
      <c r="EH37" s="250"/>
      <c r="EI37" s="250"/>
      <c r="EJ37" s="250"/>
      <c r="EK37" s="250"/>
      <c r="GE37" s="237"/>
      <c r="GF37" s="237"/>
      <c r="GG37" s="237"/>
      <c r="GH37" s="237"/>
      <c r="GI37" s="237"/>
      <c r="GJ37" s="237"/>
      <c r="GK37" s="237"/>
      <c r="GL37" s="237"/>
      <c r="GT37" s="636"/>
      <c r="GU37" s="636"/>
      <c r="GV37" s="636"/>
      <c r="GW37" s="636"/>
      <c r="GX37" s="636"/>
      <c r="GY37" s="636"/>
      <c r="GZ37" s="237"/>
      <c r="HA37" s="237"/>
      <c r="HB37" s="237"/>
      <c r="HC37" s="237"/>
      <c r="HD37" s="237"/>
      <c r="HE37" s="636"/>
      <c r="HF37" s="237"/>
      <c r="HG37" s="237"/>
      <c r="HH37" s="237"/>
      <c r="HI37" s="237"/>
      <c r="HJ37" s="636"/>
      <c r="HK37" s="636"/>
      <c r="HL37" s="636"/>
    </row>
    <row r="38" spans="1:220" ht="15" customHeight="1">
      <c r="A38" s="153" t="s">
        <v>24</v>
      </c>
      <c r="B38" s="156" t="s">
        <v>494</v>
      </c>
      <c r="C38" s="154">
        <v>0</v>
      </c>
      <c r="D38" s="154">
        <f>1400*1.2</f>
        <v>1680</v>
      </c>
      <c r="E38" s="161">
        <f t="shared" si="2"/>
        <v>0</v>
      </c>
      <c r="F38" s="224"/>
      <c r="G38" s="115"/>
      <c r="H38" s="115"/>
      <c r="I38" s="115"/>
      <c r="J38" s="115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633"/>
      <c r="AQ38" s="633"/>
      <c r="AR38" s="633"/>
      <c r="AS38" s="633"/>
      <c r="AT38" s="672"/>
      <c r="AU38" s="672"/>
      <c r="AV38" s="672"/>
      <c r="AW38" s="672"/>
      <c r="AX38" s="672"/>
      <c r="AY38" s="672"/>
      <c r="BA38" s="188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T38" s="188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>
        <f t="shared" si="42"/>
        <v>0</v>
      </c>
      <c r="DF38" s="115">
        <f t="shared" si="42"/>
        <v>0</v>
      </c>
      <c r="DG38" s="115">
        <f t="shared" si="42"/>
        <v>0</v>
      </c>
      <c r="DH38" s="115">
        <f t="shared" si="42"/>
        <v>0</v>
      </c>
      <c r="DI38" s="115">
        <f t="shared" si="42"/>
        <v>0</v>
      </c>
      <c r="DJ38" s="115">
        <f t="shared" si="42"/>
        <v>0</v>
      </c>
      <c r="DK38" s="115">
        <f t="shared" si="42"/>
        <v>0</v>
      </c>
      <c r="DL38" s="115">
        <f t="shared" si="42"/>
        <v>0</v>
      </c>
      <c r="DM38" s="115">
        <f t="shared" si="42"/>
        <v>0</v>
      </c>
      <c r="DN38" s="115">
        <f t="shared" si="42"/>
        <v>0</v>
      </c>
      <c r="DO38" s="115">
        <f t="shared" si="42"/>
        <v>0</v>
      </c>
      <c r="DP38" s="115">
        <f t="shared" si="42"/>
        <v>0</v>
      </c>
      <c r="DQ38" s="115">
        <f t="shared" si="42"/>
        <v>0</v>
      </c>
      <c r="DR38" s="115">
        <f t="shared" si="42"/>
        <v>0</v>
      </c>
      <c r="DS38" s="115">
        <f t="shared" si="42"/>
        <v>0</v>
      </c>
      <c r="DT38" s="115">
        <f t="shared" si="42"/>
        <v>0</v>
      </c>
      <c r="DU38" s="115">
        <f t="shared" si="42"/>
        <v>0</v>
      </c>
      <c r="DV38" s="115">
        <f t="shared" si="42"/>
        <v>0</v>
      </c>
      <c r="DW38" s="115">
        <f t="shared" si="42"/>
        <v>0</v>
      </c>
      <c r="DX38" s="115">
        <f t="shared" si="42"/>
        <v>0</v>
      </c>
      <c r="DY38" s="115">
        <f t="shared" si="42"/>
        <v>0</v>
      </c>
      <c r="DZ38" s="115">
        <f>$E38*DZ$4</f>
        <v>0</v>
      </c>
      <c r="EA38" s="115">
        <f t="shared" si="43"/>
        <v>0</v>
      </c>
      <c r="EB38" s="198">
        <f t="shared" si="43"/>
        <v>0</v>
      </c>
      <c r="EC38" s="198">
        <f t="shared" si="43"/>
        <v>0</v>
      </c>
      <c r="ED38" s="198"/>
      <c r="EE38" s="198"/>
      <c r="EF38" s="250"/>
      <c r="EG38" s="250"/>
      <c r="EH38" s="250"/>
      <c r="EI38" s="250"/>
      <c r="EJ38" s="250"/>
      <c r="EK38" s="250"/>
      <c r="GE38" s="237"/>
      <c r="GF38" s="237"/>
      <c r="GG38" s="237"/>
      <c r="GH38" s="237"/>
      <c r="GI38" s="237"/>
      <c r="GJ38" s="237"/>
      <c r="GK38" s="237"/>
      <c r="GL38" s="237"/>
      <c r="GT38" s="636"/>
      <c r="GU38" s="636"/>
      <c r="GV38" s="636"/>
      <c r="GW38" s="636"/>
      <c r="GX38" s="636"/>
      <c r="GY38" s="636"/>
      <c r="GZ38" s="237"/>
      <c r="HA38" s="237"/>
      <c r="HB38" s="237"/>
      <c r="HC38" s="237"/>
      <c r="HD38" s="237"/>
      <c r="HE38" s="636"/>
      <c r="HF38" s="237"/>
      <c r="HG38" s="237"/>
      <c r="HH38" s="237"/>
      <c r="HI38" s="237"/>
      <c r="HJ38" s="636"/>
      <c r="HK38" s="636"/>
      <c r="HL38" s="636"/>
    </row>
    <row r="39" spans="1:220" ht="15" customHeight="1">
      <c r="A39" s="153" t="s">
        <v>25</v>
      </c>
      <c r="B39" s="156" t="s">
        <v>484</v>
      </c>
      <c r="C39" s="154">
        <v>0</v>
      </c>
      <c r="D39" s="154">
        <f>1300*1.2</f>
        <v>1560</v>
      </c>
      <c r="E39" s="161">
        <f t="shared" si="2"/>
        <v>0</v>
      </c>
      <c r="F39" s="224"/>
      <c r="G39" s="115"/>
      <c r="H39" s="115"/>
      <c r="I39" s="115"/>
      <c r="J39" s="115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633"/>
      <c r="AQ39" s="633"/>
      <c r="AR39" s="633"/>
      <c r="AS39" s="633"/>
      <c r="AT39" s="672"/>
      <c r="AU39" s="672"/>
      <c r="AV39" s="672"/>
      <c r="AW39" s="672"/>
      <c r="AX39" s="672"/>
      <c r="AY39" s="672"/>
      <c r="BA39" s="188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T39" s="188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>
        <f t="shared" si="42"/>
        <v>0</v>
      </c>
      <c r="DF39" s="115">
        <f t="shared" si="42"/>
        <v>0</v>
      </c>
      <c r="DG39" s="115">
        <f t="shared" si="42"/>
        <v>0</v>
      </c>
      <c r="DH39" s="115">
        <f t="shared" si="42"/>
        <v>0</v>
      </c>
      <c r="DI39" s="115">
        <f t="shared" si="42"/>
        <v>0</v>
      </c>
      <c r="DJ39" s="115">
        <f t="shared" si="42"/>
        <v>0</v>
      </c>
      <c r="DK39" s="115">
        <f t="shared" si="42"/>
        <v>0</v>
      </c>
      <c r="DL39" s="115">
        <f t="shared" si="42"/>
        <v>0</v>
      </c>
      <c r="DM39" s="115">
        <f t="shared" si="42"/>
        <v>0</v>
      </c>
      <c r="DN39" s="115">
        <f t="shared" si="42"/>
        <v>0</v>
      </c>
      <c r="DO39" s="115">
        <f t="shared" si="42"/>
        <v>0</v>
      </c>
      <c r="DP39" s="115">
        <f t="shared" si="42"/>
        <v>0</v>
      </c>
      <c r="DQ39" s="115">
        <f t="shared" si="42"/>
        <v>0</v>
      </c>
      <c r="DR39" s="115">
        <f t="shared" si="42"/>
        <v>0</v>
      </c>
      <c r="DS39" s="115">
        <f t="shared" si="42"/>
        <v>0</v>
      </c>
      <c r="DT39" s="115">
        <f t="shared" si="42"/>
        <v>0</v>
      </c>
      <c r="DU39" s="115">
        <f t="shared" si="42"/>
        <v>0</v>
      </c>
      <c r="DV39" s="115">
        <f t="shared" si="42"/>
        <v>0</v>
      </c>
      <c r="DW39" s="115">
        <f t="shared" si="42"/>
        <v>0</v>
      </c>
      <c r="DX39" s="115">
        <f t="shared" si="42"/>
        <v>0</v>
      </c>
      <c r="DY39" s="115">
        <f t="shared" si="42"/>
        <v>0</v>
      </c>
      <c r="DZ39" s="115">
        <f>$E39*DZ$4</f>
        <v>0</v>
      </c>
      <c r="EA39" s="115">
        <f t="shared" si="43"/>
        <v>0</v>
      </c>
      <c r="EB39" s="198">
        <f t="shared" si="43"/>
        <v>0</v>
      </c>
      <c r="EC39" s="198">
        <f t="shared" si="43"/>
        <v>0</v>
      </c>
      <c r="ED39" s="198"/>
      <c r="EE39" s="198"/>
      <c r="EF39" s="250"/>
      <c r="EG39" s="250"/>
      <c r="EH39" s="250"/>
      <c r="EI39" s="250"/>
      <c r="EJ39" s="250"/>
      <c r="EK39" s="250"/>
      <c r="GE39" s="237"/>
      <c r="GF39" s="237"/>
      <c r="GG39" s="237"/>
      <c r="GH39" s="237"/>
      <c r="GI39" s="237"/>
      <c r="GJ39" s="237"/>
      <c r="GK39" s="237"/>
      <c r="GL39" s="237"/>
      <c r="GT39" s="636"/>
      <c r="GU39" s="636"/>
      <c r="GV39" s="636"/>
      <c r="GW39" s="636"/>
      <c r="GX39" s="636"/>
      <c r="GY39" s="636"/>
      <c r="GZ39" s="237"/>
      <c r="HA39" s="237"/>
      <c r="HB39" s="237"/>
      <c r="HC39" s="237"/>
      <c r="HD39" s="237"/>
      <c r="HE39" s="636"/>
      <c r="HF39" s="237"/>
      <c r="HG39" s="237"/>
      <c r="HH39" s="237"/>
      <c r="HI39" s="237"/>
      <c r="HJ39" s="636"/>
      <c r="HK39" s="636"/>
      <c r="HL39" s="636"/>
    </row>
    <row r="40" spans="1:220" ht="15" customHeight="1">
      <c r="A40" s="153">
        <v>5</v>
      </c>
      <c r="B40" s="156" t="s">
        <v>428</v>
      </c>
      <c r="C40" s="154">
        <v>0</v>
      </c>
      <c r="D40" s="154">
        <f>330*1.2</f>
        <v>396</v>
      </c>
      <c r="E40" s="161">
        <f t="shared" si="2"/>
        <v>0</v>
      </c>
      <c r="F40" s="224"/>
      <c r="G40" s="115"/>
      <c r="H40" s="115"/>
      <c r="I40" s="115"/>
      <c r="J40" s="115"/>
      <c r="K40" s="115"/>
      <c r="L40" s="115">
        <f aca="true" t="shared" si="44" ref="L40:W40">$E40*L$4</f>
        <v>0</v>
      </c>
      <c r="M40" s="115">
        <f t="shared" si="44"/>
        <v>0</v>
      </c>
      <c r="N40" s="115">
        <f t="shared" si="44"/>
        <v>0</v>
      </c>
      <c r="O40" s="115">
        <f t="shared" si="44"/>
        <v>0</v>
      </c>
      <c r="P40" s="115">
        <f t="shared" si="44"/>
        <v>0</v>
      </c>
      <c r="Q40" s="115">
        <f t="shared" si="44"/>
        <v>0</v>
      </c>
      <c r="R40" s="115">
        <f t="shared" si="44"/>
        <v>0</v>
      </c>
      <c r="S40" s="115">
        <f t="shared" si="44"/>
        <v>0</v>
      </c>
      <c r="T40" s="115">
        <f t="shared" si="44"/>
        <v>0</v>
      </c>
      <c r="U40" s="115">
        <f t="shared" si="44"/>
        <v>0</v>
      </c>
      <c r="V40" s="115">
        <f t="shared" si="44"/>
        <v>0</v>
      </c>
      <c r="W40" s="115">
        <f t="shared" si="44"/>
        <v>0</v>
      </c>
      <c r="X40" s="115">
        <f aca="true" t="shared" si="45" ref="L40:AN45">$E40*X$4</f>
        <v>0</v>
      </c>
      <c r="Y40" s="115">
        <f t="shared" si="45"/>
        <v>0</v>
      </c>
      <c r="Z40" s="115">
        <f t="shared" si="45"/>
        <v>0</v>
      </c>
      <c r="AA40" s="115">
        <f t="shared" si="45"/>
        <v>0</v>
      </c>
      <c r="AB40" s="115">
        <f t="shared" si="45"/>
        <v>0</v>
      </c>
      <c r="AC40" s="115">
        <f t="shared" si="45"/>
        <v>0</v>
      </c>
      <c r="AD40" s="115">
        <f t="shared" si="45"/>
        <v>0</v>
      </c>
      <c r="AE40" s="115">
        <f t="shared" si="45"/>
        <v>0</v>
      </c>
      <c r="AF40" s="115">
        <f t="shared" si="45"/>
        <v>0</v>
      </c>
      <c r="AG40" s="115">
        <f t="shared" si="45"/>
        <v>0</v>
      </c>
      <c r="AH40" s="115">
        <f t="shared" si="45"/>
        <v>0</v>
      </c>
      <c r="AI40" s="115">
        <f t="shared" si="45"/>
        <v>0</v>
      </c>
      <c r="AJ40" s="115">
        <f t="shared" si="45"/>
        <v>0</v>
      </c>
      <c r="AK40" s="115">
        <f t="shared" si="45"/>
        <v>0</v>
      </c>
      <c r="AL40" s="115">
        <f t="shared" si="45"/>
        <v>0</v>
      </c>
      <c r="AM40" s="115">
        <f t="shared" si="45"/>
        <v>0</v>
      </c>
      <c r="AN40" s="115">
        <f t="shared" si="45"/>
        <v>0</v>
      </c>
      <c r="AO40" s="115">
        <f aca="true" t="shared" si="46" ref="AO40:AQ45">$E40*AO$4</f>
        <v>0</v>
      </c>
      <c r="AP40" s="198">
        <f t="shared" si="46"/>
        <v>0</v>
      </c>
      <c r="AQ40" s="198">
        <f t="shared" si="46"/>
        <v>0</v>
      </c>
      <c r="AR40" s="198"/>
      <c r="AS40" s="198"/>
      <c r="AT40" s="250"/>
      <c r="AU40" s="250"/>
      <c r="AV40" s="250"/>
      <c r="AW40" s="250"/>
      <c r="AX40" s="250"/>
      <c r="AY40" s="250"/>
      <c r="BA40" s="188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T40" s="188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98"/>
      <c r="EC40" s="198"/>
      <c r="ED40" s="198"/>
      <c r="EE40" s="198"/>
      <c r="EF40" s="250"/>
      <c r="EG40" s="250"/>
      <c r="EH40" s="250"/>
      <c r="EI40" s="250"/>
      <c r="EJ40" s="250"/>
      <c r="EK40" s="250"/>
      <c r="GE40" s="237"/>
      <c r="GF40" s="237"/>
      <c r="GG40" s="237"/>
      <c r="GH40" s="237"/>
      <c r="GI40" s="237"/>
      <c r="GJ40" s="237"/>
      <c r="GK40" s="237"/>
      <c r="GL40" s="237"/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  <c r="HH40" s="237"/>
      <c r="HI40" s="237"/>
      <c r="HJ40" s="237"/>
      <c r="HK40" s="237"/>
      <c r="HL40" s="237"/>
    </row>
    <row r="41" spans="1:220" ht="15" customHeight="1">
      <c r="A41" s="153">
        <v>6</v>
      </c>
      <c r="B41" s="156" t="s">
        <v>500</v>
      </c>
      <c r="C41" s="154">
        <v>0</v>
      </c>
      <c r="D41" s="154">
        <f>300*1.2</f>
        <v>360</v>
      </c>
      <c r="E41" s="161">
        <f t="shared" si="2"/>
        <v>0</v>
      </c>
      <c r="F41" s="224"/>
      <c r="G41" s="115"/>
      <c r="H41" s="115"/>
      <c r="I41" s="115"/>
      <c r="J41" s="115"/>
      <c r="K41" s="115"/>
      <c r="L41" s="115">
        <f t="shared" si="45"/>
        <v>0</v>
      </c>
      <c r="M41" s="115">
        <f t="shared" si="45"/>
        <v>0</v>
      </c>
      <c r="N41" s="115">
        <f t="shared" si="45"/>
        <v>0</v>
      </c>
      <c r="O41" s="115">
        <f t="shared" si="45"/>
        <v>0</v>
      </c>
      <c r="P41" s="115">
        <f t="shared" si="45"/>
        <v>0</v>
      </c>
      <c r="Q41" s="115">
        <f t="shared" si="45"/>
        <v>0</v>
      </c>
      <c r="R41" s="115">
        <f t="shared" si="45"/>
        <v>0</v>
      </c>
      <c r="S41" s="115">
        <f t="shared" si="45"/>
        <v>0</v>
      </c>
      <c r="T41" s="115">
        <f t="shared" si="45"/>
        <v>0</v>
      </c>
      <c r="U41" s="115">
        <f t="shared" si="45"/>
        <v>0</v>
      </c>
      <c r="V41" s="115">
        <f t="shared" si="45"/>
        <v>0</v>
      </c>
      <c r="W41" s="115">
        <f t="shared" si="45"/>
        <v>0</v>
      </c>
      <c r="X41" s="115">
        <f t="shared" si="45"/>
        <v>0</v>
      </c>
      <c r="Y41" s="115">
        <f t="shared" si="45"/>
        <v>0</v>
      </c>
      <c r="Z41" s="115">
        <f t="shared" si="45"/>
        <v>0</v>
      </c>
      <c r="AA41" s="115">
        <f t="shared" si="45"/>
        <v>0</v>
      </c>
      <c r="AB41" s="115">
        <f t="shared" si="45"/>
        <v>0</v>
      </c>
      <c r="AC41" s="115">
        <f t="shared" si="45"/>
        <v>0</v>
      </c>
      <c r="AD41" s="115">
        <f t="shared" si="45"/>
        <v>0</v>
      </c>
      <c r="AE41" s="115">
        <f t="shared" si="45"/>
        <v>0</v>
      </c>
      <c r="AF41" s="115">
        <f t="shared" si="45"/>
        <v>0</v>
      </c>
      <c r="AG41" s="115">
        <f t="shared" si="45"/>
        <v>0</v>
      </c>
      <c r="AH41" s="115">
        <f t="shared" si="45"/>
        <v>0</v>
      </c>
      <c r="AI41" s="115">
        <f t="shared" si="45"/>
        <v>0</v>
      </c>
      <c r="AJ41" s="115">
        <f t="shared" si="45"/>
        <v>0</v>
      </c>
      <c r="AK41" s="115">
        <f t="shared" si="45"/>
        <v>0</v>
      </c>
      <c r="AL41" s="115">
        <f t="shared" si="45"/>
        <v>0</v>
      </c>
      <c r="AM41" s="115">
        <f t="shared" si="45"/>
        <v>0</v>
      </c>
      <c r="AN41" s="115">
        <f>$E41*AN$4</f>
        <v>0</v>
      </c>
      <c r="AO41" s="115">
        <f t="shared" si="46"/>
        <v>0</v>
      </c>
      <c r="AP41" s="198">
        <f t="shared" si="46"/>
        <v>0</v>
      </c>
      <c r="AQ41" s="198">
        <f t="shared" si="46"/>
        <v>0</v>
      </c>
      <c r="AR41" s="198"/>
      <c r="AS41" s="198"/>
      <c r="AT41" s="250"/>
      <c r="AU41" s="250"/>
      <c r="AV41" s="250"/>
      <c r="AW41" s="250"/>
      <c r="AX41" s="250"/>
      <c r="AY41" s="250"/>
      <c r="BA41" s="188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T41" s="188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98"/>
      <c r="EC41" s="198"/>
      <c r="ED41" s="198"/>
      <c r="EE41" s="198"/>
      <c r="EF41" s="250"/>
      <c r="EG41" s="250"/>
      <c r="EH41" s="250"/>
      <c r="EI41" s="250"/>
      <c r="EJ41" s="250"/>
      <c r="EK41" s="250"/>
      <c r="GE41" s="237"/>
      <c r="GF41" s="237"/>
      <c r="GG41" s="237"/>
      <c r="GH41" s="237"/>
      <c r="GI41" s="237"/>
      <c r="GJ41" s="237"/>
      <c r="GK41" s="237"/>
      <c r="GL41" s="237"/>
      <c r="GT41" s="237"/>
      <c r="GU41" s="237"/>
      <c r="GV41" s="237"/>
      <c r="GW41" s="237"/>
      <c r="GX41" s="237"/>
      <c r="GY41" s="237"/>
      <c r="GZ41" s="237"/>
      <c r="HA41" s="237"/>
      <c r="HB41" s="237"/>
      <c r="HC41" s="237"/>
      <c r="HD41" s="237"/>
      <c r="HE41" s="237"/>
      <c r="HF41" s="237"/>
      <c r="HG41" s="237"/>
      <c r="HH41" s="237"/>
      <c r="HI41" s="237"/>
      <c r="HJ41" s="237"/>
      <c r="HK41" s="237"/>
      <c r="HL41" s="237"/>
    </row>
    <row r="42" spans="1:220" ht="15" customHeight="1">
      <c r="A42" s="153">
        <v>7</v>
      </c>
      <c r="B42" s="156" t="s">
        <v>501</v>
      </c>
      <c r="C42" s="154">
        <v>0</v>
      </c>
      <c r="D42" s="154">
        <f>500*1.2</f>
        <v>600</v>
      </c>
      <c r="E42" s="161">
        <f t="shared" si="2"/>
        <v>0</v>
      </c>
      <c r="F42" s="224"/>
      <c r="G42" s="115"/>
      <c r="H42" s="115"/>
      <c r="I42" s="115"/>
      <c r="J42" s="115"/>
      <c r="K42" s="115"/>
      <c r="L42" s="115">
        <f t="shared" si="45"/>
        <v>0</v>
      </c>
      <c r="M42" s="115">
        <f t="shared" si="45"/>
        <v>0</v>
      </c>
      <c r="N42" s="115">
        <f t="shared" si="45"/>
        <v>0</v>
      </c>
      <c r="O42" s="115">
        <f t="shared" si="45"/>
        <v>0</v>
      </c>
      <c r="P42" s="115">
        <f t="shared" si="45"/>
        <v>0</v>
      </c>
      <c r="Q42" s="115">
        <f t="shared" si="45"/>
        <v>0</v>
      </c>
      <c r="R42" s="115">
        <f t="shared" si="45"/>
        <v>0</v>
      </c>
      <c r="S42" s="115">
        <f t="shared" si="45"/>
        <v>0</v>
      </c>
      <c r="T42" s="115">
        <f t="shared" si="45"/>
        <v>0</v>
      </c>
      <c r="U42" s="115">
        <f t="shared" si="45"/>
        <v>0</v>
      </c>
      <c r="V42" s="115">
        <f t="shared" si="45"/>
        <v>0</v>
      </c>
      <c r="W42" s="115">
        <f t="shared" si="45"/>
        <v>0</v>
      </c>
      <c r="X42" s="115">
        <f t="shared" si="45"/>
        <v>0</v>
      </c>
      <c r="Y42" s="115">
        <f t="shared" si="45"/>
        <v>0</v>
      </c>
      <c r="Z42" s="115">
        <f t="shared" si="45"/>
        <v>0</v>
      </c>
      <c r="AA42" s="115">
        <f t="shared" si="45"/>
        <v>0</v>
      </c>
      <c r="AB42" s="115">
        <f t="shared" si="45"/>
        <v>0</v>
      </c>
      <c r="AC42" s="115">
        <f t="shared" si="45"/>
        <v>0</v>
      </c>
      <c r="AD42" s="115">
        <f t="shared" si="45"/>
        <v>0</v>
      </c>
      <c r="AE42" s="115">
        <f t="shared" si="45"/>
        <v>0</v>
      </c>
      <c r="AF42" s="115">
        <f t="shared" si="45"/>
        <v>0</v>
      </c>
      <c r="AG42" s="115">
        <f t="shared" si="45"/>
        <v>0</v>
      </c>
      <c r="AH42" s="115">
        <f t="shared" si="45"/>
        <v>0</v>
      </c>
      <c r="AI42" s="115">
        <f t="shared" si="45"/>
        <v>0</v>
      </c>
      <c r="AJ42" s="115">
        <f t="shared" si="45"/>
        <v>0</v>
      </c>
      <c r="AK42" s="115">
        <f t="shared" si="45"/>
        <v>0</v>
      </c>
      <c r="AL42" s="115">
        <f t="shared" si="45"/>
        <v>0</v>
      </c>
      <c r="AM42" s="115">
        <f t="shared" si="45"/>
        <v>0</v>
      </c>
      <c r="AN42" s="115">
        <f>$E42*AN$4</f>
        <v>0</v>
      </c>
      <c r="AO42" s="115">
        <f t="shared" si="46"/>
        <v>0</v>
      </c>
      <c r="AP42" s="198">
        <f t="shared" si="46"/>
        <v>0</v>
      </c>
      <c r="AQ42" s="198">
        <f t="shared" si="46"/>
        <v>0</v>
      </c>
      <c r="AR42" s="198"/>
      <c r="AS42" s="198"/>
      <c r="AT42" s="250"/>
      <c r="AU42" s="250"/>
      <c r="AV42" s="250"/>
      <c r="AW42" s="250"/>
      <c r="AX42" s="250"/>
      <c r="AY42" s="250"/>
      <c r="BA42" s="188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T42" s="188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98"/>
      <c r="EC42" s="198"/>
      <c r="ED42" s="198"/>
      <c r="EE42" s="198"/>
      <c r="EF42" s="250"/>
      <c r="EG42" s="250"/>
      <c r="EH42" s="250"/>
      <c r="EI42" s="250"/>
      <c r="EJ42" s="250"/>
      <c r="EK42" s="250"/>
      <c r="GE42" s="237"/>
      <c r="GF42" s="237"/>
      <c r="GG42" s="237"/>
      <c r="GH42" s="237"/>
      <c r="GI42" s="237"/>
      <c r="GJ42" s="237"/>
      <c r="GK42" s="237"/>
      <c r="GL42" s="237"/>
      <c r="GT42" s="237"/>
      <c r="GU42" s="237"/>
      <c r="GV42" s="237"/>
      <c r="GW42" s="237"/>
      <c r="GX42" s="237"/>
      <c r="GY42" s="237"/>
      <c r="GZ42" s="237"/>
      <c r="HA42" s="237"/>
      <c r="HB42" s="237"/>
      <c r="HC42" s="237"/>
      <c r="HD42" s="237"/>
      <c r="HE42" s="237"/>
      <c r="HF42" s="237"/>
      <c r="HG42" s="237"/>
      <c r="HH42" s="237"/>
      <c r="HI42" s="237"/>
      <c r="HJ42" s="237"/>
      <c r="HK42" s="237"/>
      <c r="HL42" s="237"/>
    </row>
    <row r="43" spans="1:220" ht="15" customHeight="1">
      <c r="A43" s="153" t="s">
        <v>26</v>
      </c>
      <c r="B43" s="156" t="s">
        <v>502</v>
      </c>
      <c r="C43" s="154">
        <v>0</v>
      </c>
      <c r="D43" s="154">
        <f>700*1.2</f>
        <v>840</v>
      </c>
      <c r="E43" s="161">
        <f t="shared" si="2"/>
        <v>0</v>
      </c>
      <c r="F43" s="224"/>
      <c r="G43" s="115"/>
      <c r="H43" s="115"/>
      <c r="I43" s="115"/>
      <c r="J43" s="115"/>
      <c r="K43" s="115"/>
      <c r="L43" s="115">
        <f t="shared" si="45"/>
        <v>0</v>
      </c>
      <c r="M43" s="115">
        <f t="shared" si="45"/>
        <v>0</v>
      </c>
      <c r="N43" s="115">
        <f t="shared" si="45"/>
        <v>0</v>
      </c>
      <c r="O43" s="115">
        <f t="shared" si="45"/>
        <v>0</v>
      </c>
      <c r="P43" s="115">
        <f t="shared" si="45"/>
        <v>0</v>
      </c>
      <c r="Q43" s="115">
        <f t="shared" si="45"/>
        <v>0</v>
      </c>
      <c r="R43" s="115">
        <f t="shared" si="45"/>
        <v>0</v>
      </c>
      <c r="S43" s="115">
        <f t="shared" si="45"/>
        <v>0</v>
      </c>
      <c r="T43" s="115">
        <f t="shared" si="45"/>
        <v>0</v>
      </c>
      <c r="U43" s="115">
        <f t="shared" si="45"/>
        <v>0</v>
      </c>
      <c r="V43" s="115">
        <f t="shared" si="45"/>
        <v>0</v>
      </c>
      <c r="W43" s="115">
        <f t="shared" si="45"/>
        <v>0</v>
      </c>
      <c r="X43" s="115">
        <f t="shared" si="45"/>
        <v>0</v>
      </c>
      <c r="Y43" s="115">
        <f t="shared" si="45"/>
        <v>0</v>
      </c>
      <c r="Z43" s="115">
        <f t="shared" si="45"/>
        <v>0</v>
      </c>
      <c r="AA43" s="115">
        <f t="shared" si="45"/>
        <v>0</v>
      </c>
      <c r="AB43" s="115">
        <f t="shared" si="45"/>
        <v>0</v>
      </c>
      <c r="AC43" s="115">
        <f t="shared" si="45"/>
        <v>0</v>
      </c>
      <c r="AD43" s="115">
        <f t="shared" si="45"/>
        <v>0</v>
      </c>
      <c r="AE43" s="115">
        <f t="shared" si="45"/>
        <v>0</v>
      </c>
      <c r="AF43" s="115">
        <f t="shared" si="45"/>
        <v>0</v>
      </c>
      <c r="AG43" s="115">
        <f t="shared" si="45"/>
        <v>0</v>
      </c>
      <c r="AH43" s="115">
        <f t="shared" si="45"/>
        <v>0</v>
      </c>
      <c r="AI43" s="115">
        <f t="shared" si="45"/>
        <v>0</v>
      </c>
      <c r="AJ43" s="115">
        <f t="shared" si="45"/>
        <v>0</v>
      </c>
      <c r="AK43" s="115">
        <f t="shared" si="45"/>
        <v>0</v>
      </c>
      <c r="AL43" s="115">
        <f t="shared" si="45"/>
        <v>0</v>
      </c>
      <c r="AM43" s="115">
        <f t="shared" si="45"/>
        <v>0</v>
      </c>
      <c r="AN43" s="115">
        <f>$E43*AN$4</f>
        <v>0</v>
      </c>
      <c r="AO43" s="115">
        <f t="shared" si="46"/>
        <v>0</v>
      </c>
      <c r="AP43" s="198">
        <f t="shared" si="46"/>
        <v>0</v>
      </c>
      <c r="AQ43" s="198">
        <f t="shared" si="46"/>
        <v>0</v>
      </c>
      <c r="AR43" s="198"/>
      <c r="AS43" s="198"/>
      <c r="AT43" s="250"/>
      <c r="AU43" s="250"/>
      <c r="AV43" s="250"/>
      <c r="AW43" s="250"/>
      <c r="AX43" s="250"/>
      <c r="AY43" s="250"/>
      <c r="BA43" s="188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T43" s="188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98"/>
      <c r="EC43" s="198"/>
      <c r="ED43" s="198"/>
      <c r="EE43" s="198"/>
      <c r="EF43" s="250"/>
      <c r="EG43" s="250"/>
      <c r="EH43" s="250"/>
      <c r="EI43" s="250"/>
      <c r="EJ43" s="250"/>
      <c r="EK43" s="250"/>
      <c r="GE43" s="237"/>
      <c r="GF43" s="237"/>
      <c r="GG43" s="237"/>
      <c r="GH43" s="237"/>
      <c r="GI43" s="237"/>
      <c r="GJ43" s="237"/>
      <c r="GK43" s="237"/>
      <c r="GL43" s="237"/>
      <c r="GT43" s="237"/>
      <c r="GU43" s="237"/>
      <c r="GV43" s="237"/>
      <c r="GW43" s="237"/>
      <c r="GX43" s="237"/>
      <c r="GY43" s="237"/>
      <c r="GZ43" s="237"/>
      <c r="HA43" s="237"/>
      <c r="HB43" s="237"/>
      <c r="HC43" s="237"/>
      <c r="HD43" s="237"/>
      <c r="HE43" s="237"/>
      <c r="HF43" s="237"/>
      <c r="HG43" s="237"/>
      <c r="HH43" s="237"/>
      <c r="HI43" s="237"/>
      <c r="HJ43" s="237"/>
      <c r="HK43" s="237"/>
      <c r="HL43" s="237"/>
    </row>
    <row r="44" spans="1:220" ht="15" customHeight="1">
      <c r="A44" s="153" t="s">
        <v>27</v>
      </c>
      <c r="B44" s="156" t="s">
        <v>495</v>
      </c>
      <c r="C44" s="154">
        <v>0</v>
      </c>
      <c r="D44" s="154">
        <f>850*1.2</f>
        <v>1020</v>
      </c>
      <c r="E44" s="161">
        <f t="shared" si="2"/>
        <v>0</v>
      </c>
      <c r="F44" s="224"/>
      <c r="G44" s="115"/>
      <c r="H44" s="115"/>
      <c r="I44" s="115"/>
      <c r="J44" s="115"/>
      <c r="K44" s="115"/>
      <c r="L44" s="115">
        <f t="shared" si="45"/>
        <v>0</v>
      </c>
      <c r="M44" s="115">
        <f t="shared" si="45"/>
        <v>0</v>
      </c>
      <c r="N44" s="115">
        <f t="shared" si="45"/>
        <v>0</v>
      </c>
      <c r="O44" s="115">
        <f t="shared" si="45"/>
        <v>0</v>
      </c>
      <c r="P44" s="115">
        <f t="shared" si="45"/>
        <v>0</v>
      </c>
      <c r="Q44" s="115">
        <f t="shared" si="45"/>
        <v>0</v>
      </c>
      <c r="R44" s="115">
        <f t="shared" si="45"/>
        <v>0</v>
      </c>
      <c r="S44" s="115">
        <f t="shared" si="45"/>
        <v>0</v>
      </c>
      <c r="T44" s="115">
        <f t="shared" si="45"/>
        <v>0</v>
      </c>
      <c r="U44" s="115">
        <f t="shared" si="45"/>
        <v>0</v>
      </c>
      <c r="V44" s="115">
        <f t="shared" si="45"/>
        <v>0</v>
      </c>
      <c r="W44" s="115">
        <f t="shared" si="45"/>
        <v>0</v>
      </c>
      <c r="X44" s="115">
        <f t="shared" si="45"/>
        <v>0</v>
      </c>
      <c r="Y44" s="115">
        <f t="shared" si="45"/>
        <v>0</v>
      </c>
      <c r="Z44" s="115">
        <f t="shared" si="45"/>
        <v>0</v>
      </c>
      <c r="AA44" s="115">
        <f t="shared" si="45"/>
        <v>0</v>
      </c>
      <c r="AB44" s="115">
        <f t="shared" si="45"/>
        <v>0</v>
      </c>
      <c r="AC44" s="115">
        <f t="shared" si="45"/>
        <v>0</v>
      </c>
      <c r="AD44" s="115">
        <f t="shared" si="45"/>
        <v>0</v>
      </c>
      <c r="AE44" s="115">
        <f t="shared" si="45"/>
        <v>0</v>
      </c>
      <c r="AF44" s="115">
        <f t="shared" si="45"/>
        <v>0</v>
      </c>
      <c r="AG44" s="115">
        <f t="shared" si="45"/>
        <v>0</v>
      </c>
      <c r="AH44" s="115">
        <f t="shared" si="45"/>
        <v>0</v>
      </c>
      <c r="AI44" s="115">
        <f t="shared" si="45"/>
        <v>0</v>
      </c>
      <c r="AJ44" s="115">
        <f t="shared" si="45"/>
        <v>0</v>
      </c>
      <c r="AK44" s="115">
        <f t="shared" si="45"/>
        <v>0</v>
      </c>
      <c r="AL44" s="115">
        <f t="shared" si="45"/>
        <v>0</v>
      </c>
      <c r="AM44" s="115">
        <f t="shared" si="45"/>
        <v>0</v>
      </c>
      <c r="AN44" s="115">
        <f>$E44*AN$4</f>
        <v>0</v>
      </c>
      <c r="AO44" s="115">
        <f t="shared" si="46"/>
        <v>0</v>
      </c>
      <c r="AP44" s="198">
        <f t="shared" si="46"/>
        <v>0</v>
      </c>
      <c r="AQ44" s="198">
        <f t="shared" si="46"/>
        <v>0</v>
      </c>
      <c r="AR44" s="198"/>
      <c r="AS44" s="198"/>
      <c r="AT44" s="250"/>
      <c r="AU44" s="250"/>
      <c r="AV44" s="250"/>
      <c r="AW44" s="250"/>
      <c r="AX44" s="250"/>
      <c r="AY44" s="250"/>
      <c r="BA44" s="188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T44" s="188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98"/>
      <c r="EC44" s="198"/>
      <c r="ED44" s="198"/>
      <c r="EE44" s="198"/>
      <c r="EF44" s="250"/>
      <c r="EG44" s="250"/>
      <c r="EH44" s="250"/>
      <c r="EI44" s="250"/>
      <c r="EJ44" s="250"/>
      <c r="EK44" s="250"/>
      <c r="GE44" s="237"/>
      <c r="GF44" s="237"/>
      <c r="GG44" s="237"/>
      <c r="GH44" s="237"/>
      <c r="GI44" s="237"/>
      <c r="GJ44" s="237"/>
      <c r="GK44" s="237"/>
      <c r="GL44" s="237"/>
      <c r="GT44" s="237"/>
      <c r="GU44" s="237"/>
      <c r="GV44" s="237"/>
      <c r="GW44" s="237"/>
      <c r="GX44" s="237"/>
      <c r="GY44" s="237"/>
      <c r="GZ44" s="237"/>
      <c r="HA44" s="237"/>
      <c r="HB44" s="237"/>
      <c r="HC44" s="237"/>
      <c r="HD44" s="237"/>
      <c r="HE44" s="237"/>
      <c r="HF44" s="237"/>
      <c r="HG44" s="237"/>
      <c r="HH44" s="237"/>
      <c r="HI44" s="237"/>
      <c r="HJ44" s="237"/>
      <c r="HK44" s="237"/>
      <c r="HL44" s="237"/>
    </row>
    <row r="45" spans="1:220" ht="15" customHeight="1">
      <c r="A45" s="153" t="s">
        <v>50</v>
      </c>
      <c r="B45" s="156" t="s">
        <v>487</v>
      </c>
      <c r="C45" s="154">
        <v>0</v>
      </c>
      <c r="D45" s="154">
        <f>700*1.2</f>
        <v>840</v>
      </c>
      <c r="E45" s="161">
        <f t="shared" si="2"/>
        <v>0</v>
      </c>
      <c r="F45" s="224"/>
      <c r="G45" s="115"/>
      <c r="H45" s="115"/>
      <c r="I45" s="115"/>
      <c r="J45" s="115"/>
      <c r="K45" s="115"/>
      <c r="L45" s="115">
        <f t="shared" si="45"/>
        <v>0</v>
      </c>
      <c r="M45" s="115">
        <f t="shared" si="45"/>
        <v>0</v>
      </c>
      <c r="N45" s="115">
        <f t="shared" si="45"/>
        <v>0</v>
      </c>
      <c r="O45" s="115">
        <f t="shared" si="45"/>
        <v>0</v>
      </c>
      <c r="P45" s="115">
        <f t="shared" si="45"/>
        <v>0</v>
      </c>
      <c r="Q45" s="115">
        <f t="shared" si="45"/>
        <v>0</v>
      </c>
      <c r="R45" s="115">
        <f t="shared" si="45"/>
        <v>0</v>
      </c>
      <c r="S45" s="115">
        <f t="shared" si="45"/>
        <v>0</v>
      </c>
      <c r="T45" s="115">
        <f t="shared" si="45"/>
        <v>0</v>
      </c>
      <c r="U45" s="115">
        <f t="shared" si="45"/>
        <v>0</v>
      </c>
      <c r="V45" s="115">
        <f t="shared" si="45"/>
        <v>0</v>
      </c>
      <c r="W45" s="115">
        <f t="shared" si="45"/>
        <v>0</v>
      </c>
      <c r="X45" s="115">
        <f t="shared" si="45"/>
        <v>0</v>
      </c>
      <c r="Y45" s="115">
        <f t="shared" si="45"/>
        <v>0</v>
      </c>
      <c r="Z45" s="115">
        <f t="shared" si="45"/>
        <v>0</v>
      </c>
      <c r="AA45" s="115">
        <f t="shared" si="45"/>
        <v>0</v>
      </c>
      <c r="AB45" s="115">
        <f t="shared" si="45"/>
        <v>0</v>
      </c>
      <c r="AC45" s="115">
        <f t="shared" si="45"/>
        <v>0</v>
      </c>
      <c r="AD45" s="115">
        <f t="shared" si="45"/>
        <v>0</v>
      </c>
      <c r="AE45" s="115">
        <f t="shared" si="45"/>
        <v>0</v>
      </c>
      <c r="AF45" s="115">
        <f t="shared" si="45"/>
        <v>0</v>
      </c>
      <c r="AG45" s="115">
        <f t="shared" si="45"/>
        <v>0</v>
      </c>
      <c r="AH45" s="115">
        <f t="shared" si="45"/>
        <v>0</v>
      </c>
      <c r="AI45" s="115">
        <f t="shared" si="45"/>
        <v>0</v>
      </c>
      <c r="AJ45" s="115">
        <f t="shared" si="45"/>
        <v>0</v>
      </c>
      <c r="AK45" s="115">
        <f t="shared" si="45"/>
        <v>0</v>
      </c>
      <c r="AL45" s="115">
        <f t="shared" si="45"/>
        <v>0</v>
      </c>
      <c r="AM45" s="115">
        <f t="shared" si="45"/>
        <v>0</v>
      </c>
      <c r="AN45" s="115">
        <f>$E45*AN$4</f>
        <v>0</v>
      </c>
      <c r="AO45" s="115">
        <f t="shared" si="46"/>
        <v>0</v>
      </c>
      <c r="AP45" s="198">
        <f t="shared" si="46"/>
        <v>0</v>
      </c>
      <c r="AQ45" s="198">
        <f t="shared" si="46"/>
        <v>0</v>
      </c>
      <c r="AR45" s="198"/>
      <c r="AS45" s="198"/>
      <c r="AT45" s="250"/>
      <c r="AU45" s="250"/>
      <c r="AV45" s="250"/>
      <c r="AW45" s="250"/>
      <c r="AX45" s="250"/>
      <c r="AY45" s="250"/>
      <c r="BA45" s="188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T45" s="188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98"/>
      <c r="EC45" s="198"/>
      <c r="ED45" s="198"/>
      <c r="EE45" s="198"/>
      <c r="EF45" s="250"/>
      <c r="EG45" s="250"/>
      <c r="EH45" s="250"/>
      <c r="EI45" s="250"/>
      <c r="EJ45" s="250"/>
      <c r="EK45" s="250"/>
      <c r="EN45" s="275" t="s">
        <v>184</v>
      </c>
      <c r="EO45" s="275">
        <v>2004</v>
      </c>
      <c r="EP45" s="275">
        <v>2005</v>
      </c>
      <c r="EQ45" s="275">
        <v>2006</v>
      </c>
      <c r="ER45" s="275">
        <v>2007</v>
      </c>
      <c r="ES45" s="275">
        <v>2008</v>
      </c>
      <c r="ET45" s="275">
        <v>2009</v>
      </c>
      <c r="EU45" s="275">
        <v>2010</v>
      </c>
      <c r="EV45" s="275">
        <v>2011</v>
      </c>
      <c r="EW45" s="275">
        <v>2012</v>
      </c>
      <c r="EX45" s="275">
        <v>2013</v>
      </c>
      <c r="EY45" s="275">
        <v>2014</v>
      </c>
      <c r="EZ45" s="808" t="s">
        <v>517</v>
      </c>
      <c r="FA45" s="35"/>
      <c r="GE45" s="237"/>
      <c r="GF45" s="237"/>
      <c r="GG45" s="237"/>
      <c r="GH45" s="237"/>
      <c r="GI45" s="237"/>
      <c r="GJ45" s="237"/>
      <c r="GK45" s="237"/>
      <c r="GL45" s="237"/>
      <c r="GT45" s="237"/>
      <c r="GU45" s="237"/>
      <c r="GV45" s="237"/>
      <c r="GW45" s="237"/>
      <c r="GX45" s="237"/>
      <c r="GY45" s="237"/>
      <c r="GZ45" s="237"/>
      <c r="HA45" s="237"/>
      <c r="HB45" s="237"/>
      <c r="HC45" s="237"/>
      <c r="HD45" s="237"/>
      <c r="HE45" s="237"/>
      <c r="HF45" s="237"/>
      <c r="HG45" s="237"/>
      <c r="HH45" s="237"/>
      <c r="HI45" s="237"/>
      <c r="HJ45" s="237"/>
      <c r="HK45" s="237"/>
      <c r="HL45" s="237"/>
    </row>
    <row r="46" spans="1:220" ht="15" customHeight="1">
      <c r="A46" s="153"/>
      <c r="B46" s="156" t="s">
        <v>139</v>
      </c>
      <c r="C46" s="154">
        <f>SUM(C34:C39)</f>
        <v>0</v>
      </c>
      <c r="D46" s="154"/>
      <c r="E46" s="184">
        <f>SUM(E34:E39)</f>
        <v>0</v>
      </c>
      <c r="F46" s="224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98"/>
      <c r="AQ46" s="198"/>
      <c r="AR46" s="198"/>
      <c r="AS46" s="198"/>
      <c r="AT46" s="250"/>
      <c r="AU46" s="250"/>
      <c r="AV46" s="250"/>
      <c r="AW46" s="250"/>
      <c r="AX46" s="250"/>
      <c r="AY46" s="250"/>
      <c r="BA46" s="188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T46" s="188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>
        <f aca="true" t="shared" si="47" ref="DE46:EB46">SUM(DE34:DE39)</f>
        <v>0</v>
      </c>
      <c r="DF46" s="115">
        <f t="shared" si="47"/>
        <v>0</v>
      </c>
      <c r="DG46" s="115">
        <f t="shared" si="47"/>
        <v>0</v>
      </c>
      <c r="DH46" s="115">
        <f t="shared" si="47"/>
        <v>0</v>
      </c>
      <c r="DI46" s="115">
        <f t="shared" si="47"/>
        <v>0</v>
      </c>
      <c r="DJ46" s="115">
        <f t="shared" si="47"/>
        <v>0</v>
      </c>
      <c r="DK46" s="115">
        <f t="shared" si="47"/>
        <v>0</v>
      </c>
      <c r="DL46" s="115">
        <f t="shared" si="47"/>
        <v>0</v>
      </c>
      <c r="DM46" s="115">
        <f t="shared" si="47"/>
        <v>0</v>
      </c>
      <c r="DN46" s="115">
        <f t="shared" si="47"/>
        <v>0</v>
      </c>
      <c r="DO46" s="115">
        <f t="shared" si="47"/>
        <v>0</v>
      </c>
      <c r="DP46" s="115">
        <f t="shared" si="47"/>
        <v>0</v>
      </c>
      <c r="DQ46" s="115">
        <f t="shared" si="47"/>
        <v>0</v>
      </c>
      <c r="DR46" s="115">
        <f t="shared" si="47"/>
        <v>0</v>
      </c>
      <c r="DS46" s="115">
        <f t="shared" si="47"/>
        <v>0</v>
      </c>
      <c r="DT46" s="115">
        <f t="shared" si="47"/>
        <v>0</v>
      </c>
      <c r="DU46" s="115">
        <f t="shared" si="47"/>
        <v>0</v>
      </c>
      <c r="DV46" s="115">
        <f t="shared" si="47"/>
        <v>0</v>
      </c>
      <c r="DW46" s="115">
        <f t="shared" si="47"/>
        <v>0</v>
      </c>
      <c r="DX46" s="115">
        <f t="shared" si="47"/>
        <v>0</v>
      </c>
      <c r="DY46" s="115">
        <f t="shared" si="47"/>
        <v>0</v>
      </c>
      <c r="DZ46" s="115">
        <f t="shared" si="47"/>
        <v>0</v>
      </c>
      <c r="EA46" s="115">
        <f t="shared" si="47"/>
        <v>0</v>
      </c>
      <c r="EB46" s="198">
        <f t="shared" si="47"/>
        <v>0</v>
      </c>
      <c r="EC46" s="198">
        <f>SUM(EC34:EC39)</f>
        <v>0</v>
      </c>
      <c r="ED46" s="198"/>
      <c r="EE46" s="198"/>
      <c r="EF46" s="250"/>
      <c r="EG46" s="250"/>
      <c r="EH46" s="250"/>
      <c r="EI46" s="250"/>
      <c r="EJ46" s="250"/>
      <c r="EK46" s="250"/>
      <c r="EN46" s="114" t="s">
        <v>239</v>
      </c>
      <c r="EO46" s="115">
        <f>SUM(H47:K47,BA46:BD46,CT46:CW46)</f>
        <v>0</v>
      </c>
      <c r="EP46" s="115">
        <f>SUM(L47:O47,BE46:BH46,CX46:DA46)</f>
        <v>0</v>
      </c>
      <c r="EQ46" s="115">
        <f>SUM(P47:S47,BI46:BL46,DB46:DE46)</f>
        <v>0</v>
      </c>
      <c r="ER46" s="115">
        <f>SUM(T47:W47,BM46:BP46,DF46:DI46)</f>
        <v>0</v>
      </c>
      <c r="ES46" s="115">
        <f>SUM(X47:AA47,BQ46:BT46,DJ46:DM46)</f>
        <v>0</v>
      </c>
      <c r="ET46" s="115">
        <f>SUM(AB47:AE47,BU46:BX46,DN46:DQ46)</f>
        <v>0</v>
      </c>
      <c r="EU46" s="115">
        <f>SUM(AF47:AI47,BY46:CB46,DR46:DU46)</f>
        <v>0</v>
      </c>
      <c r="EV46" s="115">
        <f>SUM(AJ47:AM47,CC46:CF46,DV46:DY46)</f>
        <v>0</v>
      </c>
      <c r="EW46" s="115">
        <f>SUM(AN47:AQ47,CG46:CJ46,DZ46:EC46)</f>
        <v>0</v>
      </c>
      <c r="EX46" s="115">
        <f>SUM(AR47:AU47,CK46:CN46,ED46:EG46)</f>
        <v>0</v>
      </c>
      <c r="EY46" s="239">
        <f>SUM(AV47:AY47,CO46:CR46,EH46:EK46)</f>
        <v>0</v>
      </c>
      <c r="EZ46" s="239">
        <f>SUM(EO46:EY46)</f>
        <v>0</v>
      </c>
      <c r="FA46" s="237"/>
      <c r="GE46" s="237"/>
      <c r="GF46" s="237"/>
      <c r="GG46" s="237"/>
      <c r="GH46" s="237"/>
      <c r="GI46" s="237"/>
      <c r="GJ46" s="237"/>
      <c r="GK46" s="237"/>
      <c r="GL46" s="237"/>
      <c r="GT46" s="237"/>
      <c r="GU46" s="237"/>
      <c r="GV46" s="237"/>
      <c r="GW46" s="237"/>
      <c r="GX46" s="237"/>
      <c r="GY46" s="237"/>
      <c r="GZ46" s="237"/>
      <c r="HA46" s="237"/>
      <c r="HB46" s="237"/>
      <c r="HC46" s="237"/>
      <c r="HD46" s="237"/>
      <c r="HE46" s="237"/>
      <c r="HF46" s="237"/>
      <c r="HG46" s="237"/>
      <c r="HH46" s="237"/>
      <c r="HI46" s="237"/>
      <c r="HJ46" s="237"/>
      <c r="HK46" s="237"/>
      <c r="HL46" s="237"/>
    </row>
    <row r="47" spans="1:220" ht="15" customHeight="1">
      <c r="A47" s="153"/>
      <c r="B47" s="156" t="s">
        <v>140</v>
      </c>
      <c r="C47" s="154">
        <f>SUM(C40:C45)</f>
        <v>0</v>
      </c>
      <c r="D47" s="154"/>
      <c r="E47" s="184">
        <f>SUM(E40:E45)</f>
        <v>0</v>
      </c>
      <c r="F47" s="224"/>
      <c r="G47" s="115"/>
      <c r="H47" s="115">
        <f>SUM(H40:H45)</f>
        <v>0</v>
      </c>
      <c r="I47" s="115">
        <f>SUM(I40:I45)</f>
        <v>0</v>
      </c>
      <c r="J47" s="115">
        <f>SUM(J40:J45)</f>
        <v>0</v>
      </c>
      <c r="K47" s="115">
        <f>SUM(K40:K45)</f>
        <v>0</v>
      </c>
      <c r="L47" s="115">
        <f aca="true" t="shared" si="48" ref="L47:AP47">SUM(L40:L45)</f>
        <v>0</v>
      </c>
      <c r="M47" s="115">
        <f t="shared" si="48"/>
        <v>0</v>
      </c>
      <c r="N47" s="115">
        <f t="shared" si="48"/>
        <v>0</v>
      </c>
      <c r="O47" s="115">
        <f t="shared" si="48"/>
        <v>0</v>
      </c>
      <c r="P47" s="115">
        <f t="shared" si="48"/>
        <v>0</v>
      </c>
      <c r="Q47" s="115">
        <f t="shared" si="48"/>
        <v>0</v>
      </c>
      <c r="R47" s="115">
        <f t="shared" si="48"/>
        <v>0</v>
      </c>
      <c r="S47" s="115">
        <f t="shared" si="48"/>
        <v>0</v>
      </c>
      <c r="T47" s="115">
        <f t="shared" si="48"/>
        <v>0</v>
      </c>
      <c r="U47" s="115">
        <f t="shared" si="48"/>
        <v>0</v>
      </c>
      <c r="V47" s="115">
        <f t="shared" si="48"/>
        <v>0</v>
      </c>
      <c r="W47" s="115">
        <f t="shared" si="48"/>
        <v>0</v>
      </c>
      <c r="X47" s="115">
        <f t="shared" si="48"/>
        <v>0</v>
      </c>
      <c r="Y47" s="115">
        <f t="shared" si="48"/>
        <v>0</v>
      </c>
      <c r="Z47" s="115">
        <f t="shared" si="48"/>
        <v>0</v>
      </c>
      <c r="AA47" s="115">
        <f t="shared" si="48"/>
        <v>0</v>
      </c>
      <c r="AB47" s="115">
        <f t="shared" si="48"/>
        <v>0</v>
      </c>
      <c r="AC47" s="115">
        <f t="shared" si="48"/>
        <v>0</v>
      </c>
      <c r="AD47" s="115">
        <f t="shared" si="48"/>
        <v>0</v>
      </c>
      <c r="AE47" s="115">
        <f t="shared" si="48"/>
        <v>0</v>
      </c>
      <c r="AF47" s="115">
        <f t="shared" si="48"/>
        <v>0</v>
      </c>
      <c r="AG47" s="115">
        <f t="shared" si="48"/>
        <v>0</v>
      </c>
      <c r="AH47" s="115">
        <f t="shared" si="48"/>
        <v>0</v>
      </c>
      <c r="AI47" s="115">
        <f t="shared" si="48"/>
        <v>0</v>
      </c>
      <c r="AJ47" s="115">
        <f t="shared" si="48"/>
        <v>0</v>
      </c>
      <c r="AK47" s="115">
        <f t="shared" si="48"/>
        <v>0</v>
      </c>
      <c r="AL47" s="115">
        <f t="shared" si="48"/>
        <v>0</v>
      </c>
      <c r="AM47" s="115">
        <f t="shared" si="48"/>
        <v>0</v>
      </c>
      <c r="AN47" s="115">
        <f t="shared" si="48"/>
        <v>0</v>
      </c>
      <c r="AO47" s="115">
        <f t="shared" si="48"/>
        <v>0</v>
      </c>
      <c r="AP47" s="198">
        <f t="shared" si="48"/>
        <v>0</v>
      </c>
      <c r="AQ47" s="198">
        <f>SUM(AQ40:AQ45)</f>
        <v>0</v>
      </c>
      <c r="AR47" s="198"/>
      <c r="AS47" s="198"/>
      <c r="AT47" s="250"/>
      <c r="AU47" s="250"/>
      <c r="AV47" s="250"/>
      <c r="AW47" s="250"/>
      <c r="AX47" s="250"/>
      <c r="AY47" s="250"/>
      <c r="BA47" s="188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T47" s="188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98"/>
      <c r="EC47" s="198"/>
      <c r="ED47" s="198"/>
      <c r="EE47" s="198"/>
      <c r="EF47" s="250"/>
      <c r="EG47" s="250"/>
      <c r="EH47" s="250"/>
      <c r="EI47" s="250"/>
      <c r="EJ47" s="250"/>
      <c r="EK47" s="250"/>
      <c r="EN47" s="114" t="s">
        <v>185</v>
      </c>
      <c r="EO47" s="115">
        <f aca="true" t="shared" si="49" ref="EO47:EY47">EO46*0.506</f>
        <v>0</v>
      </c>
      <c r="EP47" s="115">
        <f t="shared" si="49"/>
        <v>0</v>
      </c>
      <c r="EQ47" s="115">
        <f t="shared" si="49"/>
        <v>0</v>
      </c>
      <c r="ER47" s="115">
        <f t="shared" si="49"/>
        <v>0</v>
      </c>
      <c r="ES47" s="115">
        <f t="shared" si="49"/>
        <v>0</v>
      </c>
      <c r="ET47" s="115">
        <f t="shared" si="49"/>
        <v>0</v>
      </c>
      <c r="EU47" s="115">
        <f t="shared" si="49"/>
        <v>0</v>
      </c>
      <c r="EV47" s="115">
        <f t="shared" si="49"/>
        <v>0</v>
      </c>
      <c r="EW47" s="115">
        <f t="shared" si="49"/>
        <v>0</v>
      </c>
      <c r="EX47" s="115">
        <f t="shared" si="49"/>
        <v>0</v>
      </c>
      <c r="EY47" s="239">
        <f t="shared" si="49"/>
        <v>0</v>
      </c>
      <c r="EZ47" s="239">
        <f>SUM(EO47:EY47)</f>
        <v>0</v>
      </c>
      <c r="FA47" s="237"/>
      <c r="GE47" s="237"/>
      <c r="GF47" s="237"/>
      <c r="GG47" s="237"/>
      <c r="GH47" s="237"/>
      <c r="GI47" s="237"/>
      <c r="GJ47" s="237"/>
      <c r="GK47" s="237"/>
      <c r="GL47" s="237"/>
      <c r="GT47" s="237"/>
      <c r="GU47" s="237"/>
      <c r="GV47" s="237"/>
      <c r="GW47" s="237"/>
      <c r="GX47" s="237"/>
      <c r="GY47" s="237"/>
      <c r="GZ47" s="237"/>
      <c r="HA47" s="237"/>
      <c r="HB47" s="237"/>
      <c r="HC47" s="237"/>
      <c r="HD47" s="237"/>
      <c r="HE47" s="237"/>
      <c r="HF47" s="237"/>
      <c r="HG47" s="237"/>
      <c r="HH47" s="237"/>
      <c r="HI47" s="237"/>
      <c r="HJ47" s="237"/>
      <c r="HK47" s="237"/>
      <c r="HL47" s="237"/>
    </row>
    <row r="48" spans="1:220" ht="15" customHeight="1">
      <c r="A48" s="210"/>
      <c r="B48" s="211" t="s">
        <v>70</v>
      </c>
      <c r="C48" s="212">
        <f>SUM(C46:C47)</f>
        <v>0</v>
      </c>
      <c r="D48" s="187"/>
      <c r="E48" s="229">
        <f>SUM(E46:E47)</f>
        <v>0</v>
      </c>
      <c r="F48" s="225" t="s">
        <v>110</v>
      </c>
      <c r="G48" s="202">
        <f>G$132</f>
        <v>0.506</v>
      </c>
      <c r="H48" s="204">
        <f aca="true" t="shared" si="50" ref="H48:AP48">SUM(H34:H45)*$G48</f>
        <v>0</v>
      </c>
      <c r="I48" s="204">
        <f t="shared" si="50"/>
        <v>0</v>
      </c>
      <c r="J48" s="204">
        <f t="shared" si="50"/>
        <v>0</v>
      </c>
      <c r="K48" s="204">
        <f t="shared" si="50"/>
        <v>0</v>
      </c>
      <c r="L48" s="204">
        <f t="shared" si="50"/>
        <v>0</v>
      </c>
      <c r="M48" s="204">
        <f t="shared" si="50"/>
        <v>0</v>
      </c>
      <c r="N48" s="204">
        <f t="shared" si="50"/>
        <v>0</v>
      </c>
      <c r="O48" s="204">
        <f t="shared" si="50"/>
        <v>0</v>
      </c>
      <c r="P48" s="204">
        <f t="shared" si="50"/>
        <v>0</v>
      </c>
      <c r="Q48" s="204">
        <f t="shared" si="50"/>
        <v>0</v>
      </c>
      <c r="R48" s="204">
        <f t="shared" si="50"/>
        <v>0</v>
      </c>
      <c r="S48" s="204">
        <f t="shared" si="50"/>
        <v>0</v>
      </c>
      <c r="T48" s="204">
        <f t="shared" si="50"/>
        <v>0</v>
      </c>
      <c r="U48" s="204">
        <f t="shared" si="50"/>
        <v>0</v>
      </c>
      <c r="V48" s="204">
        <f t="shared" si="50"/>
        <v>0</v>
      </c>
      <c r="W48" s="204">
        <f t="shared" si="50"/>
        <v>0</v>
      </c>
      <c r="X48" s="204">
        <f t="shared" si="50"/>
        <v>0</v>
      </c>
      <c r="Y48" s="204">
        <f t="shared" si="50"/>
        <v>0</v>
      </c>
      <c r="Z48" s="204">
        <f t="shared" si="50"/>
        <v>0</v>
      </c>
      <c r="AA48" s="204">
        <f t="shared" si="50"/>
        <v>0</v>
      </c>
      <c r="AB48" s="204">
        <f t="shared" si="50"/>
        <v>0</v>
      </c>
      <c r="AC48" s="204">
        <f t="shared" si="50"/>
        <v>0</v>
      </c>
      <c r="AD48" s="204">
        <f t="shared" si="50"/>
        <v>0</v>
      </c>
      <c r="AE48" s="204">
        <f t="shared" si="50"/>
        <v>0</v>
      </c>
      <c r="AF48" s="204">
        <f t="shared" si="50"/>
        <v>0</v>
      </c>
      <c r="AG48" s="204">
        <f t="shared" si="50"/>
        <v>0</v>
      </c>
      <c r="AH48" s="204">
        <f t="shared" si="50"/>
        <v>0</v>
      </c>
      <c r="AI48" s="204">
        <f t="shared" si="50"/>
        <v>0</v>
      </c>
      <c r="AJ48" s="204">
        <f t="shared" si="50"/>
        <v>0</v>
      </c>
      <c r="AK48" s="204">
        <f t="shared" si="50"/>
        <v>0</v>
      </c>
      <c r="AL48" s="204">
        <f t="shared" si="50"/>
        <v>0</v>
      </c>
      <c r="AM48" s="204">
        <f t="shared" si="50"/>
        <v>0</v>
      </c>
      <c r="AN48" s="204">
        <f t="shared" si="50"/>
        <v>0</v>
      </c>
      <c r="AO48" s="204">
        <f t="shared" si="50"/>
        <v>0</v>
      </c>
      <c r="AP48" s="624">
        <f t="shared" si="50"/>
        <v>0</v>
      </c>
      <c r="AQ48" s="624">
        <f>SUM(AQ34:AQ45)*$G48</f>
        <v>0</v>
      </c>
      <c r="AR48" s="624"/>
      <c r="AS48" s="624"/>
      <c r="AT48" s="676"/>
      <c r="AU48" s="676"/>
      <c r="AV48" s="676"/>
      <c r="AW48" s="676"/>
      <c r="AX48" s="676"/>
      <c r="AY48" s="676"/>
      <c r="BA48" s="25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>
        <f aca="true" t="shared" si="51" ref="BL48:CI48">SUM(BL34:BL45)*$G48</f>
        <v>0</v>
      </c>
      <c r="BM48" s="204">
        <f t="shared" si="51"/>
        <v>0</v>
      </c>
      <c r="BN48" s="204">
        <f t="shared" si="51"/>
        <v>0</v>
      </c>
      <c r="BO48" s="204">
        <f t="shared" si="51"/>
        <v>0</v>
      </c>
      <c r="BP48" s="204">
        <f t="shared" si="51"/>
        <v>0</v>
      </c>
      <c r="BQ48" s="204">
        <f t="shared" si="51"/>
        <v>0</v>
      </c>
      <c r="BR48" s="204">
        <f t="shared" si="51"/>
        <v>0</v>
      </c>
      <c r="BS48" s="204">
        <f t="shared" si="51"/>
        <v>0</v>
      </c>
      <c r="BT48" s="204">
        <f t="shared" si="51"/>
        <v>0</v>
      </c>
      <c r="BU48" s="204">
        <f t="shared" si="51"/>
        <v>0</v>
      </c>
      <c r="BV48" s="204">
        <f t="shared" si="51"/>
        <v>0</v>
      </c>
      <c r="BW48" s="204">
        <f t="shared" si="51"/>
        <v>0</v>
      </c>
      <c r="BX48" s="204">
        <f t="shared" si="51"/>
        <v>0</v>
      </c>
      <c r="BY48" s="204">
        <f t="shared" si="51"/>
        <v>0</v>
      </c>
      <c r="BZ48" s="204">
        <f t="shared" si="51"/>
        <v>0</v>
      </c>
      <c r="CA48" s="204">
        <f t="shared" si="51"/>
        <v>0</v>
      </c>
      <c r="CB48" s="204">
        <f t="shared" si="51"/>
        <v>0</v>
      </c>
      <c r="CC48" s="204">
        <f t="shared" si="51"/>
        <v>0</v>
      </c>
      <c r="CD48" s="204">
        <f t="shared" si="51"/>
        <v>0</v>
      </c>
      <c r="CE48" s="204">
        <f t="shared" si="51"/>
        <v>0</v>
      </c>
      <c r="CF48" s="204">
        <f t="shared" si="51"/>
        <v>0</v>
      </c>
      <c r="CG48" s="204">
        <f t="shared" si="51"/>
        <v>0</v>
      </c>
      <c r="CH48" s="204">
        <f t="shared" si="51"/>
        <v>0</v>
      </c>
      <c r="CI48" s="624">
        <f t="shared" si="51"/>
        <v>0</v>
      </c>
      <c r="CJ48" s="624">
        <f>SUM(CJ34:CJ45)*$G48</f>
        <v>0</v>
      </c>
      <c r="CK48" s="624"/>
      <c r="CL48" s="624"/>
      <c r="CM48" s="624"/>
      <c r="CN48" s="624"/>
      <c r="CO48" s="624"/>
      <c r="CP48" s="624"/>
      <c r="CQ48" s="624"/>
      <c r="CR48" s="624"/>
      <c r="CT48" s="25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>
        <f aca="true" t="shared" si="52" ref="DE48:EB48">SUM(DE34:DE45)*$G48</f>
        <v>0</v>
      </c>
      <c r="DF48" s="204">
        <f t="shared" si="52"/>
        <v>0</v>
      </c>
      <c r="DG48" s="204">
        <f t="shared" si="52"/>
        <v>0</v>
      </c>
      <c r="DH48" s="204">
        <f t="shared" si="52"/>
        <v>0</v>
      </c>
      <c r="DI48" s="204">
        <f t="shared" si="52"/>
        <v>0</v>
      </c>
      <c r="DJ48" s="204">
        <f t="shared" si="52"/>
        <v>0</v>
      </c>
      <c r="DK48" s="204">
        <f t="shared" si="52"/>
        <v>0</v>
      </c>
      <c r="DL48" s="204">
        <f t="shared" si="52"/>
        <v>0</v>
      </c>
      <c r="DM48" s="204">
        <f t="shared" si="52"/>
        <v>0</v>
      </c>
      <c r="DN48" s="204">
        <f t="shared" si="52"/>
        <v>0</v>
      </c>
      <c r="DO48" s="204">
        <f t="shared" si="52"/>
        <v>0</v>
      </c>
      <c r="DP48" s="204">
        <f t="shared" si="52"/>
        <v>0</v>
      </c>
      <c r="DQ48" s="204">
        <f t="shared" si="52"/>
        <v>0</v>
      </c>
      <c r="DR48" s="204">
        <f t="shared" si="52"/>
        <v>0</v>
      </c>
      <c r="DS48" s="204">
        <f t="shared" si="52"/>
        <v>0</v>
      </c>
      <c r="DT48" s="204">
        <f t="shared" si="52"/>
        <v>0</v>
      </c>
      <c r="DU48" s="204">
        <f t="shared" si="52"/>
        <v>0</v>
      </c>
      <c r="DV48" s="204">
        <f t="shared" si="52"/>
        <v>0</v>
      </c>
      <c r="DW48" s="204">
        <f t="shared" si="52"/>
        <v>0</v>
      </c>
      <c r="DX48" s="204">
        <f t="shared" si="52"/>
        <v>0</v>
      </c>
      <c r="DY48" s="204">
        <f t="shared" si="52"/>
        <v>0</v>
      </c>
      <c r="DZ48" s="204">
        <f t="shared" si="52"/>
        <v>0</v>
      </c>
      <c r="EA48" s="204">
        <f t="shared" si="52"/>
        <v>0</v>
      </c>
      <c r="EB48" s="624">
        <f t="shared" si="52"/>
        <v>0</v>
      </c>
      <c r="EC48" s="624">
        <f>SUM(EC34:EC45)*$G48</f>
        <v>0</v>
      </c>
      <c r="ED48" s="624"/>
      <c r="EE48" s="624"/>
      <c r="EF48" s="676"/>
      <c r="EG48" s="676"/>
      <c r="EH48" s="676"/>
      <c r="EI48" s="676"/>
      <c r="EJ48" s="676"/>
      <c r="EK48" s="676"/>
      <c r="EN48" s="114" t="s">
        <v>238</v>
      </c>
      <c r="EO48" s="115">
        <f aca="true" t="shared" si="53" ref="EO48:EY48">SUM(EO46:EO47)</f>
        <v>0</v>
      </c>
      <c r="EP48" s="115">
        <f t="shared" si="53"/>
        <v>0</v>
      </c>
      <c r="EQ48" s="115">
        <f t="shared" si="53"/>
        <v>0</v>
      </c>
      <c r="ER48" s="115">
        <f t="shared" si="53"/>
        <v>0</v>
      </c>
      <c r="ES48" s="115">
        <f t="shared" si="53"/>
        <v>0</v>
      </c>
      <c r="ET48" s="115">
        <f t="shared" si="53"/>
        <v>0</v>
      </c>
      <c r="EU48" s="115">
        <f t="shared" si="53"/>
        <v>0</v>
      </c>
      <c r="EV48" s="115">
        <f t="shared" si="53"/>
        <v>0</v>
      </c>
      <c r="EW48" s="115">
        <f t="shared" si="53"/>
        <v>0</v>
      </c>
      <c r="EX48" s="115">
        <f t="shared" si="53"/>
        <v>0</v>
      </c>
      <c r="EY48" s="239">
        <f t="shared" si="53"/>
        <v>0</v>
      </c>
      <c r="EZ48" s="239">
        <f>SUM(EO48:EY48)</f>
        <v>0</v>
      </c>
      <c r="FA48" s="237"/>
      <c r="GD48" s="238"/>
      <c r="GE48" s="238"/>
      <c r="GF48" s="238"/>
      <c r="GG48" s="238"/>
      <c r="GH48" s="238"/>
      <c r="GI48" s="238"/>
      <c r="GJ48" s="238"/>
      <c r="GK48" s="238"/>
      <c r="GL48" s="238"/>
      <c r="GT48" s="238"/>
      <c r="GU48" s="238"/>
      <c r="GV48" s="238"/>
      <c r="GW48" s="238"/>
      <c r="GX48" s="238"/>
      <c r="GY48" s="238"/>
      <c r="GZ48" s="238"/>
      <c r="HA48" s="238"/>
      <c r="HB48" s="238"/>
      <c r="HC48" s="238"/>
      <c r="HD48" s="238"/>
      <c r="HE48" s="238"/>
      <c r="HF48" s="238"/>
      <c r="HG48" s="238"/>
      <c r="HH48" s="238"/>
      <c r="HI48" s="238"/>
      <c r="HJ48" s="238"/>
      <c r="HK48" s="238"/>
      <c r="HL48" s="238"/>
    </row>
    <row r="49" spans="1:220" ht="15" customHeight="1">
      <c r="A49" s="391"/>
      <c r="B49" s="392"/>
      <c r="C49" s="393"/>
      <c r="D49" s="398"/>
      <c r="E49" s="394"/>
      <c r="F49" s="395" t="s">
        <v>178</v>
      </c>
      <c r="G49" s="396">
        <v>0.01</v>
      </c>
      <c r="H49" s="399">
        <f>H47*$G$49</f>
        <v>0</v>
      </c>
      <c r="I49" s="399">
        <f aca="true" t="shared" si="54" ref="I49:AP49">I47*$G$49</f>
        <v>0</v>
      </c>
      <c r="J49" s="399">
        <f t="shared" si="54"/>
        <v>0</v>
      </c>
      <c r="K49" s="399">
        <f t="shared" si="54"/>
        <v>0</v>
      </c>
      <c r="L49" s="399">
        <f t="shared" si="54"/>
        <v>0</v>
      </c>
      <c r="M49" s="399">
        <f t="shared" si="54"/>
        <v>0</v>
      </c>
      <c r="N49" s="399">
        <f t="shared" si="54"/>
        <v>0</v>
      </c>
      <c r="O49" s="399">
        <f t="shared" si="54"/>
        <v>0</v>
      </c>
      <c r="P49" s="399">
        <f t="shared" si="54"/>
        <v>0</v>
      </c>
      <c r="Q49" s="399">
        <f t="shared" si="54"/>
        <v>0</v>
      </c>
      <c r="R49" s="399">
        <f t="shared" si="54"/>
        <v>0</v>
      </c>
      <c r="S49" s="399">
        <f t="shared" si="54"/>
        <v>0</v>
      </c>
      <c r="T49" s="399">
        <f t="shared" si="54"/>
        <v>0</v>
      </c>
      <c r="U49" s="399">
        <f t="shared" si="54"/>
        <v>0</v>
      </c>
      <c r="V49" s="399">
        <f t="shared" si="54"/>
        <v>0</v>
      </c>
      <c r="W49" s="399">
        <f t="shared" si="54"/>
        <v>0</v>
      </c>
      <c r="X49" s="399">
        <f t="shared" si="54"/>
        <v>0</v>
      </c>
      <c r="Y49" s="399">
        <f t="shared" si="54"/>
        <v>0</v>
      </c>
      <c r="Z49" s="399">
        <f t="shared" si="54"/>
        <v>0</v>
      </c>
      <c r="AA49" s="399">
        <f t="shared" si="54"/>
        <v>0</v>
      </c>
      <c r="AB49" s="399">
        <f t="shared" si="54"/>
        <v>0</v>
      </c>
      <c r="AC49" s="399">
        <f t="shared" si="54"/>
        <v>0</v>
      </c>
      <c r="AD49" s="399">
        <f t="shared" si="54"/>
        <v>0</v>
      </c>
      <c r="AE49" s="399">
        <f t="shared" si="54"/>
        <v>0</v>
      </c>
      <c r="AF49" s="399">
        <f t="shared" si="54"/>
        <v>0</v>
      </c>
      <c r="AG49" s="399">
        <f t="shared" si="54"/>
        <v>0</v>
      </c>
      <c r="AH49" s="399">
        <f t="shared" si="54"/>
        <v>0</v>
      </c>
      <c r="AI49" s="399">
        <f t="shared" si="54"/>
        <v>0</v>
      </c>
      <c r="AJ49" s="399">
        <f t="shared" si="54"/>
        <v>0</v>
      </c>
      <c r="AK49" s="399">
        <f t="shared" si="54"/>
        <v>0</v>
      </c>
      <c r="AL49" s="399">
        <f t="shared" si="54"/>
        <v>0</v>
      </c>
      <c r="AM49" s="399">
        <f t="shared" si="54"/>
        <v>0</v>
      </c>
      <c r="AN49" s="399">
        <f t="shared" si="54"/>
        <v>0</v>
      </c>
      <c r="AO49" s="399">
        <f t="shared" si="54"/>
        <v>0</v>
      </c>
      <c r="AP49" s="625">
        <f t="shared" si="54"/>
        <v>0</v>
      </c>
      <c r="AQ49" s="625">
        <f>AQ47*$G$49</f>
        <v>0</v>
      </c>
      <c r="AR49" s="625"/>
      <c r="AS49" s="625"/>
      <c r="AT49" s="677"/>
      <c r="AU49" s="677"/>
      <c r="AV49" s="677"/>
      <c r="AW49" s="677"/>
      <c r="AX49" s="677"/>
      <c r="AY49" s="677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>
        <f aca="true" t="shared" si="55" ref="BL49:DM49">BL46*$G$49</f>
        <v>0</v>
      </c>
      <c r="BM49" s="399">
        <f t="shared" si="55"/>
        <v>0</v>
      </c>
      <c r="BN49" s="399">
        <f t="shared" si="55"/>
        <v>0</v>
      </c>
      <c r="BO49" s="399">
        <f t="shared" si="55"/>
        <v>0</v>
      </c>
      <c r="BP49" s="399">
        <f t="shared" si="55"/>
        <v>0</v>
      </c>
      <c r="BQ49" s="399">
        <f t="shared" si="55"/>
        <v>0</v>
      </c>
      <c r="BR49" s="399">
        <f t="shared" si="55"/>
        <v>0</v>
      </c>
      <c r="BS49" s="399">
        <f t="shared" si="55"/>
        <v>0</v>
      </c>
      <c r="BT49" s="399">
        <f t="shared" si="55"/>
        <v>0</v>
      </c>
      <c r="BU49" s="399">
        <f t="shared" si="55"/>
        <v>0</v>
      </c>
      <c r="BV49" s="399">
        <f t="shared" si="55"/>
        <v>0</v>
      </c>
      <c r="BW49" s="399">
        <f t="shared" si="55"/>
        <v>0</v>
      </c>
      <c r="BX49" s="399">
        <f t="shared" si="55"/>
        <v>0</v>
      </c>
      <c r="BY49" s="399">
        <f t="shared" si="55"/>
        <v>0</v>
      </c>
      <c r="BZ49" s="399">
        <f t="shared" si="55"/>
        <v>0</v>
      </c>
      <c r="CA49" s="399">
        <f t="shared" si="55"/>
        <v>0</v>
      </c>
      <c r="CB49" s="399">
        <f t="shared" si="55"/>
        <v>0</v>
      </c>
      <c r="CC49" s="399">
        <f t="shared" si="55"/>
        <v>0</v>
      </c>
      <c r="CD49" s="399">
        <f t="shared" si="55"/>
        <v>0</v>
      </c>
      <c r="CE49" s="399">
        <f t="shared" si="55"/>
        <v>0</v>
      </c>
      <c r="CF49" s="399">
        <f t="shared" si="55"/>
        <v>0</v>
      </c>
      <c r="CG49" s="399">
        <f t="shared" si="55"/>
        <v>0</v>
      </c>
      <c r="CH49" s="399">
        <f t="shared" si="55"/>
        <v>0</v>
      </c>
      <c r="CI49" s="625">
        <f t="shared" si="55"/>
        <v>0</v>
      </c>
      <c r="CJ49" s="625">
        <f>CJ46*$G$49</f>
        <v>0</v>
      </c>
      <c r="CK49" s="625"/>
      <c r="CL49" s="625"/>
      <c r="CM49" s="625"/>
      <c r="CN49" s="625"/>
      <c r="CO49" s="625"/>
      <c r="CP49" s="625"/>
      <c r="CQ49" s="625"/>
      <c r="CR49" s="625"/>
      <c r="CT49" s="690"/>
      <c r="CU49" s="399"/>
      <c r="CV49" s="399"/>
      <c r="CW49" s="399"/>
      <c r="CX49" s="399"/>
      <c r="CY49" s="399"/>
      <c r="CZ49" s="399"/>
      <c r="DA49" s="399"/>
      <c r="DB49" s="399"/>
      <c r="DC49" s="399"/>
      <c r="DD49" s="399"/>
      <c r="DE49" s="399">
        <f t="shared" si="55"/>
        <v>0</v>
      </c>
      <c r="DF49" s="399">
        <f t="shared" si="55"/>
        <v>0</v>
      </c>
      <c r="DG49" s="399">
        <f t="shared" si="55"/>
        <v>0</v>
      </c>
      <c r="DH49" s="399">
        <f t="shared" si="55"/>
        <v>0</v>
      </c>
      <c r="DI49" s="399">
        <f t="shared" si="55"/>
        <v>0</v>
      </c>
      <c r="DJ49" s="399">
        <f t="shared" si="55"/>
        <v>0</v>
      </c>
      <c r="DK49" s="399">
        <f t="shared" si="55"/>
        <v>0</v>
      </c>
      <c r="DL49" s="399">
        <f t="shared" si="55"/>
        <v>0</v>
      </c>
      <c r="DM49" s="399">
        <f t="shared" si="55"/>
        <v>0</v>
      </c>
      <c r="DN49" s="399">
        <f aca="true" t="shared" si="56" ref="DN49:EB49">DN46*$G$49</f>
        <v>0</v>
      </c>
      <c r="DO49" s="399">
        <f t="shared" si="56"/>
        <v>0</v>
      </c>
      <c r="DP49" s="399">
        <f t="shared" si="56"/>
        <v>0</v>
      </c>
      <c r="DQ49" s="399">
        <f t="shared" si="56"/>
        <v>0</v>
      </c>
      <c r="DR49" s="399">
        <f t="shared" si="56"/>
        <v>0</v>
      </c>
      <c r="DS49" s="399">
        <f t="shared" si="56"/>
        <v>0</v>
      </c>
      <c r="DT49" s="399">
        <f t="shared" si="56"/>
        <v>0</v>
      </c>
      <c r="DU49" s="399">
        <f t="shared" si="56"/>
        <v>0</v>
      </c>
      <c r="DV49" s="399">
        <f t="shared" si="56"/>
        <v>0</v>
      </c>
      <c r="DW49" s="399">
        <f t="shared" si="56"/>
        <v>0</v>
      </c>
      <c r="DX49" s="399">
        <f t="shared" si="56"/>
        <v>0</v>
      </c>
      <c r="DY49" s="399">
        <f t="shared" si="56"/>
        <v>0</v>
      </c>
      <c r="DZ49" s="399">
        <f t="shared" si="56"/>
        <v>0</v>
      </c>
      <c r="EA49" s="399">
        <f t="shared" si="56"/>
        <v>0</v>
      </c>
      <c r="EB49" s="625">
        <f t="shared" si="56"/>
        <v>0</v>
      </c>
      <c r="EC49" s="625">
        <f>EC46*$G$49</f>
        <v>0</v>
      </c>
      <c r="ED49" s="625"/>
      <c r="EE49" s="625"/>
      <c r="EF49" s="677"/>
      <c r="EG49" s="677"/>
      <c r="EH49" s="677"/>
      <c r="EI49" s="677"/>
      <c r="EJ49" s="677"/>
      <c r="EK49" s="677"/>
      <c r="EN49" s="390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GD49" s="238"/>
      <c r="GE49" s="238"/>
      <c r="GF49" s="238"/>
      <c r="GG49" s="238"/>
      <c r="GH49" s="238"/>
      <c r="GI49" s="238"/>
      <c r="GJ49" s="238"/>
      <c r="GK49" s="238"/>
      <c r="GL49" s="238"/>
      <c r="GT49" s="238"/>
      <c r="GU49" s="238"/>
      <c r="GV49" s="238"/>
      <c r="GW49" s="238"/>
      <c r="GX49" s="238"/>
      <c r="GY49" s="238"/>
      <c r="GZ49" s="238"/>
      <c r="HA49" s="238"/>
      <c r="HB49" s="238"/>
      <c r="HC49" s="238"/>
      <c r="HD49" s="238"/>
      <c r="HE49" s="238"/>
      <c r="HF49" s="238"/>
      <c r="HG49" s="238"/>
      <c r="HH49" s="238"/>
      <c r="HI49" s="238"/>
      <c r="HJ49" s="238"/>
      <c r="HK49" s="238"/>
      <c r="HL49" s="238"/>
    </row>
    <row r="50" spans="1:220" ht="29.25" customHeight="1">
      <c r="A50" s="178" t="s">
        <v>28</v>
      </c>
      <c r="B50" s="179" t="s">
        <v>503</v>
      </c>
      <c r="C50" s="180"/>
      <c r="D50" s="180"/>
      <c r="E50" s="230"/>
      <c r="F50" s="223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622"/>
      <c r="AQ50" s="622"/>
      <c r="AR50" s="622"/>
      <c r="AS50" s="622"/>
      <c r="AT50" s="253"/>
      <c r="AU50" s="253"/>
      <c r="AV50" s="253"/>
      <c r="AW50" s="253"/>
      <c r="AX50" s="253"/>
      <c r="AY50" s="253"/>
      <c r="AZ50" s="238"/>
      <c r="BA50" s="251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622"/>
      <c r="CJ50" s="622"/>
      <c r="CK50" s="622"/>
      <c r="CL50" s="622"/>
      <c r="CM50" s="622"/>
      <c r="CN50" s="622"/>
      <c r="CO50" s="622"/>
      <c r="CP50" s="622"/>
      <c r="CQ50" s="622"/>
      <c r="CR50" s="622"/>
      <c r="CS50" s="238"/>
      <c r="CT50" s="251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622"/>
      <c r="EC50" s="622"/>
      <c r="ED50" s="622"/>
      <c r="EE50" s="622"/>
      <c r="EF50" s="253"/>
      <c r="EG50" s="253"/>
      <c r="EH50" s="253"/>
      <c r="EI50" s="253"/>
      <c r="EJ50" s="253"/>
      <c r="EK50" s="253"/>
      <c r="GE50" s="237"/>
      <c r="GF50" s="237"/>
      <c r="GG50" s="237"/>
      <c r="GH50" s="237"/>
      <c r="GI50" s="237"/>
      <c r="GJ50" s="237"/>
      <c r="GK50" s="237"/>
      <c r="GL50" s="237"/>
      <c r="GT50" s="237"/>
      <c r="GU50" s="237"/>
      <c r="GV50" s="237"/>
      <c r="GW50" s="237"/>
      <c r="GX50" s="237"/>
      <c r="GY50" s="237"/>
      <c r="GZ50" s="237"/>
      <c r="HA50" s="237"/>
      <c r="HB50" s="237"/>
      <c r="HC50" s="237"/>
      <c r="HD50" s="237"/>
      <c r="HE50" s="237"/>
      <c r="HF50" s="237"/>
      <c r="HG50" s="237"/>
      <c r="HH50" s="237"/>
      <c r="HI50" s="237"/>
      <c r="HJ50" s="237"/>
      <c r="HK50" s="237"/>
      <c r="HL50" s="237"/>
    </row>
    <row r="51" spans="1:220" ht="15" customHeight="1">
      <c r="A51" s="153" t="s">
        <v>29</v>
      </c>
      <c r="B51" s="156" t="s">
        <v>484</v>
      </c>
      <c r="C51" s="154">
        <v>0</v>
      </c>
      <c r="D51" s="154">
        <f>1300*1.2</f>
        <v>1560</v>
      </c>
      <c r="E51" s="161">
        <f t="shared" si="2"/>
        <v>0</v>
      </c>
      <c r="F51" s="224"/>
      <c r="G51" s="115"/>
      <c r="H51" s="115"/>
      <c r="I51" s="115"/>
      <c r="J51" s="115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633"/>
      <c r="AQ51" s="633"/>
      <c r="AR51" s="633"/>
      <c r="AS51" s="633"/>
      <c r="AT51" s="672"/>
      <c r="AU51" s="672"/>
      <c r="AV51" s="672"/>
      <c r="AW51" s="672"/>
      <c r="AX51" s="672"/>
      <c r="AY51" s="672"/>
      <c r="BA51" s="188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T51" s="188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>
        <f aca="true" t="shared" si="57" ref="DE51:EC51">$E51*DE$4</f>
        <v>0</v>
      </c>
      <c r="DF51" s="115">
        <f t="shared" si="57"/>
        <v>0</v>
      </c>
      <c r="DG51" s="115">
        <f t="shared" si="57"/>
        <v>0</v>
      </c>
      <c r="DH51" s="115">
        <f t="shared" si="57"/>
        <v>0</v>
      </c>
      <c r="DI51" s="115">
        <f t="shared" si="57"/>
        <v>0</v>
      </c>
      <c r="DJ51" s="115">
        <f t="shared" si="57"/>
        <v>0</v>
      </c>
      <c r="DK51" s="115">
        <f t="shared" si="57"/>
        <v>0</v>
      </c>
      <c r="DL51" s="115">
        <f t="shared" si="57"/>
        <v>0</v>
      </c>
      <c r="DM51" s="115">
        <f t="shared" si="57"/>
        <v>0</v>
      </c>
      <c r="DN51" s="115">
        <f t="shared" si="57"/>
        <v>0</v>
      </c>
      <c r="DO51" s="115">
        <f t="shared" si="57"/>
        <v>0</v>
      </c>
      <c r="DP51" s="115">
        <f t="shared" si="57"/>
        <v>0</v>
      </c>
      <c r="DQ51" s="115">
        <f t="shared" si="57"/>
        <v>0</v>
      </c>
      <c r="DR51" s="115">
        <f t="shared" si="57"/>
        <v>0</v>
      </c>
      <c r="DS51" s="115">
        <f t="shared" si="57"/>
        <v>0</v>
      </c>
      <c r="DT51" s="115">
        <f t="shared" si="57"/>
        <v>0</v>
      </c>
      <c r="DU51" s="115">
        <f t="shared" si="57"/>
        <v>0</v>
      </c>
      <c r="DV51" s="115">
        <f t="shared" si="57"/>
        <v>0</v>
      </c>
      <c r="DW51" s="115">
        <f t="shared" si="57"/>
        <v>0</v>
      </c>
      <c r="DX51" s="115">
        <f t="shared" si="57"/>
        <v>0</v>
      </c>
      <c r="DY51" s="115">
        <f t="shared" si="57"/>
        <v>0</v>
      </c>
      <c r="DZ51" s="115">
        <f t="shared" si="57"/>
        <v>0</v>
      </c>
      <c r="EA51" s="115">
        <f t="shared" si="57"/>
        <v>0</v>
      </c>
      <c r="EB51" s="198">
        <f t="shared" si="57"/>
        <v>0</v>
      </c>
      <c r="EC51" s="198">
        <f t="shared" si="57"/>
        <v>0</v>
      </c>
      <c r="ED51" s="198"/>
      <c r="EE51" s="198"/>
      <c r="EF51" s="250"/>
      <c r="EG51" s="250"/>
      <c r="EH51" s="250"/>
      <c r="EI51" s="250"/>
      <c r="EJ51" s="250"/>
      <c r="EK51" s="250"/>
      <c r="GE51" s="237"/>
      <c r="GF51" s="237"/>
      <c r="GG51" s="237"/>
      <c r="GH51" s="237"/>
      <c r="GI51" s="237"/>
      <c r="GJ51" s="237"/>
      <c r="GK51" s="237"/>
      <c r="GL51" s="237"/>
      <c r="GT51" s="636"/>
      <c r="GU51" s="636"/>
      <c r="GV51" s="636"/>
      <c r="GW51" s="636"/>
      <c r="GX51" s="636"/>
      <c r="GY51" s="636"/>
      <c r="GZ51" s="237"/>
      <c r="HA51" s="237"/>
      <c r="HB51" s="237"/>
      <c r="HC51" s="237"/>
      <c r="HD51" s="237"/>
      <c r="HE51" s="636"/>
      <c r="HF51" s="237"/>
      <c r="HG51" s="237"/>
      <c r="HH51" s="237"/>
      <c r="HI51" s="237"/>
      <c r="HJ51" s="636"/>
      <c r="HK51" s="636"/>
      <c r="HL51" s="636"/>
    </row>
    <row r="52" spans="1:220" ht="15" customHeight="1">
      <c r="A52" s="153" t="s">
        <v>30</v>
      </c>
      <c r="B52" s="156" t="s">
        <v>504</v>
      </c>
      <c r="C52" s="154">
        <v>0</v>
      </c>
      <c r="D52" s="154">
        <f>850*1.2</f>
        <v>1020</v>
      </c>
      <c r="E52" s="161">
        <f t="shared" si="2"/>
        <v>0</v>
      </c>
      <c r="F52" s="224"/>
      <c r="G52" s="115"/>
      <c r="H52" s="115"/>
      <c r="I52" s="115"/>
      <c r="J52" s="115"/>
      <c r="K52" s="115"/>
      <c r="L52" s="115">
        <f aca="true" t="shared" si="58" ref="L52:W52">$E52*L$4</f>
        <v>0</v>
      </c>
      <c r="M52" s="115">
        <f t="shared" si="58"/>
        <v>0</v>
      </c>
      <c r="N52" s="115">
        <f t="shared" si="58"/>
        <v>0</v>
      </c>
      <c r="O52" s="115">
        <f t="shared" si="58"/>
        <v>0</v>
      </c>
      <c r="P52" s="115">
        <f t="shared" si="58"/>
        <v>0</v>
      </c>
      <c r="Q52" s="115">
        <f t="shared" si="58"/>
        <v>0</v>
      </c>
      <c r="R52" s="115">
        <f t="shared" si="58"/>
        <v>0</v>
      </c>
      <c r="S52" s="115">
        <f t="shared" si="58"/>
        <v>0</v>
      </c>
      <c r="T52" s="115">
        <f t="shared" si="58"/>
        <v>0</v>
      </c>
      <c r="U52" s="115">
        <f t="shared" si="58"/>
        <v>0</v>
      </c>
      <c r="V52" s="115">
        <f t="shared" si="58"/>
        <v>0</v>
      </c>
      <c r="W52" s="115">
        <f t="shared" si="58"/>
        <v>0</v>
      </c>
      <c r="X52" s="115">
        <f aca="true" t="shared" si="59" ref="L52:AN53">$E52*X$4</f>
        <v>0</v>
      </c>
      <c r="Y52" s="115">
        <f t="shared" si="59"/>
        <v>0</v>
      </c>
      <c r="Z52" s="115">
        <f t="shared" si="59"/>
        <v>0</v>
      </c>
      <c r="AA52" s="115">
        <f t="shared" si="59"/>
        <v>0</v>
      </c>
      <c r="AB52" s="115">
        <f t="shared" si="59"/>
        <v>0</v>
      </c>
      <c r="AC52" s="115">
        <f t="shared" si="59"/>
        <v>0</v>
      </c>
      <c r="AD52" s="115">
        <f t="shared" si="59"/>
        <v>0</v>
      </c>
      <c r="AE52" s="115">
        <f t="shared" si="59"/>
        <v>0</v>
      </c>
      <c r="AF52" s="115">
        <f t="shared" si="59"/>
        <v>0</v>
      </c>
      <c r="AG52" s="115">
        <f t="shared" si="59"/>
        <v>0</v>
      </c>
      <c r="AH52" s="115">
        <f t="shared" si="59"/>
        <v>0</v>
      </c>
      <c r="AI52" s="115">
        <f t="shared" si="59"/>
        <v>0</v>
      </c>
      <c r="AJ52" s="115">
        <f t="shared" si="59"/>
        <v>0</v>
      </c>
      <c r="AK52" s="115">
        <f t="shared" si="59"/>
        <v>0</v>
      </c>
      <c r="AL52" s="115">
        <f t="shared" si="59"/>
        <v>0</v>
      </c>
      <c r="AM52" s="115">
        <f t="shared" si="59"/>
        <v>0</v>
      </c>
      <c r="AN52" s="115">
        <f t="shared" si="59"/>
        <v>0</v>
      </c>
      <c r="AO52" s="115">
        <f aca="true" t="shared" si="60" ref="AO52:AQ53">$E52*AO$4</f>
        <v>0</v>
      </c>
      <c r="AP52" s="198">
        <f t="shared" si="60"/>
        <v>0</v>
      </c>
      <c r="AQ52" s="198">
        <f t="shared" si="60"/>
        <v>0</v>
      </c>
      <c r="AR52" s="198"/>
      <c r="AS52" s="198"/>
      <c r="AT52" s="250"/>
      <c r="AU52" s="250"/>
      <c r="AV52" s="250"/>
      <c r="AW52" s="250"/>
      <c r="AX52" s="250"/>
      <c r="AY52" s="250"/>
      <c r="BA52" s="188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T52" s="188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98"/>
      <c r="EC52" s="198"/>
      <c r="ED52" s="198"/>
      <c r="EE52" s="198"/>
      <c r="EF52" s="250"/>
      <c r="EG52" s="250"/>
      <c r="EH52" s="250"/>
      <c r="EI52" s="250"/>
      <c r="EJ52" s="250"/>
      <c r="EK52" s="250"/>
      <c r="FA52" s="237"/>
      <c r="GE52" s="237"/>
      <c r="GF52" s="237"/>
      <c r="GG52" s="237"/>
      <c r="GH52" s="237"/>
      <c r="GI52" s="237"/>
      <c r="GJ52" s="237"/>
      <c r="GK52" s="237"/>
      <c r="GL52" s="237"/>
      <c r="GT52" s="237"/>
      <c r="GU52" s="237"/>
      <c r="GV52" s="237"/>
      <c r="GW52" s="237"/>
      <c r="GX52" s="237"/>
      <c r="GY52" s="237"/>
      <c r="GZ52" s="237"/>
      <c r="HA52" s="237"/>
      <c r="HB52" s="237"/>
      <c r="HC52" s="237"/>
      <c r="HD52" s="237"/>
      <c r="HE52" s="237"/>
      <c r="HF52" s="237"/>
      <c r="HG52" s="237"/>
      <c r="HH52" s="237"/>
      <c r="HI52" s="237"/>
      <c r="HJ52" s="237"/>
      <c r="HK52" s="237"/>
      <c r="HL52" s="237"/>
    </row>
    <row r="53" spans="1:220" ht="15" customHeight="1">
      <c r="A53" s="153" t="s">
        <v>31</v>
      </c>
      <c r="B53" s="156" t="s">
        <v>501</v>
      </c>
      <c r="C53" s="154">
        <v>0</v>
      </c>
      <c r="D53" s="154">
        <f>500*1.2</f>
        <v>600</v>
      </c>
      <c r="E53" s="161">
        <f t="shared" si="2"/>
        <v>0</v>
      </c>
      <c r="F53" s="224"/>
      <c r="G53" s="115"/>
      <c r="H53" s="115"/>
      <c r="I53" s="115"/>
      <c r="J53" s="115"/>
      <c r="K53" s="115"/>
      <c r="L53" s="115">
        <f t="shared" si="59"/>
        <v>0</v>
      </c>
      <c r="M53" s="115">
        <f t="shared" si="59"/>
        <v>0</v>
      </c>
      <c r="N53" s="115">
        <f t="shared" si="59"/>
        <v>0</v>
      </c>
      <c r="O53" s="115">
        <f t="shared" si="59"/>
        <v>0</v>
      </c>
      <c r="P53" s="115">
        <f t="shared" si="59"/>
        <v>0</v>
      </c>
      <c r="Q53" s="115">
        <f t="shared" si="59"/>
        <v>0</v>
      </c>
      <c r="R53" s="115">
        <f t="shared" si="59"/>
        <v>0</v>
      </c>
      <c r="S53" s="115">
        <f t="shared" si="59"/>
        <v>0</v>
      </c>
      <c r="T53" s="115">
        <f t="shared" si="59"/>
        <v>0</v>
      </c>
      <c r="U53" s="115">
        <f t="shared" si="59"/>
        <v>0</v>
      </c>
      <c r="V53" s="115">
        <f t="shared" si="59"/>
        <v>0</v>
      </c>
      <c r="W53" s="115">
        <f t="shared" si="59"/>
        <v>0</v>
      </c>
      <c r="X53" s="115">
        <f t="shared" si="59"/>
        <v>0</v>
      </c>
      <c r="Y53" s="115">
        <f t="shared" si="59"/>
        <v>0</v>
      </c>
      <c r="Z53" s="115">
        <f t="shared" si="59"/>
        <v>0</v>
      </c>
      <c r="AA53" s="115">
        <f t="shared" si="59"/>
        <v>0</v>
      </c>
      <c r="AB53" s="115">
        <f t="shared" si="59"/>
        <v>0</v>
      </c>
      <c r="AC53" s="115">
        <f t="shared" si="59"/>
        <v>0</v>
      </c>
      <c r="AD53" s="115">
        <f t="shared" si="59"/>
        <v>0</v>
      </c>
      <c r="AE53" s="115">
        <f t="shared" si="59"/>
        <v>0</v>
      </c>
      <c r="AF53" s="115">
        <f t="shared" si="59"/>
        <v>0</v>
      </c>
      <c r="AG53" s="115">
        <f t="shared" si="59"/>
        <v>0</v>
      </c>
      <c r="AH53" s="115">
        <f t="shared" si="59"/>
        <v>0</v>
      </c>
      <c r="AI53" s="115">
        <f t="shared" si="59"/>
        <v>0</v>
      </c>
      <c r="AJ53" s="115">
        <f t="shared" si="59"/>
        <v>0</v>
      </c>
      <c r="AK53" s="115">
        <f t="shared" si="59"/>
        <v>0</v>
      </c>
      <c r="AL53" s="115">
        <f t="shared" si="59"/>
        <v>0</v>
      </c>
      <c r="AM53" s="115">
        <f t="shared" si="59"/>
        <v>0</v>
      </c>
      <c r="AN53" s="115">
        <f>$E53*AN$4</f>
        <v>0</v>
      </c>
      <c r="AO53" s="115">
        <f t="shared" si="60"/>
        <v>0</v>
      </c>
      <c r="AP53" s="198">
        <f t="shared" si="60"/>
        <v>0</v>
      </c>
      <c r="AQ53" s="198">
        <f t="shared" si="60"/>
        <v>0</v>
      </c>
      <c r="AR53" s="198"/>
      <c r="AS53" s="198"/>
      <c r="AT53" s="250"/>
      <c r="AU53" s="250"/>
      <c r="AV53" s="250"/>
      <c r="AW53" s="250"/>
      <c r="AX53" s="250"/>
      <c r="AY53" s="250"/>
      <c r="BA53" s="188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T53" s="188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98"/>
      <c r="EC53" s="198"/>
      <c r="ED53" s="198"/>
      <c r="EE53" s="198"/>
      <c r="EF53" s="250"/>
      <c r="EG53" s="250"/>
      <c r="EH53" s="250"/>
      <c r="EI53" s="250"/>
      <c r="EJ53" s="250"/>
      <c r="EK53" s="250"/>
      <c r="EN53" s="275" t="s">
        <v>184</v>
      </c>
      <c r="EO53" s="275">
        <v>2004</v>
      </c>
      <c r="EP53" s="275">
        <v>2005</v>
      </c>
      <c r="EQ53" s="275">
        <v>2006</v>
      </c>
      <c r="ER53" s="275">
        <v>2007</v>
      </c>
      <c r="ES53" s="275">
        <v>2008</v>
      </c>
      <c r="ET53" s="275">
        <v>2009</v>
      </c>
      <c r="EU53" s="275">
        <v>2010</v>
      </c>
      <c r="EV53" s="275">
        <v>2011</v>
      </c>
      <c r="EW53" s="275">
        <v>2012</v>
      </c>
      <c r="EX53" s="275">
        <v>2013</v>
      </c>
      <c r="EY53" s="275">
        <v>2014</v>
      </c>
      <c r="EZ53" s="808" t="s">
        <v>516</v>
      </c>
      <c r="FA53" s="35"/>
      <c r="GE53" s="237"/>
      <c r="GF53" s="237"/>
      <c r="GG53" s="237"/>
      <c r="GH53" s="237"/>
      <c r="GI53" s="237"/>
      <c r="GJ53" s="237"/>
      <c r="GK53" s="237"/>
      <c r="GL53" s="237"/>
      <c r="GT53" s="237"/>
      <c r="GU53" s="237"/>
      <c r="GV53" s="237"/>
      <c r="GW53" s="237"/>
      <c r="GX53" s="237"/>
      <c r="GY53" s="237"/>
      <c r="GZ53" s="237"/>
      <c r="HA53" s="237"/>
      <c r="HB53" s="237"/>
      <c r="HC53" s="237"/>
      <c r="HD53" s="237"/>
      <c r="HE53" s="237"/>
      <c r="HF53" s="237"/>
      <c r="HG53" s="237"/>
      <c r="HH53" s="237"/>
      <c r="HI53" s="237"/>
      <c r="HJ53" s="237"/>
      <c r="HK53" s="237"/>
      <c r="HL53" s="237"/>
    </row>
    <row r="54" spans="1:220" ht="15" customHeight="1">
      <c r="A54" s="153"/>
      <c r="B54" s="156" t="s">
        <v>139</v>
      </c>
      <c r="C54" s="154">
        <f>SUM(C51)</f>
        <v>0</v>
      </c>
      <c r="D54" s="154"/>
      <c r="E54" s="184">
        <f>SUM(E51)</f>
        <v>0</v>
      </c>
      <c r="F54" s="22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98"/>
      <c r="AQ54" s="198"/>
      <c r="AR54" s="198"/>
      <c r="AS54" s="198"/>
      <c r="AT54" s="250"/>
      <c r="AU54" s="250"/>
      <c r="AV54" s="250"/>
      <c r="AW54" s="250"/>
      <c r="AX54" s="250"/>
      <c r="AY54" s="250"/>
      <c r="BA54" s="188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T54" s="188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>
        <f aca="true" t="shared" si="61" ref="DE54:EB54">SUM(DE51)</f>
        <v>0</v>
      </c>
      <c r="DF54" s="115">
        <f t="shared" si="61"/>
        <v>0</v>
      </c>
      <c r="DG54" s="115">
        <f t="shared" si="61"/>
        <v>0</v>
      </c>
      <c r="DH54" s="115">
        <f t="shared" si="61"/>
        <v>0</v>
      </c>
      <c r="DI54" s="115">
        <f t="shared" si="61"/>
        <v>0</v>
      </c>
      <c r="DJ54" s="115">
        <f t="shared" si="61"/>
        <v>0</v>
      </c>
      <c r="DK54" s="115">
        <f t="shared" si="61"/>
        <v>0</v>
      </c>
      <c r="DL54" s="115">
        <f t="shared" si="61"/>
        <v>0</v>
      </c>
      <c r="DM54" s="115">
        <f t="shared" si="61"/>
        <v>0</v>
      </c>
      <c r="DN54" s="115">
        <f t="shared" si="61"/>
        <v>0</v>
      </c>
      <c r="DO54" s="115">
        <f t="shared" si="61"/>
        <v>0</v>
      </c>
      <c r="DP54" s="115">
        <f t="shared" si="61"/>
        <v>0</v>
      </c>
      <c r="DQ54" s="115">
        <f t="shared" si="61"/>
        <v>0</v>
      </c>
      <c r="DR54" s="115">
        <f t="shared" si="61"/>
        <v>0</v>
      </c>
      <c r="DS54" s="115">
        <f t="shared" si="61"/>
        <v>0</v>
      </c>
      <c r="DT54" s="115">
        <f t="shared" si="61"/>
        <v>0</v>
      </c>
      <c r="DU54" s="115">
        <f t="shared" si="61"/>
        <v>0</v>
      </c>
      <c r="DV54" s="115">
        <f t="shared" si="61"/>
        <v>0</v>
      </c>
      <c r="DW54" s="115">
        <f t="shared" si="61"/>
        <v>0</v>
      </c>
      <c r="DX54" s="115">
        <f t="shared" si="61"/>
        <v>0</v>
      </c>
      <c r="DY54" s="115">
        <f t="shared" si="61"/>
        <v>0</v>
      </c>
      <c r="DZ54" s="115">
        <f t="shared" si="61"/>
        <v>0</v>
      </c>
      <c r="EA54" s="115">
        <f t="shared" si="61"/>
        <v>0</v>
      </c>
      <c r="EB54" s="198">
        <f t="shared" si="61"/>
        <v>0</v>
      </c>
      <c r="EC54" s="198">
        <f>SUM(EC51)</f>
        <v>0</v>
      </c>
      <c r="ED54" s="198"/>
      <c r="EE54" s="198"/>
      <c r="EF54" s="250"/>
      <c r="EG54" s="250"/>
      <c r="EH54" s="250"/>
      <c r="EI54" s="250"/>
      <c r="EJ54" s="250"/>
      <c r="EK54" s="250"/>
      <c r="EN54" s="114" t="s">
        <v>239</v>
      </c>
      <c r="EO54" s="115">
        <f>SUM(H55:K55,BA54:BD54,CT54:CW54)</f>
        <v>0</v>
      </c>
      <c r="EP54" s="115">
        <f>SUM(L55:O55,BE54:BH54,CX54:DA54)</f>
        <v>0</v>
      </c>
      <c r="EQ54" s="115">
        <f>SUM(P55:S55,BI54:BL54,DB54:DE54)</f>
        <v>0</v>
      </c>
      <c r="ER54" s="115">
        <f>SUM(T55:W55,BM54:BP54,DF54:DI54)</f>
        <v>0</v>
      </c>
      <c r="ES54" s="115">
        <f>SUM(X55:AA55,BQ54:BT54,DJ54:DM54)</f>
        <v>0</v>
      </c>
      <c r="ET54" s="115">
        <f>SUM(AB55:AE55,BU54:BX54,DN54:DQ54)</f>
        <v>0</v>
      </c>
      <c r="EU54" s="115">
        <f>SUM(AF55:AI55,BY54:CB54,DR54:DU54)</f>
        <v>0</v>
      </c>
      <c r="EV54" s="115">
        <f>SUM(AJ55:AM55,CC54:CF54,DV54:DY54)</f>
        <v>0</v>
      </c>
      <c r="EW54" s="115">
        <f>SUM(AN55:AQ55,CG54:CJ54,DZ54:EC54)</f>
        <v>0</v>
      </c>
      <c r="EX54" s="239">
        <f>SUM(AR55:AU55,CK54:CN54,ED54:EG54)</f>
        <v>0</v>
      </c>
      <c r="EY54" s="239">
        <f>SUM(AV55:AY55,CO54:CR54,EH54:EK54)</f>
        <v>0</v>
      </c>
      <c r="EZ54" s="239">
        <f>SUM(EO54:EY54)</f>
        <v>0</v>
      </c>
      <c r="FA54" s="237"/>
      <c r="GE54" s="237"/>
      <c r="GF54" s="237"/>
      <c r="GG54" s="237"/>
      <c r="GH54" s="237"/>
      <c r="GI54" s="237"/>
      <c r="GJ54" s="237"/>
      <c r="GK54" s="237"/>
      <c r="GL54" s="237"/>
      <c r="GT54" s="237"/>
      <c r="GU54" s="237"/>
      <c r="GV54" s="237"/>
      <c r="GW54" s="237"/>
      <c r="GX54" s="237"/>
      <c r="GY54" s="237"/>
      <c r="GZ54" s="237"/>
      <c r="HA54" s="237"/>
      <c r="HB54" s="237"/>
      <c r="HC54" s="237"/>
      <c r="HD54" s="237"/>
      <c r="HE54" s="237"/>
      <c r="HF54" s="237"/>
      <c r="HG54" s="237"/>
      <c r="HH54" s="237"/>
      <c r="HI54" s="237"/>
      <c r="HJ54" s="237"/>
      <c r="HK54" s="237"/>
      <c r="HL54" s="237"/>
    </row>
    <row r="55" spans="1:220" ht="15" customHeight="1">
      <c r="A55" s="153"/>
      <c r="B55" s="156" t="s">
        <v>140</v>
      </c>
      <c r="C55" s="154">
        <f>SUM(C52:C53)</f>
        <v>0</v>
      </c>
      <c r="D55" s="154"/>
      <c r="E55" s="184">
        <f>SUM(E52:E53)</f>
        <v>0</v>
      </c>
      <c r="F55" s="224"/>
      <c r="G55" s="115"/>
      <c r="H55" s="115">
        <f>SUM(H52:H53)</f>
        <v>0</v>
      </c>
      <c r="I55" s="115">
        <f aca="true" t="shared" si="62" ref="I55:AP55">SUM(I52:I53)</f>
        <v>0</v>
      </c>
      <c r="J55" s="115">
        <f t="shared" si="62"/>
        <v>0</v>
      </c>
      <c r="K55" s="115">
        <f t="shared" si="62"/>
        <v>0</v>
      </c>
      <c r="L55" s="115">
        <f t="shared" si="62"/>
        <v>0</v>
      </c>
      <c r="M55" s="115">
        <f t="shared" si="62"/>
        <v>0</v>
      </c>
      <c r="N55" s="115">
        <f t="shared" si="62"/>
        <v>0</v>
      </c>
      <c r="O55" s="115">
        <f t="shared" si="62"/>
        <v>0</v>
      </c>
      <c r="P55" s="115">
        <f t="shared" si="62"/>
        <v>0</v>
      </c>
      <c r="Q55" s="115">
        <f t="shared" si="62"/>
        <v>0</v>
      </c>
      <c r="R55" s="115">
        <f t="shared" si="62"/>
        <v>0</v>
      </c>
      <c r="S55" s="115">
        <f t="shared" si="62"/>
        <v>0</v>
      </c>
      <c r="T55" s="115">
        <f t="shared" si="62"/>
        <v>0</v>
      </c>
      <c r="U55" s="115">
        <f t="shared" si="62"/>
        <v>0</v>
      </c>
      <c r="V55" s="115">
        <f t="shared" si="62"/>
        <v>0</v>
      </c>
      <c r="W55" s="115">
        <f t="shared" si="62"/>
        <v>0</v>
      </c>
      <c r="X55" s="115">
        <f t="shared" si="62"/>
        <v>0</v>
      </c>
      <c r="Y55" s="115">
        <f t="shared" si="62"/>
        <v>0</v>
      </c>
      <c r="Z55" s="115">
        <f t="shared" si="62"/>
        <v>0</v>
      </c>
      <c r="AA55" s="115">
        <f t="shared" si="62"/>
        <v>0</v>
      </c>
      <c r="AB55" s="115">
        <f t="shared" si="62"/>
        <v>0</v>
      </c>
      <c r="AC55" s="115">
        <f t="shared" si="62"/>
        <v>0</v>
      </c>
      <c r="AD55" s="115">
        <f t="shared" si="62"/>
        <v>0</v>
      </c>
      <c r="AE55" s="115">
        <f t="shared" si="62"/>
        <v>0</v>
      </c>
      <c r="AF55" s="115">
        <f t="shared" si="62"/>
        <v>0</v>
      </c>
      <c r="AG55" s="115">
        <f t="shared" si="62"/>
        <v>0</v>
      </c>
      <c r="AH55" s="115">
        <f t="shared" si="62"/>
        <v>0</v>
      </c>
      <c r="AI55" s="115">
        <f t="shared" si="62"/>
        <v>0</v>
      </c>
      <c r="AJ55" s="115">
        <f t="shared" si="62"/>
        <v>0</v>
      </c>
      <c r="AK55" s="115">
        <f t="shared" si="62"/>
        <v>0</v>
      </c>
      <c r="AL55" s="115">
        <f t="shared" si="62"/>
        <v>0</v>
      </c>
      <c r="AM55" s="115">
        <f t="shared" si="62"/>
        <v>0</v>
      </c>
      <c r="AN55" s="115">
        <f t="shared" si="62"/>
        <v>0</v>
      </c>
      <c r="AO55" s="115">
        <f t="shared" si="62"/>
        <v>0</v>
      </c>
      <c r="AP55" s="198">
        <f t="shared" si="62"/>
        <v>0</v>
      </c>
      <c r="AQ55" s="198">
        <f>SUM(AQ52:AQ53)</f>
        <v>0</v>
      </c>
      <c r="AR55" s="198"/>
      <c r="AS55" s="198"/>
      <c r="AT55" s="250"/>
      <c r="AU55" s="250"/>
      <c r="AV55" s="250"/>
      <c r="AW55" s="250"/>
      <c r="AX55" s="250"/>
      <c r="AY55" s="250"/>
      <c r="BA55" s="188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T55" s="188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98"/>
      <c r="EC55" s="198"/>
      <c r="ED55" s="198"/>
      <c r="EE55" s="198"/>
      <c r="EF55" s="250"/>
      <c r="EG55" s="250"/>
      <c r="EH55" s="250"/>
      <c r="EI55" s="250"/>
      <c r="EJ55" s="250"/>
      <c r="EK55" s="250"/>
      <c r="EN55" s="114" t="s">
        <v>185</v>
      </c>
      <c r="EO55" s="115">
        <f aca="true" t="shared" si="63" ref="EO55:EY55">EO54*0.506</f>
        <v>0</v>
      </c>
      <c r="EP55" s="115">
        <f t="shared" si="63"/>
        <v>0</v>
      </c>
      <c r="EQ55" s="115">
        <f t="shared" si="63"/>
        <v>0</v>
      </c>
      <c r="ER55" s="115">
        <f t="shared" si="63"/>
        <v>0</v>
      </c>
      <c r="ES55" s="115">
        <f t="shared" si="63"/>
        <v>0</v>
      </c>
      <c r="ET55" s="115">
        <f t="shared" si="63"/>
        <v>0</v>
      </c>
      <c r="EU55" s="115">
        <f t="shared" si="63"/>
        <v>0</v>
      </c>
      <c r="EV55" s="115">
        <f t="shared" si="63"/>
        <v>0</v>
      </c>
      <c r="EW55" s="115">
        <f t="shared" si="63"/>
        <v>0</v>
      </c>
      <c r="EX55" s="239">
        <f t="shared" si="63"/>
        <v>0</v>
      </c>
      <c r="EY55" s="239">
        <f t="shared" si="63"/>
        <v>0</v>
      </c>
      <c r="EZ55" s="239">
        <f>SUM(EO55:EY55)</f>
        <v>0</v>
      </c>
      <c r="FA55" s="237"/>
      <c r="GE55" s="237"/>
      <c r="GF55" s="237"/>
      <c r="GG55" s="237"/>
      <c r="GH55" s="237"/>
      <c r="GI55" s="237"/>
      <c r="GJ55" s="237"/>
      <c r="GK55" s="237"/>
      <c r="GL55" s="237"/>
      <c r="GT55" s="237"/>
      <c r="GU55" s="237"/>
      <c r="GV55" s="237"/>
      <c r="GW55" s="237"/>
      <c r="GX55" s="237"/>
      <c r="GY55" s="237"/>
      <c r="GZ55" s="237"/>
      <c r="HA55" s="237"/>
      <c r="HB55" s="237"/>
      <c r="HC55" s="237"/>
      <c r="HD55" s="237"/>
      <c r="HE55" s="237"/>
      <c r="HF55" s="237"/>
      <c r="HG55" s="237"/>
      <c r="HH55" s="237"/>
      <c r="HI55" s="237"/>
      <c r="HJ55" s="237"/>
      <c r="HK55" s="237"/>
      <c r="HL55" s="237"/>
    </row>
    <row r="56" spans="1:220" ht="15" customHeight="1">
      <c r="A56" s="210"/>
      <c r="B56" s="211" t="s">
        <v>70</v>
      </c>
      <c r="C56" s="212">
        <f>SUM(C54:C55)</f>
        <v>0</v>
      </c>
      <c r="D56" s="187"/>
      <c r="E56" s="229">
        <f>SUM(E54:E55)</f>
        <v>0</v>
      </c>
      <c r="F56" s="225" t="s">
        <v>110</v>
      </c>
      <c r="G56" s="202">
        <f>G$132</f>
        <v>0.506</v>
      </c>
      <c r="H56" s="204">
        <f aca="true" t="shared" si="64" ref="H56:AP56">SUM(H51:H53)*$G56</f>
        <v>0</v>
      </c>
      <c r="I56" s="204">
        <f t="shared" si="64"/>
        <v>0</v>
      </c>
      <c r="J56" s="204">
        <f t="shared" si="64"/>
        <v>0</v>
      </c>
      <c r="K56" s="204">
        <f t="shared" si="64"/>
        <v>0</v>
      </c>
      <c r="L56" s="204">
        <f t="shared" si="64"/>
        <v>0</v>
      </c>
      <c r="M56" s="204">
        <f t="shared" si="64"/>
        <v>0</v>
      </c>
      <c r="N56" s="204">
        <f t="shared" si="64"/>
        <v>0</v>
      </c>
      <c r="O56" s="204">
        <f t="shared" si="64"/>
        <v>0</v>
      </c>
      <c r="P56" s="204">
        <f t="shared" si="64"/>
        <v>0</v>
      </c>
      <c r="Q56" s="204">
        <f t="shared" si="64"/>
        <v>0</v>
      </c>
      <c r="R56" s="204">
        <f t="shared" si="64"/>
        <v>0</v>
      </c>
      <c r="S56" s="204">
        <f t="shared" si="64"/>
        <v>0</v>
      </c>
      <c r="T56" s="204">
        <f t="shared" si="64"/>
        <v>0</v>
      </c>
      <c r="U56" s="204">
        <f t="shared" si="64"/>
        <v>0</v>
      </c>
      <c r="V56" s="204">
        <f t="shared" si="64"/>
        <v>0</v>
      </c>
      <c r="W56" s="204">
        <f t="shared" si="64"/>
        <v>0</v>
      </c>
      <c r="X56" s="204">
        <f t="shared" si="64"/>
        <v>0</v>
      </c>
      <c r="Y56" s="204">
        <f t="shared" si="64"/>
        <v>0</v>
      </c>
      <c r="Z56" s="204">
        <f t="shared" si="64"/>
        <v>0</v>
      </c>
      <c r="AA56" s="204">
        <f t="shared" si="64"/>
        <v>0</v>
      </c>
      <c r="AB56" s="204">
        <f t="shared" si="64"/>
        <v>0</v>
      </c>
      <c r="AC56" s="204">
        <f t="shared" si="64"/>
        <v>0</v>
      </c>
      <c r="AD56" s="204">
        <f t="shared" si="64"/>
        <v>0</v>
      </c>
      <c r="AE56" s="204">
        <f t="shared" si="64"/>
        <v>0</v>
      </c>
      <c r="AF56" s="204">
        <f t="shared" si="64"/>
        <v>0</v>
      </c>
      <c r="AG56" s="204">
        <f t="shared" si="64"/>
        <v>0</v>
      </c>
      <c r="AH56" s="204">
        <f t="shared" si="64"/>
        <v>0</v>
      </c>
      <c r="AI56" s="204">
        <f t="shared" si="64"/>
        <v>0</v>
      </c>
      <c r="AJ56" s="204">
        <f t="shared" si="64"/>
        <v>0</v>
      </c>
      <c r="AK56" s="204">
        <f t="shared" si="64"/>
        <v>0</v>
      </c>
      <c r="AL56" s="204">
        <f t="shared" si="64"/>
        <v>0</v>
      </c>
      <c r="AM56" s="204">
        <f t="shared" si="64"/>
        <v>0</v>
      </c>
      <c r="AN56" s="204">
        <f t="shared" si="64"/>
        <v>0</v>
      </c>
      <c r="AO56" s="204">
        <f t="shared" si="64"/>
        <v>0</v>
      </c>
      <c r="AP56" s="624">
        <f t="shared" si="64"/>
        <v>0</v>
      </c>
      <c r="AQ56" s="624">
        <f>SUM(AQ51:AQ53)*$G56</f>
        <v>0</v>
      </c>
      <c r="AR56" s="624"/>
      <c r="AS56" s="624"/>
      <c r="AT56" s="676"/>
      <c r="AU56" s="676"/>
      <c r="AV56" s="676"/>
      <c r="AW56" s="676"/>
      <c r="AX56" s="676"/>
      <c r="AY56" s="676"/>
      <c r="BA56" s="25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>
        <f aca="true" t="shared" si="65" ref="BL56:CI56">SUM(BL51:BL53)*$G56</f>
        <v>0</v>
      </c>
      <c r="BM56" s="204">
        <f t="shared" si="65"/>
        <v>0</v>
      </c>
      <c r="BN56" s="204">
        <f t="shared" si="65"/>
        <v>0</v>
      </c>
      <c r="BO56" s="204">
        <f t="shared" si="65"/>
        <v>0</v>
      </c>
      <c r="BP56" s="204">
        <f t="shared" si="65"/>
        <v>0</v>
      </c>
      <c r="BQ56" s="204">
        <f t="shared" si="65"/>
        <v>0</v>
      </c>
      <c r="BR56" s="204">
        <f t="shared" si="65"/>
        <v>0</v>
      </c>
      <c r="BS56" s="204">
        <f t="shared" si="65"/>
        <v>0</v>
      </c>
      <c r="BT56" s="204">
        <f t="shared" si="65"/>
        <v>0</v>
      </c>
      <c r="BU56" s="204">
        <f t="shared" si="65"/>
        <v>0</v>
      </c>
      <c r="BV56" s="204">
        <f t="shared" si="65"/>
        <v>0</v>
      </c>
      <c r="BW56" s="204">
        <f t="shared" si="65"/>
        <v>0</v>
      </c>
      <c r="BX56" s="204">
        <f t="shared" si="65"/>
        <v>0</v>
      </c>
      <c r="BY56" s="204">
        <f t="shared" si="65"/>
        <v>0</v>
      </c>
      <c r="BZ56" s="204">
        <f t="shared" si="65"/>
        <v>0</v>
      </c>
      <c r="CA56" s="204">
        <f t="shared" si="65"/>
        <v>0</v>
      </c>
      <c r="CB56" s="204">
        <f t="shared" si="65"/>
        <v>0</v>
      </c>
      <c r="CC56" s="204">
        <f t="shared" si="65"/>
        <v>0</v>
      </c>
      <c r="CD56" s="204">
        <f t="shared" si="65"/>
        <v>0</v>
      </c>
      <c r="CE56" s="204">
        <f t="shared" si="65"/>
        <v>0</v>
      </c>
      <c r="CF56" s="204">
        <f t="shared" si="65"/>
        <v>0</v>
      </c>
      <c r="CG56" s="204">
        <f t="shared" si="65"/>
        <v>0</v>
      </c>
      <c r="CH56" s="204">
        <f t="shared" si="65"/>
        <v>0</v>
      </c>
      <c r="CI56" s="624">
        <f t="shared" si="65"/>
        <v>0</v>
      </c>
      <c r="CJ56" s="624">
        <f>SUM(CJ51:CJ53)*$G56</f>
        <v>0</v>
      </c>
      <c r="CK56" s="624"/>
      <c r="CL56" s="624"/>
      <c r="CM56" s="624"/>
      <c r="CN56" s="624"/>
      <c r="CO56" s="624"/>
      <c r="CP56" s="624"/>
      <c r="CQ56" s="624"/>
      <c r="CR56" s="624"/>
      <c r="CT56" s="25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>
        <f aca="true" t="shared" si="66" ref="DE56:EB56">SUM(DE51:DE53)*$G56</f>
        <v>0</v>
      </c>
      <c r="DF56" s="204">
        <f t="shared" si="66"/>
        <v>0</v>
      </c>
      <c r="DG56" s="204">
        <f t="shared" si="66"/>
        <v>0</v>
      </c>
      <c r="DH56" s="204">
        <f t="shared" si="66"/>
        <v>0</v>
      </c>
      <c r="DI56" s="204">
        <f t="shared" si="66"/>
        <v>0</v>
      </c>
      <c r="DJ56" s="204">
        <f t="shared" si="66"/>
        <v>0</v>
      </c>
      <c r="DK56" s="204">
        <f t="shared" si="66"/>
        <v>0</v>
      </c>
      <c r="DL56" s="204">
        <f t="shared" si="66"/>
        <v>0</v>
      </c>
      <c r="DM56" s="204">
        <f t="shared" si="66"/>
        <v>0</v>
      </c>
      <c r="DN56" s="204">
        <f t="shared" si="66"/>
        <v>0</v>
      </c>
      <c r="DO56" s="204">
        <f t="shared" si="66"/>
        <v>0</v>
      </c>
      <c r="DP56" s="204">
        <f t="shared" si="66"/>
        <v>0</v>
      </c>
      <c r="DQ56" s="204">
        <f t="shared" si="66"/>
        <v>0</v>
      </c>
      <c r="DR56" s="204">
        <f t="shared" si="66"/>
        <v>0</v>
      </c>
      <c r="DS56" s="204">
        <f t="shared" si="66"/>
        <v>0</v>
      </c>
      <c r="DT56" s="204">
        <f t="shared" si="66"/>
        <v>0</v>
      </c>
      <c r="DU56" s="204">
        <f t="shared" si="66"/>
        <v>0</v>
      </c>
      <c r="DV56" s="204">
        <f t="shared" si="66"/>
        <v>0</v>
      </c>
      <c r="DW56" s="204">
        <f t="shared" si="66"/>
        <v>0</v>
      </c>
      <c r="DX56" s="204">
        <f t="shared" si="66"/>
        <v>0</v>
      </c>
      <c r="DY56" s="204">
        <f t="shared" si="66"/>
        <v>0</v>
      </c>
      <c r="DZ56" s="204">
        <f t="shared" si="66"/>
        <v>0</v>
      </c>
      <c r="EA56" s="204">
        <f t="shared" si="66"/>
        <v>0</v>
      </c>
      <c r="EB56" s="624">
        <f t="shared" si="66"/>
        <v>0</v>
      </c>
      <c r="EC56" s="624">
        <f>SUM(EC51:EC53)*$G56</f>
        <v>0</v>
      </c>
      <c r="ED56" s="624"/>
      <c r="EE56" s="624"/>
      <c r="EF56" s="676"/>
      <c r="EG56" s="676"/>
      <c r="EH56" s="676"/>
      <c r="EI56" s="676"/>
      <c r="EJ56" s="676"/>
      <c r="EK56" s="676"/>
      <c r="EN56" s="114" t="s">
        <v>238</v>
      </c>
      <c r="EO56" s="115">
        <f aca="true" t="shared" si="67" ref="EO56:EY56">SUM(EO54:EO55)</f>
        <v>0</v>
      </c>
      <c r="EP56" s="115">
        <f t="shared" si="67"/>
        <v>0</v>
      </c>
      <c r="EQ56" s="115">
        <f t="shared" si="67"/>
        <v>0</v>
      </c>
      <c r="ER56" s="115">
        <f t="shared" si="67"/>
        <v>0</v>
      </c>
      <c r="ES56" s="115">
        <f t="shared" si="67"/>
        <v>0</v>
      </c>
      <c r="ET56" s="115">
        <f t="shared" si="67"/>
        <v>0</v>
      </c>
      <c r="EU56" s="115">
        <f t="shared" si="67"/>
        <v>0</v>
      </c>
      <c r="EV56" s="115">
        <f t="shared" si="67"/>
        <v>0</v>
      </c>
      <c r="EW56" s="115">
        <f t="shared" si="67"/>
        <v>0</v>
      </c>
      <c r="EX56" s="239">
        <f t="shared" si="67"/>
        <v>0</v>
      </c>
      <c r="EY56" s="239">
        <f t="shared" si="67"/>
        <v>0</v>
      </c>
      <c r="EZ56" s="239">
        <f>SUM(EO56:EY56)</f>
        <v>0</v>
      </c>
      <c r="FA56" s="237"/>
      <c r="GD56" s="238"/>
      <c r="GE56" s="238"/>
      <c r="GF56" s="238"/>
      <c r="GG56" s="238"/>
      <c r="GH56" s="238"/>
      <c r="GI56" s="238"/>
      <c r="GJ56" s="238"/>
      <c r="GK56" s="238"/>
      <c r="GL56" s="238"/>
      <c r="GT56" s="238"/>
      <c r="GU56" s="238"/>
      <c r="GV56" s="238"/>
      <c r="GW56" s="238"/>
      <c r="GX56" s="238"/>
      <c r="GY56" s="238"/>
      <c r="GZ56" s="238"/>
      <c r="HA56" s="238"/>
      <c r="HB56" s="238"/>
      <c r="HC56" s="238"/>
      <c r="HD56" s="238"/>
      <c r="HE56" s="238"/>
      <c r="HF56" s="238"/>
      <c r="HG56" s="238"/>
      <c r="HH56" s="238"/>
      <c r="HI56" s="238"/>
      <c r="HJ56" s="238"/>
      <c r="HK56" s="238"/>
      <c r="HL56" s="238"/>
    </row>
    <row r="57" spans="1:220" ht="15" customHeight="1">
      <c r="A57" s="391"/>
      <c r="B57" s="392"/>
      <c r="C57" s="393"/>
      <c r="D57" s="398"/>
      <c r="E57" s="394"/>
      <c r="F57" s="395" t="s">
        <v>178</v>
      </c>
      <c r="G57" s="396">
        <v>0.01</v>
      </c>
      <c r="H57" s="399">
        <f>H55*$G$57</f>
        <v>0</v>
      </c>
      <c r="I57" s="399">
        <f aca="true" t="shared" si="68" ref="I57:AP57">I55*$G$57</f>
        <v>0</v>
      </c>
      <c r="J57" s="399">
        <f t="shared" si="68"/>
        <v>0</v>
      </c>
      <c r="K57" s="399">
        <f t="shared" si="68"/>
        <v>0</v>
      </c>
      <c r="L57" s="399">
        <f t="shared" si="68"/>
        <v>0</v>
      </c>
      <c r="M57" s="399">
        <f t="shared" si="68"/>
        <v>0</v>
      </c>
      <c r="N57" s="399">
        <f t="shared" si="68"/>
        <v>0</v>
      </c>
      <c r="O57" s="399">
        <f t="shared" si="68"/>
        <v>0</v>
      </c>
      <c r="P57" s="399">
        <f t="shared" si="68"/>
        <v>0</v>
      </c>
      <c r="Q57" s="399">
        <f t="shared" si="68"/>
        <v>0</v>
      </c>
      <c r="R57" s="399">
        <f t="shared" si="68"/>
        <v>0</v>
      </c>
      <c r="S57" s="399">
        <f t="shared" si="68"/>
        <v>0</v>
      </c>
      <c r="T57" s="399">
        <f t="shared" si="68"/>
        <v>0</v>
      </c>
      <c r="U57" s="399">
        <f t="shared" si="68"/>
        <v>0</v>
      </c>
      <c r="V57" s="399">
        <f t="shared" si="68"/>
        <v>0</v>
      </c>
      <c r="W57" s="399">
        <f t="shared" si="68"/>
        <v>0</v>
      </c>
      <c r="X57" s="399">
        <f t="shared" si="68"/>
        <v>0</v>
      </c>
      <c r="Y57" s="399">
        <f t="shared" si="68"/>
        <v>0</v>
      </c>
      <c r="Z57" s="399">
        <f t="shared" si="68"/>
        <v>0</v>
      </c>
      <c r="AA57" s="399">
        <f t="shared" si="68"/>
        <v>0</v>
      </c>
      <c r="AB57" s="399">
        <f t="shared" si="68"/>
        <v>0</v>
      </c>
      <c r="AC57" s="399">
        <f t="shared" si="68"/>
        <v>0</v>
      </c>
      <c r="AD57" s="399">
        <f t="shared" si="68"/>
        <v>0</v>
      </c>
      <c r="AE57" s="399">
        <f t="shared" si="68"/>
        <v>0</v>
      </c>
      <c r="AF57" s="399">
        <f t="shared" si="68"/>
        <v>0</v>
      </c>
      <c r="AG57" s="399">
        <f t="shared" si="68"/>
        <v>0</v>
      </c>
      <c r="AH57" s="399">
        <f t="shared" si="68"/>
        <v>0</v>
      </c>
      <c r="AI57" s="399">
        <f t="shared" si="68"/>
        <v>0</v>
      </c>
      <c r="AJ57" s="399">
        <f t="shared" si="68"/>
        <v>0</v>
      </c>
      <c r="AK57" s="399">
        <f t="shared" si="68"/>
        <v>0</v>
      </c>
      <c r="AL57" s="399">
        <f t="shared" si="68"/>
        <v>0</v>
      </c>
      <c r="AM57" s="399">
        <f t="shared" si="68"/>
        <v>0</v>
      </c>
      <c r="AN57" s="399">
        <f t="shared" si="68"/>
        <v>0</v>
      </c>
      <c r="AO57" s="399">
        <f t="shared" si="68"/>
        <v>0</v>
      </c>
      <c r="AP57" s="625">
        <f t="shared" si="68"/>
        <v>0</v>
      </c>
      <c r="AQ57" s="625">
        <f>AQ55*$G$57</f>
        <v>0</v>
      </c>
      <c r="AR57" s="625"/>
      <c r="AS57" s="625"/>
      <c r="AT57" s="677"/>
      <c r="AU57" s="677"/>
      <c r="AV57" s="677"/>
      <c r="AW57" s="677"/>
      <c r="AX57" s="677"/>
      <c r="AY57" s="677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>
        <f aca="true" t="shared" si="69" ref="BL57:DM57">BL54*$G$57</f>
        <v>0</v>
      </c>
      <c r="BM57" s="399">
        <f t="shared" si="69"/>
        <v>0</v>
      </c>
      <c r="BN57" s="399">
        <f t="shared" si="69"/>
        <v>0</v>
      </c>
      <c r="BO57" s="399">
        <f t="shared" si="69"/>
        <v>0</v>
      </c>
      <c r="BP57" s="399">
        <f t="shared" si="69"/>
        <v>0</v>
      </c>
      <c r="BQ57" s="399">
        <f t="shared" si="69"/>
        <v>0</v>
      </c>
      <c r="BR57" s="399">
        <f t="shared" si="69"/>
        <v>0</v>
      </c>
      <c r="BS57" s="399">
        <f t="shared" si="69"/>
        <v>0</v>
      </c>
      <c r="BT57" s="399">
        <f t="shared" si="69"/>
        <v>0</v>
      </c>
      <c r="BU57" s="399">
        <f t="shared" si="69"/>
        <v>0</v>
      </c>
      <c r="BV57" s="399">
        <f t="shared" si="69"/>
        <v>0</v>
      </c>
      <c r="BW57" s="399">
        <f t="shared" si="69"/>
        <v>0</v>
      </c>
      <c r="BX57" s="399">
        <f t="shared" si="69"/>
        <v>0</v>
      </c>
      <c r="BY57" s="399">
        <f t="shared" si="69"/>
        <v>0</v>
      </c>
      <c r="BZ57" s="399">
        <f t="shared" si="69"/>
        <v>0</v>
      </c>
      <c r="CA57" s="399">
        <f t="shared" si="69"/>
        <v>0</v>
      </c>
      <c r="CB57" s="399">
        <f t="shared" si="69"/>
        <v>0</v>
      </c>
      <c r="CC57" s="399">
        <f t="shared" si="69"/>
        <v>0</v>
      </c>
      <c r="CD57" s="399">
        <f t="shared" si="69"/>
        <v>0</v>
      </c>
      <c r="CE57" s="399">
        <f t="shared" si="69"/>
        <v>0</v>
      </c>
      <c r="CF57" s="399">
        <f t="shared" si="69"/>
        <v>0</v>
      </c>
      <c r="CG57" s="399">
        <f t="shared" si="69"/>
        <v>0</v>
      </c>
      <c r="CH57" s="399">
        <f t="shared" si="69"/>
        <v>0</v>
      </c>
      <c r="CI57" s="625">
        <f t="shared" si="69"/>
        <v>0</v>
      </c>
      <c r="CJ57" s="625">
        <f>CJ54*$G$57</f>
        <v>0</v>
      </c>
      <c r="CK57" s="625"/>
      <c r="CL57" s="625"/>
      <c r="CM57" s="625"/>
      <c r="CN57" s="625"/>
      <c r="CO57" s="625"/>
      <c r="CP57" s="625"/>
      <c r="CQ57" s="625"/>
      <c r="CR57" s="625"/>
      <c r="CT57" s="690"/>
      <c r="CU57" s="399"/>
      <c r="CV57" s="399"/>
      <c r="CW57" s="399"/>
      <c r="CX57" s="399"/>
      <c r="CY57" s="399"/>
      <c r="CZ57" s="399"/>
      <c r="DA57" s="399"/>
      <c r="DB57" s="399"/>
      <c r="DC57" s="399"/>
      <c r="DD57" s="399"/>
      <c r="DE57" s="399">
        <f t="shared" si="69"/>
        <v>0</v>
      </c>
      <c r="DF57" s="399">
        <f t="shared" si="69"/>
        <v>0</v>
      </c>
      <c r="DG57" s="399">
        <f t="shared" si="69"/>
        <v>0</v>
      </c>
      <c r="DH57" s="399">
        <f t="shared" si="69"/>
        <v>0</v>
      </c>
      <c r="DI57" s="399">
        <f t="shared" si="69"/>
        <v>0</v>
      </c>
      <c r="DJ57" s="399">
        <f t="shared" si="69"/>
        <v>0</v>
      </c>
      <c r="DK57" s="399">
        <f t="shared" si="69"/>
        <v>0</v>
      </c>
      <c r="DL57" s="399">
        <f t="shared" si="69"/>
        <v>0</v>
      </c>
      <c r="DM57" s="399">
        <f t="shared" si="69"/>
        <v>0</v>
      </c>
      <c r="DN57" s="399">
        <f aca="true" t="shared" si="70" ref="DN57:EB57">DN54*$G$57</f>
        <v>0</v>
      </c>
      <c r="DO57" s="399">
        <f t="shared" si="70"/>
        <v>0</v>
      </c>
      <c r="DP57" s="399">
        <f t="shared" si="70"/>
        <v>0</v>
      </c>
      <c r="DQ57" s="399">
        <f t="shared" si="70"/>
        <v>0</v>
      </c>
      <c r="DR57" s="399">
        <f t="shared" si="70"/>
        <v>0</v>
      </c>
      <c r="DS57" s="399">
        <f t="shared" si="70"/>
        <v>0</v>
      </c>
      <c r="DT57" s="399">
        <f t="shared" si="70"/>
        <v>0</v>
      </c>
      <c r="DU57" s="399">
        <f t="shared" si="70"/>
        <v>0</v>
      </c>
      <c r="DV57" s="399">
        <f t="shared" si="70"/>
        <v>0</v>
      </c>
      <c r="DW57" s="399">
        <f t="shared" si="70"/>
        <v>0</v>
      </c>
      <c r="DX57" s="399">
        <f t="shared" si="70"/>
        <v>0</v>
      </c>
      <c r="DY57" s="399">
        <f t="shared" si="70"/>
        <v>0</v>
      </c>
      <c r="DZ57" s="399">
        <f t="shared" si="70"/>
        <v>0</v>
      </c>
      <c r="EA57" s="399">
        <f t="shared" si="70"/>
        <v>0</v>
      </c>
      <c r="EB57" s="625">
        <f t="shared" si="70"/>
        <v>0</v>
      </c>
      <c r="EC57" s="625">
        <f>EC54*$G$57</f>
        <v>0</v>
      </c>
      <c r="ED57" s="625"/>
      <c r="EE57" s="625"/>
      <c r="EF57" s="677"/>
      <c r="EG57" s="677"/>
      <c r="EH57" s="677"/>
      <c r="EI57" s="677"/>
      <c r="EJ57" s="677"/>
      <c r="EK57" s="677"/>
      <c r="EN57" s="390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GD57" s="238"/>
      <c r="GE57" s="238"/>
      <c r="GF57" s="238"/>
      <c r="GG57" s="238"/>
      <c r="GH57" s="238"/>
      <c r="GI57" s="238"/>
      <c r="GJ57" s="238"/>
      <c r="GK57" s="238"/>
      <c r="GL57" s="238"/>
      <c r="GT57" s="238"/>
      <c r="GU57" s="238"/>
      <c r="GV57" s="238"/>
      <c r="GW57" s="238"/>
      <c r="GX57" s="238"/>
      <c r="GY57" s="238"/>
      <c r="GZ57" s="238"/>
      <c r="HA57" s="238"/>
      <c r="HB57" s="238"/>
      <c r="HC57" s="238"/>
      <c r="HD57" s="238"/>
      <c r="HE57" s="238"/>
      <c r="HF57" s="238"/>
      <c r="HG57" s="238"/>
      <c r="HH57" s="238"/>
      <c r="HI57" s="238"/>
      <c r="HJ57" s="238"/>
      <c r="HK57" s="238"/>
      <c r="HL57" s="238"/>
    </row>
    <row r="58" spans="1:220" ht="15" customHeight="1">
      <c r="A58" s="174"/>
      <c r="B58" s="175" t="s">
        <v>141</v>
      </c>
      <c r="C58" s="176"/>
      <c r="D58" s="176"/>
      <c r="E58" s="183"/>
      <c r="F58" s="222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621"/>
      <c r="AQ58" s="621"/>
      <c r="AR58" s="621"/>
      <c r="AS58" s="621"/>
      <c r="AT58" s="678"/>
      <c r="AU58" s="678"/>
      <c r="AV58" s="678"/>
      <c r="AW58" s="678"/>
      <c r="AX58" s="678"/>
      <c r="AY58" s="678"/>
      <c r="AZ58" s="238"/>
      <c r="BA58" s="249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621"/>
      <c r="CJ58" s="621"/>
      <c r="CK58" s="621"/>
      <c r="CL58" s="621"/>
      <c r="CM58" s="621"/>
      <c r="CN58" s="621"/>
      <c r="CO58" s="621"/>
      <c r="CP58" s="621"/>
      <c r="CQ58" s="621"/>
      <c r="CR58" s="621"/>
      <c r="CS58" s="238"/>
      <c r="CT58" s="249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621"/>
      <c r="EC58" s="621"/>
      <c r="ED58" s="621"/>
      <c r="EE58" s="621"/>
      <c r="EF58" s="678"/>
      <c r="EG58" s="678"/>
      <c r="EH58" s="678"/>
      <c r="EI58" s="678"/>
      <c r="EJ58" s="678"/>
      <c r="EK58" s="678"/>
      <c r="GE58" s="237"/>
      <c r="GF58" s="237"/>
      <c r="GG58" s="237"/>
      <c r="GH58" s="237"/>
      <c r="GI58" s="237"/>
      <c r="GJ58" s="237"/>
      <c r="GK58" s="237"/>
      <c r="GL58" s="237"/>
      <c r="GT58" s="237"/>
      <c r="GU58" s="237"/>
      <c r="GV58" s="237"/>
      <c r="GW58" s="237"/>
      <c r="GX58" s="237"/>
      <c r="GY58" s="237"/>
      <c r="GZ58" s="237"/>
      <c r="HA58" s="237"/>
      <c r="HB58" s="237"/>
      <c r="HC58" s="237"/>
      <c r="HD58" s="237"/>
      <c r="HE58" s="237"/>
      <c r="HF58" s="237"/>
      <c r="HG58" s="237"/>
      <c r="HH58" s="237"/>
      <c r="HI58" s="237"/>
      <c r="HJ58" s="237"/>
      <c r="HK58" s="237"/>
      <c r="HL58" s="237"/>
    </row>
    <row r="59" spans="1:220" ht="15" customHeight="1">
      <c r="A59" s="178">
        <v>2</v>
      </c>
      <c r="B59" s="179" t="s">
        <v>429</v>
      </c>
      <c r="C59" s="180"/>
      <c r="D59" s="180"/>
      <c r="E59" s="182"/>
      <c r="F59" s="226"/>
      <c r="G59" s="208"/>
      <c r="H59" s="208"/>
      <c r="I59" s="208"/>
      <c r="J59" s="208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643"/>
      <c r="AQ59" s="643"/>
      <c r="AR59" s="643"/>
      <c r="AS59" s="643"/>
      <c r="AT59" s="679"/>
      <c r="AU59" s="679"/>
      <c r="AV59" s="679"/>
      <c r="AW59" s="679"/>
      <c r="AX59" s="679"/>
      <c r="AY59" s="679"/>
      <c r="AZ59" s="237"/>
      <c r="BA59" s="251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622"/>
      <c r="CJ59" s="622"/>
      <c r="CK59" s="622"/>
      <c r="CL59" s="622"/>
      <c r="CM59" s="622"/>
      <c r="CN59" s="622"/>
      <c r="CO59" s="622"/>
      <c r="CP59" s="622"/>
      <c r="CQ59" s="622"/>
      <c r="CR59" s="622"/>
      <c r="CT59" s="251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622"/>
      <c r="EC59" s="622"/>
      <c r="ED59" s="622"/>
      <c r="EE59" s="622"/>
      <c r="EF59" s="253"/>
      <c r="EG59" s="253"/>
      <c r="EH59" s="253"/>
      <c r="EI59" s="253"/>
      <c r="EJ59" s="253"/>
      <c r="EK59" s="253"/>
      <c r="GE59" s="237"/>
      <c r="GF59" s="237"/>
      <c r="GG59" s="237"/>
      <c r="GH59" s="237"/>
      <c r="GI59" s="237"/>
      <c r="GJ59" s="237"/>
      <c r="GK59" s="237"/>
      <c r="GL59" s="237"/>
      <c r="GT59" s="636"/>
      <c r="GU59" s="636"/>
      <c r="GV59" s="636"/>
      <c r="GW59" s="636"/>
      <c r="GX59" s="636"/>
      <c r="GY59" s="636"/>
      <c r="GZ59" s="237"/>
      <c r="HA59" s="237"/>
      <c r="HB59" s="237"/>
      <c r="HC59" s="237"/>
      <c r="HD59" s="237"/>
      <c r="HE59" s="636"/>
      <c r="HF59" s="237"/>
      <c r="HG59" s="237"/>
      <c r="HH59" s="237"/>
      <c r="HI59" s="237"/>
      <c r="HJ59" s="636"/>
      <c r="HK59" s="636"/>
      <c r="HL59" s="636"/>
    </row>
    <row r="60" spans="1:220" ht="28.5" customHeight="1">
      <c r="A60" s="153">
        <v>1</v>
      </c>
      <c r="B60" s="156" t="s">
        <v>430</v>
      </c>
      <c r="C60" s="154"/>
      <c r="D60" s="154">
        <f>1500*1.2</f>
        <v>1800</v>
      </c>
      <c r="E60" s="161">
        <f t="shared" si="2"/>
        <v>0</v>
      </c>
      <c r="F60" s="224"/>
      <c r="G60" s="115"/>
      <c r="H60" s="115"/>
      <c r="I60" s="115"/>
      <c r="J60" s="115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633"/>
      <c r="AQ60" s="633"/>
      <c r="AR60" s="633"/>
      <c r="AS60" s="633"/>
      <c r="AT60" s="672"/>
      <c r="AU60" s="672"/>
      <c r="AV60" s="672"/>
      <c r="AW60" s="672"/>
      <c r="AX60" s="672"/>
      <c r="AY60" s="672"/>
      <c r="BA60" s="188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>
        <f aca="true" t="shared" si="71" ref="BL60:BS60">$E60*BL$4</f>
        <v>0</v>
      </c>
      <c r="BM60" s="115">
        <f t="shared" si="71"/>
        <v>0</v>
      </c>
      <c r="BN60" s="115">
        <f t="shared" si="71"/>
        <v>0</v>
      </c>
      <c r="BO60" s="115">
        <f t="shared" si="71"/>
        <v>0</v>
      </c>
      <c r="BP60" s="115">
        <f t="shared" si="71"/>
        <v>0</v>
      </c>
      <c r="BQ60" s="115">
        <f t="shared" si="71"/>
        <v>0</v>
      </c>
      <c r="BR60" s="115">
        <f t="shared" si="71"/>
        <v>0</v>
      </c>
      <c r="BS60" s="115">
        <f t="shared" si="71"/>
        <v>0</v>
      </c>
      <c r="BT60" s="115">
        <f aca="true" t="shared" si="72" ref="BL60:CG61">$E60*BT$4</f>
        <v>0</v>
      </c>
      <c r="BU60" s="115">
        <f t="shared" si="72"/>
        <v>0</v>
      </c>
      <c r="BV60" s="115">
        <f t="shared" si="72"/>
        <v>0</v>
      </c>
      <c r="BW60" s="115">
        <f t="shared" si="72"/>
        <v>0</v>
      </c>
      <c r="BX60" s="115">
        <f t="shared" si="72"/>
        <v>0</v>
      </c>
      <c r="BY60" s="115">
        <f t="shared" si="72"/>
        <v>0</v>
      </c>
      <c r="BZ60" s="115">
        <f t="shared" si="72"/>
        <v>0</v>
      </c>
      <c r="CA60" s="115">
        <f t="shared" si="72"/>
        <v>0</v>
      </c>
      <c r="CB60" s="115">
        <f t="shared" si="72"/>
        <v>0</v>
      </c>
      <c r="CC60" s="115">
        <f t="shared" si="72"/>
        <v>0</v>
      </c>
      <c r="CD60" s="115">
        <f t="shared" si="72"/>
        <v>0</v>
      </c>
      <c r="CE60" s="115">
        <f t="shared" si="72"/>
        <v>0</v>
      </c>
      <c r="CF60" s="115">
        <f t="shared" si="72"/>
        <v>0</v>
      </c>
      <c r="CG60" s="115">
        <f t="shared" si="72"/>
        <v>0</v>
      </c>
      <c r="CH60" s="115">
        <f aca="true" t="shared" si="73" ref="CH60:CJ61">$E60*CH$4</f>
        <v>0</v>
      </c>
      <c r="CI60" s="198">
        <f t="shared" si="73"/>
        <v>0</v>
      </c>
      <c r="CJ60" s="198">
        <f t="shared" si="73"/>
        <v>0</v>
      </c>
      <c r="CK60" s="198"/>
      <c r="CL60" s="198"/>
      <c r="CM60" s="198"/>
      <c r="CN60" s="198"/>
      <c r="CO60" s="198"/>
      <c r="CP60" s="198"/>
      <c r="CQ60" s="198"/>
      <c r="CR60" s="198"/>
      <c r="CT60" s="188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98"/>
      <c r="EC60" s="198"/>
      <c r="ED60" s="198"/>
      <c r="EE60" s="198"/>
      <c r="EF60" s="250"/>
      <c r="EG60" s="250"/>
      <c r="EH60" s="250"/>
      <c r="EI60" s="250"/>
      <c r="EJ60" s="250"/>
      <c r="EK60" s="250"/>
      <c r="GE60" s="237"/>
      <c r="GF60" s="237"/>
      <c r="GG60" s="237"/>
      <c r="GH60" s="237"/>
      <c r="GI60" s="237"/>
      <c r="GJ60" s="237"/>
      <c r="GK60" s="237"/>
      <c r="GL60" s="237"/>
      <c r="GT60" s="636"/>
      <c r="GU60" s="636"/>
      <c r="GV60" s="636"/>
      <c r="GW60" s="636"/>
      <c r="GX60" s="636"/>
      <c r="GY60" s="636"/>
      <c r="GZ60" s="237"/>
      <c r="HA60" s="237"/>
      <c r="HB60" s="237"/>
      <c r="HC60" s="237"/>
      <c r="HD60" s="237"/>
      <c r="HE60" s="636"/>
      <c r="HF60" s="237"/>
      <c r="HG60" s="237"/>
      <c r="HH60" s="237"/>
      <c r="HI60" s="237"/>
      <c r="HJ60" s="636"/>
      <c r="HK60" s="636"/>
      <c r="HL60" s="636"/>
    </row>
    <row r="61" spans="1:220" ht="15" customHeight="1">
      <c r="A61" s="153">
        <v>2</v>
      </c>
      <c r="B61" s="156" t="s">
        <v>431</v>
      </c>
      <c r="C61" s="154"/>
      <c r="D61" s="154">
        <f>1300*1.2</f>
        <v>1560</v>
      </c>
      <c r="E61" s="161">
        <f t="shared" si="2"/>
        <v>0</v>
      </c>
      <c r="F61" s="224"/>
      <c r="G61" s="115"/>
      <c r="H61" s="115"/>
      <c r="I61" s="115"/>
      <c r="J61" s="115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633"/>
      <c r="AQ61" s="633"/>
      <c r="AR61" s="633"/>
      <c r="AS61" s="633"/>
      <c r="AT61" s="672"/>
      <c r="AU61" s="672"/>
      <c r="AV61" s="672"/>
      <c r="AW61" s="672"/>
      <c r="AX61" s="672"/>
      <c r="AY61" s="672"/>
      <c r="BA61" s="188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>
        <f t="shared" si="72"/>
        <v>0</v>
      </c>
      <c r="BM61" s="115">
        <f t="shared" si="72"/>
        <v>0</v>
      </c>
      <c r="BN61" s="115">
        <f t="shared" si="72"/>
        <v>0</v>
      </c>
      <c r="BO61" s="115">
        <f t="shared" si="72"/>
        <v>0</v>
      </c>
      <c r="BP61" s="115">
        <f t="shared" si="72"/>
        <v>0</v>
      </c>
      <c r="BQ61" s="115">
        <f t="shared" si="72"/>
        <v>0</v>
      </c>
      <c r="BR61" s="115">
        <f t="shared" si="72"/>
        <v>0</v>
      </c>
      <c r="BS61" s="115">
        <f t="shared" si="72"/>
        <v>0</v>
      </c>
      <c r="BT61" s="115">
        <f t="shared" si="72"/>
        <v>0</v>
      </c>
      <c r="BU61" s="115">
        <f t="shared" si="72"/>
        <v>0</v>
      </c>
      <c r="BV61" s="115">
        <f t="shared" si="72"/>
        <v>0</v>
      </c>
      <c r="BW61" s="115">
        <f t="shared" si="72"/>
        <v>0</v>
      </c>
      <c r="BX61" s="115">
        <f t="shared" si="72"/>
        <v>0</v>
      </c>
      <c r="BY61" s="115">
        <f t="shared" si="72"/>
        <v>0</v>
      </c>
      <c r="BZ61" s="115">
        <f t="shared" si="72"/>
        <v>0</v>
      </c>
      <c r="CA61" s="115">
        <f t="shared" si="72"/>
        <v>0</v>
      </c>
      <c r="CB61" s="115">
        <f t="shared" si="72"/>
        <v>0</v>
      </c>
      <c r="CC61" s="115">
        <f t="shared" si="72"/>
        <v>0</v>
      </c>
      <c r="CD61" s="115">
        <f t="shared" si="72"/>
        <v>0</v>
      </c>
      <c r="CE61" s="115">
        <f t="shared" si="72"/>
        <v>0</v>
      </c>
      <c r="CF61" s="115">
        <f t="shared" si="72"/>
        <v>0</v>
      </c>
      <c r="CG61" s="115">
        <f>$E61*CG$4</f>
        <v>0</v>
      </c>
      <c r="CH61" s="115">
        <f t="shared" si="73"/>
        <v>0</v>
      </c>
      <c r="CI61" s="198">
        <f t="shared" si="73"/>
        <v>0</v>
      </c>
      <c r="CJ61" s="198">
        <f t="shared" si="73"/>
        <v>0</v>
      </c>
      <c r="CK61" s="198"/>
      <c r="CL61" s="198"/>
      <c r="CM61" s="198"/>
      <c r="CN61" s="198"/>
      <c r="CO61" s="198"/>
      <c r="CP61" s="198"/>
      <c r="CQ61" s="198"/>
      <c r="CR61" s="198"/>
      <c r="CT61" s="188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98"/>
      <c r="EC61" s="198"/>
      <c r="ED61" s="198"/>
      <c r="EE61" s="198"/>
      <c r="EF61" s="250"/>
      <c r="EG61" s="250"/>
      <c r="EH61" s="250"/>
      <c r="EI61" s="250"/>
      <c r="EJ61" s="250"/>
      <c r="EK61" s="250"/>
      <c r="GE61" s="237"/>
      <c r="GF61" s="237"/>
      <c r="GG61" s="237"/>
      <c r="GH61" s="237"/>
      <c r="GI61" s="237"/>
      <c r="GJ61" s="237"/>
      <c r="GK61" s="237"/>
      <c r="GL61" s="237"/>
      <c r="GT61" s="636"/>
      <c r="GU61" s="636"/>
      <c r="GV61" s="636"/>
      <c r="GW61" s="636"/>
      <c r="GX61" s="636"/>
      <c r="GY61" s="636"/>
      <c r="GZ61" s="237"/>
      <c r="HA61" s="237"/>
      <c r="HB61" s="237"/>
      <c r="HC61" s="237"/>
      <c r="HD61" s="237"/>
      <c r="HE61" s="636"/>
      <c r="HF61" s="237"/>
      <c r="HG61" s="237"/>
      <c r="HH61" s="237"/>
      <c r="HI61" s="237"/>
      <c r="HJ61" s="636"/>
      <c r="HK61" s="636"/>
      <c r="HL61" s="636"/>
    </row>
    <row r="62" spans="1:220" ht="15" customHeight="1">
      <c r="A62" s="153">
        <v>3</v>
      </c>
      <c r="B62" s="156" t="s">
        <v>426</v>
      </c>
      <c r="C62" s="154"/>
      <c r="D62" s="154">
        <f>1100*1.2</f>
        <v>1320</v>
      </c>
      <c r="E62" s="161">
        <f t="shared" si="2"/>
        <v>0</v>
      </c>
      <c r="F62" s="224"/>
      <c r="G62" s="115"/>
      <c r="H62" s="115"/>
      <c r="I62" s="115"/>
      <c r="J62" s="115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633"/>
      <c r="AQ62" s="633"/>
      <c r="AR62" s="633"/>
      <c r="AS62" s="633"/>
      <c r="AT62" s="672"/>
      <c r="AU62" s="672"/>
      <c r="AV62" s="672"/>
      <c r="AW62" s="672"/>
      <c r="AX62" s="672"/>
      <c r="AY62" s="672"/>
      <c r="BA62" s="188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T62" s="188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>
        <f aca="true" t="shared" si="74" ref="DE62:DL62">$E62*DE$4</f>
        <v>0</v>
      </c>
      <c r="DF62" s="115">
        <f t="shared" si="74"/>
        <v>0</v>
      </c>
      <c r="DG62" s="115">
        <f t="shared" si="74"/>
        <v>0</v>
      </c>
      <c r="DH62" s="115">
        <f t="shared" si="74"/>
        <v>0</v>
      </c>
      <c r="DI62" s="115">
        <f t="shared" si="74"/>
        <v>0</v>
      </c>
      <c r="DJ62" s="115">
        <f t="shared" si="74"/>
        <v>0</v>
      </c>
      <c r="DK62" s="115">
        <f t="shared" si="74"/>
        <v>0</v>
      </c>
      <c r="DL62" s="115">
        <f t="shared" si="74"/>
        <v>0</v>
      </c>
      <c r="DM62" s="115">
        <f aca="true" t="shared" si="75" ref="DE62:DZ65">$E62*DM$4</f>
        <v>0</v>
      </c>
      <c r="DN62" s="115">
        <f t="shared" si="75"/>
        <v>0</v>
      </c>
      <c r="DO62" s="115">
        <f t="shared" si="75"/>
        <v>0</v>
      </c>
      <c r="DP62" s="115">
        <f t="shared" si="75"/>
        <v>0</v>
      </c>
      <c r="DQ62" s="115">
        <f t="shared" si="75"/>
        <v>0</v>
      </c>
      <c r="DR62" s="115">
        <f t="shared" si="75"/>
        <v>0</v>
      </c>
      <c r="DS62" s="115">
        <f t="shared" si="75"/>
        <v>0</v>
      </c>
      <c r="DT62" s="115">
        <f t="shared" si="75"/>
        <v>0</v>
      </c>
      <c r="DU62" s="115">
        <f t="shared" si="75"/>
        <v>0</v>
      </c>
      <c r="DV62" s="115">
        <f t="shared" si="75"/>
        <v>0</v>
      </c>
      <c r="DW62" s="115">
        <f t="shared" si="75"/>
        <v>0</v>
      </c>
      <c r="DX62" s="115">
        <f t="shared" si="75"/>
        <v>0</v>
      </c>
      <c r="DY62" s="115">
        <f t="shared" si="75"/>
        <v>0</v>
      </c>
      <c r="DZ62" s="115">
        <f t="shared" si="75"/>
        <v>0</v>
      </c>
      <c r="EA62" s="115">
        <f aca="true" t="shared" si="76" ref="EA62:EC65">$E62*EA$4</f>
        <v>0</v>
      </c>
      <c r="EB62" s="198">
        <f t="shared" si="76"/>
        <v>0</v>
      </c>
      <c r="EC62" s="198">
        <f t="shared" si="76"/>
        <v>0</v>
      </c>
      <c r="ED62" s="198"/>
      <c r="EE62" s="198"/>
      <c r="EF62" s="250"/>
      <c r="EG62" s="250"/>
      <c r="EH62" s="250"/>
      <c r="EI62" s="250"/>
      <c r="EJ62" s="250"/>
      <c r="EK62" s="250"/>
      <c r="GE62" s="237"/>
      <c r="GF62" s="237"/>
      <c r="GG62" s="237"/>
      <c r="GH62" s="237"/>
      <c r="GI62" s="237"/>
      <c r="GJ62" s="237"/>
      <c r="GK62" s="237"/>
      <c r="GL62" s="237"/>
      <c r="GT62" s="636"/>
      <c r="GU62" s="636"/>
      <c r="GV62" s="636"/>
      <c r="GW62" s="636"/>
      <c r="GX62" s="636"/>
      <c r="GY62" s="636"/>
      <c r="GZ62" s="237"/>
      <c r="HA62" s="237"/>
      <c r="HB62" s="237"/>
      <c r="HC62" s="237"/>
      <c r="HD62" s="237"/>
      <c r="HE62" s="636"/>
      <c r="HF62" s="237"/>
      <c r="HG62" s="237"/>
      <c r="HH62" s="237"/>
      <c r="HI62" s="237"/>
      <c r="HJ62" s="636"/>
      <c r="HK62" s="636"/>
      <c r="HL62" s="636"/>
    </row>
    <row r="63" spans="1:220" ht="15" customHeight="1">
      <c r="A63" s="153">
        <v>4</v>
      </c>
      <c r="B63" s="156" t="s">
        <v>143</v>
      </c>
      <c r="C63" s="154"/>
      <c r="D63" s="154">
        <f>1100*1.2</f>
        <v>1320</v>
      </c>
      <c r="E63" s="161">
        <f t="shared" si="2"/>
        <v>0</v>
      </c>
      <c r="F63" s="224"/>
      <c r="G63" s="115"/>
      <c r="H63" s="115"/>
      <c r="I63" s="115"/>
      <c r="J63" s="115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633"/>
      <c r="AQ63" s="633"/>
      <c r="AR63" s="633"/>
      <c r="AS63" s="633"/>
      <c r="AT63" s="672"/>
      <c r="AU63" s="672"/>
      <c r="AV63" s="672"/>
      <c r="AW63" s="672"/>
      <c r="AX63" s="672"/>
      <c r="AY63" s="672"/>
      <c r="BA63" s="188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T63" s="188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>
        <f t="shared" si="75"/>
        <v>0</v>
      </c>
      <c r="DF63" s="115">
        <f t="shared" si="75"/>
        <v>0</v>
      </c>
      <c r="DG63" s="115">
        <f t="shared" si="75"/>
        <v>0</v>
      </c>
      <c r="DH63" s="115">
        <f t="shared" si="75"/>
        <v>0</v>
      </c>
      <c r="DI63" s="115">
        <f t="shared" si="75"/>
        <v>0</v>
      </c>
      <c r="DJ63" s="115">
        <f t="shared" si="75"/>
        <v>0</v>
      </c>
      <c r="DK63" s="115">
        <f t="shared" si="75"/>
        <v>0</v>
      </c>
      <c r="DL63" s="115">
        <f t="shared" si="75"/>
        <v>0</v>
      </c>
      <c r="DM63" s="115">
        <f t="shared" si="75"/>
        <v>0</v>
      </c>
      <c r="DN63" s="115">
        <f t="shared" si="75"/>
        <v>0</v>
      </c>
      <c r="DO63" s="115">
        <f t="shared" si="75"/>
        <v>0</v>
      </c>
      <c r="DP63" s="115">
        <f t="shared" si="75"/>
        <v>0</v>
      </c>
      <c r="DQ63" s="115">
        <f t="shared" si="75"/>
        <v>0</v>
      </c>
      <c r="DR63" s="115">
        <f t="shared" si="75"/>
        <v>0</v>
      </c>
      <c r="DS63" s="115">
        <f t="shared" si="75"/>
        <v>0</v>
      </c>
      <c r="DT63" s="115">
        <f t="shared" si="75"/>
        <v>0</v>
      </c>
      <c r="DU63" s="115">
        <f t="shared" si="75"/>
        <v>0</v>
      </c>
      <c r="DV63" s="115">
        <f t="shared" si="75"/>
        <v>0</v>
      </c>
      <c r="DW63" s="115">
        <f t="shared" si="75"/>
        <v>0</v>
      </c>
      <c r="DX63" s="115">
        <f t="shared" si="75"/>
        <v>0</v>
      </c>
      <c r="DY63" s="115">
        <f t="shared" si="75"/>
        <v>0</v>
      </c>
      <c r="DZ63" s="115">
        <f>$E63*DZ$4</f>
        <v>0</v>
      </c>
      <c r="EA63" s="115">
        <f t="shared" si="76"/>
        <v>0</v>
      </c>
      <c r="EB63" s="198">
        <f t="shared" si="76"/>
        <v>0</v>
      </c>
      <c r="EC63" s="198">
        <f t="shared" si="76"/>
        <v>0</v>
      </c>
      <c r="ED63" s="198"/>
      <c r="EE63" s="198"/>
      <c r="EF63" s="250"/>
      <c r="EG63" s="250"/>
      <c r="EH63" s="250"/>
      <c r="EI63" s="250"/>
      <c r="EJ63" s="250"/>
      <c r="EK63" s="250"/>
      <c r="GE63" s="237"/>
      <c r="GF63" s="237"/>
      <c r="GG63" s="237"/>
      <c r="GH63" s="237"/>
      <c r="GI63" s="237"/>
      <c r="GJ63" s="237"/>
      <c r="GK63" s="237"/>
      <c r="GL63" s="237"/>
      <c r="GT63" s="636"/>
      <c r="GU63" s="636"/>
      <c r="GV63" s="636"/>
      <c r="GW63" s="636"/>
      <c r="GX63" s="636"/>
      <c r="GY63" s="636"/>
      <c r="GZ63" s="237"/>
      <c r="HA63" s="237"/>
      <c r="HB63" s="237"/>
      <c r="HC63" s="237"/>
      <c r="HD63" s="237"/>
      <c r="HE63" s="636"/>
      <c r="HF63" s="237"/>
      <c r="HG63" s="237"/>
      <c r="HH63" s="237"/>
      <c r="HI63" s="237"/>
      <c r="HJ63" s="636"/>
      <c r="HK63" s="636"/>
      <c r="HL63" s="636"/>
    </row>
    <row r="64" spans="1:220" ht="15" customHeight="1">
      <c r="A64" s="153">
        <v>5</v>
      </c>
      <c r="B64" s="156" t="s">
        <v>142</v>
      </c>
      <c r="C64" s="154"/>
      <c r="D64" s="154">
        <f>1200*1.2</f>
        <v>1440</v>
      </c>
      <c r="E64" s="161">
        <f t="shared" si="2"/>
        <v>0</v>
      </c>
      <c r="F64" s="224"/>
      <c r="G64" s="115"/>
      <c r="H64" s="115"/>
      <c r="I64" s="115"/>
      <c r="J64" s="115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633"/>
      <c r="AQ64" s="633"/>
      <c r="AR64" s="633"/>
      <c r="AS64" s="633"/>
      <c r="AT64" s="672"/>
      <c r="AU64" s="672"/>
      <c r="AV64" s="672"/>
      <c r="AW64" s="672"/>
      <c r="AX64" s="672"/>
      <c r="AY64" s="672"/>
      <c r="BA64" s="188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T64" s="188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>
        <f t="shared" si="75"/>
        <v>0</v>
      </c>
      <c r="DF64" s="115">
        <f t="shared" si="75"/>
        <v>0</v>
      </c>
      <c r="DG64" s="115">
        <f t="shared" si="75"/>
        <v>0</v>
      </c>
      <c r="DH64" s="115">
        <f t="shared" si="75"/>
        <v>0</v>
      </c>
      <c r="DI64" s="115">
        <f t="shared" si="75"/>
        <v>0</v>
      </c>
      <c r="DJ64" s="115">
        <f t="shared" si="75"/>
        <v>0</v>
      </c>
      <c r="DK64" s="115">
        <f t="shared" si="75"/>
        <v>0</v>
      </c>
      <c r="DL64" s="115">
        <f t="shared" si="75"/>
        <v>0</v>
      </c>
      <c r="DM64" s="115">
        <f t="shared" si="75"/>
        <v>0</v>
      </c>
      <c r="DN64" s="115">
        <f t="shared" si="75"/>
        <v>0</v>
      </c>
      <c r="DO64" s="115">
        <f t="shared" si="75"/>
        <v>0</v>
      </c>
      <c r="DP64" s="115">
        <f t="shared" si="75"/>
        <v>0</v>
      </c>
      <c r="DQ64" s="115">
        <f t="shared" si="75"/>
        <v>0</v>
      </c>
      <c r="DR64" s="115">
        <f t="shared" si="75"/>
        <v>0</v>
      </c>
      <c r="DS64" s="115">
        <f t="shared" si="75"/>
        <v>0</v>
      </c>
      <c r="DT64" s="115">
        <f t="shared" si="75"/>
        <v>0</v>
      </c>
      <c r="DU64" s="115">
        <f t="shared" si="75"/>
        <v>0</v>
      </c>
      <c r="DV64" s="115">
        <f t="shared" si="75"/>
        <v>0</v>
      </c>
      <c r="DW64" s="115">
        <f t="shared" si="75"/>
        <v>0</v>
      </c>
      <c r="DX64" s="115">
        <f t="shared" si="75"/>
        <v>0</v>
      </c>
      <c r="DY64" s="115">
        <f t="shared" si="75"/>
        <v>0</v>
      </c>
      <c r="DZ64" s="115">
        <f>$E64*DZ$4</f>
        <v>0</v>
      </c>
      <c r="EA64" s="115">
        <f t="shared" si="76"/>
        <v>0</v>
      </c>
      <c r="EB64" s="198">
        <f t="shared" si="76"/>
        <v>0</v>
      </c>
      <c r="EC64" s="198">
        <f t="shared" si="76"/>
        <v>0</v>
      </c>
      <c r="ED64" s="198"/>
      <c r="EE64" s="198"/>
      <c r="EF64" s="250"/>
      <c r="EG64" s="250"/>
      <c r="EH64" s="250"/>
      <c r="EI64" s="250"/>
      <c r="EJ64" s="250"/>
      <c r="EK64" s="250"/>
      <c r="GE64" s="237"/>
      <c r="GF64" s="237"/>
      <c r="GG64" s="237"/>
      <c r="GH64" s="237"/>
      <c r="GI64" s="237"/>
      <c r="GJ64" s="237"/>
      <c r="GK64" s="237"/>
      <c r="GL64" s="237"/>
      <c r="GT64" s="636"/>
      <c r="GU64" s="636"/>
      <c r="GV64" s="636"/>
      <c r="GW64" s="636"/>
      <c r="GX64" s="636"/>
      <c r="GY64" s="636"/>
      <c r="GZ64" s="237"/>
      <c r="HA64" s="237"/>
      <c r="HB64" s="237"/>
      <c r="HC64" s="237"/>
      <c r="HD64" s="237"/>
      <c r="HE64" s="636"/>
      <c r="HF64" s="237"/>
      <c r="HG64" s="237"/>
      <c r="HH64" s="237"/>
      <c r="HI64" s="237"/>
      <c r="HJ64" s="636"/>
      <c r="HK64" s="636"/>
      <c r="HL64" s="636"/>
    </row>
    <row r="65" spans="1:220" ht="15" customHeight="1">
      <c r="A65" s="153">
        <v>6</v>
      </c>
      <c r="B65" s="156" t="s">
        <v>144</v>
      </c>
      <c r="C65" s="154"/>
      <c r="D65" s="154">
        <f>1000*1.2</f>
        <v>1200</v>
      </c>
      <c r="E65" s="161">
        <f t="shared" si="2"/>
        <v>0</v>
      </c>
      <c r="F65" s="224"/>
      <c r="G65" s="115"/>
      <c r="H65" s="115"/>
      <c r="I65" s="115"/>
      <c r="J65" s="115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633"/>
      <c r="AQ65" s="633"/>
      <c r="AR65" s="633"/>
      <c r="AS65" s="633"/>
      <c r="AT65" s="672"/>
      <c r="AU65" s="672"/>
      <c r="AV65" s="672"/>
      <c r="AW65" s="672"/>
      <c r="AX65" s="672"/>
      <c r="AY65" s="672"/>
      <c r="BA65" s="188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T65" s="188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>
        <f t="shared" si="75"/>
        <v>0</v>
      </c>
      <c r="DF65" s="115">
        <f t="shared" si="75"/>
        <v>0</v>
      </c>
      <c r="DG65" s="115">
        <f t="shared" si="75"/>
        <v>0</v>
      </c>
      <c r="DH65" s="115">
        <f t="shared" si="75"/>
        <v>0</v>
      </c>
      <c r="DI65" s="115">
        <f t="shared" si="75"/>
        <v>0</v>
      </c>
      <c r="DJ65" s="115">
        <f t="shared" si="75"/>
        <v>0</v>
      </c>
      <c r="DK65" s="115">
        <f t="shared" si="75"/>
        <v>0</v>
      </c>
      <c r="DL65" s="115">
        <f t="shared" si="75"/>
        <v>0</v>
      </c>
      <c r="DM65" s="115">
        <f t="shared" si="75"/>
        <v>0</v>
      </c>
      <c r="DN65" s="115">
        <f t="shared" si="75"/>
        <v>0</v>
      </c>
      <c r="DO65" s="115">
        <f t="shared" si="75"/>
        <v>0</v>
      </c>
      <c r="DP65" s="115">
        <f t="shared" si="75"/>
        <v>0</v>
      </c>
      <c r="DQ65" s="115">
        <f t="shared" si="75"/>
        <v>0</v>
      </c>
      <c r="DR65" s="115">
        <f t="shared" si="75"/>
        <v>0</v>
      </c>
      <c r="DS65" s="115">
        <f t="shared" si="75"/>
        <v>0</v>
      </c>
      <c r="DT65" s="115">
        <f t="shared" si="75"/>
        <v>0</v>
      </c>
      <c r="DU65" s="115">
        <f t="shared" si="75"/>
        <v>0</v>
      </c>
      <c r="DV65" s="115">
        <f t="shared" si="75"/>
        <v>0</v>
      </c>
      <c r="DW65" s="115">
        <f t="shared" si="75"/>
        <v>0</v>
      </c>
      <c r="DX65" s="115">
        <f t="shared" si="75"/>
        <v>0</v>
      </c>
      <c r="DY65" s="115">
        <f t="shared" si="75"/>
        <v>0</v>
      </c>
      <c r="DZ65" s="115">
        <f>$E65*DZ$4</f>
        <v>0</v>
      </c>
      <c r="EA65" s="115">
        <f t="shared" si="76"/>
        <v>0</v>
      </c>
      <c r="EB65" s="198">
        <f t="shared" si="76"/>
        <v>0</v>
      </c>
      <c r="EC65" s="198">
        <f t="shared" si="76"/>
        <v>0</v>
      </c>
      <c r="ED65" s="198"/>
      <c r="EE65" s="198"/>
      <c r="EF65" s="250"/>
      <c r="EG65" s="250"/>
      <c r="EH65" s="250"/>
      <c r="EI65" s="250"/>
      <c r="EJ65" s="250"/>
      <c r="EK65" s="250"/>
      <c r="GE65" s="237"/>
      <c r="GF65" s="237"/>
      <c r="GG65" s="237"/>
      <c r="GH65" s="237"/>
      <c r="GI65" s="237"/>
      <c r="GJ65" s="237"/>
      <c r="GK65" s="237"/>
      <c r="GL65" s="237"/>
      <c r="GT65" s="636"/>
      <c r="GU65" s="636"/>
      <c r="GV65" s="636"/>
      <c r="GW65" s="636"/>
      <c r="GX65" s="636"/>
      <c r="GY65" s="636"/>
      <c r="GZ65" s="237"/>
      <c r="HA65" s="237"/>
      <c r="HB65" s="237"/>
      <c r="HC65" s="237"/>
      <c r="HD65" s="237"/>
      <c r="HE65" s="636"/>
      <c r="HF65" s="237"/>
      <c r="HG65" s="237"/>
      <c r="HH65" s="237"/>
      <c r="HI65" s="237"/>
      <c r="HJ65" s="636"/>
      <c r="HK65" s="636"/>
      <c r="HL65" s="636"/>
    </row>
    <row r="66" spans="1:220" ht="15" customHeight="1">
      <c r="A66" s="153">
        <v>7</v>
      </c>
      <c r="B66" s="156" t="s">
        <v>432</v>
      </c>
      <c r="C66" s="154"/>
      <c r="D66" s="154">
        <f>1000*1.2</f>
        <v>1200</v>
      </c>
      <c r="E66" s="161">
        <f t="shared" si="2"/>
        <v>0</v>
      </c>
      <c r="F66" s="224"/>
      <c r="G66" s="115"/>
      <c r="H66" s="115"/>
      <c r="I66" s="115"/>
      <c r="J66" s="115"/>
      <c r="K66" s="115"/>
      <c r="L66" s="115">
        <f aca="true" t="shared" si="77" ref="L66:W66">$E66*L$4</f>
        <v>0</v>
      </c>
      <c r="M66" s="115">
        <f t="shared" si="77"/>
        <v>0</v>
      </c>
      <c r="N66" s="115">
        <f t="shared" si="77"/>
        <v>0</v>
      </c>
      <c r="O66" s="115">
        <f t="shared" si="77"/>
        <v>0</v>
      </c>
      <c r="P66" s="115">
        <f t="shared" si="77"/>
        <v>0</v>
      </c>
      <c r="Q66" s="115">
        <f t="shared" si="77"/>
        <v>0</v>
      </c>
      <c r="R66" s="115">
        <f t="shared" si="77"/>
        <v>0</v>
      </c>
      <c r="S66" s="115">
        <f t="shared" si="77"/>
        <v>0</v>
      </c>
      <c r="T66" s="115">
        <f t="shared" si="77"/>
        <v>0</v>
      </c>
      <c r="U66" s="115">
        <f t="shared" si="77"/>
        <v>0</v>
      </c>
      <c r="V66" s="115">
        <f t="shared" si="77"/>
        <v>0</v>
      </c>
      <c r="W66" s="115">
        <f t="shared" si="77"/>
        <v>0</v>
      </c>
      <c r="X66" s="115">
        <f aca="true" t="shared" si="78" ref="L66:AN70">$E66*X$4</f>
        <v>0</v>
      </c>
      <c r="Y66" s="115">
        <f t="shared" si="78"/>
        <v>0</v>
      </c>
      <c r="Z66" s="115">
        <f t="shared" si="78"/>
        <v>0</v>
      </c>
      <c r="AA66" s="115">
        <f t="shared" si="78"/>
        <v>0</v>
      </c>
      <c r="AB66" s="115">
        <f t="shared" si="78"/>
        <v>0</v>
      </c>
      <c r="AC66" s="115">
        <f t="shared" si="78"/>
        <v>0</v>
      </c>
      <c r="AD66" s="115">
        <f t="shared" si="78"/>
        <v>0</v>
      </c>
      <c r="AE66" s="115">
        <f t="shared" si="78"/>
        <v>0</v>
      </c>
      <c r="AF66" s="115">
        <f t="shared" si="78"/>
        <v>0</v>
      </c>
      <c r="AG66" s="115">
        <f t="shared" si="78"/>
        <v>0</v>
      </c>
      <c r="AH66" s="115">
        <f t="shared" si="78"/>
        <v>0</v>
      </c>
      <c r="AI66" s="115">
        <f t="shared" si="78"/>
        <v>0</v>
      </c>
      <c r="AJ66" s="115">
        <f t="shared" si="78"/>
        <v>0</v>
      </c>
      <c r="AK66" s="115">
        <f t="shared" si="78"/>
        <v>0</v>
      </c>
      <c r="AL66" s="115">
        <f t="shared" si="78"/>
        <v>0</v>
      </c>
      <c r="AM66" s="115">
        <f t="shared" si="78"/>
        <v>0</v>
      </c>
      <c r="AN66" s="115">
        <f t="shared" si="78"/>
        <v>0</v>
      </c>
      <c r="AO66" s="115">
        <f aca="true" t="shared" si="79" ref="AO66:AQ70">$E66*AO$4</f>
        <v>0</v>
      </c>
      <c r="AP66" s="198">
        <f t="shared" si="79"/>
        <v>0</v>
      </c>
      <c r="AQ66" s="198">
        <f t="shared" si="79"/>
        <v>0</v>
      </c>
      <c r="AR66" s="198"/>
      <c r="AS66" s="198"/>
      <c r="AT66" s="250"/>
      <c r="AU66" s="250"/>
      <c r="AV66" s="250"/>
      <c r="AW66" s="250"/>
      <c r="AX66" s="250"/>
      <c r="AY66" s="250"/>
      <c r="BA66" s="188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T66" s="188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98"/>
      <c r="EC66" s="198"/>
      <c r="ED66" s="198"/>
      <c r="EE66" s="198"/>
      <c r="EF66" s="250"/>
      <c r="EG66" s="250"/>
      <c r="EH66" s="250"/>
      <c r="EI66" s="250"/>
      <c r="EJ66" s="250"/>
      <c r="EK66" s="250"/>
      <c r="GE66" s="237"/>
      <c r="GF66" s="237"/>
      <c r="GG66" s="237"/>
      <c r="GH66" s="237"/>
      <c r="GI66" s="237"/>
      <c r="GJ66" s="237"/>
      <c r="GK66" s="237"/>
      <c r="GL66" s="237"/>
      <c r="GT66" s="237"/>
      <c r="GU66" s="237"/>
      <c r="GV66" s="237"/>
      <c r="GW66" s="237"/>
      <c r="GX66" s="237"/>
      <c r="GY66" s="237"/>
      <c r="GZ66" s="237"/>
      <c r="HA66" s="237"/>
      <c r="HB66" s="237"/>
      <c r="HC66" s="237"/>
      <c r="HD66" s="237"/>
      <c r="HE66" s="237"/>
      <c r="HF66" s="237"/>
      <c r="HG66" s="237"/>
      <c r="HH66" s="237"/>
      <c r="HI66" s="237"/>
      <c r="HJ66" s="237"/>
      <c r="HK66" s="237"/>
      <c r="HL66" s="237"/>
    </row>
    <row r="67" spans="1:220" ht="15" customHeight="1">
      <c r="A67" s="153">
        <v>8</v>
      </c>
      <c r="B67" s="156" t="s">
        <v>433</v>
      </c>
      <c r="C67" s="154"/>
      <c r="D67" s="154">
        <f>850*1.2</f>
        <v>1020</v>
      </c>
      <c r="E67" s="161">
        <f t="shared" si="2"/>
        <v>0</v>
      </c>
      <c r="F67" s="224"/>
      <c r="G67" s="115"/>
      <c r="H67" s="115"/>
      <c r="I67" s="115"/>
      <c r="J67" s="115"/>
      <c r="K67" s="115"/>
      <c r="L67" s="115">
        <f t="shared" si="78"/>
        <v>0</v>
      </c>
      <c r="M67" s="115">
        <f t="shared" si="78"/>
        <v>0</v>
      </c>
      <c r="N67" s="115">
        <f t="shared" si="78"/>
        <v>0</v>
      </c>
      <c r="O67" s="115">
        <f t="shared" si="78"/>
        <v>0</v>
      </c>
      <c r="P67" s="115">
        <f t="shared" si="78"/>
        <v>0</v>
      </c>
      <c r="Q67" s="115">
        <f t="shared" si="78"/>
        <v>0</v>
      </c>
      <c r="R67" s="115">
        <f t="shared" si="78"/>
        <v>0</v>
      </c>
      <c r="S67" s="115">
        <f t="shared" si="78"/>
        <v>0</v>
      </c>
      <c r="T67" s="115">
        <f t="shared" si="78"/>
        <v>0</v>
      </c>
      <c r="U67" s="115">
        <f t="shared" si="78"/>
        <v>0</v>
      </c>
      <c r="V67" s="115">
        <f t="shared" si="78"/>
        <v>0</v>
      </c>
      <c r="W67" s="115">
        <f t="shared" si="78"/>
        <v>0</v>
      </c>
      <c r="X67" s="115">
        <f t="shared" si="78"/>
        <v>0</v>
      </c>
      <c r="Y67" s="115">
        <f t="shared" si="78"/>
        <v>0</v>
      </c>
      <c r="Z67" s="115">
        <f t="shared" si="78"/>
        <v>0</v>
      </c>
      <c r="AA67" s="115">
        <f t="shared" si="78"/>
        <v>0</v>
      </c>
      <c r="AB67" s="115">
        <f t="shared" si="78"/>
        <v>0</v>
      </c>
      <c r="AC67" s="115">
        <f t="shared" si="78"/>
        <v>0</v>
      </c>
      <c r="AD67" s="115">
        <f t="shared" si="78"/>
        <v>0</v>
      </c>
      <c r="AE67" s="115">
        <f t="shared" si="78"/>
        <v>0</v>
      </c>
      <c r="AF67" s="115">
        <f t="shared" si="78"/>
        <v>0</v>
      </c>
      <c r="AG67" s="115">
        <f t="shared" si="78"/>
        <v>0</v>
      </c>
      <c r="AH67" s="115">
        <f t="shared" si="78"/>
        <v>0</v>
      </c>
      <c r="AI67" s="115">
        <f t="shared" si="78"/>
        <v>0</v>
      </c>
      <c r="AJ67" s="115">
        <f t="shared" si="78"/>
        <v>0</v>
      </c>
      <c r="AK67" s="115">
        <f t="shared" si="78"/>
        <v>0</v>
      </c>
      <c r="AL67" s="115">
        <f t="shared" si="78"/>
        <v>0</v>
      </c>
      <c r="AM67" s="115">
        <f t="shared" si="78"/>
        <v>0</v>
      </c>
      <c r="AN67" s="115">
        <f>$E67*AN$4</f>
        <v>0</v>
      </c>
      <c r="AO67" s="115">
        <f t="shared" si="79"/>
        <v>0</v>
      </c>
      <c r="AP67" s="198">
        <f t="shared" si="79"/>
        <v>0</v>
      </c>
      <c r="AQ67" s="198">
        <f t="shared" si="79"/>
        <v>0</v>
      </c>
      <c r="AR67" s="198"/>
      <c r="AS67" s="198"/>
      <c r="AT67" s="250"/>
      <c r="AU67" s="250"/>
      <c r="AV67" s="250"/>
      <c r="AW67" s="250"/>
      <c r="AX67" s="250"/>
      <c r="AY67" s="250"/>
      <c r="BA67" s="188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T67" s="188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98"/>
      <c r="EC67" s="198"/>
      <c r="ED67" s="198"/>
      <c r="EE67" s="198"/>
      <c r="EF67" s="250"/>
      <c r="EG67" s="250"/>
      <c r="EH67" s="250"/>
      <c r="EI67" s="250"/>
      <c r="EJ67" s="250"/>
      <c r="EK67" s="250"/>
      <c r="GE67" s="237"/>
      <c r="GF67" s="237"/>
      <c r="GG67" s="237"/>
      <c r="GH67" s="237"/>
      <c r="GI67" s="237"/>
      <c r="GJ67" s="237"/>
      <c r="GK67" s="237"/>
      <c r="GL67" s="237"/>
      <c r="GT67" s="237"/>
      <c r="GU67" s="237"/>
      <c r="GV67" s="237"/>
      <c r="GW67" s="237"/>
      <c r="GX67" s="237"/>
      <c r="GY67" s="237"/>
      <c r="GZ67" s="237"/>
      <c r="HA67" s="237"/>
      <c r="HB67" s="237"/>
      <c r="HC67" s="237"/>
      <c r="HD67" s="237"/>
      <c r="HE67" s="237"/>
      <c r="HF67" s="237"/>
      <c r="HG67" s="237"/>
      <c r="HH67" s="237"/>
      <c r="HI67" s="237"/>
      <c r="HJ67" s="237"/>
      <c r="HK67" s="237"/>
      <c r="HL67" s="237"/>
    </row>
    <row r="68" spans="1:220" ht="15" customHeight="1">
      <c r="A68" s="153">
        <v>9</v>
      </c>
      <c r="B68" s="156" t="s">
        <v>145</v>
      </c>
      <c r="C68" s="154"/>
      <c r="D68" s="154">
        <f>600*1.2</f>
        <v>720</v>
      </c>
      <c r="E68" s="161">
        <f t="shared" si="2"/>
        <v>0</v>
      </c>
      <c r="F68" s="224"/>
      <c r="G68" s="115"/>
      <c r="H68" s="115"/>
      <c r="I68" s="115"/>
      <c r="J68" s="115"/>
      <c r="K68" s="115"/>
      <c r="L68" s="115">
        <f t="shared" si="78"/>
        <v>0</v>
      </c>
      <c r="M68" s="115">
        <f t="shared" si="78"/>
        <v>0</v>
      </c>
      <c r="N68" s="115">
        <f t="shared" si="78"/>
        <v>0</v>
      </c>
      <c r="O68" s="115">
        <f t="shared" si="78"/>
        <v>0</v>
      </c>
      <c r="P68" s="115">
        <f t="shared" si="78"/>
        <v>0</v>
      </c>
      <c r="Q68" s="115">
        <f t="shared" si="78"/>
        <v>0</v>
      </c>
      <c r="R68" s="115">
        <f t="shared" si="78"/>
        <v>0</v>
      </c>
      <c r="S68" s="115">
        <f t="shared" si="78"/>
        <v>0</v>
      </c>
      <c r="T68" s="115">
        <f t="shared" si="78"/>
        <v>0</v>
      </c>
      <c r="U68" s="115">
        <f t="shared" si="78"/>
        <v>0</v>
      </c>
      <c r="V68" s="115">
        <f t="shared" si="78"/>
        <v>0</v>
      </c>
      <c r="W68" s="115">
        <f t="shared" si="78"/>
        <v>0</v>
      </c>
      <c r="X68" s="115">
        <f t="shared" si="78"/>
        <v>0</v>
      </c>
      <c r="Y68" s="115">
        <f t="shared" si="78"/>
        <v>0</v>
      </c>
      <c r="Z68" s="115">
        <f t="shared" si="78"/>
        <v>0</v>
      </c>
      <c r="AA68" s="115">
        <f t="shared" si="78"/>
        <v>0</v>
      </c>
      <c r="AB68" s="115">
        <f t="shared" si="78"/>
        <v>0</v>
      </c>
      <c r="AC68" s="115">
        <f t="shared" si="78"/>
        <v>0</v>
      </c>
      <c r="AD68" s="115">
        <f t="shared" si="78"/>
        <v>0</v>
      </c>
      <c r="AE68" s="115">
        <f t="shared" si="78"/>
        <v>0</v>
      </c>
      <c r="AF68" s="115">
        <f t="shared" si="78"/>
        <v>0</v>
      </c>
      <c r="AG68" s="115">
        <f t="shared" si="78"/>
        <v>0</v>
      </c>
      <c r="AH68" s="115">
        <f t="shared" si="78"/>
        <v>0</v>
      </c>
      <c r="AI68" s="115">
        <f t="shared" si="78"/>
        <v>0</v>
      </c>
      <c r="AJ68" s="115">
        <f t="shared" si="78"/>
        <v>0</v>
      </c>
      <c r="AK68" s="115">
        <f t="shared" si="78"/>
        <v>0</v>
      </c>
      <c r="AL68" s="115">
        <f t="shared" si="78"/>
        <v>0</v>
      </c>
      <c r="AM68" s="115">
        <f t="shared" si="78"/>
        <v>0</v>
      </c>
      <c r="AN68" s="115">
        <f>$E68*AN$4</f>
        <v>0</v>
      </c>
      <c r="AO68" s="115">
        <f t="shared" si="79"/>
        <v>0</v>
      </c>
      <c r="AP68" s="198">
        <f t="shared" si="79"/>
        <v>0</v>
      </c>
      <c r="AQ68" s="198">
        <f t="shared" si="79"/>
        <v>0</v>
      </c>
      <c r="AR68" s="198"/>
      <c r="AS68" s="198"/>
      <c r="AT68" s="250"/>
      <c r="AU68" s="250"/>
      <c r="AV68" s="250"/>
      <c r="AW68" s="250"/>
      <c r="AX68" s="250"/>
      <c r="AY68" s="250"/>
      <c r="BA68" s="188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T68" s="188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98"/>
      <c r="EC68" s="198"/>
      <c r="ED68" s="198"/>
      <c r="EE68" s="198"/>
      <c r="EF68" s="250"/>
      <c r="EG68" s="250"/>
      <c r="EH68" s="250"/>
      <c r="EI68" s="250"/>
      <c r="EJ68" s="250"/>
      <c r="EK68" s="250"/>
      <c r="GE68" s="237"/>
      <c r="GF68" s="237"/>
      <c r="GG68" s="237"/>
      <c r="GH68" s="237"/>
      <c r="GI68" s="237"/>
      <c r="GJ68" s="237"/>
      <c r="GK68" s="237"/>
      <c r="GL68" s="237"/>
      <c r="GT68" s="237"/>
      <c r="GU68" s="237"/>
      <c r="GV68" s="237"/>
      <c r="GW68" s="237"/>
      <c r="GX68" s="237"/>
      <c r="GY68" s="237"/>
      <c r="GZ68" s="237"/>
      <c r="HA68" s="237"/>
      <c r="HB68" s="237"/>
      <c r="HC68" s="237"/>
      <c r="HD68" s="237"/>
      <c r="HE68" s="237"/>
      <c r="HF68" s="237"/>
      <c r="HG68" s="237"/>
      <c r="HH68" s="237"/>
      <c r="HI68" s="237"/>
      <c r="HJ68" s="237"/>
      <c r="HK68" s="237"/>
      <c r="HL68" s="237"/>
    </row>
    <row r="69" spans="1:220" ht="15" customHeight="1">
      <c r="A69" s="153">
        <v>10</v>
      </c>
      <c r="B69" s="156" t="s">
        <v>146</v>
      </c>
      <c r="C69" s="154"/>
      <c r="D69" s="154">
        <f>500*1.2</f>
        <v>600</v>
      </c>
      <c r="E69" s="161">
        <f t="shared" si="2"/>
        <v>0</v>
      </c>
      <c r="F69" s="224"/>
      <c r="G69" s="115"/>
      <c r="H69" s="115"/>
      <c r="I69" s="115"/>
      <c r="J69" s="115"/>
      <c r="K69" s="115"/>
      <c r="L69" s="115">
        <f t="shared" si="78"/>
        <v>0</v>
      </c>
      <c r="M69" s="115">
        <f t="shared" si="78"/>
        <v>0</v>
      </c>
      <c r="N69" s="115">
        <f t="shared" si="78"/>
        <v>0</v>
      </c>
      <c r="O69" s="115">
        <f t="shared" si="78"/>
        <v>0</v>
      </c>
      <c r="P69" s="115">
        <f t="shared" si="78"/>
        <v>0</v>
      </c>
      <c r="Q69" s="115">
        <f t="shared" si="78"/>
        <v>0</v>
      </c>
      <c r="R69" s="115">
        <f t="shared" si="78"/>
        <v>0</v>
      </c>
      <c r="S69" s="115">
        <f t="shared" si="78"/>
        <v>0</v>
      </c>
      <c r="T69" s="115">
        <f t="shared" si="78"/>
        <v>0</v>
      </c>
      <c r="U69" s="115">
        <f t="shared" si="78"/>
        <v>0</v>
      </c>
      <c r="V69" s="115">
        <f t="shared" si="78"/>
        <v>0</v>
      </c>
      <c r="W69" s="115">
        <f t="shared" si="78"/>
        <v>0</v>
      </c>
      <c r="X69" s="115">
        <f t="shared" si="78"/>
        <v>0</v>
      </c>
      <c r="Y69" s="115">
        <f t="shared" si="78"/>
        <v>0</v>
      </c>
      <c r="Z69" s="115">
        <f t="shared" si="78"/>
        <v>0</v>
      </c>
      <c r="AA69" s="115">
        <f t="shared" si="78"/>
        <v>0</v>
      </c>
      <c r="AB69" s="115">
        <f t="shared" si="78"/>
        <v>0</v>
      </c>
      <c r="AC69" s="115">
        <f t="shared" si="78"/>
        <v>0</v>
      </c>
      <c r="AD69" s="115">
        <f t="shared" si="78"/>
        <v>0</v>
      </c>
      <c r="AE69" s="115">
        <f t="shared" si="78"/>
        <v>0</v>
      </c>
      <c r="AF69" s="115">
        <f t="shared" si="78"/>
        <v>0</v>
      </c>
      <c r="AG69" s="115">
        <f t="shared" si="78"/>
        <v>0</v>
      </c>
      <c r="AH69" s="115">
        <f t="shared" si="78"/>
        <v>0</v>
      </c>
      <c r="AI69" s="115">
        <f t="shared" si="78"/>
        <v>0</v>
      </c>
      <c r="AJ69" s="115">
        <f t="shared" si="78"/>
        <v>0</v>
      </c>
      <c r="AK69" s="115">
        <f t="shared" si="78"/>
        <v>0</v>
      </c>
      <c r="AL69" s="115">
        <f t="shared" si="78"/>
        <v>0</v>
      </c>
      <c r="AM69" s="115">
        <f t="shared" si="78"/>
        <v>0</v>
      </c>
      <c r="AN69" s="115">
        <f>$E69*AN$4</f>
        <v>0</v>
      </c>
      <c r="AO69" s="115">
        <f t="shared" si="79"/>
        <v>0</v>
      </c>
      <c r="AP69" s="198">
        <f t="shared" si="79"/>
        <v>0</v>
      </c>
      <c r="AQ69" s="198">
        <f t="shared" si="79"/>
        <v>0</v>
      </c>
      <c r="AR69" s="198"/>
      <c r="AS69" s="198"/>
      <c r="AT69" s="250"/>
      <c r="AU69" s="250"/>
      <c r="AV69" s="250"/>
      <c r="AW69" s="250"/>
      <c r="AX69" s="250"/>
      <c r="AY69" s="250"/>
      <c r="BA69" s="188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T69" s="188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98"/>
      <c r="EC69" s="198"/>
      <c r="ED69" s="198"/>
      <c r="EE69" s="198"/>
      <c r="EF69" s="250"/>
      <c r="EG69" s="250"/>
      <c r="EH69" s="250"/>
      <c r="EI69" s="250"/>
      <c r="EJ69" s="250"/>
      <c r="EK69" s="250"/>
      <c r="GE69" s="237"/>
      <c r="GF69" s="237"/>
      <c r="GG69" s="237"/>
      <c r="GH69" s="237"/>
      <c r="GI69" s="237"/>
      <c r="GJ69" s="237"/>
      <c r="GK69" s="237"/>
      <c r="GL69" s="237"/>
      <c r="GT69" s="237"/>
      <c r="GU69" s="237"/>
      <c r="GV69" s="237"/>
      <c r="GW69" s="237"/>
      <c r="GX69" s="237"/>
      <c r="GY69" s="237"/>
      <c r="GZ69" s="237"/>
      <c r="HA69" s="237"/>
      <c r="HB69" s="237"/>
      <c r="HC69" s="237"/>
      <c r="HD69" s="237"/>
      <c r="HE69" s="237"/>
      <c r="HF69" s="237"/>
      <c r="HG69" s="237"/>
      <c r="HH69" s="237"/>
      <c r="HI69" s="237"/>
      <c r="HJ69" s="237"/>
      <c r="HK69" s="237"/>
      <c r="HL69" s="237"/>
    </row>
    <row r="70" spans="1:220" ht="15" customHeight="1">
      <c r="A70" s="153">
        <v>11</v>
      </c>
      <c r="B70" s="156" t="s">
        <v>147</v>
      </c>
      <c r="C70" s="154"/>
      <c r="D70" s="154">
        <f>500*1.2</f>
        <v>600</v>
      </c>
      <c r="E70" s="161">
        <f t="shared" si="2"/>
        <v>0</v>
      </c>
      <c r="F70" s="224"/>
      <c r="G70" s="115"/>
      <c r="H70" s="115"/>
      <c r="I70" s="115"/>
      <c r="J70" s="115"/>
      <c r="K70" s="115"/>
      <c r="L70" s="115">
        <f t="shared" si="78"/>
        <v>0</v>
      </c>
      <c r="M70" s="115">
        <f t="shared" si="78"/>
        <v>0</v>
      </c>
      <c r="N70" s="115">
        <f t="shared" si="78"/>
        <v>0</v>
      </c>
      <c r="O70" s="115">
        <f t="shared" si="78"/>
        <v>0</v>
      </c>
      <c r="P70" s="115">
        <f t="shared" si="78"/>
        <v>0</v>
      </c>
      <c r="Q70" s="115">
        <f t="shared" si="78"/>
        <v>0</v>
      </c>
      <c r="R70" s="115">
        <f t="shared" si="78"/>
        <v>0</v>
      </c>
      <c r="S70" s="115">
        <f t="shared" si="78"/>
        <v>0</v>
      </c>
      <c r="T70" s="115">
        <f t="shared" si="78"/>
        <v>0</v>
      </c>
      <c r="U70" s="115">
        <f t="shared" si="78"/>
        <v>0</v>
      </c>
      <c r="V70" s="115">
        <f t="shared" si="78"/>
        <v>0</v>
      </c>
      <c r="W70" s="115">
        <f t="shared" si="78"/>
        <v>0</v>
      </c>
      <c r="X70" s="115">
        <f t="shared" si="78"/>
        <v>0</v>
      </c>
      <c r="Y70" s="115">
        <f t="shared" si="78"/>
        <v>0</v>
      </c>
      <c r="Z70" s="115">
        <f t="shared" si="78"/>
        <v>0</v>
      </c>
      <c r="AA70" s="115">
        <f t="shared" si="78"/>
        <v>0</v>
      </c>
      <c r="AB70" s="115">
        <f t="shared" si="78"/>
        <v>0</v>
      </c>
      <c r="AC70" s="115">
        <f t="shared" si="78"/>
        <v>0</v>
      </c>
      <c r="AD70" s="115">
        <f t="shared" si="78"/>
        <v>0</v>
      </c>
      <c r="AE70" s="115">
        <f t="shared" si="78"/>
        <v>0</v>
      </c>
      <c r="AF70" s="115">
        <f t="shared" si="78"/>
        <v>0</v>
      </c>
      <c r="AG70" s="115">
        <f t="shared" si="78"/>
        <v>0</v>
      </c>
      <c r="AH70" s="115">
        <f t="shared" si="78"/>
        <v>0</v>
      </c>
      <c r="AI70" s="115">
        <f t="shared" si="78"/>
        <v>0</v>
      </c>
      <c r="AJ70" s="115">
        <f t="shared" si="78"/>
        <v>0</v>
      </c>
      <c r="AK70" s="115">
        <f t="shared" si="78"/>
        <v>0</v>
      </c>
      <c r="AL70" s="115">
        <f t="shared" si="78"/>
        <v>0</v>
      </c>
      <c r="AM70" s="115">
        <f t="shared" si="78"/>
        <v>0</v>
      </c>
      <c r="AN70" s="115">
        <f>$E70*AN$4</f>
        <v>0</v>
      </c>
      <c r="AO70" s="115">
        <f t="shared" si="79"/>
        <v>0</v>
      </c>
      <c r="AP70" s="198">
        <f t="shared" si="79"/>
        <v>0</v>
      </c>
      <c r="AQ70" s="198">
        <f t="shared" si="79"/>
        <v>0</v>
      </c>
      <c r="AR70" s="198"/>
      <c r="AS70" s="198"/>
      <c r="AT70" s="250"/>
      <c r="AU70" s="250"/>
      <c r="AV70" s="250"/>
      <c r="AW70" s="250"/>
      <c r="AX70" s="250"/>
      <c r="AY70" s="250"/>
      <c r="BA70" s="188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T70" s="188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98"/>
      <c r="EC70" s="198"/>
      <c r="ED70" s="198"/>
      <c r="EE70" s="198"/>
      <c r="EF70" s="250"/>
      <c r="EG70" s="250"/>
      <c r="EH70" s="250"/>
      <c r="EI70" s="250"/>
      <c r="EJ70" s="250"/>
      <c r="EK70" s="250"/>
      <c r="EN70" s="275" t="s">
        <v>184</v>
      </c>
      <c r="EO70" s="275">
        <v>2004</v>
      </c>
      <c r="EP70" s="275">
        <v>2005</v>
      </c>
      <c r="EQ70" s="275">
        <v>2006</v>
      </c>
      <c r="ER70" s="275">
        <v>2007</v>
      </c>
      <c r="ES70" s="275">
        <v>2008</v>
      </c>
      <c r="ET70" s="275">
        <v>2009</v>
      </c>
      <c r="EU70" s="275">
        <v>2010</v>
      </c>
      <c r="EV70" s="275">
        <v>2011</v>
      </c>
      <c r="EW70" s="275">
        <v>2012</v>
      </c>
      <c r="EX70" s="275">
        <v>2013</v>
      </c>
      <c r="EY70" s="275">
        <v>2014</v>
      </c>
      <c r="EZ70" s="808" t="s">
        <v>187</v>
      </c>
      <c r="FA70" s="35"/>
      <c r="GE70" s="237"/>
      <c r="GF70" s="237"/>
      <c r="GG70" s="237"/>
      <c r="GH70" s="237"/>
      <c r="GI70" s="237"/>
      <c r="GJ70" s="237"/>
      <c r="GK70" s="237"/>
      <c r="GL70" s="237"/>
      <c r="GT70" s="237"/>
      <c r="GU70" s="237"/>
      <c r="GV70" s="237"/>
      <c r="GW70" s="237"/>
      <c r="GX70" s="237"/>
      <c r="GY70" s="237"/>
      <c r="GZ70" s="237"/>
      <c r="HA70" s="237"/>
      <c r="HB70" s="237"/>
      <c r="HC70" s="237"/>
      <c r="HD70" s="237"/>
      <c r="HE70" s="237"/>
      <c r="HF70" s="237"/>
      <c r="HG70" s="237"/>
      <c r="HH70" s="237"/>
      <c r="HI70" s="237"/>
      <c r="HJ70" s="237"/>
      <c r="HK70" s="237"/>
      <c r="HL70" s="237"/>
    </row>
    <row r="71" spans="1:220" ht="15" customHeight="1">
      <c r="A71" s="153"/>
      <c r="B71" s="156" t="s">
        <v>139</v>
      </c>
      <c r="C71" s="154">
        <f>SUM(C60:C65)</f>
        <v>0</v>
      </c>
      <c r="D71" s="154"/>
      <c r="E71" s="184">
        <f>SUM(E60:E65)</f>
        <v>0</v>
      </c>
      <c r="F71" s="224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98"/>
      <c r="AQ71" s="198"/>
      <c r="AR71" s="198"/>
      <c r="AS71" s="198"/>
      <c r="AT71" s="250"/>
      <c r="AU71" s="250"/>
      <c r="AV71" s="250"/>
      <c r="AW71" s="250"/>
      <c r="AX71" s="250"/>
      <c r="AY71" s="250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>
        <f aca="true" t="shared" si="80" ref="BL71:CI71">SUM(BL60:BL61)</f>
        <v>0</v>
      </c>
      <c r="BM71" s="115">
        <f t="shared" si="80"/>
        <v>0</v>
      </c>
      <c r="BN71" s="115">
        <f t="shared" si="80"/>
        <v>0</v>
      </c>
      <c r="BO71" s="115">
        <f t="shared" si="80"/>
        <v>0</v>
      </c>
      <c r="BP71" s="115">
        <f t="shared" si="80"/>
        <v>0</v>
      </c>
      <c r="BQ71" s="115">
        <f t="shared" si="80"/>
        <v>0</v>
      </c>
      <c r="BR71" s="115">
        <f t="shared" si="80"/>
        <v>0</v>
      </c>
      <c r="BS71" s="115">
        <f t="shared" si="80"/>
        <v>0</v>
      </c>
      <c r="BT71" s="115">
        <f t="shared" si="80"/>
        <v>0</v>
      </c>
      <c r="BU71" s="115">
        <f t="shared" si="80"/>
        <v>0</v>
      </c>
      <c r="BV71" s="115">
        <f t="shared" si="80"/>
        <v>0</v>
      </c>
      <c r="BW71" s="115">
        <f t="shared" si="80"/>
        <v>0</v>
      </c>
      <c r="BX71" s="115">
        <f t="shared" si="80"/>
        <v>0</v>
      </c>
      <c r="BY71" s="115">
        <f t="shared" si="80"/>
        <v>0</v>
      </c>
      <c r="BZ71" s="115">
        <f t="shared" si="80"/>
        <v>0</v>
      </c>
      <c r="CA71" s="115">
        <f t="shared" si="80"/>
        <v>0</v>
      </c>
      <c r="CB71" s="115">
        <f t="shared" si="80"/>
        <v>0</v>
      </c>
      <c r="CC71" s="115">
        <f t="shared" si="80"/>
        <v>0</v>
      </c>
      <c r="CD71" s="115">
        <f t="shared" si="80"/>
        <v>0</v>
      </c>
      <c r="CE71" s="115">
        <f t="shared" si="80"/>
        <v>0</v>
      </c>
      <c r="CF71" s="115">
        <f t="shared" si="80"/>
        <v>0</v>
      </c>
      <c r="CG71" s="115">
        <f t="shared" si="80"/>
        <v>0</v>
      </c>
      <c r="CH71" s="115">
        <f t="shared" si="80"/>
        <v>0</v>
      </c>
      <c r="CI71" s="198">
        <f t="shared" si="80"/>
        <v>0</v>
      </c>
      <c r="CJ71" s="198">
        <f>SUM(CJ60:CJ61)</f>
        <v>0</v>
      </c>
      <c r="CK71" s="198"/>
      <c r="CL71" s="198"/>
      <c r="CM71" s="198"/>
      <c r="CN71" s="198"/>
      <c r="CO71" s="198"/>
      <c r="CP71" s="198"/>
      <c r="CQ71" s="198"/>
      <c r="CR71" s="198"/>
      <c r="CT71" s="188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>
        <f aca="true" t="shared" si="81" ref="DE71:EB71">SUM(DE62:DE65)</f>
        <v>0</v>
      </c>
      <c r="DF71" s="115">
        <f t="shared" si="81"/>
        <v>0</v>
      </c>
      <c r="DG71" s="115">
        <f t="shared" si="81"/>
        <v>0</v>
      </c>
      <c r="DH71" s="115">
        <f t="shared" si="81"/>
        <v>0</v>
      </c>
      <c r="DI71" s="115">
        <f t="shared" si="81"/>
        <v>0</v>
      </c>
      <c r="DJ71" s="115">
        <f t="shared" si="81"/>
        <v>0</v>
      </c>
      <c r="DK71" s="115">
        <f t="shared" si="81"/>
        <v>0</v>
      </c>
      <c r="DL71" s="115">
        <f t="shared" si="81"/>
        <v>0</v>
      </c>
      <c r="DM71" s="115">
        <f t="shared" si="81"/>
        <v>0</v>
      </c>
      <c r="DN71" s="115">
        <f t="shared" si="81"/>
        <v>0</v>
      </c>
      <c r="DO71" s="115">
        <f t="shared" si="81"/>
        <v>0</v>
      </c>
      <c r="DP71" s="115">
        <f t="shared" si="81"/>
        <v>0</v>
      </c>
      <c r="DQ71" s="115">
        <f t="shared" si="81"/>
        <v>0</v>
      </c>
      <c r="DR71" s="115">
        <f t="shared" si="81"/>
        <v>0</v>
      </c>
      <c r="DS71" s="115">
        <f t="shared" si="81"/>
        <v>0</v>
      </c>
      <c r="DT71" s="115">
        <f t="shared" si="81"/>
        <v>0</v>
      </c>
      <c r="DU71" s="115">
        <f t="shared" si="81"/>
        <v>0</v>
      </c>
      <c r="DV71" s="115">
        <f t="shared" si="81"/>
        <v>0</v>
      </c>
      <c r="DW71" s="115">
        <f t="shared" si="81"/>
        <v>0</v>
      </c>
      <c r="DX71" s="115">
        <f t="shared" si="81"/>
        <v>0</v>
      </c>
      <c r="DY71" s="115">
        <f t="shared" si="81"/>
        <v>0</v>
      </c>
      <c r="DZ71" s="115">
        <f t="shared" si="81"/>
        <v>0</v>
      </c>
      <c r="EA71" s="115">
        <f t="shared" si="81"/>
        <v>0</v>
      </c>
      <c r="EB71" s="198">
        <f t="shared" si="81"/>
        <v>0</v>
      </c>
      <c r="EC71" s="198">
        <f>SUM(EC62:EC65)</f>
        <v>0</v>
      </c>
      <c r="ED71" s="198"/>
      <c r="EE71" s="198"/>
      <c r="EF71" s="250"/>
      <c r="EG71" s="250"/>
      <c r="EH71" s="250"/>
      <c r="EI71" s="250"/>
      <c r="EJ71" s="250"/>
      <c r="EK71" s="250"/>
      <c r="EN71" s="114" t="s">
        <v>239</v>
      </c>
      <c r="EO71" s="115">
        <f>SUM(H72:K72,BA71:BD71,CT71:CW71)</f>
        <v>0</v>
      </c>
      <c r="EP71" s="115">
        <f>SUM(L72:O72,BE71:BH71,CX71:DA71)</f>
        <v>0</v>
      </c>
      <c r="EQ71" s="115">
        <f>SUM(P72:S72,BI71:BL71,DB71:DE71)</f>
        <v>0</v>
      </c>
      <c r="ER71" s="115">
        <f>SUM(T72:W72,BM71:BP71,DF71:DI71)</f>
        <v>0</v>
      </c>
      <c r="ES71" s="115">
        <f>SUM(X72:AA72,BQ71:BT71,DJ71:DM71)</f>
        <v>0</v>
      </c>
      <c r="ET71" s="115">
        <f>SUM(AB72:AE72,BU71:BX71,DN71:DQ71)</f>
        <v>0</v>
      </c>
      <c r="EU71" s="115">
        <f>SUM(AF72:AI72,BY71:CB71,DR71:DU71)</f>
        <v>0</v>
      </c>
      <c r="EV71" s="115">
        <f>SUM(AJ72:AM72,CC71:CF71,DV71:DY71)</f>
        <v>0</v>
      </c>
      <c r="EW71" s="115">
        <f>SUM(AN72:AQ72,CG71:CJ71,DZ71:EC71)</f>
        <v>0</v>
      </c>
      <c r="EX71" s="115">
        <f>SUM(AR72:AU72,CK71:CN71,ED71:EG71)</f>
        <v>0</v>
      </c>
      <c r="EY71" s="115">
        <f>SUM(AV72:AY72,CO71:CR71,EH71:EK71)</f>
        <v>0</v>
      </c>
      <c r="EZ71" s="115">
        <f>SUM(EO71:EY71)</f>
        <v>0</v>
      </c>
      <c r="FA71" s="237"/>
      <c r="GE71" s="237"/>
      <c r="GF71" s="237"/>
      <c r="GG71" s="237"/>
      <c r="GH71" s="237"/>
      <c r="GI71" s="237"/>
      <c r="GJ71" s="237"/>
      <c r="GK71" s="237"/>
      <c r="GL71" s="237"/>
      <c r="GT71" s="237"/>
      <c r="GU71" s="237"/>
      <c r="GV71" s="237"/>
      <c r="GW71" s="237"/>
      <c r="GX71" s="237"/>
      <c r="GY71" s="237"/>
      <c r="GZ71" s="237"/>
      <c r="HA71" s="237"/>
      <c r="HB71" s="237"/>
      <c r="HC71" s="237"/>
      <c r="HD71" s="237"/>
      <c r="HE71" s="237"/>
      <c r="HF71" s="237"/>
      <c r="HG71" s="237"/>
      <c r="HH71" s="237"/>
      <c r="HI71" s="237"/>
      <c r="HJ71" s="237"/>
      <c r="HK71" s="237"/>
      <c r="HL71" s="237"/>
    </row>
    <row r="72" spans="1:220" ht="15" customHeight="1">
      <c r="A72" s="153"/>
      <c r="B72" s="156" t="s">
        <v>140</v>
      </c>
      <c r="C72" s="154">
        <f>SUM(C66:C70)</f>
        <v>0</v>
      </c>
      <c r="D72" s="154"/>
      <c r="E72" s="184">
        <f>SUM(E66:E70)</f>
        <v>0</v>
      </c>
      <c r="F72" s="224"/>
      <c r="G72" s="115"/>
      <c r="H72" s="115">
        <f>SUM(H66:H70)</f>
        <v>0</v>
      </c>
      <c r="I72" s="115">
        <f>SUM(I66:I70)</f>
        <v>0</v>
      </c>
      <c r="J72" s="115">
        <f>SUM(J66:J70)</f>
        <v>0</v>
      </c>
      <c r="K72" s="115">
        <f>SUM(K66:K70)</f>
        <v>0</v>
      </c>
      <c r="L72" s="115">
        <f aca="true" t="shared" si="82" ref="L72:AP72">SUM(L66:L70)</f>
        <v>0</v>
      </c>
      <c r="M72" s="115">
        <f t="shared" si="82"/>
        <v>0</v>
      </c>
      <c r="N72" s="115">
        <f t="shared" si="82"/>
        <v>0</v>
      </c>
      <c r="O72" s="115">
        <f t="shared" si="82"/>
        <v>0</v>
      </c>
      <c r="P72" s="115">
        <f t="shared" si="82"/>
        <v>0</v>
      </c>
      <c r="Q72" s="115">
        <f t="shared" si="82"/>
        <v>0</v>
      </c>
      <c r="R72" s="115">
        <f t="shared" si="82"/>
        <v>0</v>
      </c>
      <c r="S72" s="115">
        <f t="shared" si="82"/>
        <v>0</v>
      </c>
      <c r="T72" s="115">
        <f t="shared" si="82"/>
        <v>0</v>
      </c>
      <c r="U72" s="115">
        <f t="shared" si="82"/>
        <v>0</v>
      </c>
      <c r="V72" s="115">
        <f t="shared" si="82"/>
        <v>0</v>
      </c>
      <c r="W72" s="115">
        <f t="shared" si="82"/>
        <v>0</v>
      </c>
      <c r="X72" s="115">
        <f t="shared" si="82"/>
        <v>0</v>
      </c>
      <c r="Y72" s="115">
        <f t="shared" si="82"/>
        <v>0</v>
      </c>
      <c r="Z72" s="115">
        <f t="shared" si="82"/>
        <v>0</v>
      </c>
      <c r="AA72" s="115">
        <f t="shared" si="82"/>
        <v>0</v>
      </c>
      <c r="AB72" s="115">
        <f t="shared" si="82"/>
        <v>0</v>
      </c>
      <c r="AC72" s="115">
        <f t="shared" si="82"/>
        <v>0</v>
      </c>
      <c r="AD72" s="115">
        <f t="shared" si="82"/>
        <v>0</v>
      </c>
      <c r="AE72" s="115">
        <f t="shared" si="82"/>
        <v>0</v>
      </c>
      <c r="AF72" s="115">
        <f t="shared" si="82"/>
        <v>0</v>
      </c>
      <c r="AG72" s="115">
        <f t="shared" si="82"/>
        <v>0</v>
      </c>
      <c r="AH72" s="115">
        <f t="shared" si="82"/>
        <v>0</v>
      </c>
      <c r="AI72" s="115">
        <f t="shared" si="82"/>
        <v>0</v>
      </c>
      <c r="AJ72" s="115">
        <f t="shared" si="82"/>
        <v>0</v>
      </c>
      <c r="AK72" s="115">
        <f t="shared" si="82"/>
        <v>0</v>
      </c>
      <c r="AL72" s="115">
        <f t="shared" si="82"/>
        <v>0</v>
      </c>
      <c r="AM72" s="115">
        <f t="shared" si="82"/>
        <v>0</v>
      </c>
      <c r="AN72" s="115">
        <f t="shared" si="82"/>
        <v>0</v>
      </c>
      <c r="AO72" s="115">
        <f t="shared" si="82"/>
        <v>0</v>
      </c>
      <c r="AP72" s="198">
        <f t="shared" si="82"/>
        <v>0</v>
      </c>
      <c r="AQ72" s="198">
        <f>SUM(AQ66:AQ70)</f>
        <v>0</v>
      </c>
      <c r="AR72" s="198"/>
      <c r="AS72" s="198"/>
      <c r="AT72" s="250"/>
      <c r="AU72" s="250"/>
      <c r="AV72" s="250"/>
      <c r="AW72" s="250"/>
      <c r="AX72" s="250"/>
      <c r="AY72" s="250"/>
      <c r="BA72" s="188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T72" s="188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98"/>
      <c r="EC72" s="198"/>
      <c r="ED72" s="198"/>
      <c r="EE72" s="198"/>
      <c r="EF72" s="250"/>
      <c r="EG72" s="250"/>
      <c r="EH72" s="250"/>
      <c r="EI72" s="250"/>
      <c r="EJ72" s="250"/>
      <c r="EK72" s="250"/>
      <c r="EN72" s="114" t="s">
        <v>185</v>
      </c>
      <c r="EO72" s="115">
        <f aca="true" t="shared" si="83" ref="EO72:EY72">EO71*0.506</f>
        <v>0</v>
      </c>
      <c r="EP72" s="115">
        <f t="shared" si="83"/>
        <v>0</v>
      </c>
      <c r="EQ72" s="115">
        <f t="shared" si="83"/>
        <v>0</v>
      </c>
      <c r="ER72" s="115">
        <f t="shared" si="83"/>
        <v>0</v>
      </c>
      <c r="ES72" s="115">
        <f t="shared" si="83"/>
        <v>0</v>
      </c>
      <c r="ET72" s="115">
        <f t="shared" si="83"/>
        <v>0</v>
      </c>
      <c r="EU72" s="115">
        <f t="shared" si="83"/>
        <v>0</v>
      </c>
      <c r="EV72" s="115">
        <f t="shared" si="83"/>
        <v>0</v>
      </c>
      <c r="EW72" s="115">
        <f t="shared" si="83"/>
        <v>0</v>
      </c>
      <c r="EX72" s="115">
        <f t="shared" si="83"/>
        <v>0</v>
      </c>
      <c r="EY72" s="115">
        <f t="shared" si="83"/>
        <v>0</v>
      </c>
      <c r="EZ72" s="115">
        <f>SUM(EO72:EY72)</f>
        <v>0</v>
      </c>
      <c r="FA72" s="237"/>
      <c r="GE72" s="237"/>
      <c r="GF72" s="237"/>
      <c r="GG72" s="237"/>
      <c r="GH72" s="237"/>
      <c r="GI72" s="237"/>
      <c r="GJ72" s="237"/>
      <c r="GK72" s="237"/>
      <c r="GL72" s="237"/>
      <c r="GT72" s="237"/>
      <c r="GU72" s="237"/>
      <c r="GV72" s="237"/>
      <c r="GW72" s="237"/>
      <c r="GX72" s="237"/>
      <c r="GY72" s="237"/>
      <c r="GZ72" s="237"/>
      <c r="HA72" s="237"/>
      <c r="HB72" s="237"/>
      <c r="HC72" s="237"/>
      <c r="HD72" s="237"/>
      <c r="HE72" s="237"/>
      <c r="HF72" s="237"/>
      <c r="HG72" s="237"/>
      <c r="HH72" s="237"/>
      <c r="HI72" s="237"/>
      <c r="HJ72" s="237"/>
      <c r="HK72" s="237"/>
      <c r="HL72" s="237"/>
    </row>
    <row r="73" spans="1:220" ht="15" customHeight="1">
      <c r="A73" s="210"/>
      <c r="B73" s="211" t="s">
        <v>70</v>
      </c>
      <c r="C73" s="212">
        <f>SUM(C71:C72)</f>
        <v>0</v>
      </c>
      <c r="D73" s="212"/>
      <c r="E73" s="229">
        <f>SUM(E71:E72)</f>
        <v>0</v>
      </c>
      <c r="F73" s="225" t="s">
        <v>110</v>
      </c>
      <c r="G73" s="202">
        <f>G$132</f>
        <v>0.506</v>
      </c>
      <c r="H73" s="204">
        <f aca="true" t="shared" si="84" ref="H73:AP73">SUM(H60:H70)*$G73</f>
        <v>0</v>
      </c>
      <c r="I73" s="204">
        <f t="shared" si="84"/>
        <v>0</v>
      </c>
      <c r="J73" s="204">
        <f t="shared" si="84"/>
        <v>0</v>
      </c>
      <c r="K73" s="204">
        <f t="shared" si="84"/>
        <v>0</v>
      </c>
      <c r="L73" s="204">
        <f t="shared" si="84"/>
        <v>0</v>
      </c>
      <c r="M73" s="204">
        <f t="shared" si="84"/>
        <v>0</v>
      </c>
      <c r="N73" s="204">
        <f t="shared" si="84"/>
        <v>0</v>
      </c>
      <c r="O73" s="204">
        <f t="shared" si="84"/>
        <v>0</v>
      </c>
      <c r="P73" s="204">
        <f t="shared" si="84"/>
        <v>0</v>
      </c>
      <c r="Q73" s="204">
        <f t="shared" si="84"/>
        <v>0</v>
      </c>
      <c r="R73" s="204">
        <f t="shared" si="84"/>
        <v>0</v>
      </c>
      <c r="S73" s="204">
        <f t="shared" si="84"/>
        <v>0</v>
      </c>
      <c r="T73" s="204">
        <f t="shared" si="84"/>
        <v>0</v>
      </c>
      <c r="U73" s="204">
        <f t="shared" si="84"/>
        <v>0</v>
      </c>
      <c r="V73" s="204">
        <f t="shared" si="84"/>
        <v>0</v>
      </c>
      <c r="W73" s="204">
        <f t="shared" si="84"/>
        <v>0</v>
      </c>
      <c r="X73" s="204">
        <f t="shared" si="84"/>
        <v>0</v>
      </c>
      <c r="Y73" s="204">
        <f t="shared" si="84"/>
        <v>0</v>
      </c>
      <c r="Z73" s="204">
        <f t="shared" si="84"/>
        <v>0</v>
      </c>
      <c r="AA73" s="204">
        <f t="shared" si="84"/>
        <v>0</v>
      </c>
      <c r="AB73" s="204">
        <f t="shared" si="84"/>
        <v>0</v>
      </c>
      <c r="AC73" s="204">
        <f t="shared" si="84"/>
        <v>0</v>
      </c>
      <c r="AD73" s="204">
        <f t="shared" si="84"/>
        <v>0</v>
      </c>
      <c r="AE73" s="204">
        <f t="shared" si="84"/>
        <v>0</v>
      </c>
      <c r="AF73" s="204">
        <f t="shared" si="84"/>
        <v>0</v>
      </c>
      <c r="AG73" s="204">
        <f t="shared" si="84"/>
        <v>0</v>
      </c>
      <c r="AH73" s="204">
        <f t="shared" si="84"/>
        <v>0</v>
      </c>
      <c r="AI73" s="204">
        <f t="shared" si="84"/>
        <v>0</v>
      </c>
      <c r="AJ73" s="204">
        <f t="shared" si="84"/>
        <v>0</v>
      </c>
      <c r="AK73" s="204">
        <f t="shared" si="84"/>
        <v>0</v>
      </c>
      <c r="AL73" s="204">
        <f t="shared" si="84"/>
        <v>0</v>
      </c>
      <c r="AM73" s="204">
        <f t="shared" si="84"/>
        <v>0</v>
      </c>
      <c r="AN73" s="204">
        <f t="shared" si="84"/>
        <v>0</v>
      </c>
      <c r="AO73" s="204">
        <f t="shared" si="84"/>
        <v>0</v>
      </c>
      <c r="AP73" s="624">
        <f t="shared" si="84"/>
        <v>0</v>
      </c>
      <c r="AQ73" s="624">
        <f>SUM(AQ60:AQ70)*$G73</f>
        <v>0</v>
      </c>
      <c r="AR73" s="624"/>
      <c r="AS73" s="624"/>
      <c r="AT73" s="676"/>
      <c r="AU73" s="676"/>
      <c r="AV73" s="676"/>
      <c r="AW73" s="676"/>
      <c r="AX73" s="676"/>
      <c r="AY73" s="676"/>
      <c r="BA73" s="25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>
        <f aca="true" t="shared" si="85" ref="BL73:CI73">SUM(BL60:BL70)*$G73</f>
        <v>0</v>
      </c>
      <c r="BM73" s="204">
        <f t="shared" si="85"/>
        <v>0</v>
      </c>
      <c r="BN73" s="204">
        <f t="shared" si="85"/>
        <v>0</v>
      </c>
      <c r="BO73" s="204">
        <f t="shared" si="85"/>
        <v>0</v>
      </c>
      <c r="BP73" s="204">
        <f t="shared" si="85"/>
        <v>0</v>
      </c>
      <c r="BQ73" s="204">
        <f t="shared" si="85"/>
        <v>0</v>
      </c>
      <c r="BR73" s="204">
        <f t="shared" si="85"/>
        <v>0</v>
      </c>
      <c r="BS73" s="204">
        <f t="shared" si="85"/>
        <v>0</v>
      </c>
      <c r="BT73" s="204">
        <f t="shared" si="85"/>
        <v>0</v>
      </c>
      <c r="BU73" s="204">
        <f t="shared" si="85"/>
        <v>0</v>
      </c>
      <c r="BV73" s="204">
        <f t="shared" si="85"/>
        <v>0</v>
      </c>
      <c r="BW73" s="204">
        <f t="shared" si="85"/>
        <v>0</v>
      </c>
      <c r="BX73" s="204">
        <f t="shared" si="85"/>
        <v>0</v>
      </c>
      <c r="BY73" s="204">
        <f t="shared" si="85"/>
        <v>0</v>
      </c>
      <c r="BZ73" s="204">
        <f t="shared" si="85"/>
        <v>0</v>
      </c>
      <c r="CA73" s="204">
        <f t="shared" si="85"/>
        <v>0</v>
      </c>
      <c r="CB73" s="204">
        <f t="shared" si="85"/>
        <v>0</v>
      </c>
      <c r="CC73" s="204">
        <f t="shared" si="85"/>
        <v>0</v>
      </c>
      <c r="CD73" s="204">
        <f t="shared" si="85"/>
        <v>0</v>
      </c>
      <c r="CE73" s="204">
        <f t="shared" si="85"/>
        <v>0</v>
      </c>
      <c r="CF73" s="204">
        <f t="shared" si="85"/>
        <v>0</v>
      </c>
      <c r="CG73" s="204">
        <f t="shared" si="85"/>
        <v>0</v>
      </c>
      <c r="CH73" s="204">
        <f t="shared" si="85"/>
        <v>0</v>
      </c>
      <c r="CI73" s="624">
        <f t="shared" si="85"/>
        <v>0</v>
      </c>
      <c r="CJ73" s="624">
        <f>SUM(CJ60:CJ70)*$G73</f>
        <v>0</v>
      </c>
      <c r="CK73" s="624"/>
      <c r="CL73" s="624"/>
      <c r="CM73" s="624"/>
      <c r="CN73" s="624"/>
      <c r="CO73" s="624"/>
      <c r="CP73" s="624"/>
      <c r="CQ73" s="624"/>
      <c r="CR73" s="624"/>
      <c r="CT73" s="25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>
        <f aca="true" t="shared" si="86" ref="DE73:EB73">SUM(DE60:DE70)*$G73</f>
        <v>0</v>
      </c>
      <c r="DF73" s="204">
        <f t="shared" si="86"/>
        <v>0</v>
      </c>
      <c r="DG73" s="204">
        <f t="shared" si="86"/>
        <v>0</v>
      </c>
      <c r="DH73" s="204">
        <f t="shared" si="86"/>
        <v>0</v>
      </c>
      <c r="DI73" s="204">
        <f t="shared" si="86"/>
        <v>0</v>
      </c>
      <c r="DJ73" s="204">
        <f t="shared" si="86"/>
        <v>0</v>
      </c>
      <c r="DK73" s="204">
        <f t="shared" si="86"/>
        <v>0</v>
      </c>
      <c r="DL73" s="204">
        <f t="shared" si="86"/>
        <v>0</v>
      </c>
      <c r="DM73" s="204">
        <f t="shared" si="86"/>
        <v>0</v>
      </c>
      <c r="DN73" s="204">
        <f t="shared" si="86"/>
        <v>0</v>
      </c>
      <c r="DO73" s="204">
        <f t="shared" si="86"/>
        <v>0</v>
      </c>
      <c r="DP73" s="204">
        <f t="shared" si="86"/>
        <v>0</v>
      </c>
      <c r="DQ73" s="204">
        <f t="shared" si="86"/>
        <v>0</v>
      </c>
      <c r="DR73" s="204">
        <f t="shared" si="86"/>
        <v>0</v>
      </c>
      <c r="DS73" s="204">
        <f t="shared" si="86"/>
        <v>0</v>
      </c>
      <c r="DT73" s="204">
        <f t="shared" si="86"/>
        <v>0</v>
      </c>
      <c r="DU73" s="204">
        <f t="shared" si="86"/>
        <v>0</v>
      </c>
      <c r="DV73" s="204">
        <f t="shared" si="86"/>
        <v>0</v>
      </c>
      <c r="DW73" s="204">
        <f t="shared" si="86"/>
        <v>0</v>
      </c>
      <c r="DX73" s="204">
        <f t="shared" si="86"/>
        <v>0</v>
      </c>
      <c r="DY73" s="204">
        <f t="shared" si="86"/>
        <v>0</v>
      </c>
      <c r="DZ73" s="204">
        <f t="shared" si="86"/>
        <v>0</v>
      </c>
      <c r="EA73" s="204">
        <f t="shared" si="86"/>
        <v>0</v>
      </c>
      <c r="EB73" s="624">
        <f t="shared" si="86"/>
        <v>0</v>
      </c>
      <c r="EC73" s="624">
        <f>SUM(EC60:EC70)*$G73</f>
        <v>0</v>
      </c>
      <c r="ED73" s="624"/>
      <c r="EE73" s="624"/>
      <c r="EF73" s="676"/>
      <c r="EG73" s="676"/>
      <c r="EH73" s="676"/>
      <c r="EI73" s="676"/>
      <c r="EJ73" s="676"/>
      <c r="EK73" s="676"/>
      <c r="EN73" s="114" t="s">
        <v>238</v>
      </c>
      <c r="EO73" s="115">
        <f aca="true" t="shared" si="87" ref="EO73:EY73">SUM(EO71:EO72)</f>
        <v>0</v>
      </c>
      <c r="EP73" s="115">
        <f t="shared" si="87"/>
        <v>0</v>
      </c>
      <c r="EQ73" s="115">
        <f t="shared" si="87"/>
        <v>0</v>
      </c>
      <c r="ER73" s="115">
        <f t="shared" si="87"/>
        <v>0</v>
      </c>
      <c r="ES73" s="115">
        <f t="shared" si="87"/>
        <v>0</v>
      </c>
      <c r="ET73" s="115">
        <f t="shared" si="87"/>
        <v>0</v>
      </c>
      <c r="EU73" s="115">
        <f t="shared" si="87"/>
        <v>0</v>
      </c>
      <c r="EV73" s="115">
        <f t="shared" si="87"/>
        <v>0</v>
      </c>
      <c r="EW73" s="115">
        <f t="shared" si="87"/>
        <v>0</v>
      </c>
      <c r="EX73" s="115">
        <f t="shared" si="87"/>
        <v>0</v>
      </c>
      <c r="EY73" s="115">
        <f t="shared" si="87"/>
        <v>0</v>
      </c>
      <c r="EZ73" s="115">
        <f>SUM(EO73:EY73)</f>
        <v>0</v>
      </c>
      <c r="FA73" s="237"/>
      <c r="GD73" s="238"/>
      <c r="GE73" s="238"/>
      <c r="GF73" s="238"/>
      <c r="GG73" s="238"/>
      <c r="GH73" s="238"/>
      <c r="GI73" s="238"/>
      <c r="GJ73" s="238"/>
      <c r="GK73" s="238"/>
      <c r="GL73" s="238"/>
      <c r="GT73" s="238"/>
      <c r="GU73" s="238"/>
      <c r="GV73" s="238"/>
      <c r="GW73" s="238"/>
      <c r="GX73" s="238"/>
      <c r="GY73" s="238"/>
      <c r="GZ73" s="238"/>
      <c r="HA73" s="238"/>
      <c r="HB73" s="238"/>
      <c r="HC73" s="238"/>
      <c r="HD73" s="238"/>
      <c r="HE73" s="238"/>
      <c r="HF73" s="238"/>
      <c r="HG73" s="238"/>
      <c r="HH73" s="238"/>
      <c r="HI73" s="238"/>
      <c r="HJ73" s="238"/>
      <c r="HK73" s="238"/>
      <c r="HL73" s="238"/>
    </row>
    <row r="74" spans="1:220" ht="15" customHeight="1">
      <c r="A74" s="391"/>
      <c r="B74" s="392"/>
      <c r="C74" s="393"/>
      <c r="D74" s="393"/>
      <c r="E74" s="394"/>
      <c r="F74" s="395" t="s">
        <v>178</v>
      </c>
      <c r="G74" s="396">
        <v>0.01</v>
      </c>
      <c r="H74" s="399">
        <f>H72*$G$74</f>
        <v>0</v>
      </c>
      <c r="I74" s="399">
        <f aca="true" t="shared" si="88" ref="I74:AP74">I72*$G$74</f>
        <v>0</v>
      </c>
      <c r="J74" s="399">
        <f t="shared" si="88"/>
        <v>0</v>
      </c>
      <c r="K74" s="399">
        <f t="shared" si="88"/>
        <v>0</v>
      </c>
      <c r="L74" s="399">
        <f t="shared" si="88"/>
        <v>0</v>
      </c>
      <c r="M74" s="399">
        <f t="shared" si="88"/>
        <v>0</v>
      </c>
      <c r="N74" s="399">
        <f t="shared" si="88"/>
        <v>0</v>
      </c>
      <c r="O74" s="399">
        <f t="shared" si="88"/>
        <v>0</v>
      </c>
      <c r="P74" s="399">
        <f t="shared" si="88"/>
        <v>0</v>
      </c>
      <c r="Q74" s="399">
        <f t="shared" si="88"/>
        <v>0</v>
      </c>
      <c r="R74" s="399">
        <f t="shared" si="88"/>
        <v>0</v>
      </c>
      <c r="S74" s="399">
        <f t="shared" si="88"/>
        <v>0</v>
      </c>
      <c r="T74" s="399">
        <f t="shared" si="88"/>
        <v>0</v>
      </c>
      <c r="U74" s="399">
        <f t="shared" si="88"/>
        <v>0</v>
      </c>
      <c r="V74" s="399">
        <f t="shared" si="88"/>
        <v>0</v>
      </c>
      <c r="W74" s="399">
        <f t="shared" si="88"/>
        <v>0</v>
      </c>
      <c r="X74" s="399">
        <f t="shared" si="88"/>
        <v>0</v>
      </c>
      <c r="Y74" s="399">
        <f t="shared" si="88"/>
        <v>0</v>
      </c>
      <c r="Z74" s="399">
        <f t="shared" si="88"/>
        <v>0</v>
      </c>
      <c r="AA74" s="399">
        <f t="shared" si="88"/>
        <v>0</v>
      </c>
      <c r="AB74" s="399">
        <f t="shared" si="88"/>
        <v>0</v>
      </c>
      <c r="AC74" s="399">
        <f t="shared" si="88"/>
        <v>0</v>
      </c>
      <c r="AD74" s="399">
        <f t="shared" si="88"/>
        <v>0</v>
      </c>
      <c r="AE74" s="399">
        <f t="shared" si="88"/>
        <v>0</v>
      </c>
      <c r="AF74" s="399">
        <f t="shared" si="88"/>
        <v>0</v>
      </c>
      <c r="AG74" s="399">
        <f t="shared" si="88"/>
        <v>0</v>
      </c>
      <c r="AH74" s="399">
        <f t="shared" si="88"/>
        <v>0</v>
      </c>
      <c r="AI74" s="399">
        <f t="shared" si="88"/>
        <v>0</v>
      </c>
      <c r="AJ74" s="399">
        <f t="shared" si="88"/>
        <v>0</v>
      </c>
      <c r="AK74" s="399">
        <f t="shared" si="88"/>
        <v>0</v>
      </c>
      <c r="AL74" s="399">
        <f t="shared" si="88"/>
        <v>0</v>
      </c>
      <c r="AM74" s="399">
        <f t="shared" si="88"/>
        <v>0</v>
      </c>
      <c r="AN74" s="399">
        <f t="shared" si="88"/>
        <v>0</v>
      </c>
      <c r="AO74" s="399">
        <f t="shared" si="88"/>
        <v>0</v>
      </c>
      <c r="AP74" s="625">
        <f t="shared" si="88"/>
        <v>0</v>
      </c>
      <c r="AQ74" s="625">
        <f>AQ72*$G$74</f>
        <v>0</v>
      </c>
      <c r="AR74" s="625"/>
      <c r="AS74" s="625"/>
      <c r="AT74" s="677"/>
      <c r="AU74" s="677"/>
      <c r="AV74" s="677"/>
      <c r="AW74" s="677"/>
      <c r="AX74" s="677"/>
      <c r="AY74" s="677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>
        <f aca="true" t="shared" si="89" ref="BL74:DM74">BL71*$G$74</f>
        <v>0</v>
      </c>
      <c r="BM74" s="399">
        <f t="shared" si="89"/>
        <v>0</v>
      </c>
      <c r="BN74" s="399">
        <f t="shared" si="89"/>
        <v>0</v>
      </c>
      <c r="BO74" s="399">
        <f t="shared" si="89"/>
        <v>0</v>
      </c>
      <c r="BP74" s="399">
        <f t="shared" si="89"/>
        <v>0</v>
      </c>
      <c r="BQ74" s="399">
        <f t="shared" si="89"/>
        <v>0</v>
      </c>
      <c r="BR74" s="399">
        <f t="shared" si="89"/>
        <v>0</v>
      </c>
      <c r="BS74" s="399">
        <f t="shared" si="89"/>
        <v>0</v>
      </c>
      <c r="BT74" s="399">
        <f t="shared" si="89"/>
        <v>0</v>
      </c>
      <c r="BU74" s="399">
        <f t="shared" si="89"/>
        <v>0</v>
      </c>
      <c r="BV74" s="399">
        <f t="shared" si="89"/>
        <v>0</v>
      </c>
      <c r="BW74" s="399">
        <f t="shared" si="89"/>
        <v>0</v>
      </c>
      <c r="BX74" s="399">
        <f t="shared" si="89"/>
        <v>0</v>
      </c>
      <c r="BY74" s="399">
        <f t="shared" si="89"/>
        <v>0</v>
      </c>
      <c r="BZ74" s="399">
        <f t="shared" si="89"/>
        <v>0</v>
      </c>
      <c r="CA74" s="399">
        <f t="shared" si="89"/>
        <v>0</v>
      </c>
      <c r="CB74" s="399">
        <f t="shared" si="89"/>
        <v>0</v>
      </c>
      <c r="CC74" s="399">
        <f t="shared" si="89"/>
        <v>0</v>
      </c>
      <c r="CD74" s="399">
        <f t="shared" si="89"/>
        <v>0</v>
      </c>
      <c r="CE74" s="399">
        <f t="shared" si="89"/>
        <v>0</v>
      </c>
      <c r="CF74" s="399">
        <f t="shared" si="89"/>
        <v>0</v>
      </c>
      <c r="CG74" s="399">
        <f t="shared" si="89"/>
        <v>0</v>
      </c>
      <c r="CH74" s="399">
        <f t="shared" si="89"/>
        <v>0</v>
      </c>
      <c r="CI74" s="625">
        <f t="shared" si="89"/>
        <v>0</v>
      </c>
      <c r="CJ74" s="625">
        <f>CJ71*$G$74</f>
        <v>0</v>
      </c>
      <c r="CK74" s="625"/>
      <c r="CL74" s="625"/>
      <c r="CM74" s="625"/>
      <c r="CN74" s="625"/>
      <c r="CO74" s="625"/>
      <c r="CP74" s="625"/>
      <c r="CQ74" s="625"/>
      <c r="CR74" s="625"/>
      <c r="CT74" s="690"/>
      <c r="CU74" s="399"/>
      <c r="CV74" s="399"/>
      <c r="CW74" s="399"/>
      <c r="CX74" s="399"/>
      <c r="CY74" s="399"/>
      <c r="CZ74" s="399"/>
      <c r="DA74" s="399"/>
      <c r="DB74" s="399"/>
      <c r="DC74" s="399"/>
      <c r="DD74" s="399"/>
      <c r="DE74" s="399">
        <f t="shared" si="89"/>
        <v>0</v>
      </c>
      <c r="DF74" s="399">
        <f t="shared" si="89"/>
        <v>0</v>
      </c>
      <c r="DG74" s="399">
        <f t="shared" si="89"/>
        <v>0</v>
      </c>
      <c r="DH74" s="399">
        <f t="shared" si="89"/>
        <v>0</v>
      </c>
      <c r="DI74" s="399">
        <f t="shared" si="89"/>
        <v>0</v>
      </c>
      <c r="DJ74" s="399">
        <f t="shared" si="89"/>
        <v>0</v>
      </c>
      <c r="DK74" s="399">
        <f t="shared" si="89"/>
        <v>0</v>
      </c>
      <c r="DL74" s="399">
        <f t="shared" si="89"/>
        <v>0</v>
      </c>
      <c r="DM74" s="399">
        <f t="shared" si="89"/>
        <v>0</v>
      </c>
      <c r="DN74" s="399">
        <f aca="true" t="shared" si="90" ref="DN74:EB74">DN71*$G$74</f>
        <v>0</v>
      </c>
      <c r="DO74" s="399">
        <f t="shared" si="90"/>
        <v>0</v>
      </c>
      <c r="DP74" s="399">
        <f t="shared" si="90"/>
        <v>0</v>
      </c>
      <c r="DQ74" s="399">
        <f t="shared" si="90"/>
        <v>0</v>
      </c>
      <c r="DR74" s="399">
        <f t="shared" si="90"/>
        <v>0</v>
      </c>
      <c r="DS74" s="399">
        <f t="shared" si="90"/>
        <v>0</v>
      </c>
      <c r="DT74" s="399">
        <f t="shared" si="90"/>
        <v>0</v>
      </c>
      <c r="DU74" s="399">
        <f t="shared" si="90"/>
        <v>0</v>
      </c>
      <c r="DV74" s="399">
        <f t="shared" si="90"/>
        <v>0</v>
      </c>
      <c r="DW74" s="399">
        <f t="shared" si="90"/>
        <v>0</v>
      </c>
      <c r="DX74" s="399">
        <f t="shared" si="90"/>
        <v>0</v>
      </c>
      <c r="DY74" s="399">
        <f t="shared" si="90"/>
        <v>0</v>
      </c>
      <c r="DZ74" s="399">
        <f t="shared" si="90"/>
        <v>0</v>
      </c>
      <c r="EA74" s="399">
        <f t="shared" si="90"/>
        <v>0</v>
      </c>
      <c r="EB74" s="625">
        <f t="shared" si="90"/>
        <v>0</v>
      </c>
      <c r="EC74" s="625">
        <f>EC71*$G$74</f>
        <v>0</v>
      </c>
      <c r="ED74" s="625"/>
      <c r="EE74" s="625"/>
      <c r="EF74" s="677"/>
      <c r="EG74" s="677"/>
      <c r="EH74" s="677"/>
      <c r="EI74" s="677"/>
      <c r="EJ74" s="677"/>
      <c r="EK74" s="677"/>
      <c r="EN74" s="390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GD74" s="238"/>
      <c r="GE74" s="238"/>
      <c r="GF74" s="238"/>
      <c r="GG74" s="238"/>
      <c r="GH74" s="238"/>
      <c r="GI74" s="238"/>
      <c r="GJ74" s="238"/>
      <c r="GK74" s="238"/>
      <c r="GL74" s="238"/>
      <c r="GT74" s="238"/>
      <c r="GU74" s="238"/>
      <c r="GV74" s="238"/>
      <c r="GW74" s="238"/>
      <c r="GX74" s="238"/>
      <c r="GY74" s="238"/>
      <c r="GZ74" s="238"/>
      <c r="HA74" s="238"/>
      <c r="HB74" s="238"/>
      <c r="HC74" s="238"/>
      <c r="HD74" s="238"/>
      <c r="HE74" s="238"/>
      <c r="HF74" s="238"/>
      <c r="HG74" s="238"/>
      <c r="HH74" s="238"/>
      <c r="HI74" s="238"/>
      <c r="HJ74" s="238"/>
      <c r="HK74" s="238"/>
      <c r="HL74" s="238"/>
    </row>
    <row r="75" spans="1:220" ht="32.25" customHeight="1">
      <c r="A75" s="178"/>
      <c r="B75" s="179" t="s">
        <v>422</v>
      </c>
      <c r="C75" s="185"/>
      <c r="D75" s="185"/>
      <c r="E75" s="186"/>
      <c r="F75" s="223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622"/>
      <c r="AQ75" s="622"/>
      <c r="AR75" s="622"/>
      <c r="AS75" s="622"/>
      <c r="AT75" s="253"/>
      <c r="AU75" s="253"/>
      <c r="AV75" s="253"/>
      <c r="AW75" s="253"/>
      <c r="AX75" s="253"/>
      <c r="AY75" s="253"/>
      <c r="AZ75" s="238"/>
      <c r="BA75" s="696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8"/>
      <c r="BQ75" s="208"/>
      <c r="BR75" s="208"/>
      <c r="BS75" s="208"/>
      <c r="BT75" s="208"/>
      <c r="BU75" s="208"/>
      <c r="BV75" s="208"/>
      <c r="BW75" s="208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701"/>
      <c r="CN75" s="701"/>
      <c r="CO75" s="701"/>
      <c r="CP75" s="701"/>
      <c r="CQ75" s="701"/>
      <c r="CR75" s="701"/>
      <c r="CS75" s="238"/>
      <c r="CT75" s="251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622"/>
      <c r="EC75" s="622"/>
      <c r="ED75" s="622"/>
      <c r="EE75" s="622"/>
      <c r="EF75" s="253"/>
      <c r="EG75" s="253"/>
      <c r="EH75" s="253"/>
      <c r="EI75" s="253"/>
      <c r="EJ75" s="253"/>
      <c r="EK75" s="253"/>
      <c r="GE75" s="237"/>
      <c r="GF75" s="237"/>
      <c r="GG75" s="237"/>
      <c r="GH75" s="237"/>
      <c r="GI75" s="237"/>
      <c r="GJ75" s="237"/>
      <c r="GK75" s="237"/>
      <c r="GL75" s="237"/>
      <c r="GT75" s="237"/>
      <c r="GU75" s="237"/>
      <c r="GV75" s="237"/>
      <c r="GW75" s="237"/>
      <c r="GX75" s="237"/>
      <c r="GY75" s="237"/>
      <c r="GZ75" s="237"/>
      <c r="HA75" s="237"/>
      <c r="HB75" s="237"/>
      <c r="HC75" s="237"/>
      <c r="HD75" s="237"/>
      <c r="HE75" s="237"/>
      <c r="HF75" s="237"/>
      <c r="HG75" s="237"/>
      <c r="HH75" s="237"/>
      <c r="HI75" s="237"/>
      <c r="HJ75" s="237"/>
      <c r="HK75" s="237"/>
      <c r="HL75" s="237"/>
    </row>
    <row r="76" spans="1:220" ht="15" customHeight="1">
      <c r="A76" s="153">
        <v>1</v>
      </c>
      <c r="B76" s="156" t="s">
        <v>434</v>
      </c>
      <c r="C76" s="154">
        <v>1</v>
      </c>
      <c r="D76" s="154">
        <f>850*1.2</f>
        <v>1020</v>
      </c>
      <c r="E76" s="161">
        <f t="shared" si="2"/>
        <v>1.02</v>
      </c>
      <c r="F76" s="224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98"/>
      <c r="AQ76" s="198"/>
      <c r="AR76" s="198"/>
      <c r="AS76" s="198"/>
      <c r="AT76" s="250"/>
      <c r="AU76" s="250"/>
      <c r="AV76" s="250"/>
      <c r="AW76" s="250"/>
      <c r="AX76" s="250"/>
      <c r="AY76" s="250"/>
      <c r="BA76" s="630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702"/>
      <c r="CN76" s="702"/>
      <c r="CO76" s="702"/>
      <c r="CP76" s="702"/>
      <c r="CQ76" s="702"/>
      <c r="CR76" s="702"/>
      <c r="CT76" s="188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>
        <f aca="true" t="shared" si="91" ref="DE76:DL76">$E76*DE$4</f>
        <v>3.06</v>
      </c>
      <c r="DF76" s="115">
        <f t="shared" si="91"/>
        <v>3.06</v>
      </c>
      <c r="DG76" s="115">
        <f t="shared" si="91"/>
        <v>3.06</v>
      </c>
      <c r="DH76" s="115">
        <f t="shared" si="91"/>
        <v>3.06</v>
      </c>
      <c r="DI76" s="115">
        <f t="shared" si="91"/>
        <v>3.06</v>
      </c>
      <c r="DJ76" s="115">
        <f t="shared" si="91"/>
        <v>3.06</v>
      </c>
      <c r="DK76" s="115">
        <f t="shared" si="91"/>
        <v>3.06</v>
      </c>
      <c r="DL76" s="115">
        <f t="shared" si="91"/>
        <v>3.06</v>
      </c>
      <c r="DM76" s="115">
        <f aca="true" t="shared" si="92" ref="DE76:DZ77">$E76*DM$4</f>
        <v>3.06</v>
      </c>
      <c r="DN76" s="115">
        <f t="shared" si="92"/>
        <v>3.06</v>
      </c>
      <c r="DO76" s="115">
        <f t="shared" si="92"/>
        <v>3.06</v>
      </c>
      <c r="DP76" s="115">
        <f t="shared" si="92"/>
        <v>3.06</v>
      </c>
      <c r="DQ76" s="115">
        <f t="shared" si="92"/>
        <v>3.06</v>
      </c>
      <c r="DR76" s="115">
        <f t="shared" si="92"/>
        <v>3.06</v>
      </c>
      <c r="DS76" s="115">
        <f t="shared" si="92"/>
        <v>3.06</v>
      </c>
      <c r="DT76" s="115">
        <f t="shared" si="92"/>
        <v>3.06</v>
      </c>
      <c r="DU76" s="115">
        <f t="shared" si="92"/>
        <v>3.06</v>
      </c>
      <c r="DV76" s="115">
        <f t="shared" si="92"/>
        <v>3.06</v>
      </c>
      <c r="DW76" s="115">
        <f t="shared" si="92"/>
        <v>3.06</v>
      </c>
      <c r="DX76" s="115">
        <f t="shared" si="92"/>
        <v>3.06</v>
      </c>
      <c r="DY76" s="115">
        <f t="shared" si="92"/>
        <v>3.06</v>
      </c>
      <c r="DZ76" s="115">
        <f t="shared" si="92"/>
        <v>3.06</v>
      </c>
      <c r="EA76" s="115">
        <f aca="true" t="shared" si="93" ref="EA76:EC77">$E76*EA$4</f>
        <v>3.06</v>
      </c>
      <c r="EB76" s="198">
        <f t="shared" si="93"/>
        <v>3.06</v>
      </c>
      <c r="EC76" s="198">
        <f t="shared" si="93"/>
        <v>3.06</v>
      </c>
      <c r="ED76" s="198"/>
      <c r="EE76" s="198"/>
      <c r="EF76" s="250"/>
      <c r="EG76" s="250"/>
      <c r="EH76" s="250"/>
      <c r="EI76" s="250"/>
      <c r="EJ76" s="250"/>
      <c r="EK76" s="250"/>
      <c r="GE76" s="237"/>
      <c r="GF76" s="237"/>
      <c r="GG76" s="237"/>
      <c r="GH76" s="237"/>
      <c r="GI76" s="237"/>
      <c r="GJ76" s="237"/>
      <c r="GK76" s="237"/>
      <c r="GL76" s="237"/>
      <c r="GT76" s="237"/>
      <c r="GU76" s="237"/>
      <c r="GV76" s="237"/>
      <c r="GW76" s="237"/>
      <c r="GX76" s="237"/>
      <c r="GY76" s="237"/>
      <c r="GZ76" s="237"/>
      <c r="HA76" s="237"/>
      <c r="HB76" s="237"/>
      <c r="HC76" s="237"/>
      <c r="HD76" s="237"/>
      <c r="HE76" s="237"/>
      <c r="HF76" s="237"/>
      <c r="HG76" s="237"/>
      <c r="HH76" s="237"/>
      <c r="HI76" s="237"/>
      <c r="HJ76" s="237"/>
      <c r="HK76" s="237"/>
      <c r="HL76" s="237"/>
    </row>
    <row r="77" spans="1:220" ht="15" customHeight="1">
      <c r="A77" s="153">
        <v>2</v>
      </c>
      <c r="B77" s="156" t="s">
        <v>143</v>
      </c>
      <c r="C77" s="154">
        <v>2</v>
      </c>
      <c r="D77" s="154">
        <f>750*1.2</f>
        <v>900</v>
      </c>
      <c r="E77" s="161">
        <f t="shared" si="2"/>
        <v>1.8</v>
      </c>
      <c r="F77" s="224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98"/>
      <c r="AQ77" s="198"/>
      <c r="AR77" s="198"/>
      <c r="AS77" s="198"/>
      <c r="AT77" s="250"/>
      <c r="AU77" s="250"/>
      <c r="AV77" s="250"/>
      <c r="AW77" s="250"/>
      <c r="AX77" s="250"/>
      <c r="AY77" s="250"/>
      <c r="BA77" s="630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702"/>
      <c r="CN77" s="702"/>
      <c r="CO77" s="702"/>
      <c r="CP77" s="702"/>
      <c r="CQ77" s="702"/>
      <c r="CR77" s="702"/>
      <c r="CT77" s="188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>
        <f t="shared" si="92"/>
        <v>5.4</v>
      </c>
      <c r="DF77" s="115">
        <f t="shared" si="92"/>
        <v>5.4</v>
      </c>
      <c r="DG77" s="115">
        <f t="shared" si="92"/>
        <v>5.4</v>
      </c>
      <c r="DH77" s="115">
        <f t="shared" si="92"/>
        <v>5.4</v>
      </c>
      <c r="DI77" s="115">
        <f t="shared" si="92"/>
        <v>5.4</v>
      </c>
      <c r="DJ77" s="115">
        <f t="shared" si="92"/>
        <v>5.4</v>
      </c>
      <c r="DK77" s="115">
        <f t="shared" si="92"/>
        <v>5.4</v>
      </c>
      <c r="DL77" s="115">
        <f t="shared" si="92"/>
        <v>5.4</v>
      </c>
      <c r="DM77" s="115">
        <f t="shared" si="92"/>
        <v>5.4</v>
      </c>
      <c r="DN77" s="115">
        <f t="shared" si="92"/>
        <v>5.4</v>
      </c>
      <c r="DO77" s="115">
        <f t="shared" si="92"/>
        <v>5.4</v>
      </c>
      <c r="DP77" s="115">
        <f t="shared" si="92"/>
        <v>5.4</v>
      </c>
      <c r="DQ77" s="115">
        <f t="shared" si="92"/>
        <v>5.4</v>
      </c>
      <c r="DR77" s="115">
        <f t="shared" si="92"/>
        <v>5.4</v>
      </c>
      <c r="DS77" s="115">
        <f t="shared" si="92"/>
        <v>5.4</v>
      </c>
      <c r="DT77" s="115">
        <f t="shared" si="92"/>
        <v>5.4</v>
      </c>
      <c r="DU77" s="115">
        <f t="shared" si="92"/>
        <v>5.4</v>
      </c>
      <c r="DV77" s="115">
        <f t="shared" si="92"/>
        <v>5.4</v>
      </c>
      <c r="DW77" s="115">
        <f t="shared" si="92"/>
        <v>5.4</v>
      </c>
      <c r="DX77" s="115">
        <f t="shared" si="92"/>
        <v>5.4</v>
      </c>
      <c r="DY77" s="115">
        <f t="shared" si="92"/>
        <v>5.4</v>
      </c>
      <c r="DZ77" s="115">
        <f>$E77*DZ$4</f>
        <v>5.4</v>
      </c>
      <c r="EA77" s="115">
        <f t="shared" si="93"/>
        <v>5.4</v>
      </c>
      <c r="EB77" s="198">
        <f t="shared" si="93"/>
        <v>5.4</v>
      </c>
      <c r="EC77" s="198">
        <f t="shared" si="93"/>
        <v>5.4</v>
      </c>
      <c r="ED77" s="198"/>
      <c r="EE77" s="198"/>
      <c r="EF77" s="250"/>
      <c r="EG77" s="250"/>
      <c r="EH77" s="250"/>
      <c r="EI77" s="250"/>
      <c r="EJ77" s="250"/>
      <c r="EK77" s="250"/>
      <c r="GE77" s="237"/>
      <c r="GF77" s="237"/>
      <c r="GG77" s="237"/>
      <c r="GH77" s="237"/>
      <c r="GI77" s="237"/>
      <c r="GJ77" s="237"/>
      <c r="GK77" s="237"/>
      <c r="GL77" s="237"/>
      <c r="GT77" s="237"/>
      <c r="GU77" s="237"/>
      <c r="GV77" s="237"/>
      <c r="GW77" s="237"/>
      <c r="GX77" s="237"/>
      <c r="GY77" s="237"/>
      <c r="GZ77" s="237"/>
      <c r="HA77" s="237"/>
      <c r="HB77" s="237"/>
      <c r="HC77" s="237"/>
      <c r="HD77" s="237"/>
      <c r="HE77" s="237"/>
      <c r="HF77" s="237"/>
      <c r="HG77" s="237"/>
      <c r="HH77" s="237"/>
      <c r="HI77" s="237"/>
      <c r="HJ77" s="237"/>
      <c r="HK77" s="237"/>
      <c r="HL77" s="237"/>
    </row>
    <row r="78" spans="1:220" ht="15" customHeight="1">
      <c r="A78" s="153">
        <v>3</v>
      </c>
      <c r="B78" s="156" t="s">
        <v>148</v>
      </c>
      <c r="C78" s="154">
        <v>5</v>
      </c>
      <c r="D78" s="154">
        <f>600*1.2</f>
        <v>720</v>
      </c>
      <c r="E78" s="161">
        <f t="shared" si="2"/>
        <v>3.6</v>
      </c>
      <c r="F78" s="224"/>
      <c r="G78" s="115"/>
      <c r="H78" s="115"/>
      <c r="I78" s="235"/>
      <c r="J78" s="115"/>
      <c r="K78" s="115"/>
      <c r="L78" s="115">
        <f aca="true" t="shared" si="94" ref="L78:W78">$E78*L$4</f>
        <v>0</v>
      </c>
      <c r="M78" s="115">
        <f t="shared" si="94"/>
        <v>0</v>
      </c>
      <c r="N78" s="115">
        <f t="shared" si="94"/>
        <v>0</v>
      </c>
      <c r="O78" s="115">
        <f t="shared" si="94"/>
        <v>0</v>
      </c>
      <c r="P78" s="115">
        <f t="shared" si="94"/>
        <v>0</v>
      </c>
      <c r="Q78" s="115">
        <f t="shared" si="94"/>
        <v>0</v>
      </c>
      <c r="R78" s="115">
        <f t="shared" si="94"/>
        <v>0</v>
      </c>
      <c r="S78" s="115">
        <f t="shared" si="94"/>
        <v>10.8</v>
      </c>
      <c r="T78" s="115">
        <f t="shared" si="94"/>
        <v>10.8</v>
      </c>
      <c r="U78" s="115">
        <f t="shared" si="94"/>
        <v>10.8</v>
      </c>
      <c r="V78" s="115">
        <f t="shared" si="94"/>
        <v>10.8</v>
      </c>
      <c r="W78" s="115">
        <f t="shared" si="94"/>
        <v>10.8</v>
      </c>
      <c r="X78" s="115">
        <f aca="true" t="shared" si="95" ref="L78:AN82">$E78*X$4</f>
        <v>10.8</v>
      </c>
      <c r="Y78" s="115">
        <f t="shared" si="95"/>
        <v>10.8</v>
      </c>
      <c r="Z78" s="115">
        <f t="shared" si="95"/>
        <v>10.8</v>
      </c>
      <c r="AA78" s="115">
        <f t="shared" si="95"/>
        <v>10.8</v>
      </c>
      <c r="AB78" s="115">
        <f t="shared" si="95"/>
        <v>10.8</v>
      </c>
      <c r="AC78" s="115">
        <f t="shared" si="95"/>
        <v>10.8</v>
      </c>
      <c r="AD78" s="115">
        <f t="shared" si="95"/>
        <v>10.8</v>
      </c>
      <c r="AE78" s="115">
        <f t="shared" si="95"/>
        <v>10.8</v>
      </c>
      <c r="AF78" s="115">
        <f t="shared" si="95"/>
        <v>10.8</v>
      </c>
      <c r="AG78" s="115">
        <f t="shared" si="95"/>
        <v>10.8</v>
      </c>
      <c r="AH78" s="115">
        <f t="shared" si="95"/>
        <v>10.8</v>
      </c>
      <c r="AI78" s="115">
        <f t="shared" si="95"/>
        <v>10.8</v>
      </c>
      <c r="AJ78" s="115">
        <f t="shared" si="95"/>
        <v>10.8</v>
      </c>
      <c r="AK78" s="115">
        <f t="shared" si="95"/>
        <v>10.8</v>
      </c>
      <c r="AL78" s="115">
        <f t="shared" si="95"/>
        <v>10.8</v>
      </c>
      <c r="AM78" s="115">
        <f t="shared" si="95"/>
        <v>10.8</v>
      </c>
      <c r="AN78" s="115">
        <f t="shared" si="95"/>
        <v>10.8</v>
      </c>
      <c r="AO78" s="115">
        <f aca="true" t="shared" si="96" ref="AO78:AQ82">$E78*AO$4</f>
        <v>10.8</v>
      </c>
      <c r="AP78" s="198">
        <f t="shared" si="96"/>
        <v>10.8</v>
      </c>
      <c r="AQ78" s="198">
        <f t="shared" si="96"/>
        <v>10.8</v>
      </c>
      <c r="AR78" s="198"/>
      <c r="AS78" s="198"/>
      <c r="AT78" s="250"/>
      <c r="AU78" s="250"/>
      <c r="AV78" s="250"/>
      <c r="AW78" s="250"/>
      <c r="AX78" s="250"/>
      <c r="AY78" s="250"/>
      <c r="BA78" s="630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702"/>
      <c r="CN78" s="702"/>
      <c r="CO78" s="702"/>
      <c r="CP78" s="702"/>
      <c r="CQ78" s="702"/>
      <c r="CR78" s="702"/>
      <c r="CT78" s="188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98"/>
      <c r="EC78" s="198"/>
      <c r="ED78" s="198"/>
      <c r="EE78" s="198"/>
      <c r="EF78" s="250"/>
      <c r="EG78" s="250"/>
      <c r="EH78" s="250"/>
      <c r="EI78" s="250"/>
      <c r="EJ78" s="250"/>
      <c r="EK78" s="250"/>
      <c r="GE78" s="237"/>
      <c r="GF78" s="237"/>
      <c r="GG78" s="237"/>
      <c r="GH78" s="237"/>
      <c r="GI78" s="237"/>
      <c r="GJ78" s="237"/>
      <c r="GK78" s="237"/>
      <c r="GL78" s="237"/>
      <c r="GT78" s="237"/>
      <c r="GU78" s="237"/>
      <c r="GV78" s="237"/>
      <c r="GW78" s="237"/>
      <c r="GX78" s="237"/>
      <c r="GY78" s="237"/>
      <c r="GZ78" s="237"/>
      <c r="HA78" s="237"/>
      <c r="HB78" s="237"/>
      <c r="HC78" s="237"/>
      <c r="HD78" s="237"/>
      <c r="HE78" s="237"/>
      <c r="HF78" s="237"/>
      <c r="HG78" s="237"/>
      <c r="HH78" s="237"/>
      <c r="HI78" s="237"/>
      <c r="HJ78" s="237"/>
      <c r="HK78" s="237"/>
      <c r="HL78" s="237"/>
    </row>
    <row r="79" spans="1:220" ht="15" customHeight="1">
      <c r="A79" s="153">
        <v>4</v>
      </c>
      <c r="B79" s="156" t="s">
        <v>149</v>
      </c>
      <c r="C79" s="154">
        <v>3</v>
      </c>
      <c r="D79" s="154">
        <f>600*1.2</f>
        <v>720</v>
      </c>
      <c r="E79" s="161">
        <f t="shared" si="2"/>
        <v>2.16</v>
      </c>
      <c r="F79" s="224"/>
      <c r="G79" s="115"/>
      <c r="H79" s="115"/>
      <c r="I79" s="235"/>
      <c r="J79" s="115"/>
      <c r="K79" s="115"/>
      <c r="L79" s="115">
        <f t="shared" si="95"/>
        <v>0</v>
      </c>
      <c r="M79" s="115">
        <f t="shared" si="95"/>
        <v>0</v>
      </c>
      <c r="N79" s="115">
        <f t="shared" si="95"/>
        <v>0</v>
      </c>
      <c r="O79" s="115">
        <f t="shared" si="95"/>
        <v>0</v>
      </c>
      <c r="P79" s="115">
        <f t="shared" si="95"/>
        <v>0</v>
      </c>
      <c r="Q79" s="115">
        <f t="shared" si="95"/>
        <v>0</v>
      </c>
      <c r="R79" s="115">
        <f t="shared" si="95"/>
        <v>0</v>
      </c>
      <c r="S79" s="115">
        <f t="shared" si="95"/>
        <v>6.48</v>
      </c>
      <c r="T79" s="115">
        <f t="shared" si="95"/>
        <v>6.48</v>
      </c>
      <c r="U79" s="115">
        <f t="shared" si="95"/>
        <v>6.48</v>
      </c>
      <c r="V79" s="115">
        <f t="shared" si="95"/>
        <v>6.48</v>
      </c>
      <c r="W79" s="115">
        <f t="shared" si="95"/>
        <v>6.48</v>
      </c>
      <c r="X79" s="115">
        <f t="shared" si="95"/>
        <v>6.48</v>
      </c>
      <c r="Y79" s="115">
        <f t="shared" si="95"/>
        <v>6.48</v>
      </c>
      <c r="Z79" s="115">
        <f t="shared" si="95"/>
        <v>6.48</v>
      </c>
      <c r="AA79" s="115">
        <f t="shared" si="95"/>
        <v>6.48</v>
      </c>
      <c r="AB79" s="115">
        <f t="shared" si="95"/>
        <v>6.48</v>
      </c>
      <c r="AC79" s="115">
        <f t="shared" si="95"/>
        <v>6.48</v>
      </c>
      <c r="AD79" s="115">
        <f t="shared" si="95"/>
        <v>6.48</v>
      </c>
      <c r="AE79" s="115">
        <f t="shared" si="95"/>
        <v>6.48</v>
      </c>
      <c r="AF79" s="115">
        <f t="shared" si="95"/>
        <v>6.48</v>
      </c>
      <c r="AG79" s="115">
        <f t="shared" si="95"/>
        <v>6.48</v>
      </c>
      <c r="AH79" s="115">
        <f t="shared" si="95"/>
        <v>6.48</v>
      </c>
      <c r="AI79" s="115">
        <f t="shared" si="95"/>
        <v>6.48</v>
      </c>
      <c r="AJ79" s="115">
        <f t="shared" si="95"/>
        <v>6.48</v>
      </c>
      <c r="AK79" s="115">
        <f t="shared" si="95"/>
        <v>6.48</v>
      </c>
      <c r="AL79" s="115">
        <f t="shared" si="95"/>
        <v>6.48</v>
      </c>
      <c r="AM79" s="115">
        <f t="shared" si="95"/>
        <v>6.48</v>
      </c>
      <c r="AN79" s="115">
        <f>$E79*AN$4</f>
        <v>6.48</v>
      </c>
      <c r="AO79" s="115">
        <f t="shared" si="96"/>
        <v>6.48</v>
      </c>
      <c r="AP79" s="198">
        <f t="shared" si="96"/>
        <v>6.48</v>
      </c>
      <c r="AQ79" s="198">
        <f t="shared" si="96"/>
        <v>6.48</v>
      </c>
      <c r="AR79" s="198"/>
      <c r="AS79" s="198"/>
      <c r="AT79" s="250"/>
      <c r="AU79" s="250"/>
      <c r="AV79" s="250"/>
      <c r="AW79" s="250"/>
      <c r="AX79" s="250"/>
      <c r="AY79" s="250"/>
      <c r="BA79" s="630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702"/>
      <c r="CN79" s="702"/>
      <c r="CO79" s="702"/>
      <c r="CP79" s="702"/>
      <c r="CQ79" s="702"/>
      <c r="CR79" s="702"/>
      <c r="CT79" s="188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98"/>
      <c r="EC79" s="198"/>
      <c r="ED79" s="198"/>
      <c r="EE79" s="198"/>
      <c r="EF79" s="250"/>
      <c r="EG79" s="250"/>
      <c r="EH79" s="250"/>
      <c r="EI79" s="250"/>
      <c r="EJ79" s="250"/>
      <c r="EK79" s="250"/>
      <c r="GE79" s="237"/>
      <c r="GF79" s="237"/>
      <c r="GG79" s="237"/>
      <c r="GH79" s="237"/>
      <c r="GI79" s="237"/>
      <c r="GJ79" s="237"/>
      <c r="GK79" s="237"/>
      <c r="GL79" s="237"/>
      <c r="GT79" s="237"/>
      <c r="GU79" s="237"/>
      <c r="GV79" s="237"/>
      <c r="GW79" s="237"/>
      <c r="GX79" s="237"/>
      <c r="GY79" s="237"/>
      <c r="GZ79" s="237"/>
      <c r="HA79" s="237"/>
      <c r="HB79" s="237"/>
      <c r="HC79" s="237"/>
      <c r="HD79" s="237"/>
      <c r="HE79" s="237"/>
      <c r="HF79" s="237"/>
      <c r="HG79" s="237"/>
      <c r="HH79" s="237"/>
      <c r="HI79" s="237"/>
      <c r="HJ79" s="237"/>
      <c r="HK79" s="237"/>
      <c r="HL79" s="237"/>
    </row>
    <row r="80" spans="1:220" ht="15" customHeight="1">
      <c r="A80" s="153">
        <v>5</v>
      </c>
      <c r="B80" s="156" t="s">
        <v>151</v>
      </c>
      <c r="C80" s="154">
        <v>1</v>
      </c>
      <c r="D80" s="154">
        <f>550*1.2</f>
        <v>660</v>
      </c>
      <c r="E80" s="161">
        <f t="shared" si="2"/>
        <v>0.66</v>
      </c>
      <c r="F80" s="224"/>
      <c r="G80" s="115"/>
      <c r="H80" s="115"/>
      <c r="I80" s="235"/>
      <c r="J80" s="115"/>
      <c r="K80" s="115"/>
      <c r="L80" s="115">
        <f t="shared" si="95"/>
        <v>0</v>
      </c>
      <c r="M80" s="115">
        <f t="shared" si="95"/>
        <v>0</v>
      </c>
      <c r="N80" s="115">
        <f t="shared" si="95"/>
        <v>0</v>
      </c>
      <c r="O80" s="115">
        <f t="shared" si="95"/>
        <v>0</v>
      </c>
      <c r="P80" s="115">
        <f t="shared" si="95"/>
        <v>0</v>
      </c>
      <c r="Q80" s="115">
        <f t="shared" si="95"/>
        <v>0</v>
      </c>
      <c r="R80" s="115">
        <f t="shared" si="95"/>
        <v>0</v>
      </c>
      <c r="S80" s="115">
        <f t="shared" si="95"/>
        <v>1.98</v>
      </c>
      <c r="T80" s="115">
        <f t="shared" si="95"/>
        <v>1.98</v>
      </c>
      <c r="U80" s="115">
        <f t="shared" si="95"/>
        <v>1.98</v>
      </c>
      <c r="V80" s="115">
        <f t="shared" si="95"/>
        <v>1.98</v>
      </c>
      <c r="W80" s="115">
        <f t="shared" si="95"/>
        <v>1.98</v>
      </c>
      <c r="X80" s="115">
        <f t="shared" si="95"/>
        <v>1.98</v>
      </c>
      <c r="Y80" s="115">
        <f t="shared" si="95"/>
        <v>1.98</v>
      </c>
      <c r="Z80" s="115">
        <f t="shared" si="95"/>
        <v>1.98</v>
      </c>
      <c r="AA80" s="115">
        <f t="shared" si="95"/>
        <v>1.98</v>
      </c>
      <c r="AB80" s="115">
        <f t="shared" si="95"/>
        <v>1.98</v>
      </c>
      <c r="AC80" s="115">
        <f t="shared" si="95"/>
        <v>1.98</v>
      </c>
      <c r="AD80" s="115">
        <f t="shared" si="95"/>
        <v>1.98</v>
      </c>
      <c r="AE80" s="115">
        <f t="shared" si="95"/>
        <v>1.98</v>
      </c>
      <c r="AF80" s="115">
        <f t="shared" si="95"/>
        <v>1.98</v>
      </c>
      <c r="AG80" s="115">
        <f t="shared" si="95"/>
        <v>1.98</v>
      </c>
      <c r="AH80" s="115">
        <f t="shared" si="95"/>
        <v>1.98</v>
      </c>
      <c r="AI80" s="115">
        <f t="shared" si="95"/>
        <v>1.98</v>
      </c>
      <c r="AJ80" s="115">
        <f t="shared" si="95"/>
        <v>1.98</v>
      </c>
      <c r="AK80" s="115">
        <f t="shared" si="95"/>
        <v>1.98</v>
      </c>
      <c r="AL80" s="115">
        <f t="shared" si="95"/>
        <v>1.98</v>
      </c>
      <c r="AM80" s="115">
        <f t="shared" si="95"/>
        <v>1.98</v>
      </c>
      <c r="AN80" s="115">
        <f>$E80*AN$4</f>
        <v>1.98</v>
      </c>
      <c r="AO80" s="115">
        <f t="shared" si="96"/>
        <v>1.98</v>
      </c>
      <c r="AP80" s="198">
        <f t="shared" si="96"/>
        <v>1.98</v>
      </c>
      <c r="AQ80" s="198">
        <f t="shared" si="96"/>
        <v>1.98</v>
      </c>
      <c r="AR80" s="198"/>
      <c r="AS80" s="198"/>
      <c r="AT80" s="250"/>
      <c r="AU80" s="250"/>
      <c r="AV80" s="250"/>
      <c r="AW80" s="250"/>
      <c r="AX80" s="250"/>
      <c r="AY80" s="250"/>
      <c r="BA80" s="630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702"/>
      <c r="CN80" s="702"/>
      <c r="CO80" s="702"/>
      <c r="CP80" s="702"/>
      <c r="CQ80" s="702"/>
      <c r="CR80" s="702"/>
      <c r="CT80" s="188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98"/>
      <c r="EC80" s="198"/>
      <c r="ED80" s="198"/>
      <c r="EE80" s="198"/>
      <c r="EF80" s="250"/>
      <c r="EG80" s="250"/>
      <c r="EH80" s="250"/>
      <c r="EI80" s="250"/>
      <c r="EJ80" s="250"/>
      <c r="EK80" s="250"/>
      <c r="GE80" s="237"/>
      <c r="GF80" s="237"/>
      <c r="GG80" s="237"/>
      <c r="GH80" s="237"/>
      <c r="GI80" s="237"/>
      <c r="GJ80" s="237"/>
      <c r="GK80" s="237"/>
      <c r="GL80" s="237"/>
      <c r="GT80" s="237"/>
      <c r="GU80" s="237"/>
      <c r="GV80" s="237"/>
      <c r="GW80" s="237"/>
      <c r="GX80" s="237"/>
      <c r="GY80" s="237"/>
      <c r="GZ80" s="237"/>
      <c r="HA80" s="237"/>
      <c r="HB80" s="237"/>
      <c r="HC80" s="237"/>
      <c r="HD80" s="237"/>
      <c r="HE80" s="237"/>
      <c r="HF80" s="237"/>
      <c r="HG80" s="237"/>
      <c r="HH80" s="237"/>
      <c r="HI80" s="237"/>
      <c r="HJ80" s="237"/>
      <c r="HK80" s="237"/>
      <c r="HL80" s="237"/>
    </row>
    <row r="81" spans="1:220" ht="15" customHeight="1">
      <c r="A81" s="153">
        <v>6</v>
      </c>
      <c r="B81" s="156" t="s">
        <v>150</v>
      </c>
      <c r="C81" s="154">
        <v>1</v>
      </c>
      <c r="D81" s="154">
        <f>550*1.2</f>
        <v>660</v>
      </c>
      <c r="E81" s="161">
        <f t="shared" si="2"/>
        <v>0.66</v>
      </c>
      <c r="F81" s="224"/>
      <c r="G81" s="115"/>
      <c r="H81" s="115"/>
      <c r="I81" s="235"/>
      <c r="J81" s="115"/>
      <c r="K81" s="115"/>
      <c r="L81" s="115">
        <f t="shared" si="95"/>
        <v>0</v>
      </c>
      <c r="M81" s="115">
        <f t="shared" si="95"/>
        <v>0</v>
      </c>
      <c r="N81" s="115">
        <f t="shared" si="95"/>
        <v>0</v>
      </c>
      <c r="O81" s="115">
        <f t="shared" si="95"/>
        <v>0</v>
      </c>
      <c r="P81" s="115">
        <f t="shared" si="95"/>
        <v>0</v>
      </c>
      <c r="Q81" s="115">
        <f t="shared" si="95"/>
        <v>0</v>
      </c>
      <c r="R81" s="115">
        <f t="shared" si="95"/>
        <v>0</v>
      </c>
      <c r="S81" s="115">
        <f t="shared" si="95"/>
        <v>1.98</v>
      </c>
      <c r="T81" s="115">
        <f t="shared" si="95"/>
        <v>1.98</v>
      </c>
      <c r="U81" s="115">
        <f t="shared" si="95"/>
        <v>1.98</v>
      </c>
      <c r="V81" s="115">
        <f t="shared" si="95"/>
        <v>1.98</v>
      </c>
      <c r="W81" s="115">
        <f t="shared" si="95"/>
        <v>1.98</v>
      </c>
      <c r="X81" s="115">
        <f t="shared" si="95"/>
        <v>1.98</v>
      </c>
      <c r="Y81" s="115">
        <f t="shared" si="95"/>
        <v>1.98</v>
      </c>
      <c r="Z81" s="115">
        <f t="shared" si="95"/>
        <v>1.98</v>
      </c>
      <c r="AA81" s="115">
        <f t="shared" si="95"/>
        <v>1.98</v>
      </c>
      <c r="AB81" s="115">
        <f t="shared" si="95"/>
        <v>1.98</v>
      </c>
      <c r="AC81" s="115">
        <f t="shared" si="95"/>
        <v>1.98</v>
      </c>
      <c r="AD81" s="115">
        <f t="shared" si="95"/>
        <v>1.98</v>
      </c>
      <c r="AE81" s="115">
        <f t="shared" si="95"/>
        <v>1.98</v>
      </c>
      <c r="AF81" s="115">
        <f t="shared" si="95"/>
        <v>1.98</v>
      </c>
      <c r="AG81" s="115">
        <f t="shared" si="95"/>
        <v>1.98</v>
      </c>
      <c r="AH81" s="115">
        <f t="shared" si="95"/>
        <v>1.98</v>
      </c>
      <c r="AI81" s="115">
        <f t="shared" si="95"/>
        <v>1.98</v>
      </c>
      <c r="AJ81" s="115">
        <f t="shared" si="95"/>
        <v>1.98</v>
      </c>
      <c r="AK81" s="115">
        <f t="shared" si="95"/>
        <v>1.98</v>
      </c>
      <c r="AL81" s="115">
        <f t="shared" si="95"/>
        <v>1.98</v>
      </c>
      <c r="AM81" s="115">
        <f t="shared" si="95"/>
        <v>1.98</v>
      </c>
      <c r="AN81" s="115">
        <f>$E81*AN$4</f>
        <v>1.98</v>
      </c>
      <c r="AO81" s="115">
        <f t="shared" si="96"/>
        <v>1.98</v>
      </c>
      <c r="AP81" s="198">
        <f t="shared" si="96"/>
        <v>1.98</v>
      </c>
      <c r="AQ81" s="198">
        <f t="shared" si="96"/>
        <v>1.98</v>
      </c>
      <c r="AR81" s="198"/>
      <c r="AS81" s="198"/>
      <c r="AT81" s="250"/>
      <c r="AU81" s="250"/>
      <c r="AV81" s="250"/>
      <c r="AW81" s="250"/>
      <c r="AX81" s="250"/>
      <c r="AY81" s="250"/>
      <c r="BA81" s="630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702"/>
      <c r="CN81" s="702"/>
      <c r="CO81" s="702"/>
      <c r="CP81" s="702"/>
      <c r="CQ81" s="702"/>
      <c r="CR81" s="702"/>
      <c r="CT81" s="188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98"/>
      <c r="EC81" s="198"/>
      <c r="ED81" s="198"/>
      <c r="EE81" s="198"/>
      <c r="EF81" s="250"/>
      <c r="EG81" s="250"/>
      <c r="EH81" s="250"/>
      <c r="EI81" s="250"/>
      <c r="EJ81" s="250"/>
      <c r="EK81" s="250"/>
      <c r="GE81" s="237"/>
      <c r="GF81" s="237"/>
      <c r="GG81" s="237"/>
      <c r="GH81" s="237"/>
      <c r="GI81" s="237"/>
      <c r="GJ81" s="237"/>
      <c r="GK81" s="237"/>
      <c r="GL81" s="237"/>
      <c r="GT81" s="237"/>
      <c r="GU81" s="237"/>
      <c r="GV81" s="237"/>
      <c r="GW81" s="237"/>
      <c r="GX81" s="237"/>
      <c r="GY81" s="237"/>
      <c r="GZ81" s="237"/>
      <c r="HA81" s="237"/>
      <c r="HB81" s="237"/>
      <c r="HC81" s="237"/>
      <c r="HD81" s="237"/>
      <c r="HE81" s="237"/>
      <c r="HF81" s="237"/>
      <c r="HG81" s="237"/>
      <c r="HH81" s="237"/>
      <c r="HI81" s="237"/>
      <c r="HJ81" s="237"/>
      <c r="HK81" s="237"/>
      <c r="HL81" s="237"/>
    </row>
    <row r="82" spans="1:220" ht="15" customHeight="1">
      <c r="A82" s="153">
        <v>7</v>
      </c>
      <c r="B82" s="156" t="s">
        <v>152</v>
      </c>
      <c r="C82" s="154">
        <v>2</v>
      </c>
      <c r="D82" s="154">
        <f>450*1.2</f>
        <v>540</v>
      </c>
      <c r="E82" s="161">
        <f t="shared" si="2"/>
        <v>1.08</v>
      </c>
      <c r="F82" s="224"/>
      <c r="G82" s="115"/>
      <c r="H82" s="115"/>
      <c r="I82" s="235"/>
      <c r="J82" s="115"/>
      <c r="K82" s="115"/>
      <c r="L82" s="115">
        <f t="shared" si="95"/>
        <v>0</v>
      </c>
      <c r="M82" s="115">
        <f t="shared" si="95"/>
        <v>0</v>
      </c>
      <c r="N82" s="115">
        <f t="shared" si="95"/>
        <v>0</v>
      </c>
      <c r="O82" s="115">
        <f t="shared" si="95"/>
        <v>0</v>
      </c>
      <c r="P82" s="115">
        <f t="shared" si="95"/>
        <v>0</v>
      </c>
      <c r="Q82" s="115">
        <f t="shared" si="95"/>
        <v>0</v>
      </c>
      <c r="R82" s="115">
        <f t="shared" si="95"/>
        <v>0</v>
      </c>
      <c r="S82" s="115">
        <f t="shared" si="95"/>
        <v>3.24</v>
      </c>
      <c r="T82" s="115">
        <f t="shared" si="95"/>
        <v>3.24</v>
      </c>
      <c r="U82" s="115">
        <f t="shared" si="95"/>
        <v>3.24</v>
      </c>
      <c r="V82" s="115">
        <f t="shared" si="95"/>
        <v>3.24</v>
      </c>
      <c r="W82" s="115">
        <f t="shared" si="95"/>
        <v>3.24</v>
      </c>
      <c r="X82" s="115">
        <f t="shared" si="95"/>
        <v>3.24</v>
      </c>
      <c r="Y82" s="115">
        <f t="shared" si="95"/>
        <v>3.24</v>
      </c>
      <c r="Z82" s="115">
        <f t="shared" si="95"/>
        <v>3.24</v>
      </c>
      <c r="AA82" s="115">
        <f t="shared" si="95"/>
        <v>3.24</v>
      </c>
      <c r="AB82" s="115">
        <f t="shared" si="95"/>
        <v>3.24</v>
      </c>
      <c r="AC82" s="115">
        <f t="shared" si="95"/>
        <v>3.24</v>
      </c>
      <c r="AD82" s="115">
        <f t="shared" si="95"/>
        <v>3.24</v>
      </c>
      <c r="AE82" s="115">
        <f t="shared" si="95"/>
        <v>3.24</v>
      </c>
      <c r="AF82" s="115">
        <f t="shared" si="95"/>
        <v>3.24</v>
      </c>
      <c r="AG82" s="115">
        <f t="shared" si="95"/>
        <v>3.24</v>
      </c>
      <c r="AH82" s="115">
        <f t="shared" si="95"/>
        <v>3.24</v>
      </c>
      <c r="AI82" s="115">
        <f t="shared" si="95"/>
        <v>3.24</v>
      </c>
      <c r="AJ82" s="115">
        <f t="shared" si="95"/>
        <v>3.24</v>
      </c>
      <c r="AK82" s="115">
        <f t="shared" si="95"/>
        <v>3.24</v>
      </c>
      <c r="AL82" s="115">
        <f t="shared" si="95"/>
        <v>3.24</v>
      </c>
      <c r="AM82" s="115">
        <f t="shared" si="95"/>
        <v>3.24</v>
      </c>
      <c r="AN82" s="115">
        <f>$E82*AN$4</f>
        <v>3.24</v>
      </c>
      <c r="AO82" s="115">
        <f t="shared" si="96"/>
        <v>3.24</v>
      </c>
      <c r="AP82" s="198">
        <f t="shared" si="96"/>
        <v>3.24</v>
      </c>
      <c r="AQ82" s="198">
        <f t="shared" si="96"/>
        <v>3.24</v>
      </c>
      <c r="AR82" s="198"/>
      <c r="AS82" s="198"/>
      <c r="AT82" s="250"/>
      <c r="AU82" s="250"/>
      <c r="AV82" s="250"/>
      <c r="AW82" s="250"/>
      <c r="AX82" s="250"/>
      <c r="AY82" s="250"/>
      <c r="BA82" s="630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702"/>
      <c r="CN82" s="702"/>
      <c r="CO82" s="702"/>
      <c r="CP82" s="702"/>
      <c r="CQ82" s="702"/>
      <c r="CR82" s="702"/>
      <c r="CT82" s="188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98"/>
      <c r="EC82" s="198"/>
      <c r="ED82" s="198"/>
      <c r="EE82" s="198"/>
      <c r="EF82" s="250"/>
      <c r="EG82" s="250"/>
      <c r="EH82" s="250"/>
      <c r="EI82" s="250"/>
      <c r="EJ82" s="250"/>
      <c r="EK82" s="250"/>
      <c r="EN82" s="275" t="s">
        <v>184</v>
      </c>
      <c r="EO82" s="275">
        <v>2004</v>
      </c>
      <c r="EP82" s="275">
        <v>2005</v>
      </c>
      <c r="EQ82" s="275">
        <v>2006</v>
      </c>
      <c r="ER82" s="275">
        <v>2007</v>
      </c>
      <c r="ES82" s="275">
        <v>2008</v>
      </c>
      <c r="ET82" s="275">
        <v>2009</v>
      </c>
      <c r="EU82" s="275">
        <v>2010</v>
      </c>
      <c r="EV82" s="275">
        <v>2011</v>
      </c>
      <c r="EW82" s="275">
        <v>2012</v>
      </c>
      <c r="EX82" s="659">
        <v>2013</v>
      </c>
      <c r="EY82" s="275">
        <v>2014</v>
      </c>
      <c r="EZ82" s="659" t="s">
        <v>187</v>
      </c>
      <c r="FA82" s="35"/>
      <c r="GE82" s="237"/>
      <c r="GF82" s="237"/>
      <c r="GG82" s="237"/>
      <c r="GH82" s="237"/>
      <c r="GI82" s="237"/>
      <c r="GJ82" s="237"/>
      <c r="GK82" s="237"/>
      <c r="GL82" s="237"/>
      <c r="GT82" s="237"/>
      <c r="GU82" s="237"/>
      <c r="GV82" s="237"/>
      <c r="GW82" s="237"/>
      <c r="GX82" s="237"/>
      <c r="GY82" s="237"/>
      <c r="GZ82" s="237"/>
      <c r="HA82" s="237"/>
      <c r="HB82" s="237"/>
      <c r="HC82" s="237"/>
      <c r="HD82" s="237"/>
      <c r="HE82" s="237"/>
      <c r="HF82" s="237"/>
      <c r="HG82" s="237"/>
      <c r="HH82" s="237"/>
      <c r="HI82" s="237"/>
      <c r="HJ82" s="237"/>
      <c r="HK82" s="237"/>
      <c r="HL82" s="237"/>
    </row>
    <row r="83" spans="1:220" ht="15" customHeight="1">
      <c r="A83" s="153"/>
      <c r="B83" s="156" t="s">
        <v>139</v>
      </c>
      <c r="C83" s="154">
        <f>SUM(C76:C77)</f>
        <v>3</v>
      </c>
      <c r="D83" s="154"/>
      <c r="E83" s="184">
        <f>SUM(E76:E77)</f>
        <v>2.8200000000000003</v>
      </c>
      <c r="F83" s="224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98"/>
      <c r="AQ83" s="198"/>
      <c r="AR83" s="198"/>
      <c r="AS83" s="198"/>
      <c r="AT83" s="250"/>
      <c r="AU83" s="250"/>
      <c r="AV83" s="250"/>
      <c r="AW83" s="250"/>
      <c r="AX83" s="250"/>
      <c r="AY83" s="250"/>
      <c r="BA83" s="630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702"/>
      <c r="CN83" s="702"/>
      <c r="CO83" s="702"/>
      <c r="CP83" s="702"/>
      <c r="CQ83" s="702"/>
      <c r="CR83" s="702"/>
      <c r="CT83" s="691"/>
      <c r="CU83" s="274"/>
      <c r="CV83" s="274"/>
      <c r="CW83" s="274"/>
      <c r="CX83" s="274"/>
      <c r="CY83" s="274"/>
      <c r="CZ83" s="274"/>
      <c r="DA83" s="274"/>
      <c r="DB83" s="274"/>
      <c r="DC83" s="274"/>
      <c r="DD83" s="274"/>
      <c r="DE83" s="274">
        <f aca="true" t="shared" si="97" ref="DE83:EB83">SUM(DE76:DE77)</f>
        <v>8.46</v>
      </c>
      <c r="DF83" s="274">
        <f t="shared" si="97"/>
        <v>8.46</v>
      </c>
      <c r="DG83" s="274">
        <f t="shared" si="97"/>
        <v>8.46</v>
      </c>
      <c r="DH83" s="274">
        <f t="shared" si="97"/>
        <v>8.46</v>
      </c>
      <c r="DI83" s="274">
        <f t="shared" si="97"/>
        <v>8.46</v>
      </c>
      <c r="DJ83" s="274">
        <f t="shared" si="97"/>
        <v>8.46</v>
      </c>
      <c r="DK83" s="274">
        <f t="shared" si="97"/>
        <v>8.46</v>
      </c>
      <c r="DL83" s="274">
        <f t="shared" si="97"/>
        <v>8.46</v>
      </c>
      <c r="DM83" s="274">
        <f t="shared" si="97"/>
        <v>8.46</v>
      </c>
      <c r="DN83" s="274">
        <f t="shared" si="97"/>
        <v>8.46</v>
      </c>
      <c r="DO83" s="274">
        <f t="shared" si="97"/>
        <v>8.46</v>
      </c>
      <c r="DP83" s="274">
        <f t="shared" si="97"/>
        <v>8.46</v>
      </c>
      <c r="DQ83" s="274">
        <f t="shared" si="97"/>
        <v>8.46</v>
      </c>
      <c r="DR83" s="274">
        <f t="shared" si="97"/>
        <v>8.46</v>
      </c>
      <c r="DS83" s="274">
        <f t="shared" si="97"/>
        <v>8.46</v>
      </c>
      <c r="DT83" s="274">
        <f t="shared" si="97"/>
        <v>8.46</v>
      </c>
      <c r="DU83" s="274">
        <f t="shared" si="97"/>
        <v>8.46</v>
      </c>
      <c r="DV83" s="274">
        <f t="shared" si="97"/>
        <v>8.46</v>
      </c>
      <c r="DW83" s="274">
        <f t="shared" si="97"/>
        <v>8.46</v>
      </c>
      <c r="DX83" s="274">
        <f t="shared" si="97"/>
        <v>8.46</v>
      </c>
      <c r="DY83" s="274">
        <f t="shared" si="97"/>
        <v>8.46</v>
      </c>
      <c r="DZ83" s="274">
        <f t="shared" si="97"/>
        <v>8.46</v>
      </c>
      <c r="EA83" s="274">
        <f t="shared" si="97"/>
        <v>8.46</v>
      </c>
      <c r="EB83" s="644">
        <f t="shared" si="97"/>
        <v>8.46</v>
      </c>
      <c r="EC83" s="644">
        <f>SUM(EC76:EC77)</f>
        <v>8.46</v>
      </c>
      <c r="ED83" s="644"/>
      <c r="EE83" s="644"/>
      <c r="EF83" s="189"/>
      <c r="EG83" s="189"/>
      <c r="EH83" s="189"/>
      <c r="EI83" s="189"/>
      <c r="EJ83" s="189"/>
      <c r="EK83" s="189"/>
      <c r="EN83" s="114" t="s">
        <v>239</v>
      </c>
      <c r="EO83" s="115">
        <f>SUM(H84:K84,BA83:BD83,CT83:CW83)</f>
        <v>0</v>
      </c>
      <c r="EP83" s="115">
        <f>SUM(L84:O84,BE83:BH83,CX83:DA83)</f>
        <v>0</v>
      </c>
      <c r="EQ83" s="115">
        <f>SUM(P84:S84,BI83:BL83,DB83:DE83)</f>
        <v>32.940000000000005</v>
      </c>
      <c r="ER83" s="115">
        <f>SUM(T84:W84,BM83:BP83,DF83:DI83)</f>
        <v>131.76000000000005</v>
      </c>
      <c r="ES83" s="115">
        <f>SUM(X84:AA84,BQ83:BT83,DJ83:DM83)</f>
        <v>131.76000000000005</v>
      </c>
      <c r="ET83" s="115">
        <f>SUM(AB84:AE84,BU83:BX83,DN83:DQ83)</f>
        <v>131.76000000000005</v>
      </c>
      <c r="EU83" s="115">
        <f>SUM(AF84:AI84,BY83:CB83,DR83:DU83)</f>
        <v>131.76000000000005</v>
      </c>
      <c r="EV83" s="115">
        <f>SUM(AJ84:AM84,CC83:CF83,DV83:DY83)</f>
        <v>131.76000000000005</v>
      </c>
      <c r="EW83" s="274">
        <f>SUM(AN84:AQ84,CG83:CJ83,DZ83:EC83)</f>
        <v>131.76000000000005</v>
      </c>
      <c r="EX83" s="274">
        <f>SUM(AR84:AU84,CK83:CN83,ED83:EG83)</f>
        <v>0</v>
      </c>
      <c r="EY83" s="274">
        <f>SUM(AV84:AY84,CO83:CR83,EH83:EK83)</f>
        <v>0</v>
      </c>
      <c r="EZ83" s="115">
        <f>SUM(EO83:EY83)</f>
        <v>823.5000000000002</v>
      </c>
      <c r="FA83" s="237"/>
      <c r="GE83" s="237"/>
      <c r="GF83" s="237"/>
      <c r="GG83" s="237"/>
      <c r="GH83" s="237"/>
      <c r="GI83" s="237"/>
      <c r="GJ83" s="237"/>
      <c r="GK83" s="237"/>
      <c r="GL83" s="237"/>
      <c r="GT83" s="237"/>
      <c r="GU83" s="237"/>
      <c r="GV83" s="237"/>
      <c r="GW83" s="237"/>
      <c r="GX83" s="237"/>
      <c r="GY83" s="237"/>
      <c r="GZ83" s="650"/>
      <c r="HA83" s="650"/>
      <c r="HB83" s="650"/>
      <c r="HC83" s="650"/>
      <c r="HD83" s="650"/>
      <c r="HE83" s="237"/>
      <c r="HF83" s="650"/>
      <c r="HG83" s="650"/>
      <c r="HH83" s="650"/>
      <c r="HI83" s="650"/>
      <c r="HJ83" s="237"/>
      <c r="HK83" s="237"/>
      <c r="HL83" s="237"/>
    </row>
    <row r="84" spans="1:220" ht="15" customHeight="1">
      <c r="A84" s="153"/>
      <c r="B84" s="156" t="s">
        <v>140</v>
      </c>
      <c r="C84" s="154">
        <f>SUM(C78:C82)</f>
        <v>12</v>
      </c>
      <c r="D84" s="154"/>
      <c r="E84" s="184">
        <f>SUM(E78:E82)</f>
        <v>8.16</v>
      </c>
      <c r="F84" s="224"/>
      <c r="G84" s="115"/>
      <c r="H84" s="274">
        <f>SUM(H78:H82)</f>
        <v>0</v>
      </c>
      <c r="I84" s="274">
        <f>SUM(I78:I82)</f>
        <v>0</v>
      </c>
      <c r="J84" s="274">
        <f>SUM(J78:J82)</f>
        <v>0</v>
      </c>
      <c r="K84" s="274">
        <f>SUM(K78:K82)</f>
        <v>0</v>
      </c>
      <c r="L84" s="274">
        <f aca="true" t="shared" si="98" ref="L84:AP84">SUM(L78:L82)</f>
        <v>0</v>
      </c>
      <c r="M84" s="274">
        <f t="shared" si="98"/>
        <v>0</v>
      </c>
      <c r="N84" s="274">
        <f t="shared" si="98"/>
        <v>0</v>
      </c>
      <c r="O84" s="274">
        <f t="shared" si="98"/>
        <v>0</v>
      </c>
      <c r="P84" s="274">
        <f t="shared" si="98"/>
        <v>0</v>
      </c>
      <c r="Q84" s="274">
        <f t="shared" si="98"/>
        <v>0</v>
      </c>
      <c r="R84" s="274">
        <f t="shared" si="98"/>
        <v>0</v>
      </c>
      <c r="S84" s="274">
        <f t="shared" si="98"/>
        <v>24.480000000000004</v>
      </c>
      <c r="T84" s="274">
        <f t="shared" si="98"/>
        <v>24.480000000000004</v>
      </c>
      <c r="U84" s="274">
        <f t="shared" si="98"/>
        <v>24.480000000000004</v>
      </c>
      <c r="V84" s="274">
        <f t="shared" si="98"/>
        <v>24.480000000000004</v>
      </c>
      <c r="W84" s="274">
        <f t="shared" si="98"/>
        <v>24.480000000000004</v>
      </c>
      <c r="X84" s="274">
        <f t="shared" si="98"/>
        <v>24.480000000000004</v>
      </c>
      <c r="Y84" s="274">
        <f t="shared" si="98"/>
        <v>24.480000000000004</v>
      </c>
      <c r="Z84" s="274">
        <f t="shared" si="98"/>
        <v>24.480000000000004</v>
      </c>
      <c r="AA84" s="274">
        <f t="shared" si="98"/>
        <v>24.480000000000004</v>
      </c>
      <c r="AB84" s="274">
        <f t="shared" si="98"/>
        <v>24.480000000000004</v>
      </c>
      <c r="AC84" s="274">
        <f t="shared" si="98"/>
        <v>24.480000000000004</v>
      </c>
      <c r="AD84" s="274">
        <f t="shared" si="98"/>
        <v>24.480000000000004</v>
      </c>
      <c r="AE84" s="274">
        <f t="shared" si="98"/>
        <v>24.480000000000004</v>
      </c>
      <c r="AF84" s="274">
        <f t="shared" si="98"/>
        <v>24.480000000000004</v>
      </c>
      <c r="AG84" s="274">
        <f t="shared" si="98"/>
        <v>24.480000000000004</v>
      </c>
      <c r="AH84" s="274">
        <f t="shared" si="98"/>
        <v>24.480000000000004</v>
      </c>
      <c r="AI84" s="274">
        <f t="shared" si="98"/>
        <v>24.480000000000004</v>
      </c>
      <c r="AJ84" s="274">
        <f t="shared" si="98"/>
        <v>24.480000000000004</v>
      </c>
      <c r="AK84" s="274">
        <f t="shared" si="98"/>
        <v>24.480000000000004</v>
      </c>
      <c r="AL84" s="274">
        <f t="shared" si="98"/>
        <v>24.480000000000004</v>
      </c>
      <c r="AM84" s="274">
        <f t="shared" si="98"/>
        <v>24.480000000000004</v>
      </c>
      <c r="AN84" s="274">
        <f t="shared" si="98"/>
        <v>24.480000000000004</v>
      </c>
      <c r="AO84" s="274">
        <f t="shared" si="98"/>
        <v>24.480000000000004</v>
      </c>
      <c r="AP84" s="644">
        <f t="shared" si="98"/>
        <v>24.480000000000004</v>
      </c>
      <c r="AQ84" s="644">
        <f>SUM(AQ78:AQ82)</f>
        <v>24.480000000000004</v>
      </c>
      <c r="AR84" s="644"/>
      <c r="AS84" s="644"/>
      <c r="AT84" s="189"/>
      <c r="AU84" s="189"/>
      <c r="AV84" s="189"/>
      <c r="AW84" s="189"/>
      <c r="AX84" s="189"/>
      <c r="AY84" s="189"/>
      <c r="BA84" s="630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702"/>
      <c r="CN84" s="702"/>
      <c r="CO84" s="702"/>
      <c r="CP84" s="702"/>
      <c r="CQ84" s="702"/>
      <c r="CR84" s="702"/>
      <c r="CT84" s="188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98"/>
      <c r="EC84" s="198"/>
      <c r="ED84" s="198"/>
      <c r="EE84" s="198"/>
      <c r="EF84" s="250"/>
      <c r="EG84" s="250"/>
      <c r="EH84" s="250"/>
      <c r="EI84" s="250"/>
      <c r="EJ84" s="250"/>
      <c r="EK84" s="250"/>
      <c r="EN84" s="114" t="s">
        <v>185</v>
      </c>
      <c r="EO84" s="115">
        <f aca="true" t="shared" si="99" ref="EO84:EY84">EO83*0.506</f>
        <v>0</v>
      </c>
      <c r="EP84" s="115">
        <f t="shared" si="99"/>
        <v>0</v>
      </c>
      <c r="EQ84" s="115">
        <f t="shared" si="99"/>
        <v>16.667640000000002</v>
      </c>
      <c r="ER84" s="115">
        <f t="shared" si="99"/>
        <v>66.67056000000002</v>
      </c>
      <c r="ES84" s="115">
        <f t="shared" si="99"/>
        <v>66.67056000000002</v>
      </c>
      <c r="ET84" s="115">
        <f t="shared" si="99"/>
        <v>66.67056000000002</v>
      </c>
      <c r="EU84" s="115">
        <f t="shared" si="99"/>
        <v>66.67056000000002</v>
      </c>
      <c r="EV84" s="115">
        <f t="shared" si="99"/>
        <v>66.67056000000002</v>
      </c>
      <c r="EW84" s="115">
        <f t="shared" si="99"/>
        <v>66.67056000000002</v>
      </c>
      <c r="EX84" s="115">
        <f t="shared" si="99"/>
        <v>0</v>
      </c>
      <c r="EY84" s="115">
        <f t="shared" si="99"/>
        <v>0</v>
      </c>
      <c r="EZ84" s="115">
        <f>SUM(EO84:EY84)</f>
        <v>416.69100000000014</v>
      </c>
      <c r="FA84" s="237"/>
      <c r="GE84" s="237"/>
      <c r="GF84" s="237"/>
      <c r="GG84" s="237"/>
      <c r="GH84" s="237"/>
      <c r="GI84" s="237"/>
      <c r="GJ84" s="237"/>
      <c r="GK84" s="237"/>
      <c r="GL84" s="237"/>
      <c r="GT84" s="650"/>
      <c r="GU84" s="650"/>
      <c r="GV84" s="650"/>
      <c r="GW84" s="650"/>
      <c r="GX84" s="650"/>
      <c r="GY84" s="650"/>
      <c r="GZ84" s="237"/>
      <c r="HA84" s="237"/>
      <c r="HB84" s="237"/>
      <c r="HC84" s="237"/>
      <c r="HD84" s="237"/>
      <c r="HE84" s="650"/>
      <c r="HF84" s="237"/>
      <c r="HG84" s="237"/>
      <c r="HH84" s="237"/>
      <c r="HI84" s="237"/>
      <c r="HJ84" s="650"/>
      <c r="HK84" s="650"/>
      <c r="HL84" s="650"/>
    </row>
    <row r="85" spans="1:220" ht="15" customHeight="1">
      <c r="A85" s="210"/>
      <c r="B85" s="211" t="s">
        <v>70</v>
      </c>
      <c r="C85" s="212">
        <f>SUM(C83:C84)</f>
        <v>15</v>
      </c>
      <c r="D85" s="212"/>
      <c r="E85" s="229">
        <f>SUM(E83:E84)</f>
        <v>10.98</v>
      </c>
      <c r="F85" s="225" t="s">
        <v>110</v>
      </c>
      <c r="G85" s="202">
        <f>G$132</f>
        <v>0.506</v>
      </c>
      <c r="H85" s="204">
        <f aca="true" t="shared" si="100" ref="H85:AP85">SUM(H76:H82)*$G85</f>
        <v>0</v>
      </c>
      <c r="I85" s="204">
        <f t="shared" si="100"/>
        <v>0</v>
      </c>
      <c r="J85" s="204">
        <f t="shared" si="100"/>
        <v>0</v>
      </c>
      <c r="K85" s="204">
        <f t="shared" si="100"/>
        <v>0</v>
      </c>
      <c r="L85" s="204">
        <f t="shared" si="100"/>
        <v>0</v>
      </c>
      <c r="M85" s="204">
        <f t="shared" si="100"/>
        <v>0</v>
      </c>
      <c r="N85" s="204">
        <f t="shared" si="100"/>
        <v>0</v>
      </c>
      <c r="O85" s="204">
        <f t="shared" si="100"/>
        <v>0</v>
      </c>
      <c r="P85" s="204">
        <f t="shared" si="100"/>
        <v>0</v>
      </c>
      <c r="Q85" s="204">
        <f t="shared" si="100"/>
        <v>0</v>
      </c>
      <c r="R85" s="204">
        <f t="shared" si="100"/>
        <v>0</v>
      </c>
      <c r="S85" s="204">
        <f t="shared" si="100"/>
        <v>12.386880000000001</v>
      </c>
      <c r="T85" s="204">
        <f t="shared" si="100"/>
        <v>12.386880000000001</v>
      </c>
      <c r="U85" s="204">
        <f t="shared" si="100"/>
        <v>12.386880000000001</v>
      </c>
      <c r="V85" s="204">
        <f t="shared" si="100"/>
        <v>12.386880000000001</v>
      </c>
      <c r="W85" s="204">
        <f t="shared" si="100"/>
        <v>12.386880000000001</v>
      </c>
      <c r="X85" s="204">
        <f t="shared" si="100"/>
        <v>12.386880000000001</v>
      </c>
      <c r="Y85" s="204">
        <f t="shared" si="100"/>
        <v>12.386880000000001</v>
      </c>
      <c r="Z85" s="204">
        <f t="shared" si="100"/>
        <v>12.386880000000001</v>
      </c>
      <c r="AA85" s="204">
        <f t="shared" si="100"/>
        <v>12.386880000000001</v>
      </c>
      <c r="AB85" s="204">
        <f t="shared" si="100"/>
        <v>12.386880000000001</v>
      </c>
      <c r="AC85" s="204">
        <f t="shared" si="100"/>
        <v>12.386880000000001</v>
      </c>
      <c r="AD85" s="204">
        <f t="shared" si="100"/>
        <v>12.386880000000001</v>
      </c>
      <c r="AE85" s="204">
        <f t="shared" si="100"/>
        <v>12.386880000000001</v>
      </c>
      <c r="AF85" s="204">
        <f t="shared" si="100"/>
        <v>12.386880000000001</v>
      </c>
      <c r="AG85" s="204">
        <f t="shared" si="100"/>
        <v>12.386880000000001</v>
      </c>
      <c r="AH85" s="204">
        <f t="shared" si="100"/>
        <v>12.386880000000001</v>
      </c>
      <c r="AI85" s="204">
        <f t="shared" si="100"/>
        <v>12.386880000000001</v>
      </c>
      <c r="AJ85" s="204">
        <f t="shared" si="100"/>
        <v>12.386880000000001</v>
      </c>
      <c r="AK85" s="204">
        <f t="shared" si="100"/>
        <v>12.386880000000001</v>
      </c>
      <c r="AL85" s="204">
        <f t="shared" si="100"/>
        <v>12.386880000000001</v>
      </c>
      <c r="AM85" s="204">
        <f t="shared" si="100"/>
        <v>12.386880000000001</v>
      </c>
      <c r="AN85" s="204">
        <f t="shared" si="100"/>
        <v>12.386880000000001</v>
      </c>
      <c r="AO85" s="204">
        <f t="shared" si="100"/>
        <v>12.386880000000001</v>
      </c>
      <c r="AP85" s="624">
        <f t="shared" si="100"/>
        <v>12.386880000000001</v>
      </c>
      <c r="AQ85" s="624">
        <f>SUM(AQ76:AQ82)*$G85</f>
        <v>12.386880000000001</v>
      </c>
      <c r="AR85" s="624"/>
      <c r="AS85" s="624"/>
      <c r="AT85" s="676"/>
      <c r="AU85" s="676"/>
      <c r="AV85" s="676"/>
      <c r="AW85" s="676"/>
      <c r="AX85" s="676"/>
      <c r="AY85" s="676"/>
      <c r="BA85" s="697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>
        <f aca="true" t="shared" si="101" ref="BL85:CI85">SUM(BL76:BL82)*$G85</f>
        <v>0</v>
      </c>
      <c r="BM85" s="204">
        <f t="shared" si="101"/>
        <v>0</v>
      </c>
      <c r="BN85" s="204">
        <f t="shared" si="101"/>
        <v>0</v>
      </c>
      <c r="BO85" s="204">
        <f t="shared" si="101"/>
        <v>0</v>
      </c>
      <c r="BP85" s="204">
        <f t="shared" si="101"/>
        <v>0</v>
      </c>
      <c r="BQ85" s="204">
        <f t="shared" si="101"/>
        <v>0</v>
      </c>
      <c r="BR85" s="204">
        <f t="shared" si="101"/>
        <v>0</v>
      </c>
      <c r="BS85" s="204">
        <f t="shared" si="101"/>
        <v>0</v>
      </c>
      <c r="BT85" s="204">
        <f t="shared" si="101"/>
        <v>0</v>
      </c>
      <c r="BU85" s="204">
        <f t="shared" si="101"/>
        <v>0</v>
      </c>
      <c r="BV85" s="204">
        <f t="shared" si="101"/>
        <v>0</v>
      </c>
      <c r="BW85" s="204">
        <f t="shared" si="101"/>
        <v>0</v>
      </c>
      <c r="BX85" s="204">
        <f t="shared" si="101"/>
        <v>0</v>
      </c>
      <c r="BY85" s="204">
        <f t="shared" si="101"/>
        <v>0</v>
      </c>
      <c r="BZ85" s="204">
        <f t="shared" si="101"/>
        <v>0</v>
      </c>
      <c r="CA85" s="204">
        <f t="shared" si="101"/>
        <v>0</v>
      </c>
      <c r="CB85" s="204">
        <f t="shared" si="101"/>
        <v>0</v>
      </c>
      <c r="CC85" s="204">
        <f t="shared" si="101"/>
        <v>0</v>
      </c>
      <c r="CD85" s="204">
        <f t="shared" si="101"/>
        <v>0</v>
      </c>
      <c r="CE85" s="204">
        <f t="shared" si="101"/>
        <v>0</v>
      </c>
      <c r="CF85" s="204">
        <f t="shared" si="101"/>
        <v>0</v>
      </c>
      <c r="CG85" s="204">
        <f t="shared" si="101"/>
        <v>0</v>
      </c>
      <c r="CH85" s="204">
        <f t="shared" si="101"/>
        <v>0</v>
      </c>
      <c r="CI85" s="204">
        <f t="shared" si="101"/>
        <v>0</v>
      </c>
      <c r="CJ85" s="204">
        <f>SUM(CJ76:CJ82)*$G85</f>
        <v>0</v>
      </c>
      <c r="CK85" s="204"/>
      <c r="CL85" s="204"/>
      <c r="CM85" s="703"/>
      <c r="CN85" s="703"/>
      <c r="CO85" s="703"/>
      <c r="CP85" s="703"/>
      <c r="CQ85" s="703"/>
      <c r="CR85" s="703"/>
      <c r="CT85" s="25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>
        <f aca="true" t="shared" si="102" ref="DE85:EB85">SUM(DE76:DE82)*$G85</f>
        <v>4.280760000000001</v>
      </c>
      <c r="DF85" s="204">
        <f t="shared" si="102"/>
        <v>4.280760000000001</v>
      </c>
      <c r="DG85" s="204">
        <f t="shared" si="102"/>
        <v>4.280760000000001</v>
      </c>
      <c r="DH85" s="204">
        <f t="shared" si="102"/>
        <v>4.280760000000001</v>
      </c>
      <c r="DI85" s="204">
        <f t="shared" si="102"/>
        <v>4.280760000000001</v>
      </c>
      <c r="DJ85" s="204">
        <f t="shared" si="102"/>
        <v>4.280760000000001</v>
      </c>
      <c r="DK85" s="204">
        <f t="shared" si="102"/>
        <v>4.280760000000001</v>
      </c>
      <c r="DL85" s="204">
        <f t="shared" si="102"/>
        <v>4.280760000000001</v>
      </c>
      <c r="DM85" s="204">
        <f t="shared" si="102"/>
        <v>4.280760000000001</v>
      </c>
      <c r="DN85" s="204">
        <f t="shared" si="102"/>
        <v>4.280760000000001</v>
      </c>
      <c r="DO85" s="204">
        <f t="shared" si="102"/>
        <v>4.280760000000001</v>
      </c>
      <c r="DP85" s="204">
        <f t="shared" si="102"/>
        <v>4.280760000000001</v>
      </c>
      <c r="DQ85" s="204">
        <f t="shared" si="102"/>
        <v>4.280760000000001</v>
      </c>
      <c r="DR85" s="204">
        <f t="shared" si="102"/>
        <v>4.280760000000001</v>
      </c>
      <c r="DS85" s="204">
        <f t="shared" si="102"/>
        <v>4.280760000000001</v>
      </c>
      <c r="DT85" s="204">
        <f t="shared" si="102"/>
        <v>4.280760000000001</v>
      </c>
      <c r="DU85" s="204">
        <f t="shared" si="102"/>
        <v>4.280760000000001</v>
      </c>
      <c r="DV85" s="204">
        <f t="shared" si="102"/>
        <v>4.280760000000001</v>
      </c>
      <c r="DW85" s="204">
        <f t="shared" si="102"/>
        <v>4.280760000000001</v>
      </c>
      <c r="DX85" s="204">
        <f t="shared" si="102"/>
        <v>4.280760000000001</v>
      </c>
      <c r="DY85" s="204">
        <f t="shared" si="102"/>
        <v>4.280760000000001</v>
      </c>
      <c r="DZ85" s="204">
        <f t="shared" si="102"/>
        <v>4.280760000000001</v>
      </c>
      <c r="EA85" s="204">
        <f t="shared" si="102"/>
        <v>4.280760000000001</v>
      </c>
      <c r="EB85" s="624">
        <f t="shared" si="102"/>
        <v>4.280760000000001</v>
      </c>
      <c r="EC85" s="624">
        <f>SUM(EC76:EC82)*$G85</f>
        <v>4.280760000000001</v>
      </c>
      <c r="ED85" s="624"/>
      <c r="EE85" s="624"/>
      <c r="EF85" s="676"/>
      <c r="EG85" s="676"/>
      <c r="EH85" s="676"/>
      <c r="EI85" s="676"/>
      <c r="EJ85" s="676"/>
      <c r="EK85" s="676"/>
      <c r="EN85" s="114" t="s">
        <v>238</v>
      </c>
      <c r="EO85" s="115">
        <f aca="true" t="shared" si="103" ref="EO85:EY85">SUM(EO83:EO84)</f>
        <v>0</v>
      </c>
      <c r="EP85" s="115">
        <f t="shared" si="103"/>
        <v>0</v>
      </c>
      <c r="EQ85" s="115">
        <f t="shared" si="103"/>
        <v>49.60764</v>
      </c>
      <c r="ER85" s="115">
        <f t="shared" si="103"/>
        <v>198.43056000000007</v>
      </c>
      <c r="ES85" s="115">
        <f t="shared" si="103"/>
        <v>198.43056000000007</v>
      </c>
      <c r="ET85" s="115">
        <f t="shared" si="103"/>
        <v>198.43056000000007</v>
      </c>
      <c r="EU85" s="115">
        <f t="shared" si="103"/>
        <v>198.43056000000007</v>
      </c>
      <c r="EV85" s="115">
        <f t="shared" si="103"/>
        <v>198.43056000000007</v>
      </c>
      <c r="EW85" s="115">
        <f t="shared" si="103"/>
        <v>198.43056000000007</v>
      </c>
      <c r="EX85" s="115">
        <f t="shared" si="103"/>
        <v>0</v>
      </c>
      <c r="EY85" s="115">
        <f t="shared" si="103"/>
        <v>0</v>
      </c>
      <c r="EZ85" s="115">
        <f>SUM(EO85:EY85)</f>
        <v>1240.1910000000003</v>
      </c>
      <c r="FA85" s="237"/>
      <c r="GD85" s="238"/>
      <c r="GE85" s="238"/>
      <c r="GF85" s="238"/>
      <c r="GG85" s="238"/>
      <c r="GH85" s="238"/>
      <c r="GI85" s="238"/>
      <c r="GJ85" s="238"/>
      <c r="GK85" s="238"/>
      <c r="GL85" s="238"/>
      <c r="GT85" s="238"/>
      <c r="GU85" s="238"/>
      <c r="GV85" s="238"/>
      <c r="GW85" s="238"/>
      <c r="GX85" s="238"/>
      <c r="GY85" s="238"/>
      <c r="GZ85" s="238"/>
      <c r="HA85" s="238"/>
      <c r="HB85" s="238"/>
      <c r="HC85" s="238"/>
      <c r="HD85" s="238"/>
      <c r="HE85" s="238"/>
      <c r="HF85" s="238"/>
      <c r="HG85" s="238"/>
      <c r="HH85" s="238"/>
      <c r="HI85" s="238"/>
      <c r="HJ85" s="238"/>
      <c r="HK85" s="238"/>
      <c r="HL85" s="238"/>
    </row>
    <row r="86" spans="1:220" ht="15" customHeight="1">
      <c r="A86" s="391"/>
      <c r="B86" s="392"/>
      <c r="C86" s="393"/>
      <c r="D86" s="393"/>
      <c r="E86" s="394"/>
      <c r="F86" s="395" t="s">
        <v>178</v>
      </c>
      <c r="G86" s="396">
        <v>0.01</v>
      </c>
      <c r="H86" s="399">
        <f>$G$86*H84</f>
        <v>0</v>
      </c>
      <c r="I86" s="399">
        <f aca="true" t="shared" si="104" ref="I86:AP86">$G$86*I84</f>
        <v>0</v>
      </c>
      <c r="J86" s="399">
        <f t="shared" si="104"/>
        <v>0</v>
      </c>
      <c r="K86" s="399">
        <f t="shared" si="104"/>
        <v>0</v>
      </c>
      <c r="L86" s="399">
        <f t="shared" si="104"/>
        <v>0</v>
      </c>
      <c r="M86" s="399">
        <f t="shared" si="104"/>
        <v>0</v>
      </c>
      <c r="N86" s="399">
        <f t="shared" si="104"/>
        <v>0</v>
      </c>
      <c r="O86" s="399">
        <f t="shared" si="104"/>
        <v>0</v>
      </c>
      <c r="P86" s="399">
        <f t="shared" si="104"/>
        <v>0</v>
      </c>
      <c r="Q86" s="399">
        <f t="shared" si="104"/>
        <v>0</v>
      </c>
      <c r="R86" s="399">
        <f t="shared" si="104"/>
        <v>0</v>
      </c>
      <c r="S86" s="399">
        <f t="shared" si="104"/>
        <v>0.24480000000000005</v>
      </c>
      <c r="T86" s="399">
        <f t="shared" si="104"/>
        <v>0.24480000000000005</v>
      </c>
      <c r="U86" s="399">
        <f t="shared" si="104"/>
        <v>0.24480000000000005</v>
      </c>
      <c r="V86" s="399">
        <f t="shared" si="104"/>
        <v>0.24480000000000005</v>
      </c>
      <c r="W86" s="399">
        <f t="shared" si="104"/>
        <v>0.24480000000000005</v>
      </c>
      <c r="X86" s="399">
        <f t="shared" si="104"/>
        <v>0.24480000000000005</v>
      </c>
      <c r="Y86" s="399">
        <f t="shared" si="104"/>
        <v>0.24480000000000005</v>
      </c>
      <c r="Z86" s="399">
        <f t="shared" si="104"/>
        <v>0.24480000000000005</v>
      </c>
      <c r="AA86" s="399">
        <f t="shared" si="104"/>
        <v>0.24480000000000005</v>
      </c>
      <c r="AB86" s="399">
        <f t="shared" si="104"/>
        <v>0.24480000000000005</v>
      </c>
      <c r="AC86" s="399">
        <f t="shared" si="104"/>
        <v>0.24480000000000005</v>
      </c>
      <c r="AD86" s="399">
        <f t="shared" si="104"/>
        <v>0.24480000000000005</v>
      </c>
      <c r="AE86" s="399">
        <f t="shared" si="104"/>
        <v>0.24480000000000005</v>
      </c>
      <c r="AF86" s="399">
        <f t="shared" si="104"/>
        <v>0.24480000000000005</v>
      </c>
      <c r="AG86" s="399">
        <f t="shared" si="104"/>
        <v>0.24480000000000005</v>
      </c>
      <c r="AH86" s="399">
        <f t="shared" si="104"/>
        <v>0.24480000000000005</v>
      </c>
      <c r="AI86" s="399">
        <f t="shared" si="104"/>
        <v>0.24480000000000005</v>
      </c>
      <c r="AJ86" s="399">
        <f t="shared" si="104"/>
        <v>0.24480000000000005</v>
      </c>
      <c r="AK86" s="399">
        <f t="shared" si="104"/>
        <v>0.24480000000000005</v>
      </c>
      <c r="AL86" s="399">
        <f t="shared" si="104"/>
        <v>0.24480000000000005</v>
      </c>
      <c r="AM86" s="399">
        <f t="shared" si="104"/>
        <v>0.24480000000000005</v>
      </c>
      <c r="AN86" s="399">
        <f t="shared" si="104"/>
        <v>0.24480000000000005</v>
      </c>
      <c r="AO86" s="399">
        <f t="shared" si="104"/>
        <v>0.24480000000000005</v>
      </c>
      <c r="AP86" s="625">
        <f t="shared" si="104"/>
        <v>0.24480000000000005</v>
      </c>
      <c r="AQ86" s="625">
        <f>$G$86*AQ84</f>
        <v>0.24480000000000005</v>
      </c>
      <c r="AR86" s="625"/>
      <c r="AS86" s="625"/>
      <c r="AT86" s="677"/>
      <c r="AU86" s="677"/>
      <c r="AV86" s="677"/>
      <c r="AW86" s="677"/>
      <c r="AX86" s="677"/>
      <c r="AY86" s="677"/>
      <c r="BA86" s="625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>
        <f aca="true" t="shared" si="105" ref="BL86:DM86">$G$86*BL83</f>
        <v>0</v>
      </c>
      <c r="BM86" s="399">
        <f t="shared" si="105"/>
        <v>0</v>
      </c>
      <c r="BN86" s="399">
        <f t="shared" si="105"/>
        <v>0</v>
      </c>
      <c r="BO86" s="399">
        <f t="shared" si="105"/>
        <v>0</v>
      </c>
      <c r="BP86" s="399">
        <f t="shared" si="105"/>
        <v>0</v>
      </c>
      <c r="BQ86" s="399">
        <f t="shared" si="105"/>
        <v>0</v>
      </c>
      <c r="BR86" s="399">
        <f t="shared" si="105"/>
        <v>0</v>
      </c>
      <c r="BS86" s="399">
        <f t="shared" si="105"/>
        <v>0</v>
      </c>
      <c r="BT86" s="399">
        <f t="shared" si="105"/>
        <v>0</v>
      </c>
      <c r="BU86" s="399">
        <f t="shared" si="105"/>
        <v>0</v>
      </c>
      <c r="BV86" s="399">
        <f t="shared" si="105"/>
        <v>0</v>
      </c>
      <c r="BW86" s="399">
        <f t="shared" si="105"/>
        <v>0</v>
      </c>
      <c r="BX86" s="399">
        <f t="shared" si="105"/>
        <v>0</v>
      </c>
      <c r="BY86" s="399">
        <f t="shared" si="105"/>
        <v>0</v>
      </c>
      <c r="BZ86" s="399">
        <f t="shared" si="105"/>
        <v>0</v>
      </c>
      <c r="CA86" s="399">
        <f t="shared" si="105"/>
        <v>0</v>
      </c>
      <c r="CB86" s="399">
        <f t="shared" si="105"/>
        <v>0</v>
      </c>
      <c r="CC86" s="399">
        <f t="shared" si="105"/>
        <v>0</v>
      </c>
      <c r="CD86" s="399">
        <f t="shared" si="105"/>
        <v>0</v>
      </c>
      <c r="CE86" s="399">
        <f t="shared" si="105"/>
        <v>0</v>
      </c>
      <c r="CF86" s="399">
        <f t="shared" si="105"/>
        <v>0</v>
      </c>
      <c r="CG86" s="399">
        <f t="shared" si="105"/>
        <v>0</v>
      </c>
      <c r="CH86" s="399">
        <f t="shared" si="105"/>
        <v>0</v>
      </c>
      <c r="CI86" s="399">
        <f t="shared" si="105"/>
        <v>0</v>
      </c>
      <c r="CJ86" s="399">
        <f>$G$86*CJ83</f>
        <v>0</v>
      </c>
      <c r="CK86" s="399"/>
      <c r="CL86" s="399"/>
      <c r="CM86" s="704"/>
      <c r="CN86" s="704"/>
      <c r="CO86" s="704"/>
      <c r="CP86" s="704"/>
      <c r="CQ86" s="704"/>
      <c r="CR86" s="704"/>
      <c r="CT86" s="690"/>
      <c r="CU86" s="399"/>
      <c r="CV86" s="399"/>
      <c r="CW86" s="399"/>
      <c r="CX86" s="399"/>
      <c r="CY86" s="399"/>
      <c r="CZ86" s="399"/>
      <c r="DA86" s="399"/>
      <c r="DB86" s="399"/>
      <c r="DC86" s="399"/>
      <c r="DD86" s="399"/>
      <c r="DE86" s="399">
        <f t="shared" si="105"/>
        <v>0.08460000000000001</v>
      </c>
      <c r="DF86" s="399">
        <f t="shared" si="105"/>
        <v>0.08460000000000001</v>
      </c>
      <c r="DG86" s="399">
        <f t="shared" si="105"/>
        <v>0.08460000000000001</v>
      </c>
      <c r="DH86" s="399">
        <f t="shared" si="105"/>
        <v>0.08460000000000001</v>
      </c>
      <c r="DI86" s="399">
        <f t="shared" si="105"/>
        <v>0.08460000000000001</v>
      </c>
      <c r="DJ86" s="399">
        <f t="shared" si="105"/>
        <v>0.08460000000000001</v>
      </c>
      <c r="DK86" s="399">
        <f t="shared" si="105"/>
        <v>0.08460000000000001</v>
      </c>
      <c r="DL86" s="399">
        <f t="shared" si="105"/>
        <v>0.08460000000000001</v>
      </c>
      <c r="DM86" s="399">
        <f t="shared" si="105"/>
        <v>0.08460000000000001</v>
      </c>
      <c r="DN86" s="399">
        <f aca="true" t="shared" si="106" ref="DN86:EB86">$G$86*DN83</f>
        <v>0.08460000000000001</v>
      </c>
      <c r="DO86" s="399">
        <f t="shared" si="106"/>
        <v>0.08460000000000001</v>
      </c>
      <c r="DP86" s="399">
        <f t="shared" si="106"/>
        <v>0.08460000000000001</v>
      </c>
      <c r="DQ86" s="399">
        <f t="shared" si="106"/>
        <v>0.08460000000000001</v>
      </c>
      <c r="DR86" s="399">
        <f t="shared" si="106"/>
        <v>0.08460000000000001</v>
      </c>
      <c r="DS86" s="399">
        <f t="shared" si="106"/>
        <v>0.08460000000000001</v>
      </c>
      <c r="DT86" s="399">
        <f t="shared" si="106"/>
        <v>0.08460000000000001</v>
      </c>
      <c r="DU86" s="399">
        <f t="shared" si="106"/>
        <v>0.08460000000000001</v>
      </c>
      <c r="DV86" s="399">
        <f t="shared" si="106"/>
        <v>0.08460000000000001</v>
      </c>
      <c r="DW86" s="399">
        <f t="shared" si="106"/>
        <v>0.08460000000000001</v>
      </c>
      <c r="DX86" s="399">
        <f t="shared" si="106"/>
        <v>0.08460000000000001</v>
      </c>
      <c r="DY86" s="399">
        <f t="shared" si="106"/>
        <v>0.08460000000000001</v>
      </c>
      <c r="DZ86" s="399">
        <f t="shared" si="106"/>
        <v>0.08460000000000001</v>
      </c>
      <c r="EA86" s="399">
        <f t="shared" si="106"/>
        <v>0.08460000000000001</v>
      </c>
      <c r="EB86" s="625">
        <f t="shared" si="106"/>
        <v>0.08460000000000001</v>
      </c>
      <c r="EC86" s="625">
        <f>$G$86*EC83</f>
        <v>0.08460000000000001</v>
      </c>
      <c r="ED86" s="625"/>
      <c r="EE86" s="625"/>
      <c r="EF86" s="677"/>
      <c r="EG86" s="677"/>
      <c r="EH86" s="677"/>
      <c r="EI86" s="677"/>
      <c r="EJ86" s="677"/>
      <c r="EK86" s="677"/>
      <c r="EN86" s="390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GD86" s="238"/>
      <c r="GE86" s="238"/>
      <c r="GF86" s="238"/>
      <c r="GG86" s="238"/>
      <c r="GH86" s="238"/>
      <c r="GI86" s="238"/>
      <c r="GJ86" s="238"/>
      <c r="GK86" s="238"/>
      <c r="GL86" s="238"/>
      <c r="GT86" s="238"/>
      <c r="GU86" s="238"/>
      <c r="GV86" s="238"/>
      <c r="GW86" s="238"/>
      <c r="GX86" s="238"/>
      <c r="GY86" s="238"/>
      <c r="GZ86" s="238"/>
      <c r="HA86" s="238"/>
      <c r="HB86" s="238"/>
      <c r="HC86" s="238"/>
      <c r="HD86" s="238"/>
      <c r="HE86" s="238"/>
      <c r="HF86" s="238"/>
      <c r="HG86" s="238"/>
      <c r="HH86" s="238"/>
      <c r="HI86" s="238"/>
      <c r="HJ86" s="238"/>
      <c r="HK86" s="238"/>
      <c r="HL86" s="238"/>
    </row>
    <row r="87" spans="1:220" ht="15" customHeight="1">
      <c r="A87" s="178"/>
      <c r="B87" s="179" t="s">
        <v>153</v>
      </c>
      <c r="C87" s="180"/>
      <c r="D87" s="180"/>
      <c r="E87" s="182"/>
      <c r="F87" s="223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622"/>
      <c r="AQ87" s="622"/>
      <c r="AR87" s="622"/>
      <c r="AS87" s="622"/>
      <c r="AT87" s="253"/>
      <c r="AU87" s="253"/>
      <c r="AV87" s="253"/>
      <c r="AW87" s="253"/>
      <c r="AX87" s="253"/>
      <c r="AY87" s="253"/>
      <c r="AZ87" s="238"/>
      <c r="BA87" s="696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8"/>
      <c r="CC87" s="208"/>
      <c r="CD87" s="208"/>
      <c r="CE87" s="208"/>
      <c r="CF87" s="208"/>
      <c r="CG87" s="208"/>
      <c r="CH87" s="208"/>
      <c r="CI87" s="208"/>
      <c r="CJ87" s="208"/>
      <c r="CK87" s="208"/>
      <c r="CL87" s="208"/>
      <c r="CM87" s="701"/>
      <c r="CN87" s="701"/>
      <c r="CO87" s="701"/>
      <c r="CP87" s="701"/>
      <c r="CQ87" s="701"/>
      <c r="CR87" s="701"/>
      <c r="CS87" s="238"/>
      <c r="CT87" s="251"/>
      <c r="CU87" s="208"/>
      <c r="CV87" s="208"/>
      <c r="CW87" s="208"/>
      <c r="CX87" s="208"/>
      <c r="CY87" s="208"/>
      <c r="CZ87" s="208"/>
      <c r="DA87" s="208"/>
      <c r="DB87" s="208"/>
      <c r="DC87" s="208"/>
      <c r="DD87" s="208"/>
      <c r="DE87" s="208"/>
      <c r="DF87" s="208"/>
      <c r="DG87" s="208"/>
      <c r="DH87" s="208"/>
      <c r="DI87" s="208"/>
      <c r="DJ87" s="208"/>
      <c r="DK87" s="208"/>
      <c r="DL87" s="208"/>
      <c r="DM87" s="208"/>
      <c r="DN87" s="208"/>
      <c r="DO87" s="208"/>
      <c r="DP87" s="208"/>
      <c r="DQ87" s="208"/>
      <c r="DR87" s="208"/>
      <c r="DS87" s="208"/>
      <c r="DT87" s="208"/>
      <c r="DU87" s="208"/>
      <c r="DV87" s="208"/>
      <c r="DW87" s="208"/>
      <c r="DX87" s="208"/>
      <c r="DY87" s="208"/>
      <c r="DZ87" s="208"/>
      <c r="EA87" s="208"/>
      <c r="EB87" s="622"/>
      <c r="EC87" s="622"/>
      <c r="ED87" s="622"/>
      <c r="EE87" s="622"/>
      <c r="EF87" s="253"/>
      <c r="EG87" s="253"/>
      <c r="EH87" s="253"/>
      <c r="EI87" s="253"/>
      <c r="EJ87" s="253"/>
      <c r="EK87" s="253"/>
      <c r="EZ87" s="620"/>
      <c r="GE87" s="237"/>
      <c r="GF87" s="237"/>
      <c r="GG87" s="237"/>
      <c r="GH87" s="237"/>
      <c r="GI87" s="237"/>
      <c r="GJ87" s="237"/>
      <c r="GK87" s="237"/>
      <c r="GL87" s="237"/>
      <c r="GT87" s="237"/>
      <c r="GU87" s="237"/>
      <c r="GV87" s="237"/>
      <c r="GW87" s="237"/>
      <c r="GX87" s="237"/>
      <c r="GY87" s="237"/>
      <c r="GZ87" s="237"/>
      <c r="HA87" s="237"/>
      <c r="HB87" s="237"/>
      <c r="HC87" s="237"/>
      <c r="HD87" s="237"/>
      <c r="HE87" s="237"/>
      <c r="HF87" s="237"/>
      <c r="HG87" s="237"/>
      <c r="HH87" s="237"/>
      <c r="HI87" s="237"/>
      <c r="HJ87" s="237"/>
      <c r="HK87" s="237"/>
      <c r="HL87" s="237"/>
    </row>
    <row r="88" spans="1:220" ht="12.75">
      <c r="A88" s="1114"/>
      <c r="B88" s="215" t="s">
        <v>154</v>
      </c>
      <c r="C88" s="216"/>
      <c r="D88" s="216"/>
      <c r="E88" s="231"/>
      <c r="F88" s="227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626"/>
      <c r="AQ88" s="626"/>
      <c r="AR88" s="626"/>
      <c r="AS88" s="626"/>
      <c r="AT88" s="680"/>
      <c r="AU88" s="680"/>
      <c r="AV88" s="680"/>
      <c r="AW88" s="680"/>
      <c r="AX88" s="680"/>
      <c r="AY88" s="680"/>
      <c r="BA88" s="698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705"/>
      <c r="CN88" s="705"/>
      <c r="CO88" s="705"/>
      <c r="CP88" s="705"/>
      <c r="CQ88" s="705"/>
      <c r="CR88" s="705"/>
      <c r="CT88" s="25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626"/>
      <c r="EC88" s="626"/>
      <c r="ED88" s="626"/>
      <c r="EE88" s="626"/>
      <c r="EF88" s="680"/>
      <c r="EG88" s="680"/>
      <c r="EH88" s="680"/>
      <c r="EI88" s="680"/>
      <c r="EJ88" s="680"/>
      <c r="EK88" s="680"/>
      <c r="GE88" s="237"/>
      <c r="GF88" s="237"/>
      <c r="GG88" s="237"/>
      <c r="GH88" s="237"/>
      <c r="GI88" s="237"/>
      <c r="GJ88" s="237"/>
      <c r="GK88" s="237"/>
      <c r="GL88" s="237"/>
      <c r="GT88" s="237"/>
      <c r="GU88" s="237"/>
      <c r="GV88" s="237"/>
      <c r="GW88" s="237"/>
      <c r="GX88" s="237"/>
      <c r="GY88" s="237"/>
      <c r="GZ88" s="237"/>
      <c r="HA88" s="237"/>
      <c r="HB88" s="237"/>
      <c r="HC88" s="237"/>
      <c r="HD88" s="237"/>
      <c r="HE88" s="237"/>
      <c r="HF88" s="237"/>
      <c r="HG88" s="237"/>
      <c r="HH88" s="237"/>
      <c r="HI88" s="237"/>
      <c r="HJ88" s="237"/>
      <c r="HK88" s="237"/>
      <c r="HL88" s="237"/>
    </row>
    <row r="89" spans="1:220" s="842" customFormat="1" ht="15">
      <c r="A89" s="153">
        <v>1</v>
      </c>
      <c r="B89" s="1321" t="s">
        <v>155</v>
      </c>
      <c r="C89" s="843">
        <v>1</v>
      </c>
      <c r="D89" s="840">
        <v>3500</v>
      </c>
      <c r="E89" s="161">
        <f t="shared" si="2"/>
        <v>3.5</v>
      </c>
      <c r="F89" s="841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637"/>
      <c r="AQ89" s="637"/>
      <c r="AR89" s="637"/>
      <c r="AS89" s="637"/>
      <c r="AT89" s="336"/>
      <c r="AU89" s="336"/>
      <c r="AV89" s="336"/>
      <c r="AW89" s="336"/>
      <c r="AX89" s="336"/>
      <c r="AY89" s="336"/>
      <c r="AZ89" s="237"/>
      <c r="BA89" s="815"/>
      <c r="BB89" s="235"/>
      <c r="BC89" s="235"/>
      <c r="BD89" s="235"/>
      <c r="BE89" s="115"/>
      <c r="BF89" s="115"/>
      <c r="BG89" s="115"/>
      <c r="BH89" s="115"/>
      <c r="BI89" s="115"/>
      <c r="BJ89" s="115"/>
      <c r="BK89" s="115"/>
      <c r="BL89" s="115">
        <f aca="true" t="shared" si="107" ref="BL89:BT89">$E89*BL$4</f>
        <v>10.5</v>
      </c>
      <c r="BM89" s="115">
        <f t="shared" si="107"/>
        <v>10.5</v>
      </c>
      <c r="BN89" s="115">
        <f t="shared" si="107"/>
        <v>10.5</v>
      </c>
      <c r="BO89" s="115">
        <f t="shared" si="107"/>
        <v>10.5</v>
      </c>
      <c r="BP89" s="115">
        <f t="shared" si="107"/>
        <v>10.5</v>
      </c>
      <c r="BQ89" s="115">
        <f t="shared" si="107"/>
        <v>10.5</v>
      </c>
      <c r="BR89" s="115">
        <f t="shared" si="107"/>
        <v>10.5</v>
      </c>
      <c r="BS89" s="115">
        <f t="shared" si="107"/>
        <v>10.5</v>
      </c>
      <c r="BT89" s="115">
        <f t="shared" si="107"/>
        <v>10.5</v>
      </c>
      <c r="BU89" s="115">
        <f aca="true" t="shared" si="108" ref="BL89:CJ90">$E89*BU$4</f>
        <v>10.5</v>
      </c>
      <c r="BV89" s="115">
        <f t="shared" si="108"/>
        <v>10.5</v>
      </c>
      <c r="BW89" s="115">
        <f t="shared" si="108"/>
        <v>10.5</v>
      </c>
      <c r="BX89" s="115">
        <f t="shared" si="108"/>
        <v>10.5</v>
      </c>
      <c r="BY89" s="115">
        <f t="shared" si="108"/>
        <v>10.5</v>
      </c>
      <c r="BZ89" s="115">
        <f t="shared" si="108"/>
        <v>10.5</v>
      </c>
      <c r="CA89" s="115">
        <f t="shared" si="108"/>
        <v>10.5</v>
      </c>
      <c r="CB89" s="115">
        <f t="shared" si="108"/>
        <v>10.5</v>
      </c>
      <c r="CC89" s="115">
        <f t="shared" si="108"/>
        <v>10.5</v>
      </c>
      <c r="CD89" s="115">
        <f t="shared" si="108"/>
        <v>10.5</v>
      </c>
      <c r="CE89" s="115">
        <f t="shared" si="108"/>
        <v>10.5</v>
      </c>
      <c r="CF89" s="115">
        <f t="shared" si="108"/>
        <v>10.5</v>
      </c>
      <c r="CG89" s="115">
        <f t="shared" si="108"/>
        <v>10.5</v>
      </c>
      <c r="CH89" s="115">
        <f t="shared" si="108"/>
        <v>10.5</v>
      </c>
      <c r="CI89" s="115">
        <f t="shared" si="108"/>
        <v>10.5</v>
      </c>
      <c r="CJ89" s="115">
        <f t="shared" si="108"/>
        <v>10.5</v>
      </c>
      <c r="CK89" s="115"/>
      <c r="CL89" s="115"/>
      <c r="CM89" s="115"/>
      <c r="CN89" s="115"/>
      <c r="CO89" s="115"/>
      <c r="CP89" s="115"/>
      <c r="CQ89" s="115"/>
      <c r="CR89" s="115"/>
      <c r="CS89" s="237"/>
      <c r="CT89" s="814"/>
      <c r="CU89" s="235"/>
      <c r="CV89" s="235"/>
      <c r="CW89" s="235"/>
      <c r="CX89" s="235"/>
      <c r="CY89" s="235"/>
      <c r="CZ89" s="235"/>
      <c r="DA89" s="235"/>
      <c r="DB89" s="235"/>
      <c r="DC89" s="235"/>
      <c r="DD89" s="235"/>
      <c r="DE89" s="235"/>
      <c r="DF89" s="235"/>
      <c r="DG89" s="235"/>
      <c r="DH89" s="235"/>
      <c r="DI89" s="235"/>
      <c r="DJ89" s="235"/>
      <c r="DK89" s="235"/>
      <c r="DL89" s="235"/>
      <c r="DM89" s="235"/>
      <c r="DN89" s="235"/>
      <c r="DO89" s="235"/>
      <c r="DP89" s="235"/>
      <c r="DQ89" s="235"/>
      <c r="DR89" s="235"/>
      <c r="DS89" s="235"/>
      <c r="DT89" s="235"/>
      <c r="DU89" s="235"/>
      <c r="DV89" s="235"/>
      <c r="DW89" s="235"/>
      <c r="DX89" s="235"/>
      <c r="DY89" s="235"/>
      <c r="DZ89" s="235"/>
      <c r="EA89" s="235"/>
      <c r="EB89" s="637"/>
      <c r="EC89" s="637"/>
      <c r="ED89" s="637"/>
      <c r="EE89" s="637"/>
      <c r="EF89" s="336"/>
      <c r="EG89" s="336"/>
      <c r="EH89" s="336"/>
      <c r="EI89" s="336"/>
      <c r="EJ89" s="336"/>
      <c r="EK89" s="336"/>
      <c r="EL89" s="620"/>
      <c r="EM89" s="620"/>
      <c r="EN89" s="620"/>
      <c r="EO89" s="620"/>
      <c r="EP89" s="620"/>
      <c r="EQ89" s="620"/>
      <c r="ER89" s="620"/>
      <c r="ES89" s="620"/>
      <c r="ET89" s="620"/>
      <c r="EU89" s="620"/>
      <c r="EV89" s="620"/>
      <c r="EW89" s="620"/>
      <c r="EX89" s="620"/>
      <c r="EY89" s="620"/>
      <c r="EZ89" s="620"/>
      <c r="FA89" s="620"/>
      <c r="FB89" s="620"/>
      <c r="FC89" s="620"/>
      <c r="FD89" s="620"/>
      <c r="FE89" s="620"/>
      <c r="FF89" s="620"/>
      <c r="FG89" s="620"/>
      <c r="FH89" s="620"/>
      <c r="FI89" s="620"/>
      <c r="FJ89" s="620"/>
      <c r="FK89" s="620"/>
      <c r="FL89" s="620"/>
      <c r="FM89" s="620"/>
      <c r="FN89" s="620"/>
      <c r="FO89" s="620"/>
      <c r="FP89" s="620"/>
      <c r="FQ89" s="620"/>
      <c r="FR89" s="620"/>
      <c r="FS89" s="620"/>
      <c r="FT89" s="620"/>
      <c r="FU89" s="620"/>
      <c r="FV89" s="620"/>
      <c r="FW89" s="620"/>
      <c r="FX89" s="620"/>
      <c r="FY89" s="620"/>
      <c r="FZ89" s="620"/>
      <c r="GA89" s="620"/>
      <c r="GB89" s="620"/>
      <c r="GC89" s="620"/>
      <c r="GD89" s="237"/>
      <c r="GE89" s="237"/>
      <c r="GF89" s="237"/>
      <c r="GG89" s="237"/>
      <c r="GH89" s="237"/>
      <c r="GI89" s="237"/>
      <c r="GJ89" s="237"/>
      <c r="GK89" s="237"/>
      <c r="GL89" s="237"/>
      <c r="GM89" s="620"/>
      <c r="GT89" s="237"/>
      <c r="GU89" s="237"/>
      <c r="GV89" s="237"/>
      <c r="GW89" s="237"/>
      <c r="GX89" s="237"/>
      <c r="GY89" s="237"/>
      <c r="GZ89" s="237"/>
      <c r="HA89" s="237"/>
      <c r="HB89" s="237"/>
      <c r="HC89" s="237"/>
      <c r="HD89" s="237"/>
      <c r="HE89" s="237"/>
      <c r="HF89" s="237"/>
      <c r="HG89" s="237"/>
      <c r="HH89" s="237"/>
      <c r="HI89" s="237"/>
      <c r="HJ89" s="237"/>
      <c r="HK89" s="237"/>
      <c r="HL89" s="237"/>
    </row>
    <row r="90" spans="1:220" s="842" customFormat="1" ht="15">
      <c r="A90" s="153">
        <v>2</v>
      </c>
      <c r="B90" s="1322" t="s">
        <v>156</v>
      </c>
      <c r="C90" s="844">
        <v>1</v>
      </c>
      <c r="D90" s="840">
        <v>3500</v>
      </c>
      <c r="E90" s="161">
        <f t="shared" si="2"/>
        <v>3.5</v>
      </c>
      <c r="F90" s="841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637"/>
      <c r="AQ90" s="637"/>
      <c r="AR90" s="637"/>
      <c r="AS90" s="637"/>
      <c r="AT90" s="336"/>
      <c r="AU90" s="336"/>
      <c r="AV90" s="336"/>
      <c r="AW90" s="336"/>
      <c r="AX90" s="336"/>
      <c r="AY90" s="336"/>
      <c r="AZ90" s="237"/>
      <c r="BA90" s="815"/>
      <c r="BB90" s="235"/>
      <c r="BC90" s="235"/>
      <c r="BD90" s="235"/>
      <c r="BE90" s="115"/>
      <c r="BF90" s="115"/>
      <c r="BG90" s="115"/>
      <c r="BH90" s="115"/>
      <c r="BI90" s="115"/>
      <c r="BJ90" s="115"/>
      <c r="BK90" s="115"/>
      <c r="BL90" s="115">
        <f t="shared" si="108"/>
        <v>10.5</v>
      </c>
      <c r="BM90" s="115">
        <f t="shared" si="108"/>
        <v>10.5</v>
      </c>
      <c r="BN90" s="115">
        <f t="shared" si="108"/>
        <v>10.5</v>
      </c>
      <c r="BO90" s="115">
        <f t="shared" si="108"/>
        <v>10.5</v>
      </c>
      <c r="BP90" s="115">
        <f t="shared" si="108"/>
        <v>10.5</v>
      </c>
      <c r="BQ90" s="115">
        <f t="shared" si="108"/>
        <v>10.5</v>
      </c>
      <c r="BR90" s="115">
        <f t="shared" si="108"/>
        <v>10.5</v>
      </c>
      <c r="BS90" s="115">
        <f t="shared" si="108"/>
        <v>10.5</v>
      </c>
      <c r="BT90" s="115">
        <f t="shared" si="108"/>
        <v>10.5</v>
      </c>
      <c r="BU90" s="115">
        <f t="shared" si="108"/>
        <v>10.5</v>
      </c>
      <c r="BV90" s="115">
        <f t="shared" si="108"/>
        <v>10.5</v>
      </c>
      <c r="BW90" s="115">
        <f t="shared" si="108"/>
        <v>10.5</v>
      </c>
      <c r="BX90" s="115">
        <f t="shared" si="108"/>
        <v>10.5</v>
      </c>
      <c r="BY90" s="115">
        <f t="shared" si="108"/>
        <v>10.5</v>
      </c>
      <c r="BZ90" s="115">
        <f t="shared" si="108"/>
        <v>10.5</v>
      </c>
      <c r="CA90" s="115">
        <f t="shared" si="108"/>
        <v>10.5</v>
      </c>
      <c r="CB90" s="115">
        <f t="shared" si="108"/>
        <v>10.5</v>
      </c>
      <c r="CC90" s="115">
        <f t="shared" si="108"/>
        <v>10.5</v>
      </c>
      <c r="CD90" s="115">
        <f t="shared" si="108"/>
        <v>10.5</v>
      </c>
      <c r="CE90" s="115">
        <f t="shared" si="108"/>
        <v>10.5</v>
      </c>
      <c r="CF90" s="115">
        <f t="shared" si="108"/>
        <v>10.5</v>
      </c>
      <c r="CG90" s="115">
        <f t="shared" si="108"/>
        <v>10.5</v>
      </c>
      <c r="CH90" s="115">
        <f t="shared" si="108"/>
        <v>10.5</v>
      </c>
      <c r="CI90" s="115">
        <f t="shared" si="108"/>
        <v>10.5</v>
      </c>
      <c r="CJ90" s="115">
        <f t="shared" si="108"/>
        <v>10.5</v>
      </c>
      <c r="CK90" s="115"/>
      <c r="CL90" s="115"/>
      <c r="CM90" s="115"/>
      <c r="CN90" s="115"/>
      <c r="CO90" s="115"/>
      <c r="CP90" s="115"/>
      <c r="CQ90" s="115"/>
      <c r="CR90" s="115"/>
      <c r="CS90" s="237"/>
      <c r="CT90" s="814"/>
      <c r="CU90" s="235"/>
      <c r="CV90" s="235"/>
      <c r="CW90" s="235"/>
      <c r="CX90" s="235"/>
      <c r="CY90" s="235"/>
      <c r="CZ90" s="235"/>
      <c r="DA90" s="235"/>
      <c r="DB90" s="235"/>
      <c r="DC90" s="235"/>
      <c r="DD90" s="235"/>
      <c r="DE90" s="235"/>
      <c r="DF90" s="235"/>
      <c r="DG90" s="235"/>
      <c r="DH90" s="235"/>
      <c r="DI90" s="235"/>
      <c r="DJ90" s="235"/>
      <c r="DK90" s="235"/>
      <c r="DL90" s="235"/>
      <c r="DM90" s="235"/>
      <c r="DN90" s="235"/>
      <c r="DO90" s="235"/>
      <c r="DP90" s="235"/>
      <c r="DQ90" s="235"/>
      <c r="DR90" s="235"/>
      <c r="DS90" s="235"/>
      <c r="DT90" s="235"/>
      <c r="DU90" s="235"/>
      <c r="DV90" s="235"/>
      <c r="DW90" s="235"/>
      <c r="DX90" s="235"/>
      <c r="DY90" s="235"/>
      <c r="DZ90" s="235"/>
      <c r="EA90" s="235"/>
      <c r="EB90" s="637"/>
      <c r="EC90" s="637"/>
      <c r="ED90" s="637"/>
      <c r="EE90" s="637"/>
      <c r="EF90" s="336"/>
      <c r="EG90" s="336"/>
      <c r="EH90" s="336"/>
      <c r="EI90" s="336"/>
      <c r="EJ90" s="336"/>
      <c r="EK90" s="336"/>
      <c r="EL90" s="620"/>
      <c r="EM90" s="620"/>
      <c r="EN90" s="620"/>
      <c r="EO90" s="620"/>
      <c r="EP90" s="620"/>
      <c r="EQ90" s="620"/>
      <c r="ER90" s="620"/>
      <c r="ES90" s="620"/>
      <c r="ET90" s="620"/>
      <c r="EU90" s="620"/>
      <c r="EV90" s="620"/>
      <c r="EW90" s="620"/>
      <c r="EX90" s="620"/>
      <c r="EY90" s="620"/>
      <c r="EZ90" s="620"/>
      <c r="FA90" s="620"/>
      <c r="FB90" s="620"/>
      <c r="FC90" s="620"/>
      <c r="FD90" s="620"/>
      <c r="FE90" s="620"/>
      <c r="FF90" s="620"/>
      <c r="FG90" s="620"/>
      <c r="FH90" s="620"/>
      <c r="FI90" s="620"/>
      <c r="FJ90" s="620"/>
      <c r="FK90" s="620"/>
      <c r="FL90" s="620"/>
      <c r="FM90" s="620"/>
      <c r="FN90" s="620"/>
      <c r="FO90" s="620"/>
      <c r="FP90" s="620"/>
      <c r="FQ90" s="620"/>
      <c r="FR90" s="620"/>
      <c r="FS90" s="620"/>
      <c r="FT90" s="620"/>
      <c r="FU90" s="620"/>
      <c r="FV90" s="620"/>
      <c r="FW90" s="620"/>
      <c r="FX90" s="620"/>
      <c r="FY90" s="620"/>
      <c r="FZ90" s="620"/>
      <c r="GA90" s="620"/>
      <c r="GB90" s="620"/>
      <c r="GC90" s="620"/>
      <c r="GD90" s="237"/>
      <c r="GE90" s="237"/>
      <c r="GF90" s="237"/>
      <c r="GG90" s="237"/>
      <c r="GH90" s="237"/>
      <c r="GI90" s="237"/>
      <c r="GJ90" s="237"/>
      <c r="GK90" s="237"/>
      <c r="GL90" s="237"/>
      <c r="GM90" s="620"/>
      <c r="GT90" s="237"/>
      <c r="GU90" s="237"/>
      <c r="GV90" s="237"/>
      <c r="GW90" s="237"/>
      <c r="GX90" s="237"/>
      <c r="GY90" s="237"/>
      <c r="GZ90" s="237"/>
      <c r="HA90" s="237"/>
      <c r="HB90" s="237"/>
      <c r="HC90" s="237"/>
      <c r="HD90" s="237"/>
      <c r="HE90" s="237"/>
      <c r="HF90" s="237"/>
      <c r="HG90" s="237"/>
      <c r="HH90" s="237"/>
      <c r="HI90" s="237"/>
      <c r="HJ90" s="237"/>
      <c r="HK90" s="237"/>
      <c r="HL90" s="237"/>
    </row>
    <row r="91" spans="1:220" s="842" customFormat="1" ht="15">
      <c r="A91" s="153">
        <v>3</v>
      </c>
      <c r="B91" s="1322" t="s">
        <v>142</v>
      </c>
      <c r="C91" s="844">
        <v>1</v>
      </c>
      <c r="D91" s="840">
        <v>2800</v>
      </c>
      <c r="E91" s="161">
        <f t="shared" si="2"/>
        <v>2.8</v>
      </c>
      <c r="F91" s="841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637"/>
      <c r="AQ91" s="637"/>
      <c r="AR91" s="637"/>
      <c r="AS91" s="637"/>
      <c r="AT91" s="336"/>
      <c r="AU91" s="336"/>
      <c r="AV91" s="336"/>
      <c r="AW91" s="336"/>
      <c r="AX91" s="336"/>
      <c r="AY91" s="336"/>
      <c r="AZ91" s="237"/>
      <c r="BA91" s="81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237"/>
      <c r="CT91" s="814"/>
      <c r="CU91" s="235"/>
      <c r="CV91" s="235"/>
      <c r="CW91" s="235"/>
      <c r="CX91" s="115"/>
      <c r="CY91" s="115"/>
      <c r="CZ91" s="115"/>
      <c r="DA91" s="115"/>
      <c r="DB91" s="115"/>
      <c r="DC91" s="115"/>
      <c r="DD91" s="115"/>
      <c r="DE91" s="115">
        <f aca="true" t="shared" si="109" ref="DE91:DM91">$E91*DE$4</f>
        <v>8.399999999999999</v>
      </c>
      <c r="DF91" s="115">
        <f t="shared" si="109"/>
        <v>8.399999999999999</v>
      </c>
      <c r="DG91" s="115">
        <f t="shared" si="109"/>
        <v>8.399999999999999</v>
      </c>
      <c r="DH91" s="115">
        <f t="shared" si="109"/>
        <v>8.399999999999999</v>
      </c>
      <c r="DI91" s="115">
        <f t="shared" si="109"/>
        <v>8.399999999999999</v>
      </c>
      <c r="DJ91" s="115">
        <f t="shared" si="109"/>
        <v>8.399999999999999</v>
      </c>
      <c r="DK91" s="115">
        <f t="shared" si="109"/>
        <v>8.399999999999999</v>
      </c>
      <c r="DL91" s="115">
        <f t="shared" si="109"/>
        <v>8.399999999999999</v>
      </c>
      <c r="DM91" s="115">
        <f t="shared" si="109"/>
        <v>8.399999999999999</v>
      </c>
      <c r="DN91" s="115">
        <f aca="true" t="shared" si="110" ref="DE91:EC93">$E91*DN$4</f>
        <v>8.399999999999999</v>
      </c>
      <c r="DO91" s="115">
        <f t="shared" si="110"/>
        <v>8.399999999999999</v>
      </c>
      <c r="DP91" s="115">
        <f t="shared" si="110"/>
        <v>8.399999999999999</v>
      </c>
      <c r="DQ91" s="115">
        <f t="shared" si="110"/>
        <v>8.399999999999999</v>
      </c>
      <c r="DR91" s="115">
        <f t="shared" si="110"/>
        <v>8.399999999999999</v>
      </c>
      <c r="DS91" s="115">
        <f t="shared" si="110"/>
        <v>8.399999999999999</v>
      </c>
      <c r="DT91" s="115">
        <f t="shared" si="110"/>
        <v>8.399999999999999</v>
      </c>
      <c r="DU91" s="115">
        <f t="shared" si="110"/>
        <v>8.399999999999999</v>
      </c>
      <c r="DV91" s="115">
        <f t="shared" si="110"/>
        <v>8.399999999999999</v>
      </c>
      <c r="DW91" s="115">
        <f t="shared" si="110"/>
        <v>8.399999999999999</v>
      </c>
      <c r="DX91" s="115">
        <f t="shared" si="110"/>
        <v>8.399999999999999</v>
      </c>
      <c r="DY91" s="115">
        <f t="shared" si="110"/>
        <v>8.399999999999999</v>
      </c>
      <c r="DZ91" s="115">
        <f t="shared" si="110"/>
        <v>8.399999999999999</v>
      </c>
      <c r="EA91" s="115">
        <f t="shared" si="110"/>
        <v>8.399999999999999</v>
      </c>
      <c r="EB91" s="115">
        <f t="shared" si="110"/>
        <v>8.399999999999999</v>
      </c>
      <c r="EC91" s="115">
        <f t="shared" si="110"/>
        <v>8.399999999999999</v>
      </c>
      <c r="ED91" s="115"/>
      <c r="EE91" s="115"/>
      <c r="EF91" s="115"/>
      <c r="EG91" s="115"/>
      <c r="EH91" s="115"/>
      <c r="EI91" s="115"/>
      <c r="EJ91" s="115"/>
      <c r="EK91" s="115"/>
      <c r="EL91" s="620"/>
      <c r="EM91" s="620"/>
      <c r="EN91" s="620"/>
      <c r="EO91" s="620"/>
      <c r="EP91" s="620"/>
      <c r="EQ91" s="620"/>
      <c r="ER91" s="620"/>
      <c r="ES91" s="620"/>
      <c r="ET91" s="620"/>
      <c r="EU91" s="620"/>
      <c r="EV91" s="620"/>
      <c r="EW91" s="620"/>
      <c r="EX91" s="620"/>
      <c r="EY91" s="620"/>
      <c r="EZ91" s="620"/>
      <c r="FA91" s="620"/>
      <c r="FB91" s="620"/>
      <c r="FC91" s="620"/>
      <c r="FD91" s="620"/>
      <c r="FE91" s="620"/>
      <c r="FF91" s="620"/>
      <c r="FG91" s="620"/>
      <c r="FH91" s="620"/>
      <c r="FI91" s="620"/>
      <c r="FJ91" s="620"/>
      <c r="FK91" s="620"/>
      <c r="FL91" s="620"/>
      <c r="FM91" s="620"/>
      <c r="FN91" s="620"/>
      <c r="FO91" s="620"/>
      <c r="FP91" s="620"/>
      <c r="FQ91" s="620"/>
      <c r="FR91" s="620"/>
      <c r="FS91" s="620"/>
      <c r="FT91" s="620"/>
      <c r="FU91" s="620"/>
      <c r="FV91" s="620"/>
      <c r="FW91" s="620"/>
      <c r="FX91" s="620"/>
      <c r="FY91" s="620"/>
      <c r="FZ91" s="620"/>
      <c r="GA91" s="620"/>
      <c r="GB91" s="620"/>
      <c r="GC91" s="620"/>
      <c r="GD91" s="237"/>
      <c r="GE91" s="237"/>
      <c r="GF91" s="237"/>
      <c r="GG91" s="237"/>
      <c r="GH91" s="237"/>
      <c r="GI91" s="237"/>
      <c r="GJ91" s="237"/>
      <c r="GK91" s="237"/>
      <c r="GL91" s="237"/>
      <c r="GM91" s="620"/>
      <c r="GT91" s="237"/>
      <c r="GU91" s="237"/>
      <c r="GV91" s="237"/>
      <c r="GW91" s="237"/>
      <c r="GX91" s="237"/>
      <c r="GY91" s="237"/>
      <c r="GZ91" s="237"/>
      <c r="HA91" s="237"/>
      <c r="HB91" s="237"/>
      <c r="HC91" s="237"/>
      <c r="HD91" s="237"/>
      <c r="HE91" s="237"/>
      <c r="HF91" s="237"/>
      <c r="HG91" s="237"/>
      <c r="HH91" s="237"/>
      <c r="HI91" s="237"/>
      <c r="HJ91" s="237"/>
      <c r="HK91" s="237"/>
      <c r="HL91" s="237"/>
    </row>
    <row r="92" spans="1:220" s="842" customFormat="1" ht="15">
      <c r="A92" s="153">
        <v>4</v>
      </c>
      <c r="B92" s="1322" t="s">
        <v>157</v>
      </c>
      <c r="C92" s="845">
        <v>1</v>
      </c>
      <c r="D92" s="840">
        <v>2800</v>
      </c>
      <c r="E92" s="161">
        <f t="shared" si="2"/>
        <v>2.8</v>
      </c>
      <c r="F92" s="841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637"/>
      <c r="AQ92" s="637"/>
      <c r="AR92" s="637"/>
      <c r="AS92" s="637"/>
      <c r="AT92" s="336"/>
      <c r="AU92" s="336"/>
      <c r="AV92" s="336"/>
      <c r="AW92" s="336"/>
      <c r="AX92" s="336"/>
      <c r="AY92" s="336"/>
      <c r="AZ92" s="237"/>
      <c r="BA92" s="81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5"/>
      <c r="CL92" s="235"/>
      <c r="CM92" s="235"/>
      <c r="CN92" s="235"/>
      <c r="CO92" s="235"/>
      <c r="CP92" s="235"/>
      <c r="CQ92" s="235"/>
      <c r="CR92" s="235"/>
      <c r="CS92" s="237"/>
      <c r="CT92" s="814"/>
      <c r="CU92" s="235"/>
      <c r="CV92" s="235"/>
      <c r="CW92" s="235"/>
      <c r="CX92" s="115"/>
      <c r="CY92" s="115"/>
      <c r="CZ92" s="115"/>
      <c r="DA92" s="115"/>
      <c r="DB92" s="115"/>
      <c r="DC92" s="115"/>
      <c r="DD92" s="115"/>
      <c r="DE92" s="115">
        <f t="shared" si="110"/>
        <v>8.399999999999999</v>
      </c>
      <c r="DF92" s="115">
        <f t="shared" si="110"/>
        <v>8.399999999999999</v>
      </c>
      <c r="DG92" s="115">
        <f t="shared" si="110"/>
        <v>8.399999999999999</v>
      </c>
      <c r="DH92" s="115">
        <f t="shared" si="110"/>
        <v>8.399999999999999</v>
      </c>
      <c r="DI92" s="115">
        <f t="shared" si="110"/>
        <v>8.399999999999999</v>
      </c>
      <c r="DJ92" s="115">
        <f t="shared" si="110"/>
        <v>8.399999999999999</v>
      </c>
      <c r="DK92" s="115">
        <f t="shared" si="110"/>
        <v>8.399999999999999</v>
      </c>
      <c r="DL92" s="115">
        <f t="shared" si="110"/>
        <v>8.399999999999999</v>
      </c>
      <c r="DM92" s="115">
        <f t="shared" si="110"/>
        <v>8.399999999999999</v>
      </c>
      <c r="DN92" s="115">
        <f t="shared" si="110"/>
        <v>8.399999999999999</v>
      </c>
      <c r="DO92" s="115">
        <f t="shared" si="110"/>
        <v>8.399999999999999</v>
      </c>
      <c r="DP92" s="115">
        <f t="shared" si="110"/>
        <v>8.399999999999999</v>
      </c>
      <c r="DQ92" s="115">
        <f t="shared" si="110"/>
        <v>8.399999999999999</v>
      </c>
      <c r="DR92" s="115">
        <f t="shared" si="110"/>
        <v>8.399999999999999</v>
      </c>
      <c r="DS92" s="115">
        <f t="shared" si="110"/>
        <v>8.399999999999999</v>
      </c>
      <c r="DT92" s="115">
        <f t="shared" si="110"/>
        <v>8.399999999999999</v>
      </c>
      <c r="DU92" s="115">
        <f t="shared" si="110"/>
        <v>8.399999999999999</v>
      </c>
      <c r="DV92" s="115">
        <f t="shared" si="110"/>
        <v>8.399999999999999</v>
      </c>
      <c r="DW92" s="115">
        <f t="shared" si="110"/>
        <v>8.399999999999999</v>
      </c>
      <c r="DX92" s="115">
        <f t="shared" si="110"/>
        <v>8.399999999999999</v>
      </c>
      <c r="DY92" s="115">
        <f t="shared" si="110"/>
        <v>8.399999999999999</v>
      </c>
      <c r="DZ92" s="115">
        <f t="shared" si="110"/>
        <v>8.399999999999999</v>
      </c>
      <c r="EA92" s="115">
        <f t="shared" si="110"/>
        <v>8.399999999999999</v>
      </c>
      <c r="EB92" s="115">
        <f t="shared" si="110"/>
        <v>8.399999999999999</v>
      </c>
      <c r="EC92" s="115">
        <f t="shared" si="110"/>
        <v>8.399999999999999</v>
      </c>
      <c r="ED92" s="115"/>
      <c r="EE92" s="115"/>
      <c r="EF92" s="115"/>
      <c r="EG92" s="115"/>
      <c r="EH92" s="115"/>
      <c r="EI92" s="115"/>
      <c r="EJ92" s="115"/>
      <c r="EK92" s="115"/>
      <c r="EL92" s="620"/>
      <c r="EM92" s="620"/>
      <c r="EN92" s="620"/>
      <c r="EO92" s="620"/>
      <c r="EP92" s="620"/>
      <c r="EQ92" s="620"/>
      <c r="ER92" s="620"/>
      <c r="ES92" s="620"/>
      <c r="ET92" s="620"/>
      <c r="EU92" s="620"/>
      <c r="EV92" s="620"/>
      <c r="EW92" s="620"/>
      <c r="EX92" s="620"/>
      <c r="EY92" s="620"/>
      <c r="EZ92" s="620"/>
      <c r="FA92" s="620"/>
      <c r="FB92" s="620"/>
      <c r="FC92" s="620"/>
      <c r="FD92" s="620"/>
      <c r="FE92" s="620"/>
      <c r="FF92" s="620"/>
      <c r="FG92" s="620"/>
      <c r="FH92" s="620"/>
      <c r="FI92" s="620"/>
      <c r="FJ92" s="620"/>
      <c r="FK92" s="620"/>
      <c r="FL92" s="620"/>
      <c r="FM92" s="620"/>
      <c r="FN92" s="620"/>
      <c r="FO92" s="620"/>
      <c r="FP92" s="620"/>
      <c r="FQ92" s="620"/>
      <c r="FR92" s="620"/>
      <c r="FS92" s="620"/>
      <c r="FT92" s="620"/>
      <c r="FU92" s="620"/>
      <c r="FV92" s="620"/>
      <c r="FW92" s="620"/>
      <c r="FX92" s="620"/>
      <c r="FY92" s="620"/>
      <c r="FZ92" s="620"/>
      <c r="GA92" s="620"/>
      <c r="GB92" s="620"/>
      <c r="GC92" s="620"/>
      <c r="GD92" s="237"/>
      <c r="GE92" s="237"/>
      <c r="GF92" s="237"/>
      <c r="GG92" s="237"/>
      <c r="GH92" s="237"/>
      <c r="GI92" s="237"/>
      <c r="GJ92" s="237"/>
      <c r="GK92" s="237"/>
      <c r="GL92" s="237"/>
      <c r="GM92" s="620"/>
      <c r="GT92" s="237"/>
      <c r="GU92" s="237"/>
      <c r="GV92" s="237"/>
      <c r="GW92" s="237"/>
      <c r="GX92" s="237"/>
      <c r="GY92" s="237"/>
      <c r="GZ92" s="237"/>
      <c r="HA92" s="237"/>
      <c r="HB92" s="237"/>
      <c r="HC92" s="237"/>
      <c r="HD92" s="237"/>
      <c r="HE92" s="237"/>
      <c r="HF92" s="237"/>
      <c r="HG92" s="237"/>
      <c r="HH92" s="237"/>
      <c r="HI92" s="237"/>
      <c r="HJ92" s="237"/>
      <c r="HK92" s="237"/>
      <c r="HL92" s="237"/>
    </row>
    <row r="93" spans="1:220" s="842" customFormat="1" ht="15">
      <c r="A93" s="153">
        <v>5</v>
      </c>
      <c r="B93" s="1322" t="s">
        <v>158</v>
      </c>
      <c r="C93" s="845">
        <v>1</v>
      </c>
      <c r="D93" s="840">
        <v>2500</v>
      </c>
      <c r="E93" s="161">
        <f t="shared" si="2"/>
        <v>2.5</v>
      </c>
      <c r="F93" s="841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637"/>
      <c r="AQ93" s="637"/>
      <c r="AR93" s="637"/>
      <c r="AS93" s="637"/>
      <c r="AT93" s="336"/>
      <c r="AU93" s="336"/>
      <c r="AV93" s="336"/>
      <c r="AW93" s="336"/>
      <c r="AX93" s="336"/>
      <c r="AY93" s="336"/>
      <c r="AZ93" s="237"/>
      <c r="BA93" s="81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235"/>
      <c r="BT93" s="235"/>
      <c r="BU93" s="235"/>
      <c r="BV93" s="235"/>
      <c r="BW93" s="235"/>
      <c r="BX93" s="235"/>
      <c r="BY93" s="235"/>
      <c r="BZ93" s="235"/>
      <c r="CA93" s="235"/>
      <c r="CB93" s="235"/>
      <c r="CC93" s="235"/>
      <c r="CD93" s="235"/>
      <c r="CE93" s="235"/>
      <c r="CF93" s="235"/>
      <c r="CG93" s="235"/>
      <c r="CH93" s="235"/>
      <c r="CI93" s="235"/>
      <c r="CJ93" s="235"/>
      <c r="CK93" s="235"/>
      <c r="CL93" s="235"/>
      <c r="CM93" s="235"/>
      <c r="CN93" s="235"/>
      <c r="CO93" s="235"/>
      <c r="CP93" s="235"/>
      <c r="CQ93" s="235"/>
      <c r="CR93" s="235"/>
      <c r="CS93" s="237"/>
      <c r="CT93" s="814"/>
      <c r="CU93" s="235"/>
      <c r="CV93" s="235"/>
      <c r="CW93" s="235"/>
      <c r="CX93" s="115"/>
      <c r="CY93" s="115"/>
      <c r="CZ93" s="115"/>
      <c r="DA93" s="115"/>
      <c r="DB93" s="115"/>
      <c r="DC93" s="115"/>
      <c r="DD93" s="115"/>
      <c r="DE93" s="115">
        <f t="shared" si="110"/>
        <v>7.5</v>
      </c>
      <c r="DF93" s="115">
        <f t="shared" si="110"/>
        <v>7.5</v>
      </c>
      <c r="DG93" s="115">
        <f t="shared" si="110"/>
        <v>7.5</v>
      </c>
      <c r="DH93" s="115">
        <f t="shared" si="110"/>
        <v>7.5</v>
      </c>
      <c r="DI93" s="115">
        <f t="shared" si="110"/>
        <v>7.5</v>
      </c>
      <c r="DJ93" s="115">
        <f t="shared" si="110"/>
        <v>7.5</v>
      </c>
      <c r="DK93" s="115">
        <f t="shared" si="110"/>
        <v>7.5</v>
      </c>
      <c r="DL93" s="115">
        <f t="shared" si="110"/>
        <v>7.5</v>
      </c>
      <c r="DM93" s="115">
        <f t="shared" si="110"/>
        <v>7.5</v>
      </c>
      <c r="DN93" s="115">
        <f t="shared" si="110"/>
        <v>7.5</v>
      </c>
      <c r="DO93" s="115">
        <f t="shared" si="110"/>
        <v>7.5</v>
      </c>
      <c r="DP93" s="115">
        <f t="shared" si="110"/>
        <v>7.5</v>
      </c>
      <c r="DQ93" s="115">
        <f t="shared" si="110"/>
        <v>7.5</v>
      </c>
      <c r="DR93" s="115">
        <f t="shared" si="110"/>
        <v>7.5</v>
      </c>
      <c r="DS93" s="115">
        <f t="shared" si="110"/>
        <v>7.5</v>
      </c>
      <c r="DT93" s="115">
        <f t="shared" si="110"/>
        <v>7.5</v>
      </c>
      <c r="DU93" s="115">
        <f t="shared" si="110"/>
        <v>7.5</v>
      </c>
      <c r="DV93" s="115">
        <f t="shared" si="110"/>
        <v>7.5</v>
      </c>
      <c r="DW93" s="115">
        <f t="shared" si="110"/>
        <v>7.5</v>
      </c>
      <c r="DX93" s="115">
        <f t="shared" si="110"/>
        <v>7.5</v>
      </c>
      <c r="DY93" s="115">
        <f t="shared" si="110"/>
        <v>7.5</v>
      </c>
      <c r="DZ93" s="115">
        <f t="shared" si="110"/>
        <v>7.5</v>
      </c>
      <c r="EA93" s="115">
        <f t="shared" si="110"/>
        <v>7.5</v>
      </c>
      <c r="EB93" s="115">
        <f t="shared" si="110"/>
        <v>7.5</v>
      </c>
      <c r="EC93" s="115">
        <f t="shared" si="110"/>
        <v>7.5</v>
      </c>
      <c r="ED93" s="115"/>
      <c r="EE93" s="115"/>
      <c r="EF93" s="115"/>
      <c r="EG93" s="115"/>
      <c r="EH93" s="115"/>
      <c r="EI93" s="115"/>
      <c r="EJ93" s="115"/>
      <c r="EK93" s="115"/>
      <c r="EL93" s="620"/>
      <c r="EM93" s="620"/>
      <c r="EN93" s="620"/>
      <c r="EO93" s="620"/>
      <c r="EP93" s="620"/>
      <c r="EQ93" s="620"/>
      <c r="ER93" s="620"/>
      <c r="ES93" s="620"/>
      <c r="ET93" s="620"/>
      <c r="EU93" s="620"/>
      <c r="EV93" s="620"/>
      <c r="EW93" s="620"/>
      <c r="EX93" s="620"/>
      <c r="EY93" s="620"/>
      <c r="EZ93" s="620"/>
      <c r="FA93" s="620"/>
      <c r="FB93" s="620"/>
      <c r="FC93" s="620"/>
      <c r="FD93" s="620"/>
      <c r="FE93" s="620"/>
      <c r="FF93" s="620"/>
      <c r="FG93" s="620"/>
      <c r="FH93" s="620"/>
      <c r="FI93" s="620"/>
      <c r="FJ93" s="620"/>
      <c r="FK93" s="620"/>
      <c r="FL93" s="620"/>
      <c r="FM93" s="620"/>
      <c r="FN93" s="620"/>
      <c r="FO93" s="620"/>
      <c r="FP93" s="620"/>
      <c r="FQ93" s="620"/>
      <c r="FR93" s="620"/>
      <c r="FS93" s="620"/>
      <c r="FT93" s="620"/>
      <c r="FU93" s="620"/>
      <c r="FV93" s="620"/>
      <c r="FW93" s="620"/>
      <c r="FX93" s="620"/>
      <c r="FY93" s="620"/>
      <c r="FZ93" s="620"/>
      <c r="GA93" s="620"/>
      <c r="GB93" s="620"/>
      <c r="GC93" s="620"/>
      <c r="GD93" s="237"/>
      <c r="GE93" s="237"/>
      <c r="GF93" s="237"/>
      <c r="GG93" s="237"/>
      <c r="GH93" s="237"/>
      <c r="GI93" s="237"/>
      <c r="GJ93" s="237"/>
      <c r="GK93" s="237"/>
      <c r="GL93" s="237"/>
      <c r="GM93" s="620"/>
      <c r="GT93" s="237"/>
      <c r="GU93" s="237"/>
      <c r="GV93" s="237"/>
      <c r="GW93" s="237"/>
      <c r="GX93" s="237"/>
      <c r="GY93" s="237"/>
      <c r="GZ93" s="237"/>
      <c r="HA93" s="237"/>
      <c r="HB93" s="237"/>
      <c r="HC93" s="237"/>
      <c r="HD93" s="237"/>
      <c r="HE93" s="237"/>
      <c r="HF93" s="237"/>
      <c r="HG93" s="237"/>
      <c r="HH93" s="237"/>
      <c r="HI93" s="237"/>
      <c r="HJ93" s="237"/>
      <c r="HK93" s="237"/>
      <c r="HL93" s="237"/>
    </row>
    <row r="94" spans="1:220" s="842" customFormat="1" ht="15">
      <c r="A94" s="153">
        <v>6</v>
      </c>
      <c r="B94" s="1322" t="s">
        <v>159</v>
      </c>
      <c r="C94" s="845">
        <v>1</v>
      </c>
      <c r="D94" s="840">
        <v>2662</v>
      </c>
      <c r="E94" s="161">
        <f t="shared" si="2"/>
        <v>2.662</v>
      </c>
      <c r="F94" s="841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637"/>
      <c r="AQ94" s="637"/>
      <c r="AR94" s="637"/>
      <c r="AS94" s="637"/>
      <c r="AT94" s="336"/>
      <c r="AU94" s="336"/>
      <c r="AV94" s="336"/>
      <c r="AW94" s="336"/>
      <c r="AX94" s="336"/>
      <c r="AY94" s="336"/>
      <c r="AZ94" s="237"/>
      <c r="BA94" s="815"/>
      <c r="BB94" s="235"/>
      <c r="BC94" s="235"/>
      <c r="BD94" s="235"/>
      <c r="BE94" s="115"/>
      <c r="BF94" s="115"/>
      <c r="BG94" s="115"/>
      <c r="BH94" s="115"/>
      <c r="BI94" s="115"/>
      <c r="BJ94" s="115"/>
      <c r="BK94" s="115"/>
      <c r="BL94" s="115">
        <f aca="true" t="shared" si="111" ref="BL94:BU97">$E94*BL$4</f>
        <v>7.986</v>
      </c>
      <c r="BM94" s="115">
        <f t="shared" si="111"/>
        <v>7.986</v>
      </c>
      <c r="BN94" s="115">
        <f t="shared" si="111"/>
        <v>7.986</v>
      </c>
      <c r="BO94" s="115">
        <f t="shared" si="111"/>
        <v>7.986</v>
      </c>
      <c r="BP94" s="115">
        <f t="shared" si="111"/>
        <v>7.986</v>
      </c>
      <c r="BQ94" s="115">
        <f t="shared" si="111"/>
        <v>7.986</v>
      </c>
      <c r="BR94" s="115">
        <f t="shared" si="111"/>
        <v>7.986</v>
      </c>
      <c r="BS94" s="115">
        <f t="shared" si="111"/>
        <v>7.986</v>
      </c>
      <c r="BT94" s="115">
        <f t="shared" si="111"/>
        <v>7.986</v>
      </c>
      <c r="BU94" s="115">
        <f t="shared" si="111"/>
        <v>7.986</v>
      </c>
      <c r="BV94" s="115">
        <f aca="true" t="shared" si="112" ref="BV94:CJ97">$E94*BV$4</f>
        <v>7.986</v>
      </c>
      <c r="BW94" s="115">
        <f t="shared" si="112"/>
        <v>7.986</v>
      </c>
      <c r="BX94" s="115">
        <f t="shared" si="112"/>
        <v>7.986</v>
      </c>
      <c r="BY94" s="115">
        <f t="shared" si="112"/>
        <v>7.986</v>
      </c>
      <c r="BZ94" s="115">
        <f t="shared" si="112"/>
        <v>7.986</v>
      </c>
      <c r="CA94" s="115">
        <f t="shared" si="112"/>
        <v>7.986</v>
      </c>
      <c r="CB94" s="115">
        <f t="shared" si="112"/>
        <v>7.986</v>
      </c>
      <c r="CC94" s="115">
        <f t="shared" si="112"/>
        <v>7.986</v>
      </c>
      <c r="CD94" s="115">
        <f t="shared" si="112"/>
        <v>7.986</v>
      </c>
      <c r="CE94" s="115">
        <f t="shared" si="112"/>
        <v>7.986</v>
      </c>
      <c r="CF94" s="115">
        <f t="shared" si="112"/>
        <v>7.986</v>
      </c>
      <c r="CG94" s="115">
        <f t="shared" si="112"/>
        <v>7.986</v>
      </c>
      <c r="CH94" s="115">
        <f t="shared" si="112"/>
        <v>7.986</v>
      </c>
      <c r="CI94" s="115">
        <f t="shared" si="112"/>
        <v>7.986</v>
      </c>
      <c r="CJ94" s="115">
        <f t="shared" si="112"/>
        <v>7.986</v>
      </c>
      <c r="CK94" s="115"/>
      <c r="CL94" s="115"/>
      <c r="CM94" s="115"/>
      <c r="CN94" s="115"/>
      <c r="CO94" s="115"/>
      <c r="CP94" s="115"/>
      <c r="CQ94" s="115"/>
      <c r="CR94" s="115"/>
      <c r="CS94" s="237"/>
      <c r="CT94" s="814"/>
      <c r="CU94" s="235"/>
      <c r="CV94" s="235"/>
      <c r="CW94" s="235"/>
      <c r="CX94" s="115"/>
      <c r="CY94" s="235"/>
      <c r="CZ94" s="235"/>
      <c r="DA94" s="235"/>
      <c r="DB94" s="235"/>
      <c r="DC94" s="235"/>
      <c r="DD94" s="235"/>
      <c r="DE94" s="235"/>
      <c r="DF94" s="235"/>
      <c r="DG94" s="235"/>
      <c r="DH94" s="235"/>
      <c r="DI94" s="235"/>
      <c r="DJ94" s="235"/>
      <c r="DK94" s="235"/>
      <c r="DL94" s="235"/>
      <c r="DM94" s="235"/>
      <c r="DN94" s="235"/>
      <c r="DO94" s="235"/>
      <c r="DP94" s="235"/>
      <c r="DQ94" s="235"/>
      <c r="DR94" s="235"/>
      <c r="DS94" s="235"/>
      <c r="DT94" s="235"/>
      <c r="DU94" s="235"/>
      <c r="DV94" s="235"/>
      <c r="DW94" s="235"/>
      <c r="DX94" s="235"/>
      <c r="DY94" s="235"/>
      <c r="DZ94" s="235"/>
      <c r="EA94" s="235"/>
      <c r="EB94" s="637"/>
      <c r="EC94" s="637"/>
      <c r="ED94" s="637"/>
      <c r="EE94" s="637"/>
      <c r="EF94" s="336"/>
      <c r="EG94" s="336"/>
      <c r="EH94" s="336"/>
      <c r="EI94" s="336"/>
      <c r="EJ94" s="336"/>
      <c r="EK94" s="336"/>
      <c r="EL94" s="620"/>
      <c r="EM94" s="620"/>
      <c r="EN94" s="620"/>
      <c r="EO94" s="620"/>
      <c r="EP94" s="620"/>
      <c r="EQ94" s="620"/>
      <c r="ER94" s="620"/>
      <c r="ES94" s="620"/>
      <c r="ET94" s="620"/>
      <c r="EU94" s="620"/>
      <c r="EV94" s="620"/>
      <c r="EW94" s="620"/>
      <c r="EX94" s="620"/>
      <c r="EY94" s="620"/>
      <c r="EZ94" s="620"/>
      <c r="FA94" s="620"/>
      <c r="FB94" s="620"/>
      <c r="FC94" s="620"/>
      <c r="FD94" s="620"/>
      <c r="FE94" s="620"/>
      <c r="FF94" s="620"/>
      <c r="FG94" s="620"/>
      <c r="FH94" s="620"/>
      <c r="FI94" s="620"/>
      <c r="FJ94" s="620"/>
      <c r="FK94" s="620"/>
      <c r="FL94" s="620"/>
      <c r="FM94" s="620"/>
      <c r="FN94" s="620"/>
      <c r="FO94" s="620"/>
      <c r="FP94" s="620"/>
      <c r="FQ94" s="620"/>
      <c r="FR94" s="620"/>
      <c r="FS94" s="620"/>
      <c r="FT94" s="620"/>
      <c r="FU94" s="620"/>
      <c r="FV94" s="620"/>
      <c r="FW94" s="620"/>
      <c r="FX94" s="620"/>
      <c r="FY94" s="620"/>
      <c r="FZ94" s="620"/>
      <c r="GA94" s="620"/>
      <c r="GB94" s="620"/>
      <c r="GC94" s="620"/>
      <c r="GD94" s="237"/>
      <c r="GE94" s="237"/>
      <c r="GF94" s="237"/>
      <c r="GG94" s="237"/>
      <c r="GH94" s="237"/>
      <c r="GI94" s="237"/>
      <c r="GJ94" s="237"/>
      <c r="GK94" s="237"/>
      <c r="GL94" s="237"/>
      <c r="GM94" s="620"/>
      <c r="GT94" s="237"/>
      <c r="GU94" s="237"/>
      <c r="GV94" s="237"/>
      <c r="GW94" s="237"/>
      <c r="GX94" s="237"/>
      <c r="GY94" s="237"/>
      <c r="GZ94" s="237"/>
      <c r="HA94" s="237"/>
      <c r="HB94" s="237"/>
      <c r="HC94" s="237"/>
      <c r="HD94" s="237"/>
      <c r="HE94" s="237"/>
      <c r="HF94" s="237"/>
      <c r="HG94" s="237"/>
      <c r="HH94" s="237"/>
      <c r="HI94" s="237"/>
      <c r="HJ94" s="237"/>
      <c r="HK94" s="237"/>
      <c r="HL94" s="237"/>
    </row>
    <row r="95" spans="1:220" s="842" customFormat="1" ht="15">
      <c r="A95" s="153">
        <v>7</v>
      </c>
      <c r="B95" s="1322" t="s">
        <v>160</v>
      </c>
      <c r="C95" s="845">
        <v>4</v>
      </c>
      <c r="D95" s="840">
        <v>10659</v>
      </c>
      <c r="E95" s="161">
        <f t="shared" si="2"/>
        <v>42.636</v>
      </c>
      <c r="F95" s="841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637"/>
      <c r="AQ95" s="637"/>
      <c r="AR95" s="637"/>
      <c r="AS95" s="637"/>
      <c r="AT95" s="336"/>
      <c r="AU95" s="336"/>
      <c r="AV95" s="336"/>
      <c r="AW95" s="336"/>
      <c r="AX95" s="336"/>
      <c r="AY95" s="336"/>
      <c r="AZ95" s="237"/>
      <c r="BA95" s="815"/>
      <c r="BB95" s="235"/>
      <c r="BC95" s="235"/>
      <c r="BD95" s="235"/>
      <c r="BE95" s="115"/>
      <c r="BF95" s="115"/>
      <c r="BG95" s="115"/>
      <c r="BH95" s="115"/>
      <c r="BI95" s="115"/>
      <c r="BJ95" s="115"/>
      <c r="BK95" s="115"/>
      <c r="BL95" s="115">
        <f t="shared" si="111"/>
        <v>127.90800000000002</v>
      </c>
      <c r="BM95" s="115">
        <f t="shared" si="111"/>
        <v>127.90800000000002</v>
      </c>
      <c r="BN95" s="115">
        <f t="shared" si="111"/>
        <v>127.90800000000002</v>
      </c>
      <c r="BO95" s="115">
        <f t="shared" si="111"/>
        <v>127.90800000000002</v>
      </c>
      <c r="BP95" s="115">
        <f t="shared" si="111"/>
        <v>127.90800000000002</v>
      </c>
      <c r="BQ95" s="115">
        <f t="shared" si="111"/>
        <v>127.90800000000002</v>
      </c>
      <c r="BR95" s="115">
        <f t="shared" si="111"/>
        <v>127.90800000000002</v>
      </c>
      <c r="BS95" s="115">
        <f t="shared" si="111"/>
        <v>127.90800000000002</v>
      </c>
      <c r="BT95" s="115">
        <f t="shared" si="111"/>
        <v>127.90800000000002</v>
      </c>
      <c r="BU95" s="115">
        <f t="shared" si="111"/>
        <v>127.90800000000002</v>
      </c>
      <c r="BV95" s="115">
        <f t="shared" si="112"/>
        <v>127.90800000000002</v>
      </c>
      <c r="BW95" s="115">
        <f t="shared" si="112"/>
        <v>127.90800000000002</v>
      </c>
      <c r="BX95" s="115">
        <f t="shared" si="112"/>
        <v>127.90800000000002</v>
      </c>
      <c r="BY95" s="115">
        <f t="shared" si="112"/>
        <v>127.90800000000002</v>
      </c>
      <c r="BZ95" s="115">
        <f t="shared" si="112"/>
        <v>127.90800000000002</v>
      </c>
      <c r="CA95" s="115">
        <f t="shared" si="112"/>
        <v>127.90800000000002</v>
      </c>
      <c r="CB95" s="115">
        <f t="shared" si="112"/>
        <v>127.90800000000002</v>
      </c>
      <c r="CC95" s="115">
        <f t="shared" si="112"/>
        <v>127.90800000000002</v>
      </c>
      <c r="CD95" s="115">
        <f t="shared" si="112"/>
        <v>127.90800000000002</v>
      </c>
      <c r="CE95" s="115">
        <f t="shared" si="112"/>
        <v>127.90800000000002</v>
      </c>
      <c r="CF95" s="115">
        <f t="shared" si="112"/>
        <v>127.90800000000002</v>
      </c>
      <c r="CG95" s="115">
        <f t="shared" si="112"/>
        <v>127.90800000000002</v>
      </c>
      <c r="CH95" s="115">
        <f t="shared" si="112"/>
        <v>127.90800000000002</v>
      </c>
      <c r="CI95" s="115">
        <f t="shared" si="112"/>
        <v>127.90800000000002</v>
      </c>
      <c r="CJ95" s="115">
        <f t="shared" si="112"/>
        <v>127.90800000000002</v>
      </c>
      <c r="CK95" s="115"/>
      <c r="CL95" s="115"/>
      <c r="CM95" s="115"/>
      <c r="CN95" s="115"/>
      <c r="CO95" s="115"/>
      <c r="CP95" s="115"/>
      <c r="CQ95" s="115"/>
      <c r="CR95" s="115"/>
      <c r="CS95" s="237"/>
      <c r="CT95" s="814"/>
      <c r="CU95" s="235"/>
      <c r="CV95" s="235"/>
      <c r="CW95" s="235"/>
      <c r="CX95" s="115"/>
      <c r="CY95" s="235"/>
      <c r="CZ95" s="235"/>
      <c r="DA95" s="235"/>
      <c r="DB95" s="235"/>
      <c r="DC95" s="235"/>
      <c r="DD95" s="235"/>
      <c r="DE95" s="235"/>
      <c r="DF95" s="235"/>
      <c r="DG95" s="235"/>
      <c r="DH95" s="235"/>
      <c r="DI95" s="235"/>
      <c r="DJ95" s="235"/>
      <c r="DK95" s="235"/>
      <c r="DL95" s="235"/>
      <c r="DM95" s="235"/>
      <c r="DN95" s="235"/>
      <c r="DO95" s="235"/>
      <c r="DP95" s="235"/>
      <c r="DQ95" s="235"/>
      <c r="DR95" s="235"/>
      <c r="DS95" s="235"/>
      <c r="DT95" s="235"/>
      <c r="DU95" s="235"/>
      <c r="DV95" s="235"/>
      <c r="DW95" s="235"/>
      <c r="DX95" s="235"/>
      <c r="DY95" s="235"/>
      <c r="DZ95" s="235"/>
      <c r="EA95" s="235"/>
      <c r="EB95" s="637"/>
      <c r="EC95" s="637"/>
      <c r="ED95" s="637"/>
      <c r="EE95" s="637"/>
      <c r="EF95" s="336"/>
      <c r="EG95" s="336"/>
      <c r="EH95" s="336"/>
      <c r="EI95" s="336"/>
      <c r="EJ95" s="336"/>
      <c r="EK95" s="336"/>
      <c r="EL95" s="620"/>
      <c r="EM95" s="620"/>
      <c r="EN95" s="620"/>
      <c r="EO95" s="620"/>
      <c r="EP95" s="620"/>
      <c r="EQ95" s="620"/>
      <c r="ER95" s="620"/>
      <c r="ES95" s="620"/>
      <c r="ET95" s="620"/>
      <c r="EU95" s="620"/>
      <c r="EV95" s="620"/>
      <c r="EW95" s="620"/>
      <c r="EX95" s="620"/>
      <c r="EY95" s="620"/>
      <c r="EZ95" s="620"/>
      <c r="FA95" s="620"/>
      <c r="FB95" s="620"/>
      <c r="FC95" s="620"/>
      <c r="FD95" s="620"/>
      <c r="FE95" s="620"/>
      <c r="FF95" s="620"/>
      <c r="FG95" s="620"/>
      <c r="FH95" s="620"/>
      <c r="FI95" s="620"/>
      <c r="FJ95" s="620"/>
      <c r="FK95" s="620"/>
      <c r="FL95" s="620"/>
      <c r="FM95" s="620"/>
      <c r="FN95" s="620"/>
      <c r="FO95" s="620"/>
      <c r="FP95" s="620"/>
      <c r="FQ95" s="620"/>
      <c r="FR95" s="620"/>
      <c r="FS95" s="620"/>
      <c r="FT95" s="620"/>
      <c r="FU95" s="620"/>
      <c r="FV95" s="620"/>
      <c r="FW95" s="620"/>
      <c r="FX95" s="620"/>
      <c r="FY95" s="620"/>
      <c r="FZ95" s="620"/>
      <c r="GA95" s="620"/>
      <c r="GB95" s="620"/>
      <c r="GC95" s="620"/>
      <c r="GD95" s="237"/>
      <c r="GE95" s="237"/>
      <c r="GF95" s="237"/>
      <c r="GG95" s="237"/>
      <c r="GH95" s="237"/>
      <c r="GI95" s="237"/>
      <c r="GJ95" s="237"/>
      <c r="GK95" s="237"/>
      <c r="GL95" s="237"/>
      <c r="GM95" s="620"/>
      <c r="GT95" s="237"/>
      <c r="GU95" s="237"/>
      <c r="GV95" s="237"/>
      <c r="GW95" s="237"/>
      <c r="GX95" s="237"/>
      <c r="GY95" s="237"/>
      <c r="GZ95" s="237"/>
      <c r="HA95" s="237"/>
      <c r="HB95" s="237"/>
      <c r="HC95" s="237"/>
      <c r="HD95" s="237"/>
      <c r="HE95" s="237"/>
      <c r="HF95" s="237"/>
      <c r="HG95" s="237"/>
      <c r="HH95" s="237"/>
      <c r="HI95" s="237"/>
      <c r="HJ95" s="237"/>
      <c r="HK95" s="237"/>
      <c r="HL95" s="237"/>
    </row>
    <row r="96" spans="1:220" s="842" customFormat="1" ht="15">
      <c r="A96" s="153">
        <v>8</v>
      </c>
      <c r="B96" s="1322" t="s">
        <v>161</v>
      </c>
      <c r="C96" s="845">
        <v>5</v>
      </c>
      <c r="D96" s="840">
        <v>8370</v>
      </c>
      <c r="E96" s="161">
        <f t="shared" si="2"/>
        <v>41.85</v>
      </c>
      <c r="F96" s="841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637"/>
      <c r="AQ96" s="637"/>
      <c r="AR96" s="637"/>
      <c r="AS96" s="637"/>
      <c r="AT96" s="336"/>
      <c r="AU96" s="336"/>
      <c r="AV96" s="336"/>
      <c r="AW96" s="336"/>
      <c r="AX96" s="336"/>
      <c r="AY96" s="336"/>
      <c r="AZ96" s="237"/>
      <c r="BA96" s="815"/>
      <c r="BB96" s="235"/>
      <c r="BC96" s="235"/>
      <c r="BD96" s="235"/>
      <c r="BE96" s="115"/>
      <c r="BF96" s="115"/>
      <c r="BG96" s="115"/>
      <c r="BH96" s="115"/>
      <c r="BI96" s="115"/>
      <c r="BJ96" s="115"/>
      <c r="BK96" s="115"/>
      <c r="BL96" s="115">
        <f t="shared" si="111"/>
        <v>125.55000000000001</v>
      </c>
      <c r="BM96" s="115">
        <f t="shared" si="111"/>
        <v>125.55000000000001</v>
      </c>
      <c r="BN96" s="115">
        <f t="shared" si="111"/>
        <v>125.55000000000001</v>
      </c>
      <c r="BO96" s="115">
        <f t="shared" si="111"/>
        <v>125.55000000000001</v>
      </c>
      <c r="BP96" s="115">
        <f t="shared" si="111"/>
        <v>125.55000000000001</v>
      </c>
      <c r="BQ96" s="115">
        <f t="shared" si="111"/>
        <v>125.55000000000001</v>
      </c>
      <c r="BR96" s="115">
        <f t="shared" si="111"/>
        <v>125.55000000000001</v>
      </c>
      <c r="BS96" s="115">
        <f t="shared" si="111"/>
        <v>125.55000000000001</v>
      </c>
      <c r="BT96" s="115">
        <f t="shared" si="111"/>
        <v>125.55000000000001</v>
      </c>
      <c r="BU96" s="115">
        <f t="shared" si="111"/>
        <v>125.55000000000001</v>
      </c>
      <c r="BV96" s="115">
        <f t="shared" si="112"/>
        <v>125.55000000000001</v>
      </c>
      <c r="BW96" s="115">
        <f t="shared" si="112"/>
        <v>125.55000000000001</v>
      </c>
      <c r="BX96" s="115">
        <f t="shared" si="112"/>
        <v>125.55000000000001</v>
      </c>
      <c r="BY96" s="115">
        <f t="shared" si="112"/>
        <v>125.55000000000001</v>
      </c>
      <c r="BZ96" s="115">
        <f t="shared" si="112"/>
        <v>125.55000000000001</v>
      </c>
      <c r="CA96" s="115">
        <f t="shared" si="112"/>
        <v>125.55000000000001</v>
      </c>
      <c r="CB96" s="115">
        <f t="shared" si="112"/>
        <v>125.55000000000001</v>
      </c>
      <c r="CC96" s="115">
        <f t="shared" si="112"/>
        <v>125.55000000000001</v>
      </c>
      <c r="CD96" s="115">
        <f t="shared" si="112"/>
        <v>125.55000000000001</v>
      </c>
      <c r="CE96" s="115">
        <f t="shared" si="112"/>
        <v>125.55000000000001</v>
      </c>
      <c r="CF96" s="115">
        <f t="shared" si="112"/>
        <v>125.55000000000001</v>
      </c>
      <c r="CG96" s="115">
        <f t="shared" si="112"/>
        <v>125.55000000000001</v>
      </c>
      <c r="CH96" s="115">
        <f t="shared" si="112"/>
        <v>125.55000000000001</v>
      </c>
      <c r="CI96" s="115">
        <f t="shared" si="112"/>
        <v>125.55000000000001</v>
      </c>
      <c r="CJ96" s="115">
        <f t="shared" si="112"/>
        <v>125.55000000000001</v>
      </c>
      <c r="CK96" s="115"/>
      <c r="CL96" s="115"/>
      <c r="CM96" s="115"/>
      <c r="CN96" s="115"/>
      <c r="CO96" s="115"/>
      <c r="CP96" s="115"/>
      <c r="CQ96" s="115"/>
      <c r="CR96" s="115"/>
      <c r="CS96" s="237"/>
      <c r="CT96" s="814"/>
      <c r="CU96" s="235"/>
      <c r="CV96" s="235"/>
      <c r="CW96" s="235"/>
      <c r="CX96" s="115"/>
      <c r="CY96" s="235"/>
      <c r="CZ96" s="235"/>
      <c r="DA96" s="235"/>
      <c r="DB96" s="235"/>
      <c r="DC96" s="235"/>
      <c r="DD96" s="235"/>
      <c r="DE96" s="235"/>
      <c r="DF96" s="235"/>
      <c r="DG96" s="235"/>
      <c r="DH96" s="235"/>
      <c r="DI96" s="235"/>
      <c r="DJ96" s="235"/>
      <c r="DK96" s="235"/>
      <c r="DL96" s="235"/>
      <c r="DM96" s="235"/>
      <c r="DN96" s="235"/>
      <c r="DO96" s="235"/>
      <c r="DP96" s="235"/>
      <c r="DQ96" s="235"/>
      <c r="DR96" s="235"/>
      <c r="DS96" s="235"/>
      <c r="DT96" s="235"/>
      <c r="DU96" s="235"/>
      <c r="DV96" s="235"/>
      <c r="DW96" s="235"/>
      <c r="DX96" s="235"/>
      <c r="DY96" s="235"/>
      <c r="DZ96" s="235"/>
      <c r="EA96" s="235"/>
      <c r="EB96" s="637"/>
      <c r="EC96" s="637"/>
      <c r="ED96" s="637"/>
      <c r="EE96" s="637"/>
      <c r="EF96" s="336"/>
      <c r="EG96" s="336"/>
      <c r="EH96" s="336"/>
      <c r="EI96" s="336"/>
      <c r="EJ96" s="336"/>
      <c r="EK96" s="336"/>
      <c r="EL96" s="620"/>
      <c r="EM96" s="620"/>
      <c r="EN96" s="620"/>
      <c r="EO96" s="620"/>
      <c r="EP96" s="620"/>
      <c r="EQ96" s="620"/>
      <c r="ER96" s="620"/>
      <c r="ES96" s="620"/>
      <c r="ET96" s="620"/>
      <c r="EU96" s="620"/>
      <c r="EV96" s="620"/>
      <c r="EW96" s="620"/>
      <c r="EX96" s="620"/>
      <c r="EY96" s="620"/>
      <c r="EZ96" s="620"/>
      <c r="FA96" s="620"/>
      <c r="FB96" s="620"/>
      <c r="FC96" s="620"/>
      <c r="FD96" s="620"/>
      <c r="FE96" s="620"/>
      <c r="FF96" s="620"/>
      <c r="FG96" s="620"/>
      <c r="FH96" s="620"/>
      <c r="FI96" s="620"/>
      <c r="FJ96" s="620"/>
      <c r="FK96" s="620"/>
      <c r="FL96" s="620"/>
      <c r="FM96" s="620"/>
      <c r="FN96" s="620"/>
      <c r="FO96" s="620"/>
      <c r="FP96" s="620"/>
      <c r="FQ96" s="620"/>
      <c r="FR96" s="620"/>
      <c r="FS96" s="620"/>
      <c r="FT96" s="620"/>
      <c r="FU96" s="620"/>
      <c r="FV96" s="620"/>
      <c r="FW96" s="620"/>
      <c r="FX96" s="620"/>
      <c r="FY96" s="620"/>
      <c r="FZ96" s="620"/>
      <c r="GA96" s="620"/>
      <c r="GB96" s="620"/>
      <c r="GC96" s="620"/>
      <c r="GD96" s="237"/>
      <c r="GE96" s="237"/>
      <c r="GF96" s="237"/>
      <c r="GG96" s="237"/>
      <c r="GH96" s="237"/>
      <c r="GI96" s="237"/>
      <c r="GJ96" s="237"/>
      <c r="GK96" s="237"/>
      <c r="GL96" s="237"/>
      <c r="GM96" s="620"/>
      <c r="GT96" s="237"/>
      <c r="GU96" s="237"/>
      <c r="GV96" s="237"/>
      <c r="GW96" s="237"/>
      <c r="GX96" s="237"/>
      <c r="GY96" s="237"/>
      <c r="GZ96" s="237"/>
      <c r="HA96" s="237"/>
      <c r="HB96" s="237"/>
      <c r="HC96" s="237"/>
      <c r="HD96" s="237"/>
      <c r="HE96" s="237"/>
      <c r="HF96" s="237"/>
      <c r="HG96" s="237"/>
      <c r="HH96" s="237"/>
      <c r="HI96" s="237"/>
      <c r="HJ96" s="237"/>
      <c r="HK96" s="237"/>
      <c r="HL96" s="237"/>
    </row>
    <row r="97" spans="1:220" ht="15" customHeight="1">
      <c r="A97" s="153">
        <v>9</v>
      </c>
      <c r="B97" s="1322" t="s">
        <v>435</v>
      </c>
      <c r="C97" s="845">
        <v>1</v>
      </c>
      <c r="D97" s="154">
        <v>2800</v>
      </c>
      <c r="E97" s="161">
        <f t="shared" si="2"/>
        <v>2.8</v>
      </c>
      <c r="F97" s="224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98"/>
      <c r="AQ97" s="198"/>
      <c r="AR97" s="198"/>
      <c r="AS97" s="198"/>
      <c r="AT97" s="250"/>
      <c r="AU97" s="250"/>
      <c r="AV97" s="250"/>
      <c r="AW97" s="250"/>
      <c r="AX97" s="250"/>
      <c r="AY97" s="250"/>
      <c r="BA97" s="630"/>
      <c r="BB97" s="115"/>
      <c r="BC97" s="115"/>
      <c r="BD97" s="201"/>
      <c r="BE97" s="115"/>
      <c r="BF97" s="115"/>
      <c r="BG97" s="115"/>
      <c r="BH97" s="115"/>
      <c r="BI97" s="115"/>
      <c r="BJ97" s="115"/>
      <c r="BK97" s="115"/>
      <c r="BL97" s="115">
        <f t="shared" si="111"/>
        <v>8.399999999999999</v>
      </c>
      <c r="BM97" s="115">
        <f t="shared" si="111"/>
        <v>8.399999999999999</v>
      </c>
      <c r="BN97" s="115">
        <f t="shared" si="111"/>
        <v>8.399999999999999</v>
      </c>
      <c r="BO97" s="115">
        <f t="shared" si="111"/>
        <v>8.399999999999999</v>
      </c>
      <c r="BP97" s="115">
        <f t="shared" si="111"/>
        <v>8.399999999999999</v>
      </c>
      <c r="BQ97" s="115">
        <f t="shared" si="111"/>
        <v>8.399999999999999</v>
      </c>
      <c r="BR97" s="115">
        <f t="shared" si="111"/>
        <v>8.399999999999999</v>
      </c>
      <c r="BS97" s="115">
        <f t="shared" si="111"/>
        <v>8.399999999999999</v>
      </c>
      <c r="BT97" s="115">
        <f t="shared" si="111"/>
        <v>8.399999999999999</v>
      </c>
      <c r="BU97" s="115">
        <f t="shared" si="111"/>
        <v>8.399999999999999</v>
      </c>
      <c r="BV97" s="115">
        <f t="shared" si="112"/>
        <v>8.399999999999999</v>
      </c>
      <c r="BW97" s="115">
        <f t="shared" si="112"/>
        <v>8.399999999999999</v>
      </c>
      <c r="BX97" s="115">
        <f t="shared" si="112"/>
        <v>8.399999999999999</v>
      </c>
      <c r="BY97" s="115">
        <f t="shared" si="112"/>
        <v>8.399999999999999</v>
      </c>
      <c r="BZ97" s="115">
        <f t="shared" si="112"/>
        <v>8.399999999999999</v>
      </c>
      <c r="CA97" s="115">
        <f t="shared" si="112"/>
        <v>8.399999999999999</v>
      </c>
      <c r="CB97" s="115">
        <f t="shared" si="112"/>
        <v>8.399999999999999</v>
      </c>
      <c r="CC97" s="115">
        <f t="shared" si="112"/>
        <v>8.399999999999999</v>
      </c>
      <c r="CD97" s="115">
        <f t="shared" si="112"/>
        <v>8.399999999999999</v>
      </c>
      <c r="CE97" s="115">
        <f t="shared" si="112"/>
        <v>8.399999999999999</v>
      </c>
      <c r="CF97" s="115">
        <f t="shared" si="112"/>
        <v>8.399999999999999</v>
      </c>
      <c r="CG97" s="115">
        <f t="shared" si="112"/>
        <v>8.399999999999999</v>
      </c>
      <c r="CH97" s="115">
        <f t="shared" si="112"/>
        <v>8.399999999999999</v>
      </c>
      <c r="CI97" s="115">
        <f t="shared" si="112"/>
        <v>8.399999999999999</v>
      </c>
      <c r="CJ97" s="115">
        <f t="shared" si="112"/>
        <v>8.399999999999999</v>
      </c>
      <c r="CK97" s="115"/>
      <c r="CL97" s="115"/>
      <c r="CM97" s="115"/>
      <c r="CN97" s="115"/>
      <c r="CO97" s="115"/>
      <c r="CP97" s="115"/>
      <c r="CQ97" s="115"/>
      <c r="CR97" s="115"/>
      <c r="CT97" s="188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98"/>
      <c r="EC97" s="198"/>
      <c r="ED97" s="198"/>
      <c r="EE97" s="198"/>
      <c r="EF97" s="250"/>
      <c r="EG97" s="250"/>
      <c r="EH97" s="250"/>
      <c r="EI97" s="250"/>
      <c r="EJ97" s="250"/>
      <c r="EK97" s="250"/>
      <c r="GE97" s="237"/>
      <c r="GF97" s="237"/>
      <c r="GG97" s="237"/>
      <c r="GH97" s="237"/>
      <c r="GI97" s="237"/>
      <c r="GJ97" s="237"/>
      <c r="GK97" s="237"/>
      <c r="GL97" s="237"/>
      <c r="GT97" s="237"/>
      <c r="GU97" s="237"/>
      <c r="GV97" s="237"/>
      <c r="GW97" s="237"/>
      <c r="GX97" s="237"/>
      <c r="GY97" s="237"/>
      <c r="GZ97" s="237"/>
      <c r="HA97" s="237"/>
      <c r="HB97" s="237"/>
      <c r="HC97" s="237"/>
      <c r="HD97" s="237"/>
      <c r="HE97" s="237"/>
      <c r="HF97" s="237"/>
      <c r="HG97" s="237"/>
      <c r="HH97" s="237"/>
      <c r="HI97" s="237"/>
      <c r="HJ97" s="237"/>
      <c r="HK97" s="237"/>
      <c r="HL97" s="237"/>
    </row>
    <row r="98" spans="1:220" ht="15" customHeight="1">
      <c r="A98" s="153">
        <v>10</v>
      </c>
      <c r="B98" s="1322" t="s">
        <v>162</v>
      </c>
      <c r="C98" s="845">
        <v>1</v>
      </c>
      <c r="D98" s="154">
        <v>2289</v>
      </c>
      <c r="E98" s="161">
        <f t="shared" si="2"/>
        <v>2.289</v>
      </c>
      <c r="F98" s="224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98"/>
      <c r="AQ98" s="198"/>
      <c r="AR98" s="198"/>
      <c r="AS98" s="198"/>
      <c r="AT98" s="250"/>
      <c r="AU98" s="250"/>
      <c r="AV98" s="250"/>
      <c r="AW98" s="250"/>
      <c r="AX98" s="250"/>
      <c r="AY98" s="250"/>
      <c r="BA98" s="630"/>
      <c r="BB98" s="115"/>
      <c r="BC98" s="115"/>
      <c r="BD98" s="201"/>
      <c r="BE98" s="115"/>
      <c r="BF98" s="115"/>
      <c r="BG98" s="115"/>
      <c r="BH98" s="115"/>
      <c r="BI98" s="115"/>
      <c r="BJ98" s="115"/>
      <c r="BK98" s="115"/>
      <c r="BL98" s="115">
        <f aca="true" t="shared" si="113" ref="BL98:CG98">$E98*BL$4</f>
        <v>6.867000000000001</v>
      </c>
      <c r="BM98" s="115">
        <f t="shared" si="113"/>
        <v>6.867000000000001</v>
      </c>
      <c r="BN98" s="115">
        <f t="shared" si="113"/>
        <v>6.867000000000001</v>
      </c>
      <c r="BO98" s="115">
        <f t="shared" si="113"/>
        <v>6.867000000000001</v>
      </c>
      <c r="BP98" s="115">
        <f t="shared" si="113"/>
        <v>6.867000000000001</v>
      </c>
      <c r="BQ98" s="115">
        <f t="shared" si="113"/>
        <v>6.867000000000001</v>
      </c>
      <c r="BR98" s="115">
        <f t="shared" si="113"/>
        <v>6.867000000000001</v>
      </c>
      <c r="BS98" s="115">
        <f t="shared" si="113"/>
        <v>6.867000000000001</v>
      </c>
      <c r="BT98" s="115">
        <f t="shared" si="113"/>
        <v>6.867000000000001</v>
      </c>
      <c r="BU98" s="115">
        <f t="shared" si="113"/>
        <v>6.867000000000001</v>
      </c>
      <c r="BV98" s="115">
        <f t="shared" si="113"/>
        <v>6.867000000000001</v>
      </c>
      <c r="BW98" s="115">
        <f t="shared" si="113"/>
        <v>6.867000000000001</v>
      </c>
      <c r="BX98" s="115">
        <f t="shared" si="113"/>
        <v>6.867000000000001</v>
      </c>
      <c r="BY98" s="115">
        <f t="shared" si="113"/>
        <v>6.867000000000001</v>
      </c>
      <c r="BZ98" s="115">
        <f t="shared" si="113"/>
        <v>6.867000000000001</v>
      </c>
      <c r="CA98" s="115">
        <f t="shared" si="113"/>
        <v>6.867000000000001</v>
      </c>
      <c r="CB98" s="115">
        <f t="shared" si="113"/>
        <v>6.867000000000001</v>
      </c>
      <c r="CC98" s="115">
        <f t="shared" si="113"/>
        <v>6.867000000000001</v>
      </c>
      <c r="CD98" s="115">
        <f t="shared" si="113"/>
        <v>6.867000000000001</v>
      </c>
      <c r="CE98" s="115">
        <f t="shared" si="113"/>
        <v>6.867000000000001</v>
      </c>
      <c r="CF98" s="115">
        <f t="shared" si="113"/>
        <v>6.867000000000001</v>
      </c>
      <c r="CG98" s="115">
        <f t="shared" si="113"/>
        <v>6.867000000000001</v>
      </c>
      <c r="CH98" s="115">
        <f aca="true" t="shared" si="114" ref="CH98:CJ100">$E98*CH$4</f>
        <v>6.867000000000001</v>
      </c>
      <c r="CI98" s="115">
        <f t="shared" si="114"/>
        <v>6.867000000000001</v>
      </c>
      <c r="CJ98" s="115">
        <f t="shared" si="114"/>
        <v>6.867000000000001</v>
      </c>
      <c r="CK98" s="115"/>
      <c r="CL98" s="115"/>
      <c r="CM98" s="115"/>
      <c r="CN98" s="115"/>
      <c r="CO98" s="115"/>
      <c r="CP98" s="115"/>
      <c r="CQ98" s="115"/>
      <c r="CR98" s="115"/>
      <c r="CT98" s="188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98"/>
      <c r="EC98" s="198"/>
      <c r="ED98" s="198"/>
      <c r="EE98" s="198"/>
      <c r="EF98" s="250"/>
      <c r="EG98" s="250"/>
      <c r="EH98" s="250"/>
      <c r="EI98" s="250"/>
      <c r="EJ98" s="250"/>
      <c r="EK98" s="250"/>
      <c r="GE98" s="237"/>
      <c r="GF98" s="237"/>
      <c r="GG98" s="237"/>
      <c r="GH98" s="237"/>
      <c r="GI98" s="237"/>
      <c r="GJ98" s="237"/>
      <c r="GK98" s="237"/>
      <c r="GL98" s="237"/>
      <c r="GT98" s="237"/>
      <c r="GU98" s="237"/>
      <c r="GV98" s="237"/>
      <c r="GW98" s="237"/>
      <c r="GX98" s="237"/>
      <c r="GY98" s="237"/>
      <c r="GZ98" s="237"/>
      <c r="HA98" s="237"/>
      <c r="HB98" s="237"/>
      <c r="HC98" s="237"/>
      <c r="HD98" s="237"/>
      <c r="HE98" s="237"/>
      <c r="HF98" s="237"/>
      <c r="HG98" s="237"/>
      <c r="HH98" s="237"/>
      <c r="HI98" s="237"/>
      <c r="HJ98" s="237"/>
      <c r="HK98" s="237"/>
      <c r="HL98" s="237"/>
    </row>
    <row r="99" spans="1:220" ht="15" customHeight="1">
      <c r="A99" s="153">
        <v>11</v>
      </c>
      <c r="B99" s="1322" t="s">
        <v>163</v>
      </c>
      <c r="C99" s="845">
        <v>1</v>
      </c>
      <c r="D99" s="154">
        <v>2289</v>
      </c>
      <c r="E99" s="161">
        <f t="shared" si="2"/>
        <v>2.289</v>
      </c>
      <c r="F99" s="224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98"/>
      <c r="AQ99" s="198"/>
      <c r="AR99" s="198"/>
      <c r="AS99" s="198"/>
      <c r="AT99" s="250"/>
      <c r="AU99" s="250"/>
      <c r="AV99" s="250"/>
      <c r="AW99" s="250"/>
      <c r="AX99" s="250"/>
      <c r="AY99" s="250"/>
      <c r="BA99" s="630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>
        <f aca="true" t="shared" si="115" ref="BL99:BU100">$E99*BL$4</f>
        <v>6.867000000000001</v>
      </c>
      <c r="BM99" s="115">
        <f t="shared" si="115"/>
        <v>6.867000000000001</v>
      </c>
      <c r="BN99" s="115">
        <f t="shared" si="115"/>
        <v>6.867000000000001</v>
      </c>
      <c r="BO99" s="115">
        <f t="shared" si="115"/>
        <v>6.867000000000001</v>
      </c>
      <c r="BP99" s="115">
        <f t="shared" si="115"/>
        <v>6.867000000000001</v>
      </c>
      <c r="BQ99" s="115">
        <f t="shared" si="115"/>
        <v>6.867000000000001</v>
      </c>
      <c r="BR99" s="115">
        <f t="shared" si="115"/>
        <v>6.867000000000001</v>
      </c>
      <c r="BS99" s="115">
        <f t="shared" si="115"/>
        <v>6.867000000000001</v>
      </c>
      <c r="BT99" s="115">
        <f t="shared" si="115"/>
        <v>6.867000000000001</v>
      </c>
      <c r="BU99" s="115">
        <f t="shared" si="115"/>
        <v>6.867000000000001</v>
      </c>
      <c r="BV99" s="115">
        <f aca="true" t="shared" si="116" ref="BV99:CG100">$E99*BV$4</f>
        <v>6.867000000000001</v>
      </c>
      <c r="BW99" s="115">
        <f t="shared" si="116"/>
        <v>6.867000000000001</v>
      </c>
      <c r="BX99" s="115">
        <f t="shared" si="116"/>
        <v>6.867000000000001</v>
      </c>
      <c r="BY99" s="115">
        <f t="shared" si="116"/>
        <v>6.867000000000001</v>
      </c>
      <c r="BZ99" s="115">
        <f t="shared" si="116"/>
        <v>6.867000000000001</v>
      </c>
      <c r="CA99" s="115">
        <f t="shared" si="116"/>
        <v>6.867000000000001</v>
      </c>
      <c r="CB99" s="115">
        <f t="shared" si="116"/>
        <v>6.867000000000001</v>
      </c>
      <c r="CC99" s="115">
        <f t="shared" si="116"/>
        <v>6.867000000000001</v>
      </c>
      <c r="CD99" s="115">
        <f t="shared" si="116"/>
        <v>6.867000000000001</v>
      </c>
      <c r="CE99" s="115">
        <f t="shared" si="116"/>
        <v>6.867000000000001</v>
      </c>
      <c r="CF99" s="115">
        <f t="shared" si="116"/>
        <v>6.867000000000001</v>
      </c>
      <c r="CG99" s="115">
        <f t="shared" si="116"/>
        <v>6.867000000000001</v>
      </c>
      <c r="CH99" s="115">
        <f t="shared" si="114"/>
        <v>6.867000000000001</v>
      </c>
      <c r="CI99" s="115">
        <f t="shared" si="114"/>
        <v>6.867000000000001</v>
      </c>
      <c r="CJ99" s="115">
        <f t="shared" si="114"/>
        <v>6.867000000000001</v>
      </c>
      <c r="CK99" s="115"/>
      <c r="CL99" s="115"/>
      <c r="CM99" s="115"/>
      <c r="CN99" s="115"/>
      <c r="CO99" s="115"/>
      <c r="CP99" s="115"/>
      <c r="CQ99" s="115"/>
      <c r="CR99" s="115"/>
      <c r="CT99" s="188"/>
      <c r="CU99" s="115"/>
      <c r="CV99" s="115"/>
      <c r="CW99" s="201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98"/>
      <c r="EC99" s="198"/>
      <c r="ED99" s="198"/>
      <c r="EE99" s="198"/>
      <c r="EF99" s="250"/>
      <c r="EG99" s="250"/>
      <c r="EH99" s="250"/>
      <c r="EI99" s="250"/>
      <c r="EJ99" s="250"/>
      <c r="EK99" s="250"/>
      <c r="GE99" s="237"/>
      <c r="GF99" s="237"/>
      <c r="GG99" s="237"/>
      <c r="GH99" s="237"/>
      <c r="GI99" s="237"/>
      <c r="GJ99" s="237"/>
      <c r="GK99" s="237"/>
      <c r="GL99" s="237"/>
      <c r="GT99" s="237"/>
      <c r="GU99" s="237"/>
      <c r="GV99" s="237"/>
      <c r="GW99" s="237"/>
      <c r="GX99" s="237"/>
      <c r="GY99" s="237"/>
      <c r="GZ99" s="237"/>
      <c r="HA99" s="237"/>
      <c r="HB99" s="237"/>
      <c r="HC99" s="237"/>
      <c r="HD99" s="237"/>
      <c r="HE99" s="237"/>
      <c r="HF99" s="237"/>
      <c r="HG99" s="237"/>
      <c r="HH99" s="237"/>
      <c r="HI99" s="237"/>
      <c r="HJ99" s="237"/>
      <c r="HK99" s="237"/>
      <c r="HL99" s="237"/>
    </row>
    <row r="100" spans="1:220" ht="15" customHeight="1">
      <c r="A100" s="153">
        <v>12</v>
      </c>
      <c r="B100" s="1323" t="s">
        <v>164</v>
      </c>
      <c r="C100" s="846">
        <v>2</v>
      </c>
      <c r="D100" s="154">
        <v>2343</v>
      </c>
      <c r="E100" s="161">
        <f t="shared" si="2"/>
        <v>4.686</v>
      </c>
      <c r="F100" s="224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98"/>
      <c r="AQ100" s="198"/>
      <c r="AR100" s="198"/>
      <c r="AS100" s="198"/>
      <c r="AT100" s="250"/>
      <c r="AU100" s="250"/>
      <c r="AV100" s="250"/>
      <c r="AW100" s="250"/>
      <c r="AX100" s="250"/>
      <c r="AY100" s="250"/>
      <c r="BA100" s="630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>
        <f t="shared" si="115"/>
        <v>14.058</v>
      </c>
      <c r="BM100" s="115">
        <f t="shared" si="115"/>
        <v>14.058</v>
      </c>
      <c r="BN100" s="115">
        <f t="shared" si="115"/>
        <v>14.058</v>
      </c>
      <c r="BO100" s="115">
        <f t="shared" si="115"/>
        <v>14.058</v>
      </c>
      <c r="BP100" s="115">
        <f t="shared" si="115"/>
        <v>14.058</v>
      </c>
      <c r="BQ100" s="115">
        <f t="shared" si="115"/>
        <v>14.058</v>
      </c>
      <c r="BR100" s="115">
        <f t="shared" si="115"/>
        <v>14.058</v>
      </c>
      <c r="BS100" s="115">
        <f t="shared" si="115"/>
        <v>14.058</v>
      </c>
      <c r="BT100" s="115">
        <f t="shared" si="115"/>
        <v>14.058</v>
      </c>
      <c r="BU100" s="115">
        <f t="shared" si="115"/>
        <v>14.058</v>
      </c>
      <c r="BV100" s="115">
        <f t="shared" si="116"/>
        <v>14.058</v>
      </c>
      <c r="BW100" s="115">
        <f t="shared" si="116"/>
        <v>14.058</v>
      </c>
      <c r="BX100" s="115">
        <f t="shared" si="116"/>
        <v>14.058</v>
      </c>
      <c r="BY100" s="115">
        <f t="shared" si="116"/>
        <v>14.058</v>
      </c>
      <c r="BZ100" s="115">
        <f t="shared" si="116"/>
        <v>14.058</v>
      </c>
      <c r="CA100" s="115">
        <f t="shared" si="116"/>
        <v>14.058</v>
      </c>
      <c r="CB100" s="115">
        <f t="shared" si="116"/>
        <v>14.058</v>
      </c>
      <c r="CC100" s="115">
        <f t="shared" si="116"/>
        <v>14.058</v>
      </c>
      <c r="CD100" s="115">
        <f t="shared" si="116"/>
        <v>14.058</v>
      </c>
      <c r="CE100" s="115">
        <f t="shared" si="116"/>
        <v>14.058</v>
      </c>
      <c r="CF100" s="115">
        <f t="shared" si="116"/>
        <v>14.058</v>
      </c>
      <c r="CG100" s="115">
        <f t="shared" si="116"/>
        <v>14.058</v>
      </c>
      <c r="CH100" s="115">
        <f t="shared" si="114"/>
        <v>14.058</v>
      </c>
      <c r="CI100" s="115">
        <f t="shared" si="114"/>
        <v>14.058</v>
      </c>
      <c r="CJ100" s="115">
        <f t="shared" si="114"/>
        <v>14.058</v>
      </c>
      <c r="CK100" s="115"/>
      <c r="CL100" s="115"/>
      <c r="CM100" s="115"/>
      <c r="CN100" s="115"/>
      <c r="CO100" s="115"/>
      <c r="CP100" s="115"/>
      <c r="CQ100" s="115"/>
      <c r="CR100" s="115"/>
      <c r="CT100" s="188"/>
      <c r="CU100" s="115"/>
      <c r="CV100" s="115"/>
      <c r="CW100" s="201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98"/>
      <c r="EC100" s="198"/>
      <c r="ED100" s="198"/>
      <c r="EE100" s="198"/>
      <c r="EF100" s="250"/>
      <c r="EG100" s="250"/>
      <c r="EH100" s="250"/>
      <c r="EI100" s="250"/>
      <c r="EJ100" s="250"/>
      <c r="EK100" s="250"/>
      <c r="GE100" s="237"/>
      <c r="GF100" s="237"/>
      <c r="GG100" s="237"/>
      <c r="GH100" s="237"/>
      <c r="GI100" s="237"/>
      <c r="GJ100" s="237"/>
      <c r="GK100" s="237"/>
      <c r="GL100" s="237"/>
      <c r="GT100" s="237"/>
      <c r="GU100" s="237"/>
      <c r="GV100" s="237"/>
      <c r="GW100" s="237"/>
      <c r="GX100" s="237"/>
      <c r="GY100" s="237"/>
      <c r="GZ100" s="237"/>
      <c r="HA100" s="237"/>
      <c r="HB100" s="237"/>
      <c r="HC100" s="237"/>
      <c r="HD100" s="237"/>
      <c r="HE100" s="237"/>
      <c r="HF100" s="237"/>
      <c r="HG100" s="237"/>
      <c r="HH100" s="237"/>
      <c r="HI100" s="237"/>
      <c r="HJ100" s="237"/>
      <c r="HK100" s="237"/>
      <c r="HL100" s="237"/>
    </row>
    <row r="101" spans="1:220" ht="15" customHeight="1">
      <c r="A101" s="153">
        <v>13</v>
      </c>
      <c r="B101" s="1163" t="s">
        <v>436</v>
      </c>
      <c r="C101" s="845">
        <v>23</v>
      </c>
      <c r="D101" s="847">
        <v>1290</v>
      </c>
      <c r="E101" s="161">
        <f t="shared" si="2"/>
        <v>29.67</v>
      </c>
      <c r="F101" s="224"/>
      <c r="G101" s="115"/>
      <c r="H101" s="115"/>
      <c r="I101" s="115"/>
      <c r="J101" s="201"/>
      <c r="K101" s="236"/>
      <c r="L101" s="115">
        <f aca="true" t="shared" si="117" ref="L101:AM101">$E101*L$4</f>
        <v>0</v>
      </c>
      <c r="M101" s="115">
        <f t="shared" si="117"/>
        <v>0</v>
      </c>
      <c r="N101" s="115">
        <f t="shared" si="117"/>
        <v>0</v>
      </c>
      <c r="O101" s="115">
        <f t="shared" si="117"/>
        <v>0</v>
      </c>
      <c r="P101" s="115">
        <f t="shared" si="117"/>
        <v>0</v>
      </c>
      <c r="Q101" s="115">
        <f t="shared" si="117"/>
        <v>0</v>
      </c>
      <c r="R101" s="115">
        <f t="shared" si="117"/>
        <v>0</v>
      </c>
      <c r="S101" s="115">
        <f t="shared" si="117"/>
        <v>89.01</v>
      </c>
      <c r="T101" s="115">
        <f t="shared" si="117"/>
        <v>89.01</v>
      </c>
      <c r="U101" s="115">
        <f t="shared" si="117"/>
        <v>89.01</v>
      </c>
      <c r="V101" s="115">
        <f t="shared" si="117"/>
        <v>89.01</v>
      </c>
      <c r="W101" s="115">
        <f t="shared" si="117"/>
        <v>89.01</v>
      </c>
      <c r="X101" s="115">
        <f t="shared" si="117"/>
        <v>89.01</v>
      </c>
      <c r="Y101" s="115">
        <f t="shared" si="117"/>
        <v>89.01</v>
      </c>
      <c r="Z101" s="115">
        <f t="shared" si="117"/>
        <v>89.01</v>
      </c>
      <c r="AA101" s="115">
        <f t="shared" si="117"/>
        <v>89.01</v>
      </c>
      <c r="AB101" s="115">
        <f t="shared" si="117"/>
        <v>89.01</v>
      </c>
      <c r="AC101" s="115">
        <f t="shared" si="117"/>
        <v>89.01</v>
      </c>
      <c r="AD101" s="115">
        <f t="shared" si="117"/>
        <v>89.01</v>
      </c>
      <c r="AE101" s="115">
        <f t="shared" si="117"/>
        <v>89.01</v>
      </c>
      <c r="AF101" s="115">
        <f t="shared" si="117"/>
        <v>89.01</v>
      </c>
      <c r="AG101" s="115">
        <f t="shared" si="117"/>
        <v>89.01</v>
      </c>
      <c r="AH101" s="115">
        <f t="shared" si="117"/>
        <v>89.01</v>
      </c>
      <c r="AI101" s="115">
        <f t="shared" si="117"/>
        <v>89.01</v>
      </c>
      <c r="AJ101" s="115">
        <f t="shared" si="117"/>
        <v>89.01</v>
      </c>
      <c r="AK101" s="115">
        <f t="shared" si="117"/>
        <v>89.01</v>
      </c>
      <c r="AL101" s="115">
        <f t="shared" si="117"/>
        <v>89.01</v>
      </c>
      <c r="AM101" s="115">
        <f t="shared" si="117"/>
        <v>89.01</v>
      </c>
      <c r="AN101" s="115">
        <f aca="true" t="shared" si="118" ref="M101:AQ104">$E101*AN$4</f>
        <v>89.01</v>
      </c>
      <c r="AO101" s="115">
        <f t="shared" si="118"/>
        <v>89.01</v>
      </c>
      <c r="AP101" s="115">
        <f t="shared" si="118"/>
        <v>89.01</v>
      </c>
      <c r="AQ101" s="115">
        <f t="shared" si="118"/>
        <v>89.01</v>
      </c>
      <c r="AR101" s="115"/>
      <c r="AS101" s="115"/>
      <c r="AT101" s="115"/>
      <c r="AU101" s="115"/>
      <c r="AV101" s="115"/>
      <c r="AW101" s="115"/>
      <c r="AX101" s="115"/>
      <c r="AY101" s="115"/>
      <c r="BA101" s="630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702"/>
      <c r="CN101" s="702"/>
      <c r="CO101" s="702"/>
      <c r="CP101" s="702"/>
      <c r="CQ101" s="702"/>
      <c r="CR101" s="702"/>
      <c r="CT101" s="188"/>
      <c r="CU101" s="115"/>
      <c r="CV101" s="115"/>
      <c r="CW101" s="201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98"/>
      <c r="EC101" s="198"/>
      <c r="ED101" s="198"/>
      <c r="EE101" s="198"/>
      <c r="EF101" s="250"/>
      <c r="EG101" s="250"/>
      <c r="EH101" s="250"/>
      <c r="EI101" s="250"/>
      <c r="EJ101" s="250"/>
      <c r="EK101" s="250"/>
      <c r="GE101" s="237"/>
      <c r="GF101" s="237"/>
      <c r="GG101" s="237"/>
      <c r="GH101" s="237"/>
      <c r="GI101" s="237"/>
      <c r="GJ101" s="237"/>
      <c r="GK101" s="237"/>
      <c r="GL101" s="237"/>
      <c r="GT101" s="237"/>
      <c r="GU101" s="237"/>
      <c r="GV101" s="237"/>
      <c r="GW101" s="237"/>
      <c r="GX101" s="237"/>
      <c r="GY101" s="237"/>
      <c r="GZ101" s="237"/>
      <c r="HA101" s="237"/>
      <c r="HB101" s="237"/>
      <c r="HC101" s="237"/>
      <c r="HD101" s="237"/>
      <c r="HE101" s="237"/>
      <c r="HF101" s="237"/>
      <c r="HG101" s="237"/>
      <c r="HH101" s="237"/>
      <c r="HI101" s="237"/>
      <c r="HJ101" s="237"/>
      <c r="HK101" s="237"/>
      <c r="HL101" s="237"/>
    </row>
    <row r="102" spans="1:220" ht="15" customHeight="1">
      <c r="A102" s="153">
        <v>14</v>
      </c>
      <c r="B102" s="1163" t="s">
        <v>438</v>
      </c>
      <c r="C102" s="845">
        <v>4</v>
      </c>
      <c r="D102" s="847">
        <v>1350</v>
      </c>
      <c r="E102" s="161">
        <f t="shared" si="2"/>
        <v>5.4</v>
      </c>
      <c r="F102" s="224"/>
      <c r="G102" s="115"/>
      <c r="H102" s="115"/>
      <c r="I102" s="115"/>
      <c r="J102" s="201"/>
      <c r="K102" s="236"/>
      <c r="L102" s="115">
        <f>$E102*L$4</f>
        <v>0</v>
      </c>
      <c r="M102" s="115">
        <f t="shared" si="118"/>
        <v>0</v>
      </c>
      <c r="N102" s="115">
        <f t="shared" si="118"/>
        <v>0</v>
      </c>
      <c r="O102" s="115">
        <f t="shared" si="118"/>
        <v>0</v>
      </c>
      <c r="P102" s="115">
        <f t="shared" si="118"/>
        <v>0</v>
      </c>
      <c r="Q102" s="115">
        <f t="shared" si="118"/>
        <v>0</v>
      </c>
      <c r="R102" s="115">
        <f t="shared" si="118"/>
        <v>0</v>
      </c>
      <c r="S102" s="115">
        <f t="shared" si="118"/>
        <v>16.200000000000003</v>
      </c>
      <c r="T102" s="115">
        <f t="shared" si="118"/>
        <v>16.200000000000003</v>
      </c>
      <c r="U102" s="115">
        <f t="shared" si="118"/>
        <v>16.200000000000003</v>
      </c>
      <c r="V102" s="115">
        <f t="shared" si="118"/>
        <v>16.200000000000003</v>
      </c>
      <c r="W102" s="115">
        <f t="shared" si="118"/>
        <v>16.200000000000003</v>
      </c>
      <c r="X102" s="115">
        <f t="shared" si="118"/>
        <v>16.200000000000003</v>
      </c>
      <c r="Y102" s="115">
        <f t="shared" si="118"/>
        <v>16.200000000000003</v>
      </c>
      <c r="Z102" s="115">
        <f t="shared" si="118"/>
        <v>16.200000000000003</v>
      </c>
      <c r="AA102" s="115">
        <f t="shared" si="118"/>
        <v>16.200000000000003</v>
      </c>
      <c r="AB102" s="115">
        <f t="shared" si="118"/>
        <v>16.200000000000003</v>
      </c>
      <c r="AC102" s="115">
        <f t="shared" si="118"/>
        <v>16.200000000000003</v>
      </c>
      <c r="AD102" s="115">
        <f t="shared" si="118"/>
        <v>16.200000000000003</v>
      </c>
      <c r="AE102" s="115">
        <f t="shared" si="118"/>
        <v>16.200000000000003</v>
      </c>
      <c r="AF102" s="115">
        <f t="shared" si="118"/>
        <v>16.200000000000003</v>
      </c>
      <c r="AG102" s="115">
        <f t="shared" si="118"/>
        <v>16.200000000000003</v>
      </c>
      <c r="AH102" s="115">
        <f t="shared" si="118"/>
        <v>16.200000000000003</v>
      </c>
      <c r="AI102" s="115">
        <f t="shared" si="118"/>
        <v>16.200000000000003</v>
      </c>
      <c r="AJ102" s="115">
        <f t="shared" si="118"/>
        <v>16.200000000000003</v>
      </c>
      <c r="AK102" s="115">
        <f t="shared" si="118"/>
        <v>16.200000000000003</v>
      </c>
      <c r="AL102" s="115">
        <f t="shared" si="118"/>
        <v>16.200000000000003</v>
      </c>
      <c r="AM102" s="115">
        <f t="shared" si="118"/>
        <v>16.200000000000003</v>
      </c>
      <c r="AN102" s="115">
        <f t="shared" si="118"/>
        <v>16.200000000000003</v>
      </c>
      <c r="AO102" s="115">
        <f t="shared" si="118"/>
        <v>16.200000000000003</v>
      </c>
      <c r="AP102" s="115">
        <f t="shared" si="118"/>
        <v>16.200000000000003</v>
      </c>
      <c r="AQ102" s="115">
        <f t="shared" si="118"/>
        <v>16.200000000000003</v>
      </c>
      <c r="AR102" s="115"/>
      <c r="AS102" s="115"/>
      <c r="AT102" s="115"/>
      <c r="AU102" s="115"/>
      <c r="AV102" s="115"/>
      <c r="AW102" s="115"/>
      <c r="AX102" s="115"/>
      <c r="AY102" s="115"/>
      <c r="BA102" s="630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702"/>
      <c r="CN102" s="702"/>
      <c r="CO102" s="702"/>
      <c r="CP102" s="702"/>
      <c r="CQ102" s="702"/>
      <c r="CR102" s="702"/>
      <c r="CT102" s="188"/>
      <c r="CU102" s="115"/>
      <c r="CV102" s="115"/>
      <c r="CW102" s="201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98"/>
      <c r="EC102" s="198"/>
      <c r="ED102" s="198"/>
      <c r="EE102" s="198"/>
      <c r="EF102" s="250"/>
      <c r="EG102" s="250"/>
      <c r="EH102" s="250"/>
      <c r="EI102" s="250"/>
      <c r="EJ102" s="250"/>
      <c r="EK102" s="250"/>
      <c r="GE102" s="237"/>
      <c r="GF102" s="237"/>
      <c r="GG102" s="237"/>
      <c r="GH102" s="237"/>
      <c r="GI102" s="237"/>
      <c r="GJ102" s="237"/>
      <c r="GK102" s="237"/>
      <c r="GL102" s="237"/>
      <c r="GT102" s="237"/>
      <c r="GU102" s="237"/>
      <c r="GV102" s="237"/>
      <c r="GW102" s="237"/>
      <c r="GX102" s="237"/>
      <c r="GY102" s="237"/>
      <c r="GZ102" s="237"/>
      <c r="HA102" s="237"/>
      <c r="HB102" s="237"/>
      <c r="HC102" s="237"/>
      <c r="HD102" s="237"/>
      <c r="HE102" s="237"/>
      <c r="HF102" s="237"/>
      <c r="HG102" s="237"/>
      <c r="HH102" s="237"/>
      <c r="HI102" s="237"/>
      <c r="HJ102" s="237"/>
      <c r="HK102" s="237"/>
      <c r="HL102" s="237"/>
    </row>
    <row r="103" spans="1:220" ht="15" customHeight="1">
      <c r="A103" s="153">
        <v>15</v>
      </c>
      <c r="B103" s="1163" t="s">
        <v>439</v>
      </c>
      <c r="C103" s="845">
        <v>3</v>
      </c>
      <c r="D103" s="847">
        <v>1950</v>
      </c>
      <c r="E103" s="161">
        <f aca="true" t="shared" si="119" ref="E103:E123">C103*D103/1000</f>
        <v>5.85</v>
      </c>
      <c r="F103" s="224"/>
      <c r="G103" s="115"/>
      <c r="H103" s="115"/>
      <c r="I103" s="115"/>
      <c r="J103" s="201"/>
      <c r="K103" s="236"/>
      <c r="L103" s="115">
        <f>$E103*L$4</f>
        <v>0</v>
      </c>
      <c r="M103" s="115">
        <f t="shared" si="118"/>
        <v>0</v>
      </c>
      <c r="N103" s="115">
        <f t="shared" si="118"/>
        <v>0</v>
      </c>
      <c r="O103" s="115">
        <f t="shared" si="118"/>
        <v>0</v>
      </c>
      <c r="P103" s="115">
        <f t="shared" si="118"/>
        <v>0</v>
      </c>
      <c r="Q103" s="115">
        <f t="shared" si="118"/>
        <v>0</v>
      </c>
      <c r="R103" s="115">
        <f t="shared" si="118"/>
        <v>0</v>
      </c>
      <c r="S103" s="115">
        <f t="shared" si="118"/>
        <v>17.549999999999997</v>
      </c>
      <c r="T103" s="115">
        <f t="shared" si="118"/>
        <v>17.549999999999997</v>
      </c>
      <c r="U103" s="115">
        <f t="shared" si="118"/>
        <v>17.549999999999997</v>
      </c>
      <c r="V103" s="115">
        <f t="shared" si="118"/>
        <v>17.549999999999997</v>
      </c>
      <c r="W103" s="115">
        <f t="shared" si="118"/>
        <v>17.549999999999997</v>
      </c>
      <c r="X103" s="115">
        <f t="shared" si="118"/>
        <v>17.549999999999997</v>
      </c>
      <c r="Y103" s="115">
        <f t="shared" si="118"/>
        <v>17.549999999999997</v>
      </c>
      <c r="Z103" s="115">
        <f t="shared" si="118"/>
        <v>17.549999999999997</v>
      </c>
      <c r="AA103" s="115">
        <f t="shared" si="118"/>
        <v>17.549999999999997</v>
      </c>
      <c r="AB103" s="115">
        <f t="shared" si="118"/>
        <v>17.549999999999997</v>
      </c>
      <c r="AC103" s="115">
        <f t="shared" si="118"/>
        <v>17.549999999999997</v>
      </c>
      <c r="AD103" s="115">
        <f t="shared" si="118"/>
        <v>17.549999999999997</v>
      </c>
      <c r="AE103" s="115">
        <f t="shared" si="118"/>
        <v>17.549999999999997</v>
      </c>
      <c r="AF103" s="115">
        <f t="shared" si="118"/>
        <v>17.549999999999997</v>
      </c>
      <c r="AG103" s="115">
        <f t="shared" si="118"/>
        <v>17.549999999999997</v>
      </c>
      <c r="AH103" s="115">
        <f t="shared" si="118"/>
        <v>17.549999999999997</v>
      </c>
      <c r="AI103" s="115">
        <f t="shared" si="118"/>
        <v>17.549999999999997</v>
      </c>
      <c r="AJ103" s="115">
        <f t="shared" si="118"/>
        <v>17.549999999999997</v>
      </c>
      <c r="AK103" s="115">
        <f t="shared" si="118"/>
        <v>17.549999999999997</v>
      </c>
      <c r="AL103" s="115">
        <f t="shared" si="118"/>
        <v>17.549999999999997</v>
      </c>
      <c r="AM103" s="115">
        <f t="shared" si="118"/>
        <v>17.549999999999997</v>
      </c>
      <c r="AN103" s="115">
        <f t="shared" si="118"/>
        <v>17.549999999999997</v>
      </c>
      <c r="AO103" s="115">
        <f t="shared" si="118"/>
        <v>17.549999999999997</v>
      </c>
      <c r="AP103" s="115">
        <f t="shared" si="118"/>
        <v>17.549999999999997</v>
      </c>
      <c r="AQ103" s="115">
        <f t="shared" si="118"/>
        <v>17.549999999999997</v>
      </c>
      <c r="AR103" s="115"/>
      <c r="AS103" s="115"/>
      <c r="AT103" s="115"/>
      <c r="AU103" s="115"/>
      <c r="AV103" s="115"/>
      <c r="AW103" s="115"/>
      <c r="AX103" s="115"/>
      <c r="AY103" s="115"/>
      <c r="BA103" s="630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702"/>
      <c r="CN103" s="702"/>
      <c r="CO103" s="702"/>
      <c r="CP103" s="702"/>
      <c r="CQ103" s="702"/>
      <c r="CR103" s="702"/>
      <c r="CT103" s="188"/>
      <c r="CU103" s="115"/>
      <c r="CV103" s="115"/>
      <c r="CW103" s="201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98"/>
      <c r="EC103" s="198"/>
      <c r="ED103" s="198"/>
      <c r="EE103" s="198"/>
      <c r="EF103" s="250"/>
      <c r="EG103" s="250"/>
      <c r="EH103" s="250"/>
      <c r="EI103" s="250"/>
      <c r="EJ103" s="250"/>
      <c r="EK103" s="250"/>
      <c r="GE103" s="237"/>
      <c r="GF103" s="237"/>
      <c r="GG103" s="237"/>
      <c r="GH103" s="237"/>
      <c r="GI103" s="237"/>
      <c r="GJ103" s="237"/>
      <c r="GK103" s="237"/>
      <c r="GL103" s="237"/>
      <c r="GT103" s="237"/>
      <c r="GU103" s="237"/>
      <c r="GV103" s="237"/>
      <c r="GW103" s="237"/>
      <c r="GX103" s="237"/>
      <c r="GY103" s="237"/>
      <c r="GZ103" s="237"/>
      <c r="HA103" s="237"/>
      <c r="HB103" s="237"/>
      <c r="HC103" s="237"/>
      <c r="HD103" s="237"/>
      <c r="HE103" s="237"/>
      <c r="HF103" s="237"/>
      <c r="HG103" s="237"/>
      <c r="HH103" s="237"/>
      <c r="HI103" s="237"/>
      <c r="HJ103" s="237"/>
      <c r="HK103" s="237"/>
      <c r="HL103" s="237"/>
    </row>
    <row r="104" spans="1:220" ht="15" customHeight="1">
      <c r="A104" s="153">
        <v>16</v>
      </c>
      <c r="B104" s="1323" t="s">
        <v>165</v>
      </c>
      <c r="C104" s="846">
        <v>3</v>
      </c>
      <c r="D104" s="847">
        <v>530</v>
      </c>
      <c r="E104" s="161">
        <f t="shared" si="119"/>
        <v>1.59</v>
      </c>
      <c r="F104" s="224"/>
      <c r="G104" s="115"/>
      <c r="H104" s="115"/>
      <c r="I104" s="115"/>
      <c r="J104" s="201"/>
      <c r="K104" s="236"/>
      <c r="L104" s="115">
        <f>$E104*L$4</f>
        <v>0</v>
      </c>
      <c r="M104" s="115">
        <f t="shared" si="118"/>
        <v>0</v>
      </c>
      <c r="N104" s="115">
        <f t="shared" si="118"/>
        <v>0</v>
      </c>
      <c r="O104" s="115">
        <f t="shared" si="118"/>
        <v>0</v>
      </c>
      <c r="P104" s="115">
        <f t="shared" si="118"/>
        <v>0</v>
      </c>
      <c r="Q104" s="115">
        <f t="shared" si="118"/>
        <v>0</v>
      </c>
      <c r="R104" s="115">
        <f t="shared" si="118"/>
        <v>0</v>
      </c>
      <c r="S104" s="115">
        <f t="shared" si="118"/>
        <v>4.7700000000000005</v>
      </c>
      <c r="T104" s="115">
        <f t="shared" si="118"/>
        <v>4.7700000000000005</v>
      </c>
      <c r="U104" s="115">
        <f t="shared" si="118"/>
        <v>4.7700000000000005</v>
      </c>
      <c r="V104" s="115">
        <f t="shared" si="118"/>
        <v>4.7700000000000005</v>
      </c>
      <c r="W104" s="115">
        <f t="shared" si="118"/>
        <v>4.7700000000000005</v>
      </c>
      <c r="X104" s="115">
        <f t="shared" si="118"/>
        <v>4.7700000000000005</v>
      </c>
      <c r="Y104" s="115">
        <f t="shared" si="118"/>
        <v>4.7700000000000005</v>
      </c>
      <c r="Z104" s="115">
        <f t="shared" si="118"/>
        <v>4.7700000000000005</v>
      </c>
      <c r="AA104" s="115">
        <f t="shared" si="118"/>
        <v>4.7700000000000005</v>
      </c>
      <c r="AB104" s="115">
        <f t="shared" si="118"/>
        <v>4.7700000000000005</v>
      </c>
      <c r="AC104" s="115">
        <f t="shared" si="118"/>
        <v>4.7700000000000005</v>
      </c>
      <c r="AD104" s="115">
        <f t="shared" si="118"/>
        <v>4.7700000000000005</v>
      </c>
      <c r="AE104" s="115">
        <f t="shared" si="118"/>
        <v>4.7700000000000005</v>
      </c>
      <c r="AF104" s="115">
        <f t="shared" si="118"/>
        <v>4.7700000000000005</v>
      </c>
      <c r="AG104" s="115">
        <f t="shared" si="118"/>
        <v>4.7700000000000005</v>
      </c>
      <c r="AH104" s="115">
        <f t="shared" si="118"/>
        <v>4.7700000000000005</v>
      </c>
      <c r="AI104" s="115">
        <f t="shared" si="118"/>
        <v>4.7700000000000005</v>
      </c>
      <c r="AJ104" s="115">
        <f t="shared" si="118"/>
        <v>4.7700000000000005</v>
      </c>
      <c r="AK104" s="115">
        <f t="shared" si="118"/>
        <v>4.7700000000000005</v>
      </c>
      <c r="AL104" s="115">
        <f t="shared" si="118"/>
        <v>4.7700000000000005</v>
      </c>
      <c r="AM104" s="115">
        <f t="shared" si="118"/>
        <v>4.7700000000000005</v>
      </c>
      <c r="AN104" s="115">
        <f t="shared" si="118"/>
        <v>4.7700000000000005</v>
      </c>
      <c r="AO104" s="115">
        <f t="shared" si="118"/>
        <v>4.7700000000000005</v>
      </c>
      <c r="AP104" s="115">
        <f t="shared" si="118"/>
        <v>4.7700000000000005</v>
      </c>
      <c r="AQ104" s="115">
        <f t="shared" si="118"/>
        <v>4.7700000000000005</v>
      </c>
      <c r="AR104" s="115"/>
      <c r="AS104" s="115"/>
      <c r="AT104" s="115"/>
      <c r="AU104" s="115"/>
      <c r="AV104" s="115"/>
      <c r="AW104" s="115"/>
      <c r="AX104" s="115"/>
      <c r="AY104" s="115"/>
      <c r="BA104" s="630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702"/>
      <c r="CN104" s="702"/>
      <c r="CO104" s="702"/>
      <c r="CP104" s="702"/>
      <c r="CQ104" s="702"/>
      <c r="CR104" s="702"/>
      <c r="CT104" s="188"/>
      <c r="CU104" s="115"/>
      <c r="CV104" s="115"/>
      <c r="CW104" s="201"/>
      <c r="CX104" s="115"/>
      <c r="CY104" s="115"/>
      <c r="CZ104" s="115"/>
      <c r="DA104" s="115"/>
      <c r="DB104" s="115"/>
      <c r="DC104" s="115"/>
      <c r="DD104" s="115"/>
      <c r="DE104" s="115">
        <f aca="true" t="shared" si="120" ref="DE104:DZ104">$E104*DE$4</f>
        <v>4.7700000000000005</v>
      </c>
      <c r="DF104" s="115">
        <f t="shared" si="120"/>
        <v>4.7700000000000005</v>
      </c>
      <c r="DG104" s="115">
        <f t="shared" si="120"/>
        <v>4.7700000000000005</v>
      </c>
      <c r="DH104" s="115">
        <f t="shared" si="120"/>
        <v>4.7700000000000005</v>
      </c>
      <c r="DI104" s="115">
        <f t="shared" si="120"/>
        <v>4.7700000000000005</v>
      </c>
      <c r="DJ104" s="115">
        <f t="shared" si="120"/>
        <v>4.7700000000000005</v>
      </c>
      <c r="DK104" s="115">
        <f t="shared" si="120"/>
        <v>4.7700000000000005</v>
      </c>
      <c r="DL104" s="115">
        <f t="shared" si="120"/>
        <v>4.7700000000000005</v>
      </c>
      <c r="DM104" s="115">
        <f t="shared" si="120"/>
        <v>4.7700000000000005</v>
      </c>
      <c r="DN104" s="115">
        <f t="shared" si="120"/>
        <v>4.7700000000000005</v>
      </c>
      <c r="DO104" s="115">
        <f t="shared" si="120"/>
        <v>4.7700000000000005</v>
      </c>
      <c r="DP104" s="115">
        <f t="shared" si="120"/>
        <v>4.7700000000000005</v>
      </c>
      <c r="DQ104" s="115">
        <f t="shared" si="120"/>
        <v>4.7700000000000005</v>
      </c>
      <c r="DR104" s="115">
        <f t="shared" si="120"/>
        <v>4.7700000000000005</v>
      </c>
      <c r="DS104" s="115">
        <f t="shared" si="120"/>
        <v>4.7700000000000005</v>
      </c>
      <c r="DT104" s="115">
        <f t="shared" si="120"/>
        <v>4.7700000000000005</v>
      </c>
      <c r="DU104" s="115">
        <f t="shared" si="120"/>
        <v>4.7700000000000005</v>
      </c>
      <c r="DV104" s="115">
        <f t="shared" si="120"/>
        <v>4.7700000000000005</v>
      </c>
      <c r="DW104" s="115">
        <f t="shared" si="120"/>
        <v>4.7700000000000005</v>
      </c>
      <c r="DX104" s="115">
        <f t="shared" si="120"/>
        <v>4.7700000000000005</v>
      </c>
      <c r="DY104" s="115">
        <f t="shared" si="120"/>
        <v>4.7700000000000005</v>
      </c>
      <c r="DZ104" s="115">
        <f t="shared" si="120"/>
        <v>4.7700000000000005</v>
      </c>
      <c r="EA104" s="115">
        <f>$E104*EA$4</f>
        <v>4.7700000000000005</v>
      </c>
      <c r="EB104" s="198">
        <f>$E104*EB$4</f>
        <v>4.7700000000000005</v>
      </c>
      <c r="EC104" s="198">
        <f>$E104*EC$4</f>
        <v>4.7700000000000005</v>
      </c>
      <c r="ED104" s="198"/>
      <c r="EE104" s="198"/>
      <c r="EF104" s="250"/>
      <c r="EG104" s="250"/>
      <c r="EH104" s="250"/>
      <c r="EI104" s="250"/>
      <c r="EJ104" s="250"/>
      <c r="EK104" s="250"/>
      <c r="GE104" s="237"/>
      <c r="GF104" s="237"/>
      <c r="GG104" s="237"/>
      <c r="GH104" s="237"/>
      <c r="GI104" s="237"/>
      <c r="GJ104" s="237"/>
      <c r="GK104" s="237"/>
      <c r="GL104" s="237"/>
      <c r="GT104" s="237"/>
      <c r="GU104" s="237"/>
      <c r="GV104" s="237"/>
      <c r="GW104" s="237"/>
      <c r="GX104" s="237"/>
      <c r="GY104" s="237"/>
      <c r="GZ104" s="237"/>
      <c r="HA104" s="237"/>
      <c r="HB104" s="237"/>
      <c r="HC104" s="237"/>
      <c r="HD104" s="237"/>
      <c r="HE104" s="237"/>
      <c r="HF104" s="237"/>
      <c r="HG104" s="237"/>
      <c r="HH104" s="237"/>
      <c r="HI104" s="237"/>
      <c r="HJ104" s="237"/>
      <c r="HK104" s="237"/>
      <c r="HL104" s="237"/>
    </row>
    <row r="105" spans="1:220" ht="15" customHeight="1">
      <c r="A105" s="153"/>
      <c r="B105" s="156"/>
      <c r="C105" s="154"/>
      <c r="D105" s="154"/>
      <c r="E105" s="161">
        <f t="shared" si="119"/>
        <v>0</v>
      </c>
      <c r="F105" s="224"/>
      <c r="G105" s="115"/>
      <c r="H105" s="115"/>
      <c r="I105" s="115"/>
      <c r="J105" s="201"/>
      <c r="K105" s="236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98"/>
      <c r="AQ105" s="198"/>
      <c r="AR105" s="198"/>
      <c r="AS105" s="198"/>
      <c r="AT105" s="250"/>
      <c r="AU105" s="250"/>
      <c r="AV105" s="250"/>
      <c r="AW105" s="250"/>
      <c r="AX105" s="250"/>
      <c r="AY105" s="250"/>
      <c r="BA105" s="630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702"/>
      <c r="CN105" s="702"/>
      <c r="CO105" s="702"/>
      <c r="CP105" s="702"/>
      <c r="CQ105" s="702"/>
      <c r="CR105" s="702"/>
      <c r="CT105" s="188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98"/>
      <c r="EC105" s="198"/>
      <c r="ED105" s="198"/>
      <c r="EE105" s="198"/>
      <c r="EF105" s="250"/>
      <c r="EG105" s="250"/>
      <c r="EH105" s="250"/>
      <c r="EI105" s="250"/>
      <c r="EJ105" s="250"/>
      <c r="EK105" s="250"/>
      <c r="EN105" s="275" t="s">
        <v>184</v>
      </c>
      <c r="EO105" s="275">
        <v>2004</v>
      </c>
      <c r="EP105" s="275">
        <v>2005</v>
      </c>
      <c r="EQ105" s="275">
        <v>2006</v>
      </c>
      <c r="ER105" s="275">
        <v>2007</v>
      </c>
      <c r="ES105" s="275">
        <v>2008</v>
      </c>
      <c r="ET105" s="275">
        <v>2009</v>
      </c>
      <c r="EU105" s="275">
        <v>2010</v>
      </c>
      <c r="EV105" s="275">
        <v>2011</v>
      </c>
      <c r="EW105" s="659">
        <v>2012</v>
      </c>
      <c r="EX105" s="659">
        <v>2013</v>
      </c>
      <c r="EY105" s="275">
        <v>2014</v>
      </c>
      <c r="EZ105" s="808" t="s">
        <v>187</v>
      </c>
      <c r="FA105" s="35"/>
      <c r="GE105" s="237"/>
      <c r="GF105" s="237"/>
      <c r="GG105" s="237"/>
      <c r="GH105" s="237"/>
      <c r="GI105" s="237"/>
      <c r="GJ105" s="237"/>
      <c r="GK105" s="237"/>
      <c r="GL105" s="237"/>
      <c r="GT105" s="237"/>
      <c r="GU105" s="237"/>
      <c r="GV105" s="237"/>
      <c r="GW105" s="237"/>
      <c r="GX105" s="237"/>
      <c r="GY105" s="237"/>
      <c r="GZ105" s="237"/>
      <c r="HA105" s="237"/>
      <c r="HB105" s="237"/>
      <c r="HC105" s="237"/>
      <c r="HD105" s="237"/>
      <c r="HE105" s="237"/>
      <c r="HF105" s="237"/>
      <c r="HG105" s="237"/>
      <c r="HH105" s="237"/>
      <c r="HI105" s="237"/>
      <c r="HJ105" s="237"/>
      <c r="HK105" s="237"/>
      <c r="HL105" s="237"/>
    </row>
    <row r="106" spans="1:220" ht="15" customHeight="1">
      <c r="A106" s="153"/>
      <c r="B106" s="156" t="s">
        <v>139</v>
      </c>
      <c r="C106" s="154">
        <f>SUM(C89:C100)</f>
        <v>20</v>
      </c>
      <c r="D106" s="154"/>
      <c r="E106" s="154">
        <f>SUM(E89:E100)</f>
        <v>114.31200000000001</v>
      </c>
      <c r="F106" s="224"/>
      <c r="G106" s="115"/>
      <c r="H106" s="115"/>
      <c r="I106" s="115"/>
      <c r="J106" s="115"/>
      <c r="K106" s="236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98"/>
      <c r="AQ106" s="198"/>
      <c r="AR106" s="198"/>
      <c r="AS106" s="198"/>
      <c r="AT106" s="250"/>
      <c r="AU106" s="250"/>
      <c r="AV106" s="250"/>
      <c r="AW106" s="250"/>
      <c r="AX106" s="250"/>
      <c r="AY106" s="250"/>
      <c r="BA106" s="627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>
        <f aca="true" t="shared" si="121" ref="BL106:CI106">SUM(BL97:BL98)</f>
        <v>15.267</v>
      </c>
      <c r="BM106" s="201">
        <f t="shared" si="121"/>
        <v>15.267</v>
      </c>
      <c r="BN106" s="201">
        <f t="shared" si="121"/>
        <v>15.267</v>
      </c>
      <c r="BO106" s="201">
        <f t="shared" si="121"/>
        <v>15.267</v>
      </c>
      <c r="BP106" s="201">
        <f t="shared" si="121"/>
        <v>15.267</v>
      </c>
      <c r="BQ106" s="201">
        <f t="shared" si="121"/>
        <v>15.267</v>
      </c>
      <c r="BR106" s="201">
        <f t="shared" si="121"/>
        <v>15.267</v>
      </c>
      <c r="BS106" s="201">
        <f t="shared" si="121"/>
        <v>15.267</v>
      </c>
      <c r="BT106" s="201">
        <f t="shared" si="121"/>
        <v>15.267</v>
      </c>
      <c r="BU106" s="201">
        <f t="shared" si="121"/>
        <v>15.267</v>
      </c>
      <c r="BV106" s="201">
        <f t="shared" si="121"/>
        <v>15.267</v>
      </c>
      <c r="BW106" s="201">
        <f t="shared" si="121"/>
        <v>15.267</v>
      </c>
      <c r="BX106" s="201">
        <f t="shared" si="121"/>
        <v>15.267</v>
      </c>
      <c r="BY106" s="201">
        <f t="shared" si="121"/>
        <v>15.267</v>
      </c>
      <c r="BZ106" s="201">
        <f t="shared" si="121"/>
        <v>15.267</v>
      </c>
      <c r="CA106" s="201">
        <f t="shared" si="121"/>
        <v>15.267</v>
      </c>
      <c r="CB106" s="201">
        <f t="shared" si="121"/>
        <v>15.267</v>
      </c>
      <c r="CC106" s="201">
        <f t="shared" si="121"/>
        <v>15.267</v>
      </c>
      <c r="CD106" s="201">
        <f t="shared" si="121"/>
        <v>15.267</v>
      </c>
      <c r="CE106" s="201">
        <f t="shared" si="121"/>
        <v>15.267</v>
      </c>
      <c r="CF106" s="201">
        <f t="shared" si="121"/>
        <v>15.267</v>
      </c>
      <c r="CG106" s="201">
        <f t="shared" si="121"/>
        <v>15.267</v>
      </c>
      <c r="CH106" s="201">
        <f t="shared" si="121"/>
        <v>15.267</v>
      </c>
      <c r="CI106" s="201">
        <f t="shared" si="121"/>
        <v>15.267</v>
      </c>
      <c r="CJ106" s="201">
        <f>SUM(CJ97:CJ98)</f>
        <v>15.267</v>
      </c>
      <c r="CK106" s="201"/>
      <c r="CL106" s="201"/>
      <c r="CM106" s="706"/>
      <c r="CN106" s="706"/>
      <c r="CO106" s="706"/>
      <c r="CP106" s="706"/>
      <c r="CQ106" s="706"/>
      <c r="CR106" s="706"/>
      <c r="CT106" s="692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>
        <f aca="true" t="shared" si="122" ref="DE106:EB106">SUM(DE99:DE101,DE104)</f>
        <v>4.7700000000000005</v>
      </c>
      <c r="DF106" s="201">
        <f t="shared" si="122"/>
        <v>4.7700000000000005</v>
      </c>
      <c r="DG106" s="201">
        <f t="shared" si="122"/>
        <v>4.7700000000000005</v>
      </c>
      <c r="DH106" s="201">
        <f t="shared" si="122"/>
        <v>4.7700000000000005</v>
      </c>
      <c r="DI106" s="201">
        <f t="shared" si="122"/>
        <v>4.7700000000000005</v>
      </c>
      <c r="DJ106" s="201">
        <f t="shared" si="122"/>
        <v>4.7700000000000005</v>
      </c>
      <c r="DK106" s="201">
        <f t="shared" si="122"/>
        <v>4.7700000000000005</v>
      </c>
      <c r="DL106" s="201">
        <f t="shared" si="122"/>
        <v>4.7700000000000005</v>
      </c>
      <c r="DM106" s="201">
        <f t="shared" si="122"/>
        <v>4.7700000000000005</v>
      </c>
      <c r="DN106" s="201">
        <f t="shared" si="122"/>
        <v>4.7700000000000005</v>
      </c>
      <c r="DO106" s="201">
        <f t="shared" si="122"/>
        <v>4.7700000000000005</v>
      </c>
      <c r="DP106" s="201">
        <f t="shared" si="122"/>
        <v>4.7700000000000005</v>
      </c>
      <c r="DQ106" s="201">
        <f t="shared" si="122"/>
        <v>4.7700000000000005</v>
      </c>
      <c r="DR106" s="201">
        <f t="shared" si="122"/>
        <v>4.7700000000000005</v>
      </c>
      <c r="DS106" s="201">
        <f t="shared" si="122"/>
        <v>4.7700000000000005</v>
      </c>
      <c r="DT106" s="201">
        <f t="shared" si="122"/>
        <v>4.7700000000000005</v>
      </c>
      <c r="DU106" s="201">
        <f t="shared" si="122"/>
        <v>4.7700000000000005</v>
      </c>
      <c r="DV106" s="201">
        <f t="shared" si="122"/>
        <v>4.7700000000000005</v>
      </c>
      <c r="DW106" s="201">
        <f t="shared" si="122"/>
        <v>4.7700000000000005</v>
      </c>
      <c r="DX106" s="201">
        <f t="shared" si="122"/>
        <v>4.7700000000000005</v>
      </c>
      <c r="DY106" s="201">
        <f t="shared" si="122"/>
        <v>4.7700000000000005</v>
      </c>
      <c r="DZ106" s="201">
        <f t="shared" si="122"/>
        <v>4.7700000000000005</v>
      </c>
      <c r="EA106" s="201">
        <f t="shared" si="122"/>
        <v>4.7700000000000005</v>
      </c>
      <c r="EB106" s="627">
        <f t="shared" si="122"/>
        <v>4.7700000000000005</v>
      </c>
      <c r="EC106" s="627">
        <f>SUM(EC99:EC101,EC104)</f>
        <v>4.7700000000000005</v>
      </c>
      <c r="ED106" s="627"/>
      <c r="EE106" s="627"/>
      <c r="EF106" s="693"/>
      <c r="EG106" s="693"/>
      <c r="EH106" s="693"/>
      <c r="EI106" s="693"/>
      <c r="EJ106" s="693"/>
      <c r="EK106" s="693"/>
      <c r="EN106" s="114" t="s">
        <v>239</v>
      </c>
      <c r="EO106" s="201">
        <f>SUM(H107:K107,BA106:BD106,CT106:CW106)</f>
        <v>0</v>
      </c>
      <c r="EP106" s="115">
        <f>SUM(L107:O107,BE106:BH106,CX106:DA106)</f>
        <v>0</v>
      </c>
      <c r="EQ106" s="115">
        <f>SUM(P107:S107,BI106:BL106,DB106:DE106)</f>
        <v>53.787</v>
      </c>
      <c r="ER106" s="115">
        <f>SUM(T107:W107,BM106:BP106,DF106:DI106)</f>
        <v>215.14800000000002</v>
      </c>
      <c r="ES106" s="115">
        <f>SUM(X107:AA107,BQ106:BT106,DJ106:DM106)</f>
        <v>215.14800000000002</v>
      </c>
      <c r="ET106" s="115">
        <f>SUM(AB107:AE107,BU106:BX106,DN106:DQ106)</f>
        <v>215.14800000000002</v>
      </c>
      <c r="EU106" s="115">
        <f>SUM(AF107:AI107,BY106:CB106,DR106:DU106)</f>
        <v>215.14800000000002</v>
      </c>
      <c r="EV106" s="115">
        <f>SUM(AJ107:AM107,CC106:CF106,DV106:DY106)</f>
        <v>215.14800000000002</v>
      </c>
      <c r="EW106" s="627">
        <f>SUM(AN107:AQ107,CG106:CJ106,DZ106:EC106)</f>
        <v>215.14800000000002</v>
      </c>
      <c r="EX106" s="201">
        <f>SUM(AR107:AU107,CK106:CN106,ED106:EG106)</f>
        <v>0</v>
      </c>
      <c r="EY106" s="201">
        <f>SUM(AV107:AY107,CO106:CR106,EH106:EK106)</f>
        <v>0</v>
      </c>
      <c r="EZ106" s="158">
        <f>SUM(EO106:EY106)</f>
        <v>1344.6750000000002</v>
      </c>
      <c r="FA106" s="237"/>
      <c r="GD106" s="635"/>
      <c r="GE106" s="635"/>
      <c r="GF106" s="635"/>
      <c r="GG106" s="635"/>
      <c r="GH106" s="635"/>
      <c r="GI106" s="635"/>
      <c r="GJ106" s="635"/>
      <c r="GK106" s="635"/>
      <c r="GL106" s="635"/>
      <c r="GT106" s="237"/>
      <c r="GU106" s="237"/>
      <c r="GV106" s="237"/>
      <c r="GW106" s="237"/>
      <c r="GX106" s="237"/>
      <c r="GY106" s="237"/>
      <c r="GZ106" s="635"/>
      <c r="HA106" s="635"/>
      <c r="HB106" s="635"/>
      <c r="HC106" s="635"/>
      <c r="HD106" s="635"/>
      <c r="HE106" s="237"/>
      <c r="HF106" s="635"/>
      <c r="HG106" s="635"/>
      <c r="HH106" s="635"/>
      <c r="HI106" s="635"/>
      <c r="HJ106" s="237"/>
      <c r="HK106" s="237"/>
      <c r="HL106" s="237"/>
    </row>
    <row r="107" spans="1:220" ht="15" customHeight="1">
      <c r="A107" s="153"/>
      <c r="B107" s="156" t="s">
        <v>140</v>
      </c>
      <c r="C107" s="154">
        <f>SUM(C101:C104)</f>
        <v>33</v>
      </c>
      <c r="D107" s="154"/>
      <c r="E107" s="154">
        <f>SUM(E101:E104)</f>
        <v>42.510000000000005</v>
      </c>
      <c r="F107" s="224"/>
      <c r="G107" s="115"/>
      <c r="H107" s="154">
        <f aca="true" t="shared" si="123" ref="H107:AQ107">SUM(H102:H103,H105:H105)</f>
        <v>0</v>
      </c>
      <c r="I107" s="154">
        <f t="shared" si="123"/>
        <v>0</v>
      </c>
      <c r="J107" s="154">
        <f t="shared" si="123"/>
        <v>0</v>
      </c>
      <c r="K107" s="154">
        <f t="shared" si="123"/>
        <v>0</v>
      </c>
      <c r="L107" s="154">
        <f t="shared" si="123"/>
        <v>0</v>
      </c>
      <c r="M107" s="154">
        <f t="shared" si="123"/>
        <v>0</v>
      </c>
      <c r="N107" s="154">
        <f t="shared" si="123"/>
        <v>0</v>
      </c>
      <c r="O107" s="154">
        <f t="shared" si="123"/>
        <v>0</v>
      </c>
      <c r="P107" s="154">
        <f t="shared" si="123"/>
        <v>0</v>
      </c>
      <c r="Q107" s="154">
        <f t="shared" si="123"/>
        <v>0</v>
      </c>
      <c r="R107" s="154">
        <f t="shared" si="123"/>
        <v>0</v>
      </c>
      <c r="S107" s="154">
        <f t="shared" si="123"/>
        <v>33.75</v>
      </c>
      <c r="T107" s="154">
        <f t="shared" si="123"/>
        <v>33.75</v>
      </c>
      <c r="U107" s="154">
        <f t="shared" si="123"/>
        <v>33.75</v>
      </c>
      <c r="V107" s="154">
        <f t="shared" si="123"/>
        <v>33.75</v>
      </c>
      <c r="W107" s="154">
        <f t="shared" si="123"/>
        <v>33.75</v>
      </c>
      <c r="X107" s="154">
        <f t="shared" si="123"/>
        <v>33.75</v>
      </c>
      <c r="Y107" s="154">
        <f t="shared" si="123"/>
        <v>33.75</v>
      </c>
      <c r="Z107" s="154">
        <f t="shared" si="123"/>
        <v>33.75</v>
      </c>
      <c r="AA107" s="154">
        <f t="shared" si="123"/>
        <v>33.75</v>
      </c>
      <c r="AB107" s="154">
        <f t="shared" si="123"/>
        <v>33.75</v>
      </c>
      <c r="AC107" s="154">
        <f t="shared" si="123"/>
        <v>33.75</v>
      </c>
      <c r="AD107" s="154">
        <f t="shared" si="123"/>
        <v>33.75</v>
      </c>
      <c r="AE107" s="154">
        <f t="shared" si="123"/>
        <v>33.75</v>
      </c>
      <c r="AF107" s="154">
        <f t="shared" si="123"/>
        <v>33.75</v>
      </c>
      <c r="AG107" s="154">
        <f t="shared" si="123"/>
        <v>33.75</v>
      </c>
      <c r="AH107" s="154">
        <f t="shared" si="123"/>
        <v>33.75</v>
      </c>
      <c r="AI107" s="154">
        <f t="shared" si="123"/>
        <v>33.75</v>
      </c>
      <c r="AJ107" s="154">
        <f t="shared" si="123"/>
        <v>33.75</v>
      </c>
      <c r="AK107" s="154">
        <f t="shared" si="123"/>
        <v>33.75</v>
      </c>
      <c r="AL107" s="154">
        <f t="shared" si="123"/>
        <v>33.75</v>
      </c>
      <c r="AM107" s="154">
        <f t="shared" si="123"/>
        <v>33.75</v>
      </c>
      <c r="AN107" s="154">
        <f t="shared" si="123"/>
        <v>33.75</v>
      </c>
      <c r="AO107" s="154">
        <f t="shared" si="123"/>
        <v>33.75</v>
      </c>
      <c r="AP107" s="642">
        <f t="shared" si="123"/>
        <v>33.75</v>
      </c>
      <c r="AQ107" s="642">
        <f t="shared" si="123"/>
        <v>33.75</v>
      </c>
      <c r="AR107" s="642"/>
      <c r="AS107" s="642"/>
      <c r="AT107" s="673"/>
      <c r="AU107" s="673"/>
      <c r="AV107" s="673"/>
      <c r="AW107" s="673"/>
      <c r="AX107" s="673"/>
      <c r="AY107" s="673"/>
      <c r="BA107" s="630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702"/>
      <c r="CN107" s="702"/>
      <c r="CO107" s="702"/>
      <c r="CP107" s="702"/>
      <c r="CQ107" s="702"/>
      <c r="CR107" s="702"/>
      <c r="CT107" s="188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98"/>
      <c r="EC107" s="198"/>
      <c r="ED107" s="198"/>
      <c r="EE107" s="198"/>
      <c r="EF107" s="250"/>
      <c r="EG107" s="250"/>
      <c r="EH107" s="250"/>
      <c r="EI107" s="250"/>
      <c r="EJ107" s="250"/>
      <c r="EK107" s="250"/>
      <c r="EN107" s="114" t="s">
        <v>185</v>
      </c>
      <c r="EO107" s="115">
        <f aca="true" t="shared" si="124" ref="EO107:EY107">EO106*0.506</f>
        <v>0</v>
      </c>
      <c r="EP107" s="115">
        <f t="shared" si="124"/>
        <v>0</v>
      </c>
      <c r="EQ107" s="115">
        <f t="shared" si="124"/>
        <v>27.216222</v>
      </c>
      <c r="ER107" s="115">
        <f t="shared" si="124"/>
        <v>108.86488800000001</v>
      </c>
      <c r="ES107" s="115">
        <f t="shared" si="124"/>
        <v>108.86488800000001</v>
      </c>
      <c r="ET107" s="115">
        <f t="shared" si="124"/>
        <v>108.86488800000001</v>
      </c>
      <c r="EU107" s="115">
        <f t="shared" si="124"/>
        <v>108.86488800000001</v>
      </c>
      <c r="EV107" s="115">
        <f t="shared" si="124"/>
        <v>108.86488800000001</v>
      </c>
      <c r="EW107" s="198">
        <f t="shared" si="124"/>
        <v>108.86488800000001</v>
      </c>
      <c r="EX107" s="198">
        <f t="shared" si="124"/>
        <v>0</v>
      </c>
      <c r="EY107" s="198">
        <f t="shared" si="124"/>
        <v>0</v>
      </c>
      <c r="EZ107" s="158">
        <f>SUM(EO107:EY107)</f>
        <v>680.40555</v>
      </c>
      <c r="FA107" s="237"/>
      <c r="GE107" s="237"/>
      <c r="GF107" s="237"/>
      <c r="GG107" s="237"/>
      <c r="GH107" s="237"/>
      <c r="GI107" s="237"/>
      <c r="GJ107" s="237"/>
      <c r="GK107" s="237"/>
      <c r="GL107" s="237"/>
      <c r="GT107" s="237"/>
      <c r="GU107" s="237"/>
      <c r="GV107" s="237"/>
      <c r="GW107" s="237"/>
      <c r="GX107" s="237"/>
      <c r="GY107" s="237"/>
      <c r="GZ107" s="237"/>
      <c r="HA107" s="237"/>
      <c r="HB107" s="237"/>
      <c r="HC107" s="237"/>
      <c r="HD107" s="237"/>
      <c r="HE107" s="237"/>
      <c r="HF107" s="237"/>
      <c r="HG107" s="237"/>
      <c r="HH107" s="237"/>
      <c r="HI107" s="237"/>
      <c r="HJ107" s="237"/>
      <c r="HK107" s="237"/>
      <c r="HL107" s="237"/>
    </row>
    <row r="108" spans="1:220" ht="15" customHeight="1">
      <c r="A108" s="210"/>
      <c r="B108" s="211" t="s">
        <v>70</v>
      </c>
      <c r="C108" s="212">
        <f>SUM(C106:C107)</f>
        <v>53</v>
      </c>
      <c r="D108" s="212"/>
      <c r="E108" s="212">
        <f>SUM(E106:E107)</f>
        <v>156.822</v>
      </c>
      <c r="F108" s="225" t="s">
        <v>110</v>
      </c>
      <c r="G108" s="202">
        <f>G$132</f>
        <v>0.506</v>
      </c>
      <c r="H108" s="203">
        <f aca="true" t="shared" si="125" ref="H108:AQ108">SUM(H97:H105)*$G108</f>
        <v>0</v>
      </c>
      <c r="I108" s="203">
        <f t="shared" si="125"/>
        <v>0</v>
      </c>
      <c r="J108" s="203">
        <f t="shared" si="125"/>
        <v>0</v>
      </c>
      <c r="K108" s="203">
        <f t="shared" si="125"/>
        <v>0</v>
      </c>
      <c r="L108" s="203">
        <f t="shared" si="125"/>
        <v>0</v>
      </c>
      <c r="M108" s="203">
        <f t="shared" si="125"/>
        <v>0</v>
      </c>
      <c r="N108" s="203">
        <f t="shared" si="125"/>
        <v>0</v>
      </c>
      <c r="O108" s="203">
        <f t="shared" si="125"/>
        <v>0</v>
      </c>
      <c r="P108" s="203">
        <f t="shared" si="125"/>
        <v>0</v>
      </c>
      <c r="Q108" s="203">
        <f t="shared" si="125"/>
        <v>0</v>
      </c>
      <c r="R108" s="203">
        <f t="shared" si="125"/>
        <v>0</v>
      </c>
      <c r="S108" s="203">
        <f t="shared" si="125"/>
        <v>64.53018</v>
      </c>
      <c r="T108" s="203">
        <f t="shared" si="125"/>
        <v>64.53018</v>
      </c>
      <c r="U108" s="203">
        <f t="shared" si="125"/>
        <v>64.53018</v>
      </c>
      <c r="V108" s="203">
        <f t="shared" si="125"/>
        <v>64.53018</v>
      </c>
      <c r="W108" s="203">
        <f t="shared" si="125"/>
        <v>64.53018</v>
      </c>
      <c r="X108" s="203">
        <f t="shared" si="125"/>
        <v>64.53018</v>
      </c>
      <c r="Y108" s="203">
        <f t="shared" si="125"/>
        <v>64.53018</v>
      </c>
      <c r="Z108" s="203">
        <f t="shared" si="125"/>
        <v>64.53018</v>
      </c>
      <c r="AA108" s="203">
        <f t="shared" si="125"/>
        <v>64.53018</v>
      </c>
      <c r="AB108" s="203">
        <f t="shared" si="125"/>
        <v>64.53018</v>
      </c>
      <c r="AC108" s="203">
        <f t="shared" si="125"/>
        <v>64.53018</v>
      </c>
      <c r="AD108" s="203">
        <f t="shared" si="125"/>
        <v>64.53018</v>
      </c>
      <c r="AE108" s="203">
        <f t="shared" si="125"/>
        <v>64.53018</v>
      </c>
      <c r="AF108" s="203">
        <f t="shared" si="125"/>
        <v>64.53018</v>
      </c>
      <c r="AG108" s="203">
        <f t="shared" si="125"/>
        <v>64.53018</v>
      </c>
      <c r="AH108" s="203">
        <f t="shared" si="125"/>
        <v>64.53018</v>
      </c>
      <c r="AI108" s="203">
        <f t="shared" si="125"/>
        <v>64.53018</v>
      </c>
      <c r="AJ108" s="203">
        <f t="shared" si="125"/>
        <v>64.53018</v>
      </c>
      <c r="AK108" s="203">
        <f t="shared" si="125"/>
        <v>64.53018</v>
      </c>
      <c r="AL108" s="203">
        <f t="shared" si="125"/>
        <v>64.53018</v>
      </c>
      <c r="AM108" s="203">
        <f t="shared" si="125"/>
        <v>64.53018</v>
      </c>
      <c r="AN108" s="203">
        <f t="shared" si="125"/>
        <v>64.53018</v>
      </c>
      <c r="AO108" s="203">
        <f t="shared" si="125"/>
        <v>64.53018</v>
      </c>
      <c r="AP108" s="246">
        <f t="shared" si="125"/>
        <v>64.53018</v>
      </c>
      <c r="AQ108" s="246">
        <f t="shared" si="125"/>
        <v>64.53018</v>
      </c>
      <c r="AR108" s="246"/>
      <c r="AS108" s="246"/>
      <c r="AT108" s="674"/>
      <c r="AU108" s="674"/>
      <c r="AV108" s="674"/>
      <c r="AW108" s="674"/>
      <c r="AX108" s="674"/>
      <c r="AY108" s="674"/>
      <c r="BA108" s="699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>
        <f aca="true" t="shared" si="126" ref="BL108:CJ108">SUM(BL97:BL105)*$G108</f>
        <v>18.313152</v>
      </c>
      <c r="BM108" s="203">
        <f t="shared" si="126"/>
        <v>18.313152</v>
      </c>
      <c r="BN108" s="203">
        <f t="shared" si="126"/>
        <v>18.313152</v>
      </c>
      <c r="BO108" s="203">
        <f t="shared" si="126"/>
        <v>18.313152</v>
      </c>
      <c r="BP108" s="203">
        <f t="shared" si="126"/>
        <v>18.313152</v>
      </c>
      <c r="BQ108" s="203">
        <f t="shared" si="126"/>
        <v>18.313152</v>
      </c>
      <c r="BR108" s="203">
        <f t="shared" si="126"/>
        <v>18.313152</v>
      </c>
      <c r="BS108" s="203">
        <f t="shared" si="126"/>
        <v>18.313152</v>
      </c>
      <c r="BT108" s="203">
        <f t="shared" si="126"/>
        <v>18.313152</v>
      </c>
      <c r="BU108" s="203">
        <f t="shared" si="126"/>
        <v>18.313152</v>
      </c>
      <c r="BV108" s="203">
        <f t="shared" si="126"/>
        <v>18.313152</v>
      </c>
      <c r="BW108" s="203">
        <f t="shared" si="126"/>
        <v>18.313152</v>
      </c>
      <c r="BX108" s="203">
        <f t="shared" si="126"/>
        <v>18.313152</v>
      </c>
      <c r="BY108" s="203">
        <f t="shared" si="126"/>
        <v>18.313152</v>
      </c>
      <c r="BZ108" s="203">
        <f t="shared" si="126"/>
        <v>18.313152</v>
      </c>
      <c r="CA108" s="203">
        <f t="shared" si="126"/>
        <v>18.313152</v>
      </c>
      <c r="CB108" s="203">
        <f t="shared" si="126"/>
        <v>18.313152</v>
      </c>
      <c r="CC108" s="203">
        <f t="shared" si="126"/>
        <v>18.313152</v>
      </c>
      <c r="CD108" s="203">
        <f t="shared" si="126"/>
        <v>18.313152</v>
      </c>
      <c r="CE108" s="203">
        <f t="shared" si="126"/>
        <v>18.313152</v>
      </c>
      <c r="CF108" s="203">
        <f t="shared" si="126"/>
        <v>18.313152</v>
      </c>
      <c r="CG108" s="203">
        <f t="shared" si="126"/>
        <v>18.313152</v>
      </c>
      <c r="CH108" s="203">
        <f t="shared" si="126"/>
        <v>18.313152</v>
      </c>
      <c r="CI108" s="203">
        <f t="shared" si="126"/>
        <v>18.313152</v>
      </c>
      <c r="CJ108" s="203">
        <f t="shared" si="126"/>
        <v>18.313152</v>
      </c>
      <c r="CK108" s="203"/>
      <c r="CL108" s="203"/>
      <c r="CM108" s="707"/>
      <c r="CN108" s="707"/>
      <c r="CO108" s="707"/>
      <c r="CP108" s="707"/>
      <c r="CQ108" s="707"/>
      <c r="CR108" s="707"/>
      <c r="CT108" s="218"/>
      <c r="CU108" s="221"/>
      <c r="CV108" s="221"/>
      <c r="CW108" s="221"/>
      <c r="CX108" s="221"/>
      <c r="CY108" s="221"/>
      <c r="CZ108" s="221"/>
      <c r="DA108" s="221"/>
      <c r="DB108" s="221"/>
      <c r="DC108" s="221"/>
      <c r="DD108" s="221"/>
      <c r="DE108" s="221">
        <f aca="true" t="shared" si="127" ref="DE108:EC108">SUM(DE97:DE105)*$G108</f>
        <v>2.4136200000000003</v>
      </c>
      <c r="DF108" s="221">
        <f t="shared" si="127"/>
        <v>2.4136200000000003</v>
      </c>
      <c r="DG108" s="221">
        <f t="shared" si="127"/>
        <v>2.4136200000000003</v>
      </c>
      <c r="DH108" s="221">
        <f t="shared" si="127"/>
        <v>2.4136200000000003</v>
      </c>
      <c r="DI108" s="221">
        <f t="shared" si="127"/>
        <v>2.4136200000000003</v>
      </c>
      <c r="DJ108" s="221">
        <f t="shared" si="127"/>
        <v>2.4136200000000003</v>
      </c>
      <c r="DK108" s="221">
        <f t="shared" si="127"/>
        <v>2.4136200000000003</v>
      </c>
      <c r="DL108" s="221">
        <f t="shared" si="127"/>
        <v>2.4136200000000003</v>
      </c>
      <c r="DM108" s="221">
        <f t="shared" si="127"/>
        <v>2.4136200000000003</v>
      </c>
      <c r="DN108" s="221">
        <f t="shared" si="127"/>
        <v>2.4136200000000003</v>
      </c>
      <c r="DO108" s="221">
        <f t="shared" si="127"/>
        <v>2.4136200000000003</v>
      </c>
      <c r="DP108" s="221">
        <f t="shared" si="127"/>
        <v>2.4136200000000003</v>
      </c>
      <c r="DQ108" s="221">
        <f t="shared" si="127"/>
        <v>2.4136200000000003</v>
      </c>
      <c r="DR108" s="221">
        <f t="shared" si="127"/>
        <v>2.4136200000000003</v>
      </c>
      <c r="DS108" s="221">
        <f t="shared" si="127"/>
        <v>2.4136200000000003</v>
      </c>
      <c r="DT108" s="221">
        <f t="shared" si="127"/>
        <v>2.4136200000000003</v>
      </c>
      <c r="DU108" s="221">
        <f t="shared" si="127"/>
        <v>2.4136200000000003</v>
      </c>
      <c r="DV108" s="221">
        <f t="shared" si="127"/>
        <v>2.4136200000000003</v>
      </c>
      <c r="DW108" s="221">
        <f t="shared" si="127"/>
        <v>2.4136200000000003</v>
      </c>
      <c r="DX108" s="221">
        <f t="shared" si="127"/>
        <v>2.4136200000000003</v>
      </c>
      <c r="DY108" s="221">
        <f t="shared" si="127"/>
        <v>2.4136200000000003</v>
      </c>
      <c r="DZ108" s="221">
        <f t="shared" si="127"/>
        <v>2.4136200000000003</v>
      </c>
      <c r="EA108" s="221">
        <f t="shared" si="127"/>
        <v>2.4136200000000003</v>
      </c>
      <c r="EB108" s="628">
        <f t="shared" si="127"/>
        <v>2.4136200000000003</v>
      </c>
      <c r="EC108" s="628">
        <f t="shared" si="127"/>
        <v>2.4136200000000003</v>
      </c>
      <c r="ED108" s="628"/>
      <c r="EE108" s="628"/>
      <c r="EF108" s="682"/>
      <c r="EG108" s="682"/>
      <c r="EH108" s="682"/>
      <c r="EI108" s="682"/>
      <c r="EJ108" s="682"/>
      <c r="EK108" s="682"/>
      <c r="EN108" s="114" t="s">
        <v>238</v>
      </c>
      <c r="EO108" s="115">
        <f aca="true" t="shared" si="128" ref="EO108:EY108">SUM(EO106:EO107)</f>
        <v>0</v>
      </c>
      <c r="EP108" s="115">
        <f t="shared" si="128"/>
        <v>0</v>
      </c>
      <c r="EQ108" s="115">
        <f t="shared" si="128"/>
        <v>81.003222</v>
      </c>
      <c r="ER108" s="115">
        <f t="shared" si="128"/>
        <v>324.01288800000003</v>
      </c>
      <c r="ES108" s="115">
        <f t="shared" si="128"/>
        <v>324.01288800000003</v>
      </c>
      <c r="ET108" s="115">
        <f t="shared" si="128"/>
        <v>324.01288800000003</v>
      </c>
      <c r="EU108" s="115">
        <f t="shared" si="128"/>
        <v>324.01288800000003</v>
      </c>
      <c r="EV108" s="115">
        <f t="shared" si="128"/>
        <v>324.01288800000003</v>
      </c>
      <c r="EW108" s="198">
        <f t="shared" si="128"/>
        <v>324.01288800000003</v>
      </c>
      <c r="EX108" s="198">
        <f t="shared" si="128"/>
        <v>0</v>
      </c>
      <c r="EY108" s="198">
        <f t="shared" si="128"/>
        <v>0</v>
      </c>
      <c r="EZ108" s="158">
        <f>SUM(EO108:EY108)</f>
        <v>2025.08055</v>
      </c>
      <c r="FA108" s="237"/>
      <c r="GE108" s="237"/>
      <c r="GF108" s="237"/>
      <c r="GG108" s="237"/>
      <c r="GH108" s="237"/>
      <c r="GI108" s="237"/>
      <c r="GJ108" s="237"/>
      <c r="GK108" s="237"/>
      <c r="GL108" s="237"/>
      <c r="GT108" s="237"/>
      <c r="GU108" s="237"/>
      <c r="GV108" s="237"/>
      <c r="GW108" s="237"/>
      <c r="GX108" s="237"/>
      <c r="GY108" s="237"/>
      <c r="GZ108" s="237"/>
      <c r="HA108" s="237"/>
      <c r="HB108" s="237"/>
      <c r="HC108" s="237"/>
      <c r="HD108" s="237"/>
      <c r="HE108" s="237"/>
      <c r="HF108" s="237"/>
      <c r="HG108" s="237"/>
      <c r="HH108" s="237"/>
      <c r="HI108" s="237"/>
      <c r="HJ108" s="237"/>
      <c r="HK108" s="237"/>
      <c r="HL108" s="237"/>
    </row>
    <row r="109" spans="1:220" ht="15" customHeight="1">
      <c r="A109" s="391"/>
      <c r="B109" s="392"/>
      <c r="C109" s="393"/>
      <c r="D109" s="393"/>
      <c r="E109" s="394"/>
      <c r="F109" s="395" t="s">
        <v>178</v>
      </c>
      <c r="G109" s="396">
        <v>0.01</v>
      </c>
      <c r="H109" s="397">
        <f>$G$109*H107</f>
        <v>0</v>
      </c>
      <c r="I109" s="397">
        <f aca="true" t="shared" si="129" ref="I109:AP109">$G$109*I107</f>
        <v>0</v>
      </c>
      <c r="J109" s="397">
        <f t="shared" si="129"/>
        <v>0</v>
      </c>
      <c r="K109" s="397">
        <f t="shared" si="129"/>
        <v>0</v>
      </c>
      <c r="L109" s="397">
        <f t="shared" si="129"/>
        <v>0</v>
      </c>
      <c r="M109" s="397">
        <f t="shared" si="129"/>
        <v>0</v>
      </c>
      <c r="N109" s="397">
        <f t="shared" si="129"/>
        <v>0</v>
      </c>
      <c r="O109" s="397">
        <f t="shared" si="129"/>
        <v>0</v>
      </c>
      <c r="P109" s="397">
        <f t="shared" si="129"/>
        <v>0</v>
      </c>
      <c r="Q109" s="397">
        <f t="shared" si="129"/>
        <v>0</v>
      </c>
      <c r="R109" s="397">
        <f t="shared" si="129"/>
        <v>0</v>
      </c>
      <c r="S109" s="397">
        <f t="shared" si="129"/>
        <v>0.3375</v>
      </c>
      <c r="T109" s="397">
        <f t="shared" si="129"/>
        <v>0.3375</v>
      </c>
      <c r="U109" s="397">
        <f t="shared" si="129"/>
        <v>0.3375</v>
      </c>
      <c r="V109" s="397">
        <f t="shared" si="129"/>
        <v>0.3375</v>
      </c>
      <c r="W109" s="397">
        <f t="shared" si="129"/>
        <v>0.3375</v>
      </c>
      <c r="X109" s="397">
        <f t="shared" si="129"/>
        <v>0.3375</v>
      </c>
      <c r="Y109" s="397">
        <f t="shared" si="129"/>
        <v>0.3375</v>
      </c>
      <c r="Z109" s="397">
        <f t="shared" si="129"/>
        <v>0.3375</v>
      </c>
      <c r="AA109" s="397">
        <f t="shared" si="129"/>
        <v>0.3375</v>
      </c>
      <c r="AB109" s="397">
        <f t="shared" si="129"/>
        <v>0.3375</v>
      </c>
      <c r="AC109" s="397">
        <f t="shared" si="129"/>
        <v>0.3375</v>
      </c>
      <c r="AD109" s="397">
        <f t="shared" si="129"/>
        <v>0.3375</v>
      </c>
      <c r="AE109" s="397">
        <f t="shared" si="129"/>
        <v>0.3375</v>
      </c>
      <c r="AF109" s="397">
        <f t="shared" si="129"/>
        <v>0.3375</v>
      </c>
      <c r="AG109" s="397">
        <f t="shared" si="129"/>
        <v>0.3375</v>
      </c>
      <c r="AH109" s="397">
        <f t="shared" si="129"/>
        <v>0.3375</v>
      </c>
      <c r="AI109" s="397">
        <f t="shared" si="129"/>
        <v>0.3375</v>
      </c>
      <c r="AJ109" s="397">
        <f t="shared" si="129"/>
        <v>0.3375</v>
      </c>
      <c r="AK109" s="397">
        <f t="shared" si="129"/>
        <v>0.3375</v>
      </c>
      <c r="AL109" s="397">
        <f t="shared" si="129"/>
        <v>0.3375</v>
      </c>
      <c r="AM109" s="397">
        <f t="shared" si="129"/>
        <v>0.3375</v>
      </c>
      <c r="AN109" s="397">
        <f t="shared" si="129"/>
        <v>0.3375</v>
      </c>
      <c r="AO109" s="397">
        <f t="shared" si="129"/>
        <v>0.3375</v>
      </c>
      <c r="AP109" s="623">
        <f t="shared" si="129"/>
        <v>0.3375</v>
      </c>
      <c r="AQ109" s="623">
        <f>$G$109*AQ107</f>
        <v>0.3375</v>
      </c>
      <c r="AR109" s="623"/>
      <c r="AS109" s="623"/>
      <c r="AT109" s="675"/>
      <c r="AU109" s="675"/>
      <c r="AV109" s="675"/>
      <c r="AW109" s="675"/>
      <c r="AX109" s="675"/>
      <c r="AY109" s="675"/>
      <c r="BA109" s="623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7">
        <f aca="true" t="shared" si="130" ref="BL109:DM109">$G$109*BL106</f>
        <v>0.15267</v>
      </c>
      <c r="BM109" s="397">
        <f t="shared" si="130"/>
        <v>0.15267</v>
      </c>
      <c r="BN109" s="397">
        <f t="shared" si="130"/>
        <v>0.15267</v>
      </c>
      <c r="BO109" s="397">
        <f t="shared" si="130"/>
        <v>0.15267</v>
      </c>
      <c r="BP109" s="397">
        <f t="shared" si="130"/>
        <v>0.15267</v>
      </c>
      <c r="BQ109" s="397">
        <f t="shared" si="130"/>
        <v>0.15267</v>
      </c>
      <c r="BR109" s="397">
        <f t="shared" si="130"/>
        <v>0.15267</v>
      </c>
      <c r="BS109" s="397">
        <f t="shared" si="130"/>
        <v>0.15267</v>
      </c>
      <c r="BT109" s="397">
        <f t="shared" si="130"/>
        <v>0.15267</v>
      </c>
      <c r="BU109" s="397">
        <f t="shared" si="130"/>
        <v>0.15267</v>
      </c>
      <c r="BV109" s="397">
        <f t="shared" si="130"/>
        <v>0.15267</v>
      </c>
      <c r="BW109" s="397">
        <f t="shared" si="130"/>
        <v>0.15267</v>
      </c>
      <c r="BX109" s="397">
        <f t="shared" si="130"/>
        <v>0.15267</v>
      </c>
      <c r="BY109" s="397">
        <f t="shared" si="130"/>
        <v>0.15267</v>
      </c>
      <c r="BZ109" s="397">
        <f t="shared" si="130"/>
        <v>0.15267</v>
      </c>
      <c r="CA109" s="397">
        <f t="shared" si="130"/>
        <v>0.15267</v>
      </c>
      <c r="CB109" s="397">
        <f t="shared" si="130"/>
        <v>0.15267</v>
      </c>
      <c r="CC109" s="397">
        <f t="shared" si="130"/>
        <v>0.15267</v>
      </c>
      <c r="CD109" s="397">
        <f t="shared" si="130"/>
        <v>0.15267</v>
      </c>
      <c r="CE109" s="397">
        <f t="shared" si="130"/>
        <v>0.15267</v>
      </c>
      <c r="CF109" s="397">
        <f t="shared" si="130"/>
        <v>0.15267</v>
      </c>
      <c r="CG109" s="397">
        <f t="shared" si="130"/>
        <v>0.15267</v>
      </c>
      <c r="CH109" s="397">
        <f t="shared" si="130"/>
        <v>0.15267</v>
      </c>
      <c r="CI109" s="397">
        <f t="shared" si="130"/>
        <v>0.15267</v>
      </c>
      <c r="CJ109" s="397">
        <f>$G$109*CJ106</f>
        <v>0.15267</v>
      </c>
      <c r="CK109" s="397"/>
      <c r="CL109" s="397"/>
      <c r="CM109" s="708"/>
      <c r="CN109" s="708"/>
      <c r="CO109" s="708"/>
      <c r="CP109" s="708"/>
      <c r="CQ109" s="708"/>
      <c r="CR109" s="708"/>
      <c r="CT109" s="689"/>
      <c r="CU109" s="397"/>
      <c r="CV109" s="397"/>
      <c r="CW109" s="397"/>
      <c r="CX109" s="397"/>
      <c r="CY109" s="397"/>
      <c r="CZ109" s="397"/>
      <c r="DA109" s="397"/>
      <c r="DB109" s="397"/>
      <c r="DC109" s="397"/>
      <c r="DD109" s="397"/>
      <c r="DE109" s="397">
        <f t="shared" si="130"/>
        <v>0.047700000000000006</v>
      </c>
      <c r="DF109" s="397">
        <f t="shared" si="130"/>
        <v>0.047700000000000006</v>
      </c>
      <c r="DG109" s="397">
        <f t="shared" si="130"/>
        <v>0.047700000000000006</v>
      </c>
      <c r="DH109" s="397">
        <f t="shared" si="130"/>
        <v>0.047700000000000006</v>
      </c>
      <c r="DI109" s="397">
        <f t="shared" si="130"/>
        <v>0.047700000000000006</v>
      </c>
      <c r="DJ109" s="397">
        <f t="shared" si="130"/>
        <v>0.047700000000000006</v>
      </c>
      <c r="DK109" s="397">
        <f t="shared" si="130"/>
        <v>0.047700000000000006</v>
      </c>
      <c r="DL109" s="397">
        <f t="shared" si="130"/>
        <v>0.047700000000000006</v>
      </c>
      <c r="DM109" s="397">
        <f t="shared" si="130"/>
        <v>0.047700000000000006</v>
      </c>
      <c r="DN109" s="397">
        <f aca="true" t="shared" si="131" ref="DN109:EB109">$G$109*DN106</f>
        <v>0.047700000000000006</v>
      </c>
      <c r="DO109" s="397">
        <f t="shared" si="131"/>
        <v>0.047700000000000006</v>
      </c>
      <c r="DP109" s="397">
        <f t="shared" si="131"/>
        <v>0.047700000000000006</v>
      </c>
      <c r="DQ109" s="397">
        <f t="shared" si="131"/>
        <v>0.047700000000000006</v>
      </c>
      <c r="DR109" s="397">
        <f t="shared" si="131"/>
        <v>0.047700000000000006</v>
      </c>
      <c r="DS109" s="397">
        <f t="shared" si="131"/>
        <v>0.047700000000000006</v>
      </c>
      <c r="DT109" s="397">
        <f t="shared" si="131"/>
        <v>0.047700000000000006</v>
      </c>
      <c r="DU109" s="397">
        <f t="shared" si="131"/>
        <v>0.047700000000000006</v>
      </c>
      <c r="DV109" s="397">
        <f t="shared" si="131"/>
        <v>0.047700000000000006</v>
      </c>
      <c r="DW109" s="397">
        <f t="shared" si="131"/>
        <v>0.047700000000000006</v>
      </c>
      <c r="DX109" s="397">
        <f t="shared" si="131"/>
        <v>0.047700000000000006</v>
      </c>
      <c r="DY109" s="397">
        <f t="shared" si="131"/>
        <v>0.047700000000000006</v>
      </c>
      <c r="DZ109" s="397">
        <f t="shared" si="131"/>
        <v>0.047700000000000006</v>
      </c>
      <c r="EA109" s="397">
        <f t="shared" si="131"/>
        <v>0.047700000000000006</v>
      </c>
      <c r="EB109" s="623">
        <f t="shared" si="131"/>
        <v>0.047700000000000006</v>
      </c>
      <c r="EC109" s="623">
        <f>$G$109*EC106</f>
        <v>0.047700000000000006</v>
      </c>
      <c r="ED109" s="623"/>
      <c r="EE109" s="623"/>
      <c r="EF109" s="675"/>
      <c r="EG109" s="675"/>
      <c r="EH109" s="675"/>
      <c r="EI109" s="675"/>
      <c r="EJ109" s="675"/>
      <c r="EK109" s="675"/>
      <c r="EN109" s="390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GE109" s="237"/>
      <c r="GF109" s="237"/>
      <c r="GG109" s="237"/>
      <c r="GH109" s="237"/>
      <c r="GI109" s="237"/>
      <c r="GJ109" s="237"/>
      <c r="GK109" s="237"/>
      <c r="GL109" s="237"/>
      <c r="GT109" s="237"/>
      <c r="GU109" s="237"/>
      <c r="GV109" s="237"/>
      <c r="GW109" s="237"/>
      <c r="GX109" s="237"/>
      <c r="GY109" s="237"/>
      <c r="GZ109" s="237"/>
      <c r="HA109" s="237"/>
      <c r="HB109" s="237"/>
      <c r="HC109" s="237"/>
      <c r="HD109" s="237"/>
      <c r="HE109" s="237"/>
      <c r="HF109" s="237"/>
      <c r="HG109" s="237"/>
      <c r="HH109" s="237"/>
      <c r="HI109" s="237"/>
      <c r="HJ109" s="237"/>
      <c r="HK109" s="237"/>
      <c r="HL109" s="237"/>
    </row>
    <row r="110" spans="1:220" ht="15" customHeight="1">
      <c r="A110" s="214"/>
      <c r="B110" s="215" t="s">
        <v>166</v>
      </c>
      <c r="C110" s="216"/>
      <c r="D110" s="216"/>
      <c r="E110" s="231"/>
      <c r="F110" s="228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626"/>
      <c r="AQ110" s="626"/>
      <c r="AR110" s="626"/>
      <c r="AS110" s="626"/>
      <c r="AT110" s="680"/>
      <c r="AU110" s="680"/>
      <c r="AV110" s="680"/>
      <c r="AW110" s="680"/>
      <c r="AX110" s="680"/>
      <c r="AY110" s="680"/>
      <c r="AZ110" s="237"/>
      <c r="BA110" s="698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705"/>
      <c r="CN110" s="705"/>
      <c r="CO110" s="705"/>
      <c r="CP110" s="705"/>
      <c r="CQ110" s="705"/>
      <c r="CR110" s="705"/>
      <c r="CT110" s="25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  <c r="DT110" s="205"/>
      <c r="DU110" s="205"/>
      <c r="DV110" s="205"/>
      <c r="DW110" s="205"/>
      <c r="DX110" s="205"/>
      <c r="DY110" s="205"/>
      <c r="DZ110" s="205"/>
      <c r="EA110" s="205"/>
      <c r="EB110" s="626"/>
      <c r="EC110" s="626"/>
      <c r="ED110" s="626"/>
      <c r="EE110" s="626"/>
      <c r="EF110" s="680"/>
      <c r="EG110" s="680"/>
      <c r="EH110" s="680"/>
      <c r="EI110" s="680"/>
      <c r="EJ110" s="680"/>
      <c r="EK110" s="680"/>
      <c r="GE110" s="237"/>
      <c r="GF110" s="237"/>
      <c r="GG110" s="237"/>
      <c r="GH110" s="237"/>
      <c r="GI110" s="237"/>
      <c r="GJ110" s="237"/>
      <c r="GK110" s="237"/>
      <c r="GL110" s="237"/>
      <c r="GT110" s="237"/>
      <c r="GU110" s="237"/>
      <c r="GV110" s="237"/>
      <c r="GW110" s="237"/>
      <c r="GX110" s="237"/>
      <c r="GY110" s="237"/>
      <c r="GZ110" s="237"/>
      <c r="HA110" s="237"/>
      <c r="HB110" s="237"/>
      <c r="HC110" s="237"/>
      <c r="HD110" s="237"/>
      <c r="HE110" s="237"/>
      <c r="HF110" s="237"/>
      <c r="HG110" s="237"/>
      <c r="HH110" s="237"/>
      <c r="HI110" s="237"/>
      <c r="HJ110" s="237"/>
      <c r="HK110" s="237"/>
      <c r="HL110" s="237"/>
    </row>
    <row r="111" spans="1:220" ht="15" customHeight="1">
      <c r="A111" s="153">
        <v>1</v>
      </c>
      <c r="B111" s="156" t="s">
        <v>167</v>
      </c>
      <c r="C111" s="154">
        <v>1</v>
      </c>
      <c r="D111" s="154">
        <v>1000</v>
      </c>
      <c r="E111" s="161">
        <f t="shared" si="119"/>
        <v>1</v>
      </c>
      <c r="F111" s="224"/>
      <c r="G111" s="115"/>
      <c r="H111" s="235"/>
      <c r="I111" s="23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98"/>
      <c r="AQ111" s="198"/>
      <c r="AR111" s="198"/>
      <c r="AS111" s="198"/>
      <c r="AT111" s="250"/>
      <c r="AU111" s="250"/>
      <c r="AV111" s="250"/>
      <c r="AW111" s="250"/>
      <c r="AX111" s="250"/>
      <c r="AY111" s="250"/>
      <c r="BA111" s="700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>
        <f>$E111*BL$4*Revenue!N5/2</f>
        <v>3</v>
      </c>
      <c r="BM111" s="115">
        <f>$E111*BM$4*Revenue!O5/2</f>
        <v>6</v>
      </c>
      <c r="BN111" s="115">
        <f>$E111*BN$4*Revenue!P5/2</f>
        <v>6</v>
      </c>
      <c r="BO111" s="115">
        <f>$E111*BO$4*Revenue!Q5/2</f>
        <v>6</v>
      </c>
      <c r="BP111" s="115">
        <f>$E111*BP$4*Revenue!R5/2</f>
        <v>6</v>
      </c>
      <c r="BQ111" s="115">
        <f>$E111*BQ$4*Revenue!S5/2</f>
        <v>9</v>
      </c>
      <c r="BR111" s="115">
        <f>$E111*BR$4*Revenue!T5/2</f>
        <v>9</v>
      </c>
      <c r="BS111" s="115">
        <f>$E111*BS$4*Revenue!U5/2</f>
        <v>9</v>
      </c>
      <c r="BT111" s="115">
        <f>$E111*BT$4*Revenue!V5/2</f>
        <v>9</v>
      </c>
      <c r="BU111" s="115">
        <f>$E111*BU$4*Revenue!W5/2</f>
        <v>12</v>
      </c>
      <c r="BV111" s="115">
        <f>$E111*BV$4*Revenue!X5/2</f>
        <v>12</v>
      </c>
      <c r="BW111" s="115">
        <f>$E111*BW$4*Revenue!Y5/2</f>
        <v>12</v>
      </c>
      <c r="BX111" s="115">
        <f>$E111*BX$4*Revenue!Z5/2</f>
        <v>12</v>
      </c>
      <c r="BY111" s="115">
        <f>$E111*BY$4*Revenue!AA5/2</f>
        <v>15</v>
      </c>
      <c r="BZ111" s="115">
        <f>$E111*BZ$4*Revenue!AB5/2</f>
        <v>15</v>
      </c>
      <c r="CA111" s="115">
        <f>$E111*CA$4*Revenue!AC5/2</f>
        <v>15</v>
      </c>
      <c r="CB111" s="115">
        <f>$E111*CB$4*Revenue!AD5/2</f>
        <v>15</v>
      </c>
      <c r="CC111" s="115">
        <f>$E111*CC$4*Revenue!AE5/2</f>
        <v>15</v>
      </c>
      <c r="CD111" s="115">
        <f>$E111*CD$4*Revenue!AF5/2</f>
        <v>15</v>
      </c>
      <c r="CE111" s="115">
        <f>$E111*CE$4*Revenue!AG5/2</f>
        <v>15</v>
      </c>
      <c r="CF111" s="115">
        <f>$E111*CF$4*Revenue!AH5/2</f>
        <v>15</v>
      </c>
      <c r="CG111" s="115">
        <f>$E111*CG$4*Revenue!AI5/2</f>
        <v>15</v>
      </c>
      <c r="CH111" s="115">
        <f>$E111*CH$4*Revenue!AJ5/2</f>
        <v>15</v>
      </c>
      <c r="CI111" s="115">
        <f>$E111*CI$4*Revenue!AK5/2</f>
        <v>15</v>
      </c>
      <c r="CJ111" s="115">
        <f>$E111*CJ$4*Revenue!AL5/2</f>
        <v>15</v>
      </c>
      <c r="CK111" s="115"/>
      <c r="CL111" s="115"/>
      <c r="CM111" s="115"/>
      <c r="CN111" s="115"/>
      <c r="CO111" s="115"/>
      <c r="CP111" s="115"/>
      <c r="CQ111" s="115"/>
      <c r="CR111" s="115"/>
      <c r="CT111" s="153"/>
      <c r="CU111" s="247"/>
      <c r="CV111" s="247"/>
      <c r="CW111" s="247"/>
      <c r="CX111" s="247"/>
      <c r="CY111" s="247"/>
      <c r="CZ111" s="247"/>
      <c r="DA111" s="247"/>
      <c r="DB111" s="247"/>
      <c r="DC111" s="247"/>
      <c r="DD111" s="247"/>
      <c r="DE111" s="247"/>
      <c r="DF111" s="247"/>
      <c r="DG111" s="247"/>
      <c r="DH111" s="247"/>
      <c r="DI111" s="247"/>
      <c r="DJ111" s="247"/>
      <c r="DK111" s="247"/>
      <c r="DL111" s="247"/>
      <c r="DM111" s="247"/>
      <c r="DN111" s="247"/>
      <c r="DO111" s="247"/>
      <c r="DP111" s="247"/>
      <c r="DQ111" s="247"/>
      <c r="DR111" s="247"/>
      <c r="DS111" s="247"/>
      <c r="DT111" s="247"/>
      <c r="DU111" s="247"/>
      <c r="DV111" s="247"/>
      <c r="DW111" s="247"/>
      <c r="DX111" s="247"/>
      <c r="DY111" s="247"/>
      <c r="DZ111" s="247"/>
      <c r="EA111" s="247"/>
      <c r="EB111" s="629"/>
      <c r="EC111" s="629"/>
      <c r="ED111" s="629"/>
      <c r="EE111" s="629"/>
      <c r="EF111" s="694"/>
      <c r="EG111" s="694"/>
      <c r="EH111" s="694"/>
      <c r="EI111" s="694"/>
      <c r="EJ111" s="694"/>
      <c r="EK111" s="694"/>
      <c r="GE111" s="237"/>
      <c r="GF111" s="237"/>
      <c r="GG111" s="237"/>
      <c r="GH111" s="237"/>
      <c r="GI111" s="237"/>
      <c r="GJ111" s="237"/>
      <c r="GK111" s="237"/>
      <c r="GL111" s="237"/>
      <c r="GT111" s="237"/>
      <c r="GU111" s="237"/>
      <c r="GV111" s="237"/>
      <c r="GW111" s="237"/>
      <c r="GX111" s="237"/>
      <c r="GY111" s="237"/>
      <c r="GZ111" s="237"/>
      <c r="HA111" s="237"/>
      <c r="HB111" s="237"/>
      <c r="HC111" s="237"/>
      <c r="HD111" s="237"/>
      <c r="HE111" s="237"/>
      <c r="HF111" s="237"/>
      <c r="HG111" s="237"/>
      <c r="HH111" s="237"/>
      <c r="HI111" s="237"/>
      <c r="HJ111" s="237"/>
      <c r="HK111" s="237"/>
      <c r="HL111" s="237"/>
    </row>
    <row r="112" spans="1:220" ht="15" customHeight="1">
      <c r="A112" s="153">
        <v>2</v>
      </c>
      <c r="B112" s="156" t="s">
        <v>437</v>
      </c>
      <c r="C112" s="154">
        <v>5</v>
      </c>
      <c r="D112" s="154">
        <v>800</v>
      </c>
      <c r="E112" s="161">
        <f t="shared" si="119"/>
        <v>4</v>
      </c>
      <c r="F112" s="224"/>
      <c r="G112" s="115"/>
      <c r="H112" s="235"/>
      <c r="I112" s="235"/>
      <c r="J112" s="115"/>
      <c r="K112" s="115"/>
      <c r="L112" s="115">
        <f>$E112*L$4*2</f>
        <v>0</v>
      </c>
      <c r="M112" s="115">
        <f>$E112*M$4*2</f>
        <v>0</v>
      </c>
      <c r="N112" s="115">
        <f>$E112*N$4*3</f>
        <v>0</v>
      </c>
      <c r="O112" s="115">
        <f>$E112*O$4*3</f>
        <v>0</v>
      </c>
      <c r="P112" s="115">
        <f aca="true" t="shared" si="132" ref="P112:R113">$E112*P$4*4</f>
        <v>0</v>
      </c>
      <c r="Q112" s="115">
        <f t="shared" si="132"/>
        <v>0</v>
      </c>
      <c r="R112" s="115">
        <f t="shared" si="132"/>
        <v>0</v>
      </c>
      <c r="S112" s="115">
        <f>$E112*S$4*Revenue!N5/2</f>
        <v>12</v>
      </c>
      <c r="T112" s="115">
        <f>$E112*T$4*Revenue!O5/2</f>
        <v>24</v>
      </c>
      <c r="U112" s="115">
        <f>$E112*U$4*Revenue!P5/2</f>
        <v>24</v>
      </c>
      <c r="V112" s="115">
        <f>$E112*V$4*Revenue!Q5/2</f>
        <v>24</v>
      </c>
      <c r="W112" s="115">
        <f>$E112*W$4*Revenue!R5/2</f>
        <v>24</v>
      </c>
      <c r="X112" s="115">
        <f>$E112*X$4*Revenue!S5/2</f>
        <v>36</v>
      </c>
      <c r="Y112" s="115">
        <f>$E112*Y$4*Revenue!T5/2</f>
        <v>36</v>
      </c>
      <c r="Z112" s="115">
        <f>$E112*Z$4*Revenue!U5/2</f>
        <v>36</v>
      </c>
      <c r="AA112" s="115">
        <f>$E112*AA$4*Revenue!V5/2</f>
        <v>36</v>
      </c>
      <c r="AB112" s="115">
        <f>$E112*AB$4*Revenue!W5/2</f>
        <v>48</v>
      </c>
      <c r="AC112" s="115">
        <f>$E112*AC$4*Revenue!X5/2</f>
        <v>48</v>
      </c>
      <c r="AD112" s="115">
        <f>$E112*AD$4*Revenue!Y5/2</f>
        <v>48</v>
      </c>
      <c r="AE112" s="115">
        <f>$E112*AE$4*Revenue!Z5/2</f>
        <v>48</v>
      </c>
      <c r="AF112" s="115">
        <f>$E112*AF$4*Revenue!AA5/2</f>
        <v>60</v>
      </c>
      <c r="AG112" s="115">
        <f>$E112*AG$4*Revenue!AB5/2</f>
        <v>60</v>
      </c>
      <c r="AH112" s="115">
        <f>$E112*AH$4*Revenue!AC5/2</f>
        <v>60</v>
      </c>
      <c r="AI112" s="115">
        <f>$E112*AI$4*Revenue!AD5/2</f>
        <v>60</v>
      </c>
      <c r="AJ112" s="115">
        <f>$E112*AJ$4*Revenue!AE5/2</f>
        <v>60</v>
      </c>
      <c r="AK112" s="115">
        <f>$E112*AK$4*Revenue!AF5/2</f>
        <v>60</v>
      </c>
      <c r="AL112" s="115">
        <f>$E112*AL$4*Revenue!AG5/2</f>
        <v>60</v>
      </c>
      <c r="AM112" s="115">
        <f>$E112*AM$4*Revenue!AH5/2</f>
        <v>60</v>
      </c>
      <c r="AN112" s="115">
        <f>$E112*AN$4*Revenue!AI5/2</f>
        <v>60</v>
      </c>
      <c r="AO112" s="115">
        <f>$E112*AO$4*Revenue!AJ5/2</f>
        <v>60</v>
      </c>
      <c r="AP112" s="115">
        <f>$E112*AP$4*Revenue!AK5/2</f>
        <v>60</v>
      </c>
      <c r="AQ112" s="115">
        <f>$E112*AQ$4*Revenue!AL5/2</f>
        <v>60</v>
      </c>
      <c r="AR112" s="198"/>
      <c r="AS112" s="198"/>
      <c r="AT112" s="250"/>
      <c r="AU112" s="250"/>
      <c r="AV112" s="250"/>
      <c r="AW112" s="250"/>
      <c r="AX112" s="250"/>
      <c r="AY112" s="250"/>
      <c r="BA112" s="630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702"/>
      <c r="CN112" s="702"/>
      <c r="CO112" s="702"/>
      <c r="CP112" s="702"/>
      <c r="CQ112" s="702"/>
      <c r="CR112" s="702"/>
      <c r="CT112" s="188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98"/>
      <c r="EC112" s="198"/>
      <c r="ED112" s="198"/>
      <c r="EE112" s="198"/>
      <c r="EF112" s="250"/>
      <c r="EG112" s="250"/>
      <c r="EH112" s="250"/>
      <c r="EI112" s="250"/>
      <c r="EJ112" s="250"/>
      <c r="EK112" s="250"/>
      <c r="GE112" s="237"/>
      <c r="GF112" s="237"/>
      <c r="GG112" s="237"/>
      <c r="GH112" s="237"/>
      <c r="GI112" s="237"/>
      <c r="GJ112" s="237"/>
      <c r="GK112" s="237"/>
      <c r="GL112" s="237"/>
      <c r="GT112" s="237"/>
      <c r="GU112" s="237"/>
      <c r="GV112" s="237"/>
      <c r="GW112" s="237"/>
      <c r="GX112" s="237"/>
      <c r="GY112" s="237"/>
      <c r="GZ112" s="237"/>
      <c r="HA112" s="237"/>
      <c r="HB112" s="237"/>
      <c r="HC112" s="237"/>
      <c r="HD112" s="237"/>
      <c r="HE112" s="237"/>
      <c r="HF112" s="237"/>
      <c r="HG112" s="237"/>
      <c r="HH112" s="237"/>
      <c r="HI112" s="237"/>
      <c r="HJ112" s="237"/>
      <c r="HK112" s="237"/>
      <c r="HL112" s="237"/>
    </row>
    <row r="113" spans="1:220" ht="15" customHeight="1">
      <c r="A113" s="153">
        <v>3</v>
      </c>
      <c r="B113" s="156" t="s">
        <v>505</v>
      </c>
      <c r="C113" s="154">
        <v>3</v>
      </c>
      <c r="D113" s="154">
        <v>700</v>
      </c>
      <c r="E113" s="161">
        <f t="shared" si="119"/>
        <v>2.1</v>
      </c>
      <c r="F113" s="224"/>
      <c r="G113" s="115"/>
      <c r="H113" s="235"/>
      <c r="I113" s="235"/>
      <c r="J113" s="115"/>
      <c r="K113" s="115"/>
      <c r="L113" s="115">
        <f>$E113*L$4*2</f>
        <v>0</v>
      </c>
      <c r="M113" s="115">
        <f>$E113*M$4*2</f>
        <v>0</v>
      </c>
      <c r="N113" s="575">
        <f>$E113*N$4*3</f>
        <v>0</v>
      </c>
      <c r="O113" s="575">
        <f>$E113*O$4*3</f>
        <v>0</v>
      </c>
      <c r="P113" s="115">
        <f t="shared" si="132"/>
        <v>0</v>
      </c>
      <c r="Q113" s="115">
        <f t="shared" si="132"/>
        <v>0</v>
      </c>
      <c r="R113" s="115">
        <f t="shared" si="132"/>
        <v>0</v>
      </c>
      <c r="S113" s="115">
        <f>$E113*S$4*Revenue!N5/2</f>
        <v>6.300000000000001</v>
      </c>
      <c r="T113" s="115">
        <f>$E113*T$4*Revenue!O5/2</f>
        <v>12.600000000000001</v>
      </c>
      <c r="U113" s="115">
        <f>$E113*U$4*Revenue!P5/2</f>
        <v>12.600000000000001</v>
      </c>
      <c r="V113" s="115">
        <f>$E113*V$4*Revenue!Q5/2</f>
        <v>12.600000000000001</v>
      </c>
      <c r="W113" s="115">
        <f>$E113*W$4*Revenue!R5/2</f>
        <v>12.600000000000001</v>
      </c>
      <c r="X113" s="115">
        <f>$E113*X$4*Revenue!S5/2</f>
        <v>18.900000000000002</v>
      </c>
      <c r="Y113" s="115">
        <f>$E113*Y$4*Revenue!T5/2</f>
        <v>18.900000000000002</v>
      </c>
      <c r="Z113" s="115">
        <f>$E113*Z$4*Revenue!U5/2</f>
        <v>18.900000000000002</v>
      </c>
      <c r="AA113" s="115">
        <f>$E113*AA$4*Revenue!V5/2</f>
        <v>18.900000000000002</v>
      </c>
      <c r="AB113" s="115">
        <f>$E113*AB$4*Revenue!W5/2</f>
        <v>25.200000000000003</v>
      </c>
      <c r="AC113" s="115">
        <f>$E113*AC$4*Revenue!X5/2</f>
        <v>25.200000000000003</v>
      </c>
      <c r="AD113" s="115">
        <f>$E113*AD$4*Revenue!Y5/2</f>
        <v>25.200000000000003</v>
      </c>
      <c r="AE113" s="115">
        <f>$E113*AE$4*Revenue!Z5/2</f>
        <v>25.200000000000003</v>
      </c>
      <c r="AF113" s="115">
        <f>$E113*AF$4*Revenue!AA5/2</f>
        <v>31.500000000000004</v>
      </c>
      <c r="AG113" s="115">
        <f>$E113*AG$4*Revenue!AB5/2</f>
        <v>31.500000000000004</v>
      </c>
      <c r="AH113" s="115">
        <f>$E113*AH$4*Revenue!AC5/2</f>
        <v>31.500000000000004</v>
      </c>
      <c r="AI113" s="115">
        <f>$E113*AI$4*Revenue!AD5/2</f>
        <v>31.500000000000004</v>
      </c>
      <c r="AJ113" s="115">
        <f>$E113*AJ$4*Revenue!AE5/2</f>
        <v>31.500000000000004</v>
      </c>
      <c r="AK113" s="115">
        <f>$E113*AK$4*Revenue!AF5/2</f>
        <v>31.500000000000004</v>
      </c>
      <c r="AL113" s="115">
        <f>$E113*AL$4*Revenue!AG5/2</f>
        <v>31.500000000000004</v>
      </c>
      <c r="AM113" s="115">
        <f>$E113*AM$4*Revenue!AH5/2</f>
        <v>31.500000000000004</v>
      </c>
      <c r="AN113" s="115">
        <f>$E113*AN$4*Revenue!AI5/2</f>
        <v>31.500000000000004</v>
      </c>
      <c r="AO113" s="115">
        <f>$E113*AO$4*Revenue!AJ5/2</f>
        <v>31.500000000000004</v>
      </c>
      <c r="AP113" s="115">
        <f>$E113*AP$4*Revenue!AK5/2</f>
        <v>31.500000000000004</v>
      </c>
      <c r="AQ113" s="115">
        <f>$E113*AQ$4*Revenue!AL5/2</f>
        <v>31.500000000000004</v>
      </c>
      <c r="AR113" s="645"/>
      <c r="AS113" s="645"/>
      <c r="AT113" s="681"/>
      <c r="AU113" s="681"/>
      <c r="AV113" s="681"/>
      <c r="AW113" s="681"/>
      <c r="AX113" s="681"/>
      <c r="AY113" s="681"/>
      <c r="BA113" s="630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702"/>
      <c r="CN113" s="702"/>
      <c r="CO113" s="702"/>
      <c r="CP113" s="702"/>
      <c r="CQ113" s="702"/>
      <c r="CR113" s="702"/>
      <c r="CT113" s="188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98"/>
      <c r="EC113" s="198"/>
      <c r="ED113" s="198"/>
      <c r="EE113" s="198"/>
      <c r="EF113" s="250"/>
      <c r="EG113" s="250"/>
      <c r="EH113" s="250"/>
      <c r="EI113" s="250"/>
      <c r="EJ113" s="250"/>
      <c r="EK113" s="250"/>
      <c r="EN113" s="275" t="s">
        <v>184</v>
      </c>
      <c r="EO113" s="275">
        <v>2004</v>
      </c>
      <c r="EP113" s="275">
        <v>2005</v>
      </c>
      <c r="EQ113" s="275">
        <v>2006</v>
      </c>
      <c r="ER113" s="275">
        <v>2007</v>
      </c>
      <c r="ES113" s="275">
        <v>2008</v>
      </c>
      <c r="ET113" s="275">
        <v>2009</v>
      </c>
      <c r="EU113" s="275">
        <v>2010</v>
      </c>
      <c r="EV113" s="275">
        <v>2011</v>
      </c>
      <c r="EW113" s="275">
        <v>2012</v>
      </c>
      <c r="EX113" s="275">
        <v>2013</v>
      </c>
      <c r="EY113" s="275">
        <v>2014</v>
      </c>
      <c r="EZ113" s="658" t="s">
        <v>187</v>
      </c>
      <c r="FA113" s="35"/>
      <c r="GE113" s="237"/>
      <c r="GF113" s="237"/>
      <c r="GG113" s="237"/>
      <c r="GH113" s="237"/>
      <c r="GI113" s="237"/>
      <c r="GJ113" s="237"/>
      <c r="GK113" s="237"/>
      <c r="GL113" s="237"/>
      <c r="GT113" s="651"/>
      <c r="GU113" s="237"/>
      <c r="GV113" s="237"/>
      <c r="GW113" s="237"/>
      <c r="GX113" s="237"/>
      <c r="GY113" s="651"/>
      <c r="GZ113" s="237"/>
      <c r="HA113" s="237"/>
      <c r="HB113" s="237"/>
      <c r="HC113" s="237"/>
      <c r="HD113" s="237"/>
      <c r="HE113" s="651"/>
      <c r="HF113" s="237"/>
      <c r="HG113" s="237"/>
      <c r="HH113" s="237"/>
      <c r="HI113" s="237"/>
      <c r="HJ113" s="651"/>
      <c r="HK113" s="651"/>
      <c r="HL113" s="651"/>
    </row>
    <row r="114" spans="1:220" ht="15" customHeight="1">
      <c r="A114" s="153"/>
      <c r="B114" s="156" t="s">
        <v>139</v>
      </c>
      <c r="C114" s="154">
        <f>SUM(C111)</f>
        <v>1</v>
      </c>
      <c r="D114" s="154"/>
      <c r="E114" s="184">
        <f>SUM(E111)</f>
        <v>1</v>
      </c>
      <c r="F114" s="224"/>
      <c r="G114" s="115"/>
      <c r="H114" s="235"/>
      <c r="I114" s="23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98"/>
      <c r="AQ114" s="198"/>
      <c r="AR114" s="198"/>
      <c r="AS114" s="198"/>
      <c r="AT114" s="250"/>
      <c r="AU114" s="250"/>
      <c r="AV114" s="250"/>
      <c r="AW114" s="250"/>
      <c r="AX114" s="250"/>
      <c r="AY114" s="250"/>
      <c r="BA114" s="630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>
        <f aca="true" t="shared" si="133" ref="BL114:CI114">SUM(BL111)</f>
        <v>3</v>
      </c>
      <c r="BM114" s="115">
        <f t="shared" si="133"/>
        <v>6</v>
      </c>
      <c r="BN114" s="115">
        <f t="shared" si="133"/>
        <v>6</v>
      </c>
      <c r="BO114" s="115">
        <f t="shared" si="133"/>
        <v>6</v>
      </c>
      <c r="BP114" s="115">
        <f t="shared" si="133"/>
        <v>6</v>
      </c>
      <c r="BQ114" s="115">
        <f t="shared" si="133"/>
        <v>9</v>
      </c>
      <c r="BR114" s="115">
        <f t="shared" si="133"/>
        <v>9</v>
      </c>
      <c r="BS114" s="115">
        <f t="shared" si="133"/>
        <v>9</v>
      </c>
      <c r="BT114" s="115">
        <f t="shared" si="133"/>
        <v>9</v>
      </c>
      <c r="BU114" s="115">
        <f t="shared" si="133"/>
        <v>12</v>
      </c>
      <c r="BV114" s="115">
        <f t="shared" si="133"/>
        <v>12</v>
      </c>
      <c r="BW114" s="115">
        <f t="shared" si="133"/>
        <v>12</v>
      </c>
      <c r="BX114" s="115">
        <f t="shared" si="133"/>
        <v>12</v>
      </c>
      <c r="BY114" s="115">
        <f t="shared" si="133"/>
        <v>15</v>
      </c>
      <c r="BZ114" s="115">
        <f t="shared" si="133"/>
        <v>15</v>
      </c>
      <c r="CA114" s="115">
        <f t="shared" si="133"/>
        <v>15</v>
      </c>
      <c r="CB114" s="115">
        <f t="shared" si="133"/>
        <v>15</v>
      </c>
      <c r="CC114" s="115">
        <f t="shared" si="133"/>
        <v>15</v>
      </c>
      <c r="CD114" s="115">
        <f t="shared" si="133"/>
        <v>15</v>
      </c>
      <c r="CE114" s="115">
        <f t="shared" si="133"/>
        <v>15</v>
      </c>
      <c r="CF114" s="115">
        <f t="shared" si="133"/>
        <v>15</v>
      </c>
      <c r="CG114" s="115">
        <f t="shared" si="133"/>
        <v>15</v>
      </c>
      <c r="CH114" s="115">
        <f t="shared" si="133"/>
        <v>15</v>
      </c>
      <c r="CI114" s="115">
        <f t="shared" si="133"/>
        <v>15</v>
      </c>
      <c r="CJ114" s="115">
        <f>SUM(CJ111)</f>
        <v>15</v>
      </c>
      <c r="CK114" s="115"/>
      <c r="CL114" s="115"/>
      <c r="CM114" s="702"/>
      <c r="CN114" s="702"/>
      <c r="CO114" s="702"/>
      <c r="CP114" s="702"/>
      <c r="CQ114" s="702"/>
      <c r="CR114" s="702"/>
      <c r="CT114" s="188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98"/>
      <c r="EC114" s="198"/>
      <c r="ED114" s="198"/>
      <c r="EE114" s="198"/>
      <c r="EF114" s="250"/>
      <c r="EG114" s="250"/>
      <c r="EH114" s="250"/>
      <c r="EI114" s="250"/>
      <c r="EJ114" s="250"/>
      <c r="EK114" s="250"/>
      <c r="EN114" s="114" t="s">
        <v>239</v>
      </c>
      <c r="EO114" s="201">
        <f>SUM(H115:K115,BA114:BD114,CT114:CW114)</f>
        <v>0</v>
      </c>
      <c r="EP114" s="115">
        <f>SUM(L115:O115,BE114:BH114,CX114:DA114)</f>
        <v>0</v>
      </c>
      <c r="EQ114" s="115">
        <f>SUM(P115:S115,BI114:BL114,DB114:DE114)</f>
        <v>21.3</v>
      </c>
      <c r="ER114" s="115">
        <f>SUM(T115:W115,BM114:BP114,DF114:DI114)</f>
        <v>170.4</v>
      </c>
      <c r="ES114" s="115">
        <f>SUM(X115:AA115,BQ114:BT114,DJ114:DM114)</f>
        <v>255.60000000000002</v>
      </c>
      <c r="ET114" s="115">
        <f>SUM(AB115:AE115,BU114:BX114,DN114:DQ114)</f>
        <v>340.8</v>
      </c>
      <c r="EU114" s="115">
        <f>SUM(AF115:AI115,BY114:CB114,DR114:DU114)</f>
        <v>426</v>
      </c>
      <c r="EV114" s="115">
        <f>SUM(AJ115:AM115,CC114:CF114,DV114:DY114)</f>
        <v>426</v>
      </c>
      <c r="EW114" s="115">
        <f>SUM(AN115:AQ115,CG114:CJ114,DZ114:EC114)</f>
        <v>426</v>
      </c>
      <c r="EX114" s="115">
        <f>SUM(AR115:AU115,CK114:CN114,ED114:EG114)</f>
        <v>0</v>
      </c>
      <c r="EY114" s="115">
        <f>SUM(AV115:AY115,CO114:CR114,EH114:EK114)</f>
        <v>0</v>
      </c>
      <c r="EZ114" s="201">
        <f>SUM(EO114:EY114)</f>
        <v>2066.1000000000004</v>
      </c>
      <c r="FA114" s="237"/>
      <c r="FC114" s="317"/>
      <c r="GE114" s="237"/>
      <c r="GF114" s="237"/>
      <c r="GG114" s="237"/>
      <c r="GH114" s="237"/>
      <c r="GI114" s="237"/>
      <c r="GJ114" s="237"/>
      <c r="GK114" s="237"/>
      <c r="GL114" s="237"/>
      <c r="GT114" s="237"/>
      <c r="GU114" s="237"/>
      <c r="GV114" s="237"/>
      <c r="GW114" s="237"/>
      <c r="GX114" s="237"/>
      <c r="GY114" s="237"/>
      <c r="GZ114" s="237"/>
      <c r="HA114" s="237"/>
      <c r="HB114" s="237"/>
      <c r="HC114" s="237"/>
      <c r="HD114" s="237"/>
      <c r="HE114" s="237"/>
      <c r="HF114" s="237"/>
      <c r="HG114" s="237"/>
      <c r="HH114" s="237"/>
      <c r="HI114" s="237"/>
      <c r="HJ114" s="237"/>
      <c r="HK114" s="237"/>
      <c r="HL114" s="237"/>
    </row>
    <row r="115" spans="1:220" ht="15" customHeight="1">
      <c r="A115" s="153"/>
      <c r="B115" s="156" t="s">
        <v>140</v>
      </c>
      <c r="C115" s="154">
        <f>SUM(C112:C113)</f>
        <v>8</v>
      </c>
      <c r="D115" s="154"/>
      <c r="E115" s="184">
        <f>SUM(E112:E113)</f>
        <v>6.1</v>
      </c>
      <c r="F115" s="224"/>
      <c r="G115" s="115"/>
      <c r="H115" s="235">
        <f>SUM(H112:H113)</f>
        <v>0</v>
      </c>
      <c r="I115" s="235">
        <f aca="true" t="shared" si="134" ref="I115:AP115">SUM(I112:I113)</f>
        <v>0</v>
      </c>
      <c r="J115" s="235">
        <f t="shared" si="134"/>
        <v>0</v>
      </c>
      <c r="K115" s="235">
        <f t="shared" si="134"/>
        <v>0</v>
      </c>
      <c r="L115" s="235">
        <f t="shared" si="134"/>
        <v>0</v>
      </c>
      <c r="M115" s="235">
        <f t="shared" si="134"/>
        <v>0</v>
      </c>
      <c r="N115" s="235">
        <f t="shared" si="134"/>
        <v>0</v>
      </c>
      <c r="O115" s="235">
        <f t="shared" si="134"/>
        <v>0</v>
      </c>
      <c r="P115" s="235">
        <f t="shared" si="134"/>
        <v>0</v>
      </c>
      <c r="Q115" s="235">
        <f t="shared" si="134"/>
        <v>0</v>
      </c>
      <c r="R115" s="235">
        <f t="shared" si="134"/>
        <v>0</v>
      </c>
      <c r="S115" s="235">
        <f t="shared" si="134"/>
        <v>18.3</v>
      </c>
      <c r="T115" s="235">
        <f t="shared" si="134"/>
        <v>36.6</v>
      </c>
      <c r="U115" s="235">
        <f t="shared" si="134"/>
        <v>36.6</v>
      </c>
      <c r="V115" s="235">
        <f t="shared" si="134"/>
        <v>36.6</v>
      </c>
      <c r="W115" s="235">
        <f t="shared" si="134"/>
        <v>36.6</v>
      </c>
      <c r="X115" s="235">
        <f t="shared" si="134"/>
        <v>54.900000000000006</v>
      </c>
      <c r="Y115" s="235">
        <f t="shared" si="134"/>
        <v>54.900000000000006</v>
      </c>
      <c r="Z115" s="235">
        <f t="shared" si="134"/>
        <v>54.900000000000006</v>
      </c>
      <c r="AA115" s="235">
        <f t="shared" si="134"/>
        <v>54.900000000000006</v>
      </c>
      <c r="AB115" s="235">
        <f t="shared" si="134"/>
        <v>73.2</v>
      </c>
      <c r="AC115" s="235">
        <f t="shared" si="134"/>
        <v>73.2</v>
      </c>
      <c r="AD115" s="235">
        <f t="shared" si="134"/>
        <v>73.2</v>
      </c>
      <c r="AE115" s="235">
        <f t="shared" si="134"/>
        <v>73.2</v>
      </c>
      <c r="AF115" s="235">
        <f t="shared" si="134"/>
        <v>91.5</v>
      </c>
      <c r="AG115" s="235">
        <f t="shared" si="134"/>
        <v>91.5</v>
      </c>
      <c r="AH115" s="235">
        <f t="shared" si="134"/>
        <v>91.5</v>
      </c>
      <c r="AI115" s="235">
        <f t="shared" si="134"/>
        <v>91.5</v>
      </c>
      <c r="AJ115" s="235">
        <f t="shared" si="134"/>
        <v>91.5</v>
      </c>
      <c r="AK115" s="235">
        <f t="shared" si="134"/>
        <v>91.5</v>
      </c>
      <c r="AL115" s="235">
        <f t="shared" si="134"/>
        <v>91.5</v>
      </c>
      <c r="AM115" s="235">
        <f t="shared" si="134"/>
        <v>91.5</v>
      </c>
      <c r="AN115" s="235">
        <f t="shared" si="134"/>
        <v>91.5</v>
      </c>
      <c r="AO115" s="235">
        <f t="shared" si="134"/>
        <v>91.5</v>
      </c>
      <c r="AP115" s="637">
        <f t="shared" si="134"/>
        <v>91.5</v>
      </c>
      <c r="AQ115" s="637">
        <f>SUM(AQ112:AQ113)</f>
        <v>91.5</v>
      </c>
      <c r="AR115" s="637"/>
      <c r="AS115" s="637"/>
      <c r="AT115" s="336"/>
      <c r="AU115" s="336"/>
      <c r="AV115" s="336"/>
      <c r="AW115" s="336"/>
      <c r="AX115" s="336"/>
      <c r="AY115" s="336"/>
      <c r="BA115" s="630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702"/>
      <c r="CN115" s="702"/>
      <c r="CO115" s="702"/>
      <c r="CP115" s="702"/>
      <c r="CQ115" s="702"/>
      <c r="CR115" s="702"/>
      <c r="CT115" s="188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98"/>
      <c r="EC115" s="198"/>
      <c r="ED115" s="198"/>
      <c r="EE115" s="198"/>
      <c r="EF115" s="250"/>
      <c r="EG115" s="250"/>
      <c r="EH115" s="250"/>
      <c r="EI115" s="250"/>
      <c r="EJ115" s="250"/>
      <c r="EK115" s="250"/>
      <c r="EN115" s="114" t="s">
        <v>185</v>
      </c>
      <c r="EO115" s="115">
        <f aca="true" t="shared" si="135" ref="EO115:EY115">EO114*0.506</f>
        <v>0</v>
      </c>
      <c r="EP115" s="115">
        <f t="shared" si="135"/>
        <v>0</v>
      </c>
      <c r="EQ115" s="115">
        <f t="shared" si="135"/>
        <v>10.777800000000001</v>
      </c>
      <c r="ER115" s="115">
        <f t="shared" si="135"/>
        <v>86.22240000000001</v>
      </c>
      <c r="ES115" s="115">
        <f t="shared" si="135"/>
        <v>129.33360000000002</v>
      </c>
      <c r="ET115" s="115">
        <f t="shared" si="135"/>
        <v>172.44480000000001</v>
      </c>
      <c r="EU115" s="115">
        <f t="shared" si="135"/>
        <v>215.556</v>
      </c>
      <c r="EV115" s="115">
        <f t="shared" si="135"/>
        <v>215.556</v>
      </c>
      <c r="EW115" s="115">
        <f t="shared" si="135"/>
        <v>215.556</v>
      </c>
      <c r="EX115" s="115">
        <f t="shared" si="135"/>
        <v>0</v>
      </c>
      <c r="EY115" s="115">
        <f t="shared" si="135"/>
        <v>0</v>
      </c>
      <c r="EZ115" s="201">
        <f>SUM(EO115:EY115)</f>
        <v>1045.4466</v>
      </c>
      <c r="FA115" s="237"/>
      <c r="GE115" s="237"/>
      <c r="GF115" s="237"/>
      <c r="GG115" s="237"/>
      <c r="GH115" s="237"/>
      <c r="GI115" s="237"/>
      <c r="GJ115" s="237"/>
      <c r="GK115" s="237"/>
      <c r="GL115" s="237"/>
      <c r="GT115" s="237"/>
      <c r="GU115" s="237"/>
      <c r="GV115" s="237"/>
      <c r="GW115" s="237"/>
      <c r="GX115" s="237"/>
      <c r="GY115" s="237"/>
      <c r="GZ115" s="237"/>
      <c r="HA115" s="237"/>
      <c r="HB115" s="237"/>
      <c r="HC115" s="237"/>
      <c r="HD115" s="237"/>
      <c r="HE115" s="237"/>
      <c r="HF115" s="237"/>
      <c r="HG115" s="237"/>
      <c r="HH115" s="237"/>
      <c r="HI115" s="237"/>
      <c r="HJ115" s="237"/>
      <c r="HK115" s="237"/>
      <c r="HL115" s="237"/>
    </row>
    <row r="116" spans="1:220" ht="15" customHeight="1">
      <c r="A116" s="210"/>
      <c r="B116" s="211" t="s">
        <v>70</v>
      </c>
      <c r="C116" s="212">
        <f>SUM(C114:C115)</f>
        <v>9</v>
      </c>
      <c r="D116" s="212"/>
      <c r="E116" s="229">
        <f>SUM(E114:E115)</f>
        <v>7.1</v>
      </c>
      <c r="F116" s="225" t="s">
        <v>110</v>
      </c>
      <c r="G116" s="202">
        <f>G$132</f>
        <v>0.506</v>
      </c>
      <c r="H116" s="204">
        <f aca="true" t="shared" si="136" ref="H116:AP116">SUM(H111:H113)*$G116</f>
        <v>0</v>
      </c>
      <c r="I116" s="204">
        <f t="shared" si="136"/>
        <v>0</v>
      </c>
      <c r="J116" s="204">
        <f t="shared" si="136"/>
        <v>0</v>
      </c>
      <c r="K116" s="204">
        <f t="shared" si="136"/>
        <v>0</v>
      </c>
      <c r="L116" s="204">
        <f t="shared" si="136"/>
        <v>0</v>
      </c>
      <c r="M116" s="204">
        <f t="shared" si="136"/>
        <v>0</v>
      </c>
      <c r="N116" s="204">
        <f t="shared" si="136"/>
        <v>0</v>
      </c>
      <c r="O116" s="204">
        <f t="shared" si="136"/>
        <v>0</v>
      </c>
      <c r="P116" s="204">
        <f t="shared" si="136"/>
        <v>0</v>
      </c>
      <c r="Q116" s="204">
        <f t="shared" si="136"/>
        <v>0</v>
      </c>
      <c r="R116" s="204">
        <f t="shared" si="136"/>
        <v>0</v>
      </c>
      <c r="S116" s="204">
        <f t="shared" si="136"/>
        <v>9.2598</v>
      </c>
      <c r="T116" s="204">
        <f t="shared" si="136"/>
        <v>18.5196</v>
      </c>
      <c r="U116" s="204">
        <f t="shared" si="136"/>
        <v>18.5196</v>
      </c>
      <c r="V116" s="204">
        <f t="shared" si="136"/>
        <v>18.5196</v>
      </c>
      <c r="W116" s="204">
        <f t="shared" si="136"/>
        <v>18.5196</v>
      </c>
      <c r="X116" s="204">
        <f t="shared" si="136"/>
        <v>27.779400000000003</v>
      </c>
      <c r="Y116" s="204">
        <f t="shared" si="136"/>
        <v>27.779400000000003</v>
      </c>
      <c r="Z116" s="204">
        <f t="shared" si="136"/>
        <v>27.779400000000003</v>
      </c>
      <c r="AA116" s="204">
        <f t="shared" si="136"/>
        <v>27.779400000000003</v>
      </c>
      <c r="AB116" s="204">
        <f t="shared" si="136"/>
        <v>37.0392</v>
      </c>
      <c r="AC116" s="204">
        <f t="shared" si="136"/>
        <v>37.0392</v>
      </c>
      <c r="AD116" s="204">
        <f t="shared" si="136"/>
        <v>37.0392</v>
      </c>
      <c r="AE116" s="204">
        <f t="shared" si="136"/>
        <v>37.0392</v>
      </c>
      <c r="AF116" s="204">
        <f t="shared" si="136"/>
        <v>46.299</v>
      </c>
      <c r="AG116" s="204">
        <f t="shared" si="136"/>
        <v>46.299</v>
      </c>
      <c r="AH116" s="204">
        <f t="shared" si="136"/>
        <v>46.299</v>
      </c>
      <c r="AI116" s="204">
        <f t="shared" si="136"/>
        <v>46.299</v>
      </c>
      <c r="AJ116" s="204">
        <f t="shared" si="136"/>
        <v>46.299</v>
      </c>
      <c r="AK116" s="204">
        <f t="shared" si="136"/>
        <v>46.299</v>
      </c>
      <c r="AL116" s="204">
        <f t="shared" si="136"/>
        <v>46.299</v>
      </c>
      <c r="AM116" s="204">
        <f t="shared" si="136"/>
        <v>46.299</v>
      </c>
      <c r="AN116" s="204">
        <f t="shared" si="136"/>
        <v>46.299</v>
      </c>
      <c r="AO116" s="204">
        <f t="shared" si="136"/>
        <v>46.299</v>
      </c>
      <c r="AP116" s="624">
        <f t="shared" si="136"/>
        <v>46.299</v>
      </c>
      <c r="AQ116" s="624">
        <f>SUM(AQ111:AQ113)*$G116</f>
        <v>46.299</v>
      </c>
      <c r="AR116" s="624"/>
      <c r="AS116" s="624"/>
      <c r="AT116" s="676"/>
      <c r="AU116" s="676"/>
      <c r="AV116" s="676"/>
      <c r="AW116" s="676"/>
      <c r="AX116" s="676"/>
      <c r="AY116" s="676"/>
      <c r="BA116" s="697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>
        <f aca="true" t="shared" si="137" ref="BL116:CI116">SUM(BL111:BL113)*$G116</f>
        <v>1.518</v>
      </c>
      <c r="BM116" s="204">
        <f t="shared" si="137"/>
        <v>3.036</v>
      </c>
      <c r="BN116" s="204">
        <f t="shared" si="137"/>
        <v>3.036</v>
      </c>
      <c r="BO116" s="204">
        <f t="shared" si="137"/>
        <v>3.036</v>
      </c>
      <c r="BP116" s="204">
        <f t="shared" si="137"/>
        <v>3.036</v>
      </c>
      <c r="BQ116" s="204">
        <f t="shared" si="137"/>
        <v>4.554</v>
      </c>
      <c r="BR116" s="204">
        <f t="shared" si="137"/>
        <v>4.554</v>
      </c>
      <c r="BS116" s="204">
        <f t="shared" si="137"/>
        <v>4.554</v>
      </c>
      <c r="BT116" s="204">
        <f t="shared" si="137"/>
        <v>4.554</v>
      </c>
      <c r="BU116" s="204">
        <f t="shared" si="137"/>
        <v>6.072</v>
      </c>
      <c r="BV116" s="204">
        <f t="shared" si="137"/>
        <v>6.072</v>
      </c>
      <c r="BW116" s="204">
        <f t="shared" si="137"/>
        <v>6.072</v>
      </c>
      <c r="BX116" s="204">
        <f t="shared" si="137"/>
        <v>6.072</v>
      </c>
      <c r="BY116" s="204">
        <f t="shared" si="137"/>
        <v>7.59</v>
      </c>
      <c r="BZ116" s="204">
        <f t="shared" si="137"/>
        <v>7.59</v>
      </c>
      <c r="CA116" s="204">
        <f t="shared" si="137"/>
        <v>7.59</v>
      </c>
      <c r="CB116" s="204">
        <f t="shared" si="137"/>
        <v>7.59</v>
      </c>
      <c r="CC116" s="204">
        <f t="shared" si="137"/>
        <v>7.59</v>
      </c>
      <c r="CD116" s="204">
        <f t="shared" si="137"/>
        <v>7.59</v>
      </c>
      <c r="CE116" s="204">
        <f t="shared" si="137"/>
        <v>7.59</v>
      </c>
      <c r="CF116" s="204">
        <f t="shared" si="137"/>
        <v>7.59</v>
      </c>
      <c r="CG116" s="204">
        <f t="shared" si="137"/>
        <v>7.59</v>
      </c>
      <c r="CH116" s="204">
        <f t="shared" si="137"/>
        <v>7.59</v>
      </c>
      <c r="CI116" s="204">
        <f t="shared" si="137"/>
        <v>7.59</v>
      </c>
      <c r="CJ116" s="204">
        <f>SUM(CJ111:CJ113)*$G116</f>
        <v>7.59</v>
      </c>
      <c r="CK116" s="204"/>
      <c r="CL116" s="204"/>
      <c r="CM116" s="703"/>
      <c r="CN116" s="703"/>
      <c r="CO116" s="703"/>
      <c r="CP116" s="703"/>
      <c r="CQ116" s="703"/>
      <c r="CR116" s="703"/>
      <c r="CT116" s="254"/>
      <c r="CU116" s="204"/>
      <c r="CV116" s="204"/>
      <c r="CW116" s="204"/>
      <c r="CX116" s="204"/>
      <c r="CY116" s="204"/>
      <c r="CZ116" s="204"/>
      <c r="DA116" s="204"/>
      <c r="DB116" s="204"/>
      <c r="DC116" s="204"/>
      <c r="DD116" s="204"/>
      <c r="DE116" s="204">
        <f aca="true" t="shared" si="138" ref="DE116:EB116">SUM(DE111:DE113)*$G116</f>
        <v>0</v>
      </c>
      <c r="DF116" s="204">
        <f t="shared" si="138"/>
        <v>0</v>
      </c>
      <c r="DG116" s="204">
        <f t="shared" si="138"/>
        <v>0</v>
      </c>
      <c r="DH116" s="204">
        <f t="shared" si="138"/>
        <v>0</v>
      </c>
      <c r="DI116" s="204">
        <f t="shared" si="138"/>
        <v>0</v>
      </c>
      <c r="DJ116" s="204">
        <f t="shared" si="138"/>
        <v>0</v>
      </c>
      <c r="DK116" s="204">
        <f t="shared" si="138"/>
        <v>0</v>
      </c>
      <c r="DL116" s="204">
        <f t="shared" si="138"/>
        <v>0</v>
      </c>
      <c r="DM116" s="204">
        <f t="shared" si="138"/>
        <v>0</v>
      </c>
      <c r="DN116" s="204">
        <f t="shared" si="138"/>
        <v>0</v>
      </c>
      <c r="DO116" s="204">
        <f t="shared" si="138"/>
        <v>0</v>
      </c>
      <c r="DP116" s="204">
        <f t="shared" si="138"/>
        <v>0</v>
      </c>
      <c r="DQ116" s="204">
        <f t="shared" si="138"/>
        <v>0</v>
      </c>
      <c r="DR116" s="204">
        <f t="shared" si="138"/>
        <v>0</v>
      </c>
      <c r="DS116" s="204">
        <f t="shared" si="138"/>
        <v>0</v>
      </c>
      <c r="DT116" s="204">
        <f t="shared" si="138"/>
        <v>0</v>
      </c>
      <c r="DU116" s="204">
        <f t="shared" si="138"/>
        <v>0</v>
      </c>
      <c r="DV116" s="204">
        <f t="shared" si="138"/>
        <v>0</v>
      </c>
      <c r="DW116" s="204">
        <f t="shared" si="138"/>
        <v>0</v>
      </c>
      <c r="DX116" s="204">
        <f t="shared" si="138"/>
        <v>0</v>
      </c>
      <c r="DY116" s="204">
        <f t="shared" si="138"/>
        <v>0</v>
      </c>
      <c r="DZ116" s="204">
        <f t="shared" si="138"/>
        <v>0</v>
      </c>
      <c r="EA116" s="204">
        <f t="shared" si="138"/>
        <v>0</v>
      </c>
      <c r="EB116" s="624">
        <f t="shared" si="138"/>
        <v>0</v>
      </c>
      <c r="EC116" s="624">
        <f>SUM(EC111:EC113)*$G116</f>
        <v>0</v>
      </c>
      <c r="ED116" s="624"/>
      <c r="EE116" s="624"/>
      <c r="EF116" s="676"/>
      <c r="EG116" s="676"/>
      <c r="EH116" s="676"/>
      <c r="EI116" s="676"/>
      <c r="EJ116" s="676"/>
      <c r="EK116" s="676"/>
      <c r="EN116" s="114" t="s">
        <v>238</v>
      </c>
      <c r="EO116" s="115">
        <f aca="true" t="shared" si="139" ref="EO116:EY116">SUM(EO114:EO115)</f>
        <v>0</v>
      </c>
      <c r="EP116" s="115">
        <f t="shared" si="139"/>
        <v>0</v>
      </c>
      <c r="EQ116" s="115">
        <f t="shared" si="139"/>
        <v>32.0778</v>
      </c>
      <c r="ER116" s="115">
        <f t="shared" si="139"/>
        <v>256.6224</v>
      </c>
      <c r="ES116" s="115">
        <f t="shared" si="139"/>
        <v>384.93360000000007</v>
      </c>
      <c r="ET116" s="115">
        <f t="shared" si="139"/>
        <v>513.2448</v>
      </c>
      <c r="EU116" s="115">
        <f t="shared" si="139"/>
        <v>641.556</v>
      </c>
      <c r="EV116" s="115">
        <f t="shared" si="139"/>
        <v>641.556</v>
      </c>
      <c r="EW116" s="115">
        <f t="shared" si="139"/>
        <v>641.556</v>
      </c>
      <c r="EX116" s="115">
        <f t="shared" si="139"/>
        <v>0</v>
      </c>
      <c r="EY116" s="115">
        <f t="shared" si="139"/>
        <v>0</v>
      </c>
      <c r="EZ116" s="201">
        <f>SUM(EO116:EY116)</f>
        <v>3111.5466</v>
      </c>
      <c r="FA116" s="237"/>
      <c r="GD116" s="238"/>
      <c r="GE116" s="238"/>
      <c r="GF116" s="238"/>
      <c r="GG116" s="238"/>
      <c r="GH116" s="238"/>
      <c r="GI116" s="238"/>
      <c r="GJ116" s="238"/>
      <c r="GK116" s="238"/>
      <c r="GL116" s="238"/>
      <c r="GT116" s="238"/>
      <c r="GU116" s="238"/>
      <c r="GV116" s="238"/>
      <c r="GW116" s="238"/>
      <c r="GX116" s="238"/>
      <c r="GY116" s="238"/>
      <c r="GZ116" s="238"/>
      <c r="HA116" s="238"/>
      <c r="HB116" s="238"/>
      <c r="HC116" s="238"/>
      <c r="HD116" s="238"/>
      <c r="HE116" s="238"/>
      <c r="HF116" s="238"/>
      <c r="HG116" s="238"/>
      <c r="HH116" s="238"/>
      <c r="HI116" s="238"/>
      <c r="HJ116" s="238"/>
      <c r="HK116" s="238"/>
      <c r="HL116" s="238"/>
    </row>
    <row r="117" spans="1:220" ht="15" customHeight="1">
      <c r="A117" s="391"/>
      <c r="B117" s="392"/>
      <c r="C117" s="393"/>
      <c r="D117" s="393"/>
      <c r="E117" s="394"/>
      <c r="F117" s="395" t="s">
        <v>178</v>
      </c>
      <c r="G117" s="396">
        <v>0.01</v>
      </c>
      <c r="H117" s="399">
        <f>H115*$G$117</f>
        <v>0</v>
      </c>
      <c r="I117" s="399">
        <f aca="true" t="shared" si="140" ref="I117:AP117">I115*$G$117</f>
        <v>0</v>
      </c>
      <c r="J117" s="399">
        <f t="shared" si="140"/>
        <v>0</v>
      </c>
      <c r="K117" s="399">
        <f t="shared" si="140"/>
        <v>0</v>
      </c>
      <c r="L117" s="399">
        <f t="shared" si="140"/>
        <v>0</v>
      </c>
      <c r="M117" s="399">
        <f t="shared" si="140"/>
        <v>0</v>
      </c>
      <c r="N117" s="399">
        <f t="shared" si="140"/>
        <v>0</v>
      </c>
      <c r="O117" s="399">
        <f t="shared" si="140"/>
        <v>0</v>
      </c>
      <c r="P117" s="399">
        <f t="shared" si="140"/>
        <v>0</v>
      </c>
      <c r="Q117" s="399">
        <f t="shared" si="140"/>
        <v>0</v>
      </c>
      <c r="R117" s="399">
        <f t="shared" si="140"/>
        <v>0</v>
      </c>
      <c r="S117" s="399">
        <f t="shared" si="140"/>
        <v>0.18300000000000002</v>
      </c>
      <c r="T117" s="399">
        <f t="shared" si="140"/>
        <v>0.36600000000000005</v>
      </c>
      <c r="U117" s="399">
        <f t="shared" si="140"/>
        <v>0.36600000000000005</v>
      </c>
      <c r="V117" s="399">
        <f t="shared" si="140"/>
        <v>0.36600000000000005</v>
      </c>
      <c r="W117" s="399">
        <f t="shared" si="140"/>
        <v>0.36600000000000005</v>
      </c>
      <c r="X117" s="399">
        <f t="shared" si="140"/>
        <v>0.549</v>
      </c>
      <c r="Y117" s="399">
        <f t="shared" si="140"/>
        <v>0.549</v>
      </c>
      <c r="Z117" s="399">
        <f t="shared" si="140"/>
        <v>0.549</v>
      </c>
      <c r="AA117" s="399">
        <f t="shared" si="140"/>
        <v>0.549</v>
      </c>
      <c r="AB117" s="399">
        <f t="shared" si="140"/>
        <v>0.7320000000000001</v>
      </c>
      <c r="AC117" s="399">
        <f t="shared" si="140"/>
        <v>0.7320000000000001</v>
      </c>
      <c r="AD117" s="399">
        <f t="shared" si="140"/>
        <v>0.7320000000000001</v>
      </c>
      <c r="AE117" s="399">
        <f t="shared" si="140"/>
        <v>0.7320000000000001</v>
      </c>
      <c r="AF117" s="399">
        <f t="shared" si="140"/>
        <v>0.915</v>
      </c>
      <c r="AG117" s="399">
        <f t="shared" si="140"/>
        <v>0.915</v>
      </c>
      <c r="AH117" s="399">
        <f t="shared" si="140"/>
        <v>0.915</v>
      </c>
      <c r="AI117" s="399">
        <f t="shared" si="140"/>
        <v>0.915</v>
      </c>
      <c r="AJ117" s="399">
        <f t="shared" si="140"/>
        <v>0.915</v>
      </c>
      <c r="AK117" s="399">
        <f t="shared" si="140"/>
        <v>0.915</v>
      </c>
      <c r="AL117" s="399">
        <f t="shared" si="140"/>
        <v>0.915</v>
      </c>
      <c r="AM117" s="399">
        <f t="shared" si="140"/>
        <v>0.915</v>
      </c>
      <c r="AN117" s="399">
        <f t="shared" si="140"/>
        <v>0.915</v>
      </c>
      <c r="AO117" s="399">
        <f t="shared" si="140"/>
        <v>0.915</v>
      </c>
      <c r="AP117" s="625">
        <f t="shared" si="140"/>
        <v>0.915</v>
      </c>
      <c r="AQ117" s="625">
        <f>AQ115*$G$117</f>
        <v>0.915</v>
      </c>
      <c r="AR117" s="625"/>
      <c r="AS117" s="625"/>
      <c r="AT117" s="677"/>
      <c r="AU117" s="677"/>
      <c r="AV117" s="677"/>
      <c r="AW117" s="677"/>
      <c r="AX117" s="677"/>
      <c r="AY117" s="677"/>
      <c r="BA117" s="625"/>
      <c r="BB117" s="399"/>
      <c r="BC117" s="399"/>
      <c r="BD117" s="399"/>
      <c r="BE117" s="399"/>
      <c r="BF117" s="399"/>
      <c r="BG117" s="399"/>
      <c r="BH117" s="399"/>
      <c r="BI117" s="399"/>
      <c r="BJ117" s="399"/>
      <c r="BK117" s="399"/>
      <c r="BL117" s="399">
        <f aca="true" t="shared" si="141" ref="BL117:DM117">BL114*$G$117</f>
        <v>0.03</v>
      </c>
      <c r="BM117" s="399">
        <f t="shared" si="141"/>
        <v>0.06</v>
      </c>
      <c r="BN117" s="399">
        <f t="shared" si="141"/>
        <v>0.06</v>
      </c>
      <c r="BO117" s="399">
        <f t="shared" si="141"/>
        <v>0.06</v>
      </c>
      <c r="BP117" s="399">
        <f t="shared" si="141"/>
        <v>0.06</v>
      </c>
      <c r="BQ117" s="399">
        <f t="shared" si="141"/>
        <v>0.09</v>
      </c>
      <c r="BR117" s="399">
        <f t="shared" si="141"/>
        <v>0.09</v>
      </c>
      <c r="BS117" s="399">
        <f t="shared" si="141"/>
        <v>0.09</v>
      </c>
      <c r="BT117" s="399">
        <f t="shared" si="141"/>
        <v>0.09</v>
      </c>
      <c r="BU117" s="399">
        <f t="shared" si="141"/>
        <v>0.12</v>
      </c>
      <c r="BV117" s="399">
        <f t="shared" si="141"/>
        <v>0.12</v>
      </c>
      <c r="BW117" s="399">
        <f t="shared" si="141"/>
        <v>0.12</v>
      </c>
      <c r="BX117" s="399">
        <f t="shared" si="141"/>
        <v>0.12</v>
      </c>
      <c r="BY117" s="399">
        <f t="shared" si="141"/>
        <v>0.15</v>
      </c>
      <c r="BZ117" s="399">
        <f t="shared" si="141"/>
        <v>0.15</v>
      </c>
      <c r="CA117" s="399">
        <f t="shared" si="141"/>
        <v>0.15</v>
      </c>
      <c r="CB117" s="399">
        <f t="shared" si="141"/>
        <v>0.15</v>
      </c>
      <c r="CC117" s="399">
        <f t="shared" si="141"/>
        <v>0.15</v>
      </c>
      <c r="CD117" s="399">
        <f t="shared" si="141"/>
        <v>0.15</v>
      </c>
      <c r="CE117" s="399">
        <f t="shared" si="141"/>
        <v>0.15</v>
      </c>
      <c r="CF117" s="399">
        <f t="shared" si="141"/>
        <v>0.15</v>
      </c>
      <c r="CG117" s="399">
        <f t="shared" si="141"/>
        <v>0.15</v>
      </c>
      <c r="CH117" s="399">
        <f t="shared" si="141"/>
        <v>0.15</v>
      </c>
      <c r="CI117" s="399">
        <f t="shared" si="141"/>
        <v>0.15</v>
      </c>
      <c r="CJ117" s="399">
        <f>CJ114*$G$117</f>
        <v>0.15</v>
      </c>
      <c r="CK117" s="399"/>
      <c r="CL117" s="399"/>
      <c r="CM117" s="704"/>
      <c r="CN117" s="704"/>
      <c r="CO117" s="704"/>
      <c r="CP117" s="704"/>
      <c r="CQ117" s="704"/>
      <c r="CR117" s="704"/>
      <c r="CT117" s="690"/>
      <c r="CU117" s="399"/>
      <c r="CV117" s="399"/>
      <c r="CW117" s="399"/>
      <c r="CX117" s="399"/>
      <c r="CY117" s="399"/>
      <c r="CZ117" s="399"/>
      <c r="DA117" s="399"/>
      <c r="DB117" s="399"/>
      <c r="DC117" s="399"/>
      <c r="DD117" s="399"/>
      <c r="DE117" s="399">
        <f t="shared" si="141"/>
        <v>0</v>
      </c>
      <c r="DF117" s="399">
        <f t="shared" si="141"/>
        <v>0</v>
      </c>
      <c r="DG117" s="399">
        <f t="shared" si="141"/>
        <v>0</v>
      </c>
      <c r="DH117" s="399">
        <f t="shared" si="141"/>
        <v>0</v>
      </c>
      <c r="DI117" s="399">
        <f t="shared" si="141"/>
        <v>0</v>
      </c>
      <c r="DJ117" s="399">
        <f t="shared" si="141"/>
        <v>0</v>
      </c>
      <c r="DK117" s="399">
        <f t="shared" si="141"/>
        <v>0</v>
      </c>
      <c r="DL117" s="399">
        <f t="shared" si="141"/>
        <v>0</v>
      </c>
      <c r="DM117" s="399">
        <f t="shared" si="141"/>
        <v>0</v>
      </c>
      <c r="DN117" s="399">
        <f aca="true" t="shared" si="142" ref="DN117:EB117">DN114*$G$117</f>
        <v>0</v>
      </c>
      <c r="DO117" s="399">
        <f t="shared" si="142"/>
        <v>0</v>
      </c>
      <c r="DP117" s="399">
        <f t="shared" si="142"/>
        <v>0</v>
      </c>
      <c r="DQ117" s="399">
        <f t="shared" si="142"/>
        <v>0</v>
      </c>
      <c r="DR117" s="399">
        <f t="shared" si="142"/>
        <v>0</v>
      </c>
      <c r="DS117" s="399">
        <f t="shared" si="142"/>
        <v>0</v>
      </c>
      <c r="DT117" s="399">
        <f t="shared" si="142"/>
        <v>0</v>
      </c>
      <c r="DU117" s="399">
        <f t="shared" si="142"/>
        <v>0</v>
      </c>
      <c r="DV117" s="399">
        <f t="shared" si="142"/>
        <v>0</v>
      </c>
      <c r="DW117" s="399">
        <f t="shared" si="142"/>
        <v>0</v>
      </c>
      <c r="DX117" s="399">
        <f t="shared" si="142"/>
        <v>0</v>
      </c>
      <c r="DY117" s="399">
        <f t="shared" si="142"/>
        <v>0</v>
      </c>
      <c r="DZ117" s="399">
        <f t="shared" si="142"/>
        <v>0</v>
      </c>
      <c r="EA117" s="399">
        <f t="shared" si="142"/>
        <v>0</v>
      </c>
      <c r="EB117" s="625">
        <f t="shared" si="142"/>
        <v>0</v>
      </c>
      <c r="EC117" s="625">
        <f>EC114*$G$117</f>
        <v>0</v>
      </c>
      <c r="ED117" s="625"/>
      <c r="EE117" s="625"/>
      <c r="EF117" s="677"/>
      <c r="EG117" s="677"/>
      <c r="EH117" s="677"/>
      <c r="EI117" s="677"/>
      <c r="EJ117" s="677"/>
      <c r="EK117" s="677"/>
      <c r="EN117" s="390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GD117" s="238"/>
      <c r="GE117" s="238"/>
      <c r="GF117" s="238"/>
      <c r="GG117" s="238"/>
      <c r="GH117" s="238"/>
      <c r="GI117" s="238"/>
      <c r="GJ117" s="238"/>
      <c r="GK117" s="238"/>
      <c r="GL117" s="238"/>
      <c r="GT117" s="238"/>
      <c r="GU117" s="238"/>
      <c r="GV117" s="238"/>
      <c r="GW117" s="238"/>
      <c r="GX117" s="238"/>
      <c r="GY117" s="238"/>
      <c r="GZ117" s="238"/>
      <c r="HA117" s="238"/>
      <c r="HB117" s="238"/>
      <c r="HC117" s="238"/>
      <c r="HD117" s="238"/>
      <c r="HE117" s="238"/>
      <c r="HF117" s="238"/>
      <c r="HG117" s="238"/>
      <c r="HH117" s="238"/>
      <c r="HI117" s="238"/>
      <c r="HJ117" s="238"/>
      <c r="HK117" s="238"/>
      <c r="HL117" s="238"/>
    </row>
    <row r="118" spans="1:220" ht="15" customHeight="1" hidden="1">
      <c r="A118" s="232" t="s">
        <v>32</v>
      </c>
      <c r="B118" s="217" t="s">
        <v>506</v>
      </c>
      <c r="C118" s="205"/>
      <c r="D118" s="205"/>
      <c r="E118" s="233"/>
      <c r="F118" s="228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626"/>
      <c r="AQ118" s="626"/>
      <c r="AR118" s="626"/>
      <c r="AS118" s="626"/>
      <c r="AT118" s="680"/>
      <c r="AU118" s="680"/>
      <c r="AV118" s="680"/>
      <c r="AW118" s="680"/>
      <c r="AX118" s="680"/>
      <c r="AY118" s="680"/>
      <c r="AZ118" s="238"/>
      <c r="BA118" s="698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205"/>
      <c r="CL118" s="205"/>
      <c r="CM118" s="705"/>
      <c r="CN118" s="705"/>
      <c r="CO118" s="705"/>
      <c r="CP118" s="705"/>
      <c r="CQ118" s="705"/>
      <c r="CR118" s="705"/>
      <c r="CS118" s="238"/>
      <c r="CT118" s="255"/>
      <c r="CU118" s="205"/>
      <c r="CV118" s="205"/>
      <c r="CW118" s="205"/>
      <c r="CX118" s="205"/>
      <c r="CY118" s="205"/>
      <c r="CZ118" s="205"/>
      <c r="DA118" s="205"/>
      <c r="DB118" s="205"/>
      <c r="DC118" s="205"/>
      <c r="DD118" s="205"/>
      <c r="DE118" s="205"/>
      <c r="DF118" s="205"/>
      <c r="DG118" s="205"/>
      <c r="DH118" s="205"/>
      <c r="DI118" s="205"/>
      <c r="DJ118" s="205"/>
      <c r="DK118" s="205"/>
      <c r="DL118" s="205"/>
      <c r="DM118" s="205"/>
      <c r="DN118" s="205"/>
      <c r="DO118" s="205"/>
      <c r="DP118" s="205"/>
      <c r="DQ118" s="205"/>
      <c r="DR118" s="205"/>
      <c r="DS118" s="205"/>
      <c r="DT118" s="205"/>
      <c r="DU118" s="205"/>
      <c r="DV118" s="205"/>
      <c r="DW118" s="205"/>
      <c r="DX118" s="205"/>
      <c r="DY118" s="205"/>
      <c r="DZ118" s="205"/>
      <c r="EA118" s="205"/>
      <c r="EB118" s="626"/>
      <c r="EC118" s="626"/>
      <c r="ED118" s="626"/>
      <c r="EE118" s="626"/>
      <c r="EF118" s="680"/>
      <c r="EG118" s="680"/>
      <c r="EH118" s="680"/>
      <c r="EI118" s="680"/>
      <c r="EJ118" s="680"/>
      <c r="EK118" s="680"/>
      <c r="GE118" s="237"/>
      <c r="GF118" s="237"/>
      <c r="GG118" s="237"/>
      <c r="GH118" s="237"/>
      <c r="GI118" s="237"/>
      <c r="GJ118" s="237"/>
      <c r="GK118" s="237"/>
      <c r="GL118" s="237"/>
      <c r="GT118" s="237"/>
      <c r="GU118" s="237"/>
      <c r="GV118" s="237"/>
      <c r="GW118" s="237"/>
      <c r="GX118" s="237"/>
      <c r="GY118" s="237"/>
      <c r="GZ118" s="237"/>
      <c r="HA118" s="237"/>
      <c r="HB118" s="237"/>
      <c r="HC118" s="237"/>
      <c r="HD118" s="237"/>
      <c r="HE118" s="237"/>
      <c r="HF118" s="237"/>
      <c r="HG118" s="237"/>
      <c r="HH118" s="237"/>
      <c r="HI118" s="237"/>
      <c r="HJ118" s="237"/>
      <c r="HK118" s="237"/>
      <c r="HL118" s="237"/>
    </row>
    <row r="119" spans="1:220" ht="15" customHeight="1" hidden="1">
      <c r="A119" s="153" t="s">
        <v>33</v>
      </c>
      <c r="B119" s="156" t="s">
        <v>156</v>
      </c>
      <c r="C119" s="154">
        <v>0</v>
      </c>
      <c r="D119" s="154">
        <v>1500</v>
      </c>
      <c r="E119" s="161">
        <f t="shared" si="119"/>
        <v>0</v>
      </c>
      <c r="F119" s="224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98"/>
      <c r="AQ119" s="198"/>
      <c r="AR119" s="198"/>
      <c r="AS119" s="198"/>
      <c r="AT119" s="250"/>
      <c r="AU119" s="250"/>
      <c r="AV119" s="250"/>
      <c r="AW119" s="250"/>
      <c r="AX119" s="250"/>
      <c r="AY119" s="250"/>
      <c r="BA119" s="630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>
        <f>$E119*2</f>
        <v>0</v>
      </c>
      <c r="BQ119" s="115">
        <f aca="true" t="shared" si="143" ref="BQ119:CJ119">$E119*BQ$4</f>
        <v>0</v>
      </c>
      <c r="BR119" s="115">
        <f t="shared" si="143"/>
        <v>0</v>
      </c>
      <c r="BS119" s="115">
        <f t="shared" si="143"/>
        <v>0</v>
      </c>
      <c r="BT119" s="115">
        <f t="shared" si="143"/>
        <v>0</v>
      </c>
      <c r="BU119" s="115">
        <f t="shared" si="143"/>
        <v>0</v>
      </c>
      <c r="BV119" s="115">
        <f t="shared" si="143"/>
        <v>0</v>
      </c>
      <c r="BW119" s="115">
        <f t="shared" si="143"/>
        <v>0</v>
      </c>
      <c r="BX119" s="115">
        <f t="shared" si="143"/>
        <v>0</v>
      </c>
      <c r="BY119" s="115">
        <f t="shared" si="143"/>
        <v>0</v>
      </c>
      <c r="BZ119" s="115">
        <f t="shared" si="143"/>
        <v>0</v>
      </c>
      <c r="CA119" s="115">
        <f t="shared" si="143"/>
        <v>0</v>
      </c>
      <c r="CB119" s="115">
        <f t="shared" si="143"/>
        <v>0</v>
      </c>
      <c r="CC119" s="115">
        <f t="shared" si="143"/>
        <v>0</v>
      </c>
      <c r="CD119" s="115">
        <f t="shared" si="143"/>
        <v>0</v>
      </c>
      <c r="CE119" s="115">
        <f t="shared" si="143"/>
        <v>0</v>
      </c>
      <c r="CF119" s="115">
        <f t="shared" si="143"/>
        <v>0</v>
      </c>
      <c r="CG119" s="115">
        <f t="shared" si="143"/>
        <v>0</v>
      </c>
      <c r="CH119" s="115">
        <f t="shared" si="143"/>
        <v>0</v>
      </c>
      <c r="CI119" s="115">
        <f t="shared" si="143"/>
        <v>0</v>
      </c>
      <c r="CJ119" s="115">
        <f t="shared" si="143"/>
        <v>0</v>
      </c>
      <c r="CK119" s="115"/>
      <c r="CL119" s="115"/>
      <c r="CM119" s="702"/>
      <c r="CN119" s="702"/>
      <c r="CO119" s="702"/>
      <c r="CP119" s="702"/>
      <c r="CQ119" s="702"/>
      <c r="CR119" s="702"/>
      <c r="CT119" s="188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98"/>
      <c r="EC119" s="198"/>
      <c r="ED119" s="198"/>
      <c r="EE119" s="198"/>
      <c r="EF119" s="250"/>
      <c r="EG119" s="250"/>
      <c r="EH119" s="250"/>
      <c r="EI119" s="250"/>
      <c r="EJ119" s="250"/>
      <c r="EK119" s="250"/>
      <c r="GE119" s="237"/>
      <c r="GF119" s="237"/>
      <c r="GG119" s="237"/>
      <c r="GH119" s="237"/>
      <c r="GI119" s="237"/>
      <c r="GJ119" s="237"/>
      <c r="GK119" s="237"/>
      <c r="GL119" s="237"/>
      <c r="GT119" s="237"/>
      <c r="GU119" s="237"/>
      <c r="GV119" s="237"/>
      <c r="GW119" s="237"/>
      <c r="GX119" s="237"/>
      <c r="GY119" s="237"/>
      <c r="GZ119" s="237"/>
      <c r="HA119" s="237"/>
      <c r="HB119" s="237"/>
      <c r="HC119" s="237"/>
      <c r="HD119" s="237"/>
      <c r="HE119" s="237"/>
      <c r="HF119" s="237"/>
      <c r="HG119" s="237"/>
      <c r="HH119" s="237"/>
      <c r="HI119" s="237"/>
      <c r="HJ119" s="237"/>
      <c r="HK119" s="237"/>
      <c r="HL119" s="237"/>
    </row>
    <row r="120" spans="1:220" ht="15" customHeight="1" hidden="1">
      <c r="A120" s="153" t="s">
        <v>34</v>
      </c>
      <c r="B120" s="156" t="s">
        <v>507</v>
      </c>
      <c r="C120" s="154">
        <v>0</v>
      </c>
      <c r="D120" s="154">
        <v>1200</v>
      </c>
      <c r="E120" s="161">
        <f t="shared" si="119"/>
        <v>0</v>
      </c>
      <c r="F120" s="224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98"/>
      <c r="AQ120" s="198"/>
      <c r="AR120" s="198"/>
      <c r="AS120" s="198"/>
      <c r="AT120" s="250"/>
      <c r="AU120" s="250"/>
      <c r="AV120" s="250"/>
      <c r="AW120" s="250"/>
      <c r="AX120" s="250"/>
      <c r="AY120" s="250"/>
      <c r="BA120" s="630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702"/>
      <c r="CN120" s="702"/>
      <c r="CO120" s="702"/>
      <c r="CP120" s="702"/>
      <c r="CQ120" s="702"/>
      <c r="CR120" s="702"/>
      <c r="CT120" s="188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>
        <f>$E120*2</f>
        <v>0</v>
      </c>
      <c r="DJ120" s="115">
        <f>$E120*DJ$4</f>
        <v>0</v>
      </c>
      <c r="DK120" s="115">
        <f>$E120*DK$4</f>
        <v>0</v>
      </c>
      <c r="DL120" s="115">
        <f>$E120*DL$4</f>
        <v>0</v>
      </c>
      <c r="DM120" s="115">
        <f aca="true" t="shared" si="144" ref="DJ120:DZ121">$E120*DM$4</f>
        <v>0</v>
      </c>
      <c r="DN120" s="115">
        <f t="shared" si="144"/>
        <v>0</v>
      </c>
      <c r="DO120" s="115">
        <f t="shared" si="144"/>
        <v>0</v>
      </c>
      <c r="DP120" s="115">
        <f t="shared" si="144"/>
        <v>0</v>
      </c>
      <c r="DQ120" s="115">
        <f t="shared" si="144"/>
        <v>0</v>
      </c>
      <c r="DR120" s="115">
        <f t="shared" si="144"/>
        <v>0</v>
      </c>
      <c r="DS120" s="115">
        <f t="shared" si="144"/>
        <v>0</v>
      </c>
      <c r="DT120" s="115">
        <f t="shared" si="144"/>
        <v>0</v>
      </c>
      <c r="DU120" s="115">
        <f t="shared" si="144"/>
        <v>0</v>
      </c>
      <c r="DV120" s="115">
        <f t="shared" si="144"/>
        <v>0</v>
      </c>
      <c r="DW120" s="115">
        <f t="shared" si="144"/>
        <v>0</v>
      </c>
      <c r="DX120" s="115">
        <f t="shared" si="144"/>
        <v>0</v>
      </c>
      <c r="DY120" s="115">
        <f t="shared" si="144"/>
        <v>0</v>
      </c>
      <c r="DZ120" s="115">
        <f t="shared" si="144"/>
        <v>0</v>
      </c>
      <c r="EA120" s="115">
        <f aca="true" t="shared" si="145" ref="EA120:EC121">$E120*EA$4</f>
        <v>0</v>
      </c>
      <c r="EB120" s="198">
        <f t="shared" si="145"/>
        <v>0</v>
      </c>
      <c r="EC120" s="198">
        <f t="shared" si="145"/>
        <v>0</v>
      </c>
      <c r="ED120" s="198"/>
      <c r="EE120" s="198"/>
      <c r="EF120" s="250"/>
      <c r="EG120" s="250"/>
      <c r="EH120" s="250"/>
      <c r="EI120" s="250"/>
      <c r="EJ120" s="250"/>
      <c r="EK120" s="250"/>
      <c r="GE120" s="237"/>
      <c r="GF120" s="237"/>
      <c r="GG120" s="237"/>
      <c r="GH120" s="237"/>
      <c r="GI120" s="237"/>
      <c r="GJ120" s="237"/>
      <c r="GK120" s="237"/>
      <c r="GL120" s="237"/>
      <c r="GT120" s="237"/>
      <c r="GU120" s="237"/>
      <c r="GV120" s="237"/>
      <c r="GW120" s="237"/>
      <c r="GX120" s="237"/>
      <c r="GY120" s="237"/>
      <c r="GZ120" s="237"/>
      <c r="HA120" s="237"/>
      <c r="HB120" s="237"/>
      <c r="HC120" s="237"/>
      <c r="HD120" s="237"/>
      <c r="HE120" s="237"/>
      <c r="HF120" s="237"/>
      <c r="HG120" s="237"/>
      <c r="HH120" s="237"/>
      <c r="HI120" s="237"/>
      <c r="HJ120" s="237"/>
      <c r="HK120" s="237"/>
      <c r="HL120" s="237"/>
    </row>
    <row r="121" spans="1:220" ht="15" customHeight="1" hidden="1">
      <c r="A121" s="153" t="s">
        <v>35</v>
      </c>
      <c r="B121" s="1322" t="s">
        <v>161</v>
      </c>
      <c r="C121" s="154">
        <v>0</v>
      </c>
      <c r="D121" s="154">
        <v>1000</v>
      </c>
      <c r="E121" s="161">
        <f t="shared" si="119"/>
        <v>0</v>
      </c>
      <c r="F121" s="224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98"/>
      <c r="AQ121" s="198"/>
      <c r="AR121" s="198"/>
      <c r="AS121" s="198"/>
      <c r="AT121" s="250"/>
      <c r="AU121" s="250"/>
      <c r="AV121" s="250"/>
      <c r="AW121" s="250"/>
      <c r="AX121" s="250"/>
      <c r="AY121" s="250"/>
      <c r="BA121" s="630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702"/>
      <c r="CN121" s="702"/>
      <c r="CO121" s="702"/>
      <c r="CP121" s="702"/>
      <c r="CQ121" s="702"/>
      <c r="CR121" s="702"/>
      <c r="CT121" s="188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>
        <f>$E121*2</f>
        <v>0</v>
      </c>
      <c r="DJ121" s="115">
        <f t="shared" si="144"/>
        <v>0</v>
      </c>
      <c r="DK121" s="115">
        <f t="shared" si="144"/>
        <v>0</v>
      </c>
      <c r="DL121" s="115">
        <f t="shared" si="144"/>
        <v>0</v>
      </c>
      <c r="DM121" s="115">
        <f t="shared" si="144"/>
        <v>0</v>
      </c>
      <c r="DN121" s="115">
        <f t="shared" si="144"/>
        <v>0</v>
      </c>
      <c r="DO121" s="115">
        <f t="shared" si="144"/>
        <v>0</v>
      </c>
      <c r="DP121" s="115">
        <f t="shared" si="144"/>
        <v>0</v>
      </c>
      <c r="DQ121" s="115">
        <f t="shared" si="144"/>
        <v>0</v>
      </c>
      <c r="DR121" s="115">
        <f t="shared" si="144"/>
        <v>0</v>
      </c>
      <c r="DS121" s="115">
        <f t="shared" si="144"/>
        <v>0</v>
      </c>
      <c r="DT121" s="115">
        <f t="shared" si="144"/>
        <v>0</v>
      </c>
      <c r="DU121" s="115">
        <f t="shared" si="144"/>
        <v>0</v>
      </c>
      <c r="DV121" s="115">
        <f t="shared" si="144"/>
        <v>0</v>
      </c>
      <c r="DW121" s="115">
        <f t="shared" si="144"/>
        <v>0</v>
      </c>
      <c r="DX121" s="115">
        <f t="shared" si="144"/>
        <v>0</v>
      </c>
      <c r="DY121" s="115">
        <f t="shared" si="144"/>
        <v>0</v>
      </c>
      <c r="DZ121" s="115">
        <f>$E121*DZ$4</f>
        <v>0</v>
      </c>
      <c r="EA121" s="115">
        <f t="shared" si="145"/>
        <v>0</v>
      </c>
      <c r="EB121" s="198">
        <f t="shared" si="145"/>
        <v>0</v>
      </c>
      <c r="EC121" s="198">
        <f t="shared" si="145"/>
        <v>0</v>
      </c>
      <c r="ED121" s="198"/>
      <c r="EE121" s="198"/>
      <c r="EF121" s="250"/>
      <c r="EG121" s="250"/>
      <c r="EH121" s="250"/>
      <c r="EI121" s="250"/>
      <c r="EJ121" s="250"/>
      <c r="EK121" s="250"/>
      <c r="GE121" s="237"/>
      <c r="GF121" s="237"/>
      <c r="GG121" s="237"/>
      <c r="GH121" s="237"/>
      <c r="GI121" s="237"/>
      <c r="GJ121" s="237"/>
      <c r="GK121" s="237"/>
      <c r="GL121" s="237"/>
      <c r="GT121" s="237"/>
      <c r="GU121" s="237"/>
      <c r="GV121" s="237"/>
      <c r="GW121" s="237"/>
      <c r="GX121" s="237"/>
      <c r="GY121" s="237"/>
      <c r="GZ121" s="237"/>
      <c r="HA121" s="237"/>
      <c r="HB121" s="237"/>
      <c r="HC121" s="237"/>
      <c r="HD121" s="237"/>
      <c r="HE121" s="237"/>
      <c r="HF121" s="237"/>
      <c r="HG121" s="237"/>
      <c r="HH121" s="237"/>
      <c r="HI121" s="237"/>
      <c r="HJ121" s="237"/>
      <c r="HK121" s="237"/>
      <c r="HL121" s="237"/>
    </row>
    <row r="122" spans="1:220" ht="15" customHeight="1" hidden="1">
      <c r="A122" s="153" t="s">
        <v>36</v>
      </c>
      <c r="B122" s="156" t="s">
        <v>508</v>
      </c>
      <c r="C122" s="154">
        <v>0</v>
      </c>
      <c r="D122" s="154">
        <v>800</v>
      </c>
      <c r="E122" s="161">
        <f t="shared" si="119"/>
        <v>0</v>
      </c>
      <c r="F122" s="224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235"/>
      <c r="S122" s="115"/>
      <c r="T122" s="115"/>
      <c r="U122" s="115"/>
      <c r="V122" s="115"/>
      <c r="W122" s="115">
        <f>$E122*2</f>
        <v>0</v>
      </c>
      <c r="X122" s="115">
        <f aca="true" t="shared" si="146" ref="X122:AN123">$E122*X$4</f>
        <v>0</v>
      </c>
      <c r="Y122" s="115">
        <f t="shared" si="146"/>
        <v>0</v>
      </c>
      <c r="Z122" s="115">
        <f t="shared" si="146"/>
        <v>0</v>
      </c>
      <c r="AA122" s="115">
        <f t="shared" si="146"/>
        <v>0</v>
      </c>
      <c r="AB122" s="115">
        <f t="shared" si="146"/>
        <v>0</v>
      </c>
      <c r="AC122" s="115">
        <f t="shared" si="146"/>
        <v>0</v>
      </c>
      <c r="AD122" s="115">
        <f t="shared" si="146"/>
        <v>0</v>
      </c>
      <c r="AE122" s="115">
        <f t="shared" si="146"/>
        <v>0</v>
      </c>
      <c r="AF122" s="115">
        <f t="shared" si="146"/>
        <v>0</v>
      </c>
      <c r="AG122" s="115">
        <f t="shared" si="146"/>
        <v>0</v>
      </c>
      <c r="AH122" s="115">
        <f t="shared" si="146"/>
        <v>0</v>
      </c>
      <c r="AI122" s="115">
        <f t="shared" si="146"/>
        <v>0</v>
      </c>
      <c r="AJ122" s="115">
        <f t="shared" si="146"/>
        <v>0</v>
      </c>
      <c r="AK122" s="115">
        <f t="shared" si="146"/>
        <v>0</v>
      </c>
      <c r="AL122" s="115">
        <f t="shared" si="146"/>
        <v>0</v>
      </c>
      <c r="AM122" s="115">
        <f t="shared" si="146"/>
        <v>0</v>
      </c>
      <c r="AN122" s="115">
        <f t="shared" si="146"/>
        <v>0</v>
      </c>
      <c r="AO122" s="115">
        <f aca="true" t="shared" si="147" ref="AN122:AQ123">$E122*AO$4</f>
        <v>0</v>
      </c>
      <c r="AP122" s="198">
        <f t="shared" si="147"/>
        <v>0</v>
      </c>
      <c r="AQ122" s="198">
        <f t="shared" si="147"/>
        <v>0</v>
      </c>
      <c r="AR122" s="198"/>
      <c r="AS122" s="198"/>
      <c r="AT122" s="250"/>
      <c r="AU122" s="250"/>
      <c r="AV122" s="250"/>
      <c r="AW122" s="250"/>
      <c r="AX122" s="250"/>
      <c r="AY122" s="250"/>
      <c r="BA122" s="630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702"/>
      <c r="CN122" s="702"/>
      <c r="CO122" s="702"/>
      <c r="CP122" s="702"/>
      <c r="CQ122" s="702"/>
      <c r="CR122" s="702"/>
      <c r="CT122" s="188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98"/>
      <c r="EC122" s="198"/>
      <c r="ED122" s="198"/>
      <c r="EE122" s="198"/>
      <c r="EF122" s="250"/>
      <c r="EG122" s="250"/>
      <c r="EH122" s="250"/>
      <c r="EI122" s="250"/>
      <c r="EJ122" s="250"/>
      <c r="EK122" s="250"/>
      <c r="GE122" s="237"/>
      <c r="GF122" s="237"/>
      <c r="GG122" s="237"/>
      <c r="GH122" s="237"/>
      <c r="GI122" s="237"/>
      <c r="GJ122" s="237"/>
      <c r="GK122" s="237"/>
      <c r="GL122" s="237"/>
      <c r="GT122" s="237"/>
      <c r="GU122" s="237"/>
      <c r="GV122" s="237"/>
      <c r="GW122" s="237"/>
      <c r="GX122" s="237"/>
      <c r="GY122" s="237"/>
      <c r="GZ122" s="237"/>
      <c r="HA122" s="237"/>
      <c r="HB122" s="237"/>
      <c r="HC122" s="237"/>
      <c r="HD122" s="237"/>
      <c r="HE122" s="237"/>
      <c r="HF122" s="237"/>
      <c r="HG122" s="237"/>
      <c r="HH122" s="237"/>
      <c r="HI122" s="237"/>
      <c r="HJ122" s="237"/>
      <c r="HK122" s="237"/>
      <c r="HL122" s="237"/>
    </row>
    <row r="123" spans="1:220" ht="15" customHeight="1" hidden="1">
      <c r="A123" s="153" t="s">
        <v>37</v>
      </c>
      <c r="B123" s="156" t="s">
        <v>509</v>
      </c>
      <c r="C123" s="154">
        <v>0</v>
      </c>
      <c r="D123" s="154">
        <v>600</v>
      </c>
      <c r="E123" s="161">
        <f t="shared" si="119"/>
        <v>0</v>
      </c>
      <c r="F123" s="224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235"/>
      <c r="S123" s="115"/>
      <c r="T123" s="115"/>
      <c r="U123" s="115"/>
      <c r="V123" s="115"/>
      <c r="W123" s="115">
        <f>$E123*2</f>
        <v>0</v>
      </c>
      <c r="X123" s="115">
        <f t="shared" si="146"/>
        <v>0</v>
      </c>
      <c r="Y123" s="115">
        <f t="shared" si="146"/>
        <v>0</v>
      </c>
      <c r="Z123" s="115">
        <f t="shared" si="146"/>
        <v>0</v>
      </c>
      <c r="AA123" s="115">
        <f t="shared" si="146"/>
        <v>0</v>
      </c>
      <c r="AB123" s="115">
        <f t="shared" si="146"/>
        <v>0</v>
      </c>
      <c r="AC123" s="115">
        <f t="shared" si="146"/>
        <v>0</v>
      </c>
      <c r="AD123" s="115">
        <f t="shared" si="146"/>
        <v>0</v>
      </c>
      <c r="AE123" s="115">
        <f t="shared" si="146"/>
        <v>0</v>
      </c>
      <c r="AF123" s="115">
        <f t="shared" si="146"/>
        <v>0</v>
      </c>
      <c r="AG123" s="115">
        <f t="shared" si="146"/>
        <v>0</v>
      </c>
      <c r="AH123" s="115">
        <f t="shared" si="146"/>
        <v>0</v>
      </c>
      <c r="AI123" s="115">
        <f t="shared" si="146"/>
        <v>0</v>
      </c>
      <c r="AJ123" s="115">
        <f t="shared" si="146"/>
        <v>0</v>
      </c>
      <c r="AK123" s="115">
        <f t="shared" si="146"/>
        <v>0</v>
      </c>
      <c r="AL123" s="115">
        <f t="shared" si="146"/>
        <v>0</v>
      </c>
      <c r="AM123" s="115">
        <f t="shared" si="146"/>
        <v>0</v>
      </c>
      <c r="AN123" s="115">
        <f t="shared" si="147"/>
        <v>0</v>
      </c>
      <c r="AO123" s="115">
        <f t="shared" si="147"/>
        <v>0</v>
      </c>
      <c r="AP123" s="198">
        <f t="shared" si="147"/>
        <v>0</v>
      </c>
      <c r="AQ123" s="198">
        <f t="shared" si="147"/>
        <v>0</v>
      </c>
      <c r="AR123" s="198"/>
      <c r="AS123" s="198"/>
      <c r="AT123" s="250"/>
      <c r="AU123" s="250"/>
      <c r="AV123" s="250"/>
      <c r="AW123" s="250"/>
      <c r="AX123" s="250"/>
      <c r="AY123" s="250"/>
      <c r="BA123" s="630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702"/>
      <c r="CN123" s="702"/>
      <c r="CO123" s="702"/>
      <c r="CP123" s="702"/>
      <c r="CQ123" s="702"/>
      <c r="CR123" s="702"/>
      <c r="CT123" s="188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98"/>
      <c r="EC123" s="198"/>
      <c r="ED123" s="198"/>
      <c r="EE123" s="198"/>
      <c r="EF123" s="250"/>
      <c r="EG123" s="250"/>
      <c r="EH123" s="250"/>
      <c r="EI123" s="250"/>
      <c r="EJ123" s="250"/>
      <c r="EK123" s="250"/>
      <c r="EN123" s="275" t="s">
        <v>184</v>
      </c>
      <c r="EO123" s="275">
        <v>2004</v>
      </c>
      <c r="EP123" s="275">
        <v>2005</v>
      </c>
      <c r="EQ123" s="275">
        <v>2006</v>
      </c>
      <c r="ER123" s="275">
        <v>2007</v>
      </c>
      <c r="ES123" s="275">
        <v>2008</v>
      </c>
      <c r="ET123" s="275">
        <v>2009</v>
      </c>
      <c r="EU123" s="275">
        <v>2010</v>
      </c>
      <c r="EV123" s="275">
        <v>2011</v>
      </c>
      <c r="EW123" s="275">
        <v>2012</v>
      </c>
      <c r="EX123" s="275">
        <v>2013</v>
      </c>
      <c r="EY123" s="275">
        <v>2014</v>
      </c>
      <c r="EZ123" s="658" t="s">
        <v>515</v>
      </c>
      <c r="FA123" s="35"/>
      <c r="GE123" s="237"/>
      <c r="GF123" s="237"/>
      <c r="GG123" s="237"/>
      <c r="GH123" s="237"/>
      <c r="GI123" s="237"/>
      <c r="GJ123" s="237"/>
      <c r="GK123" s="237"/>
      <c r="GL123" s="237"/>
      <c r="GT123" s="237"/>
      <c r="GU123" s="237"/>
      <c r="GV123" s="237"/>
      <c r="GW123" s="237"/>
      <c r="GX123" s="237"/>
      <c r="GY123" s="237"/>
      <c r="GZ123" s="237"/>
      <c r="HA123" s="237"/>
      <c r="HB123" s="237"/>
      <c r="HC123" s="237"/>
      <c r="HD123" s="237"/>
      <c r="HE123" s="237"/>
      <c r="HF123" s="237"/>
      <c r="HG123" s="237"/>
      <c r="HH123" s="237"/>
      <c r="HI123" s="237"/>
      <c r="HJ123" s="237"/>
      <c r="HK123" s="237"/>
      <c r="HL123" s="237"/>
    </row>
    <row r="124" spans="1:220" ht="15" customHeight="1" hidden="1">
      <c r="A124" s="188"/>
      <c r="B124" s="156" t="s">
        <v>139</v>
      </c>
      <c r="C124" s="115">
        <f>SUM(C119:C121)</f>
        <v>0</v>
      </c>
      <c r="D124" s="115"/>
      <c r="E124" s="189">
        <f>SUM(E119:E121)</f>
        <v>0</v>
      </c>
      <c r="F124" s="224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98"/>
      <c r="AQ124" s="198"/>
      <c r="AR124" s="198"/>
      <c r="AS124" s="198"/>
      <c r="AT124" s="250"/>
      <c r="AU124" s="250"/>
      <c r="AV124" s="250"/>
      <c r="AW124" s="250"/>
      <c r="AX124" s="250"/>
      <c r="AY124" s="250"/>
      <c r="BA124" s="630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>
        <f aca="true" t="shared" si="148" ref="BL124:CI124">SUM(BL119)</f>
        <v>0</v>
      </c>
      <c r="BM124" s="115">
        <f t="shared" si="148"/>
        <v>0</v>
      </c>
      <c r="BN124" s="115">
        <f t="shared" si="148"/>
        <v>0</v>
      </c>
      <c r="BO124" s="115">
        <f t="shared" si="148"/>
        <v>0</v>
      </c>
      <c r="BP124" s="115">
        <f t="shared" si="148"/>
        <v>0</v>
      </c>
      <c r="BQ124" s="115">
        <f t="shared" si="148"/>
        <v>0</v>
      </c>
      <c r="BR124" s="115">
        <f t="shared" si="148"/>
        <v>0</v>
      </c>
      <c r="BS124" s="115">
        <f t="shared" si="148"/>
        <v>0</v>
      </c>
      <c r="BT124" s="115">
        <f t="shared" si="148"/>
        <v>0</v>
      </c>
      <c r="BU124" s="115">
        <f t="shared" si="148"/>
        <v>0</v>
      </c>
      <c r="BV124" s="115">
        <f t="shared" si="148"/>
        <v>0</v>
      </c>
      <c r="BW124" s="115">
        <f t="shared" si="148"/>
        <v>0</v>
      </c>
      <c r="BX124" s="115">
        <f t="shared" si="148"/>
        <v>0</v>
      </c>
      <c r="BY124" s="115">
        <f t="shared" si="148"/>
        <v>0</v>
      </c>
      <c r="BZ124" s="115">
        <f t="shared" si="148"/>
        <v>0</v>
      </c>
      <c r="CA124" s="115">
        <f t="shared" si="148"/>
        <v>0</v>
      </c>
      <c r="CB124" s="115">
        <f t="shared" si="148"/>
        <v>0</v>
      </c>
      <c r="CC124" s="115">
        <f t="shared" si="148"/>
        <v>0</v>
      </c>
      <c r="CD124" s="115">
        <f t="shared" si="148"/>
        <v>0</v>
      </c>
      <c r="CE124" s="115">
        <f t="shared" si="148"/>
        <v>0</v>
      </c>
      <c r="CF124" s="115">
        <f t="shared" si="148"/>
        <v>0</v>
      </c>
      <c r="CG124" s="115">
        <f t="shared" si="148"/>
        <v>0</v>
      </c>
      <c r="CH124" s="115">
        <f t="shared" si="148"/>
        <v>0</v>
      </c>
      <c r="CI124" s="115">
        <f t="shared" si="148"/>
        <v>0</v>
      </c>
      <c r="CJ124" s="115">
        <f>SUM(CJ119)</f>
        <v>0</v>
      </c>
      <c r="CK124" s="115"/>
      <c r="CL124" s="115"/>
      <c r="CM124" s="702"/>
      <c r="CN124" s="702"/>
      <c r="CO124" s="702"/>
      <c r="CP124" s="702"/>
      <c r="CQ124" s="702"/>
      <c r="CR124" s="702"/>
      <c r="CT124" s="188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>
        <f aca="true" t="shared" si="149" ref="DE124:EB124">SUM(DE120:DE121)</f>
        <v>0</v>
      </c>
      <c r="DF124" s="115">
        <f t="shared" si="149"/>
        <v>0</v>
      </c>
      <c r="DG124" s="115">
        <f t="shared" si="149"/>
        <v>0</v>
      </c>
      <c r="DH124" s="115">
        <f t="shared" si="149"/>
        <v>0</v>
      </c>
      <c r="DI124" s="115">
        <f t="shared" si="149"/>
        <v>0</v>
      </c>
      <c r="DJ124" s="115">
        <f t="shared" si="149"/>
        <v>0</v>
      </c>
      <c r="DK124" s="115">
        <f t="shared" si="149"/>
        <v>0</v>
      </c>
      <c r="DL124" s="115">
        <f t="shared" si="149"/>
        <v>0</v>
      </c>
      <c r="DM124" s="115">
        <f t="shared" si="149"/>
        <v>0</v>
      </c>
      <c r="DN124" s="115">
        <f t="shared" si="149"/>
        <v>0</v>
      </c>
      <c r="DO124" s="115">
        <f t="shared" si="149"/>
        <v>0</v>
      </c>
      <c r="DP124" s="115">
        <f t="shared" si="149"/>
        <v>0</v>
      </c>
      <c r="DQ124" s="115">
        <f t="shared" si="149"/>
        <v>0</v>
      </c>
      <c r="DR124" s="115">
        <f t="shared" si="149"/>
        <v>0</v>
      </c>
      <c r="DS124" s="115">
        <f t="shared" si="149"/>
        <v>0</v>
      </c>
      <c r="DT124" s="115">
        <f t="shared" si="149"/>
        <v>0</v>
      </c>
      <c r="DU124" s="115">
        <f t="shared" si="149"/>
        <v>0</v>
      </c>
      <c r="DV124" s="115">
        <f t="shared" si="149"/>
        <v>0</v>
      </c>
      <c r="DW124" s="115">
        <f t="shared" si="149"/>
        <v>0</v>
      </c>
      <c r="DX124" s="115">
        <f t="shared" si="149"/>
        <v>0</v>
      </c>
      <c r="DY124" s="115">
        <f t="shared" si="149"/>
        <v>0</v>
      </c>
      <c r="DZ124" s="115">
        <f t="shared" si="149"/>
        <v>0</v>
      </c>
      <c r="EA124" s="115">
        <f t="shared" si="149"/>
        <v>0</v>
      </c>
      <c r="EB124" s="198">
        <f t="shared" si="149"/>
        <v>0</v>
      </c>
      <c r="EC124" s="198">
        <f>SUM(EC120:EC121)</f>
        <v>0</v>
      </c>
      <c r="ED124" s="198"/>
      <c r="EE124" s="198"/>
      <c r="EF124" s="250"/>
      <c r="EG124" s="250"/>
      <c r="EH124" s="250"/>
      <c r="EI124" s="250"/>
      <c r="EJ124" s="250"/>
      <c r="EK124" s="250"/>
      <c r="EN124" s="114" t="s">
        <v>239</v>
      </c>
      <c r="EO124" s="201">
        <f>SUM(H125:K125,BA124:BD124,CT124:CW124)</f>
        <v>0</v>
      </c>
      <c r="EP124" s="115">
        <f>SUM(L125:O125,BE124:BH124,CX124:DA124)</f>
        <v>0</v>
      </c>
      <c r="EQ124" s="115">
        <f>SUM(P125:S125,BI124:BL124,DB124:DE124)</f>
        <v>0</v>
      </c>
      <c r="ER124" s="115">
        <f>SUM(T125:W125,BM124:BP124,DF124:DI124)</f>
        <v>0</v>
      </c>
      <c r="ES124" s="115">
        <f>SUM(X125:AA125,BQ124:BT124,DJ124:DM124)</f>
        <v>0</v>
      </c>
      <c r="ET124" s="115">
        <f>SUM(AB125:AE125,BU124:BX124,DN124:DQ124)</f>
        <v>0</v>
      </c>
      <c r="EU124" s="115">
        <f>SUM(AF125:AI125,BY124:CB124,DR124:DU124)</f>
        <v>0</v>
      </c>
      <c r="EV124" s="115">
        <f>SUM(AJ125:AM125,CC124:CF124,DV124:DY124)</f>
        <v>0</v>
      </c>
      <c r="EW124" s="115">
        <f>SUM(AN125:AQ125,CG124:CJ124,DZ124:EC124)</f>
        <v>0</v>
      </c>
      <c r="EX124" s="115">
        <f>SUM(AR125:AU125,CK124:CN124,ED124:EG124)</f>
        <v>0</v>
      </c>
      <c r="EY124" s="115">
        <f>SUM(AV125:AY125,CO124:CR124,EH124:EK124)</f>
        <v>0</v>
      </c>
      <c r="EZ124" s="807">
        <f>SUM(EM124:EY124)</f>
        <v>0</v>
      </c>
      <c r="FA124" s="237"/>
      <c r="FB124" s="809">
        <f>SUM(EZ124,EZ114,EZ106,EZ83,EZ71,EZ54,EZ46,EZ29,EZ15)</f>
        <v>4234.275000000001</v>
      </c>
      <c r="GE124" s="237"/>
      <c r="GF124" s="237"/>
      <c r="GG124" s="237"/>
      <c r="GH124" s="237"/>
      <c r="GI124" s="237"/>
      <c r="GJ124" s="237"/>
      <c r="GK124" s="237"/>
      <c r="GL124" s="237"/>
      <c r="GT124" s="237"/>
      <c r="GU124" s="237"/>
      <c r="GV124" s="237"/>
      <c r="GW124" s="237"/>
      <c r="GX124" s="237"/>
      <c r="GY124" s="237"/>
      <c r="GZ124" s="237"/>
      <c r="HA124" s="237"/>
      <c r="HB124" s="237"/>
      <c r="HC124" s="237"/>
      <c r="HD124" s="237"/>
      <c r="HE124" s="237"/>
      <c r="HF124" s="237"/>
      <c r="HG124" s="237"/>
      <c r="HH124" s="237"/>
      <c r="HI124" s="237"/>
      <c r="HJ124" s="237"/>
      <c r="HK124" s="237"/>
      <c r="HL124" s="237"/>
    </row>
    <row r="125" spans="1:220" ht="15" customHeight="1" hidden="1">
      <c r="A125" s="188"/>
      <c r="B125" s="156" t="s">
        <v>140</v>
      </c>
      <c r="C125" s="115">
        <f>SUM(C122:C123)</f>
        <v>0</v>
      </c>
      <c r="D125" s="115"/>
      <c r="E125" s="189">
        <f>SUM(E122:E123)</f>
        <v>0</v>
      </c>
      <c r="F125" s="224"/>
      <c r="G125" s="115"/>
      <c r="H125" s="115">
        <f>SUM(H122:H123)</f>
        <v>0</v>
      </c>
      <c r="I125" s="115">
        <f aca="true" t="shared" si="150" ref="I125:AP125">SUM(I122:I123)</f>
        <v>0</v>
      </c>
      <c r="J125" s="115">
        <f t="shared" si="150"/>
        <v>0</v>
      </c>
      <c r="K125" s="115">
        <f t="shared" si="150"/>
        <v>0</v>
      </c>
      <c r="L125" s="115">
        <f t="shared" si="150"/>
        <v>0</v>
      </c>
      <c r="M125" s="115">
        <f t="shared" si="150"/>
        <v>0</v>
      </c>
      <c r="N125" s="115">
        <f t="shared" si="150"/>
        <v>0</v>
      </c>
      <c r="O125" s="115">
        <f t="shared" si="150"/>
        <v>0</v>
      </c>
      <c r="P125" s="115">
        <f t="shared" si="150"/>
        <v>0</v>
      </c>
      <c r="Q125" s="115">
        <f t="shared" si="150"/>
        <v>0</v>
      </c>
      <c r="R125" s="115">
        <f t="shared" si="150"/>
        <v>0</v>
      </c>
      <c r="S125" s="115">
        <f t="shared" si="150"/>
        <v>0</v>
      </c>
      <c r="T125" s="115">
        <f t="shared" si="150"/>
        <v>0</v>
      </c>
      <c r="U125" s="115">
        <f t="shared" si="150"/>
        <v>0</v>
      </c>
      <c r="V125" s="115">
        <f t="shared" si="150"/>
        <v>0</v>
      </c>
      <c r="W125" s="115">
        <f t="shared" si="150"/>
        <v>0</v>
      </c>
      <c r="X125" s="115">
        <f t="shared" si="150"/>
        <v>0</v>
      </c>
      <c r="Y125" s="115">
        <f t="shared" si="150"/>
        <v>0</v>
      </c>
      <c r="Z125" s="115">
        <f t="shared" si="150"/>
        <v>0</v>
      </c>
      <c r="AA125" s="115">
        <f t="shared" si="150"/>
        <v>0</v>
      </c>
      <c r="AB125" s="115">
        <f t="shared" si="150"/>
        <v>0</v>
      </c>
      <c r="AC125" s="115">
        <f t="shared" si="150"/>
        <v>0</v>
      </c>
      <c r="AD125" s="115">
        <f t="shared" si="150"/>
        <v>0</v>
      </c>
      <c r="AE125" s="115">
        <f t="shared" si="150"/>
        <v>0</v>
      </c>
      <c r="AF125" s="115">
        <f t="shared" si="150"/>
        <v>0</v>
      </c>
      <c r="AG125" s="115">
        <f t="shared" si="150"/>
        <v>0</v>
      </c>
      <c r="AH125" s="115">
        <f t="shared" si="150"/>
        <v>0</v>
      </c>
      <c r="AI125" s="115">
        <f t="shared" si="150"/>
        <v>0</v>
      </c>
      <c r="AJ125" s="115">
        <f t="shared" si="150"/>
        <v>0</v>
      </c>
      <c r="AK125" s="115">
        <f t="shared" si="150"/>
        <v>0</v>
      </c>
      <c r="AL125" s="115">
        <f t="shared" si="150"/>
        <v>0</v>
      </c>
      <c r="AM125" s="115">
        <f t="shared" si="150"/>
        <v>0</v>
      </c>
      <c r="AN125" s="115">
        <f t="shared" si="150"/>
        <v>0</v>
      </c>
      <c r="AO125" s="115">
        <f t="shared" si="150"/>
        <v>0</v>
      </c>
      <c r="AP125" s="198">
        <f t="shared" si="150"/>
        <v>0</v>
      </c>
      <c r="AQ125" s="198">
        <f>SUM(AQ122:AQ123)</f>
        <v>0</v>
      </c>
      <c r="AR125" s="198"/>
      <c r="AS125" s="198"/>
      <c r="AT125" s="250"/>
      <c r="AU125" s="250"/>
      <c r="AV125" s="250"/>
      <c r="AW125" s="250"/>
      <c r="AX125" s="250"/>
      <c r="AY125" s="250"/>
      <c r="BA125" s="630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702"/>
      <c r="CN125" s="702"/>
      <c r="CO125" s="702"/>
      <c r="CP125" s="702"/>
      <c r="CQ125" s="702"/>
      <c r="CR125" s="702"/>
      <c r="CT125" s="188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98"/>
      <c r="EC125" s="198"/>
      <c r="ED125" s="198"/>
      <c r="EE125" s="198"/>
      <c r="EF125" s="250"/>
      <c r="EG125" s="250"/>
      <c r="EH125" s="250"/>
      <c r="EI125" s="250"/>
      <c r="EJ125" s="250"/>
      <c r="EK125" s="250"/>
      <c r="EN125" s="114" t="s">
        <v>185</v>
      </c>
      <c r="EO125" s="115">
        <f aca="true" t="shared" si="151" ref="EO125:EY125">EO124*0.506</f>
        <v>0</v>
      </c>
      <c r="EP125" s="115">
        <f t="shared" si="151"/>
        <v>0</v>
      </c>
      <c r="EQ125" s="115">
        <f t="shared" si="151"/>
        <v>0</v>
      </c>
      <c r="ER125" s="115">
        <f t="shared" si="151"/>
        <v>0</v>
      </c>
      <c r="ES125" s="115">
        <f t="shared" si="151"/>
        <v>0</v>
      </c>
      <c r="ET125" s="115">
        <f t="shared" si="151"/>
        <v>0</v>
      </c>
      <c r="EU125" s="115">
        <f t="shared" si="151"/>
        <v>0</v>
      </c>
      <c r="EV125" s="115">
        <f t="shared" si="151"/>
        <v>0</v>
      </c>
      <c r="EW125" s="115">
        <f t="shared" si="151"/>
        <v>0</v>
      </c>
      <c r="EX125" s="115">
        <f t="shared" si="151"/>
        <v>0</v>
      </c>
      <c r="EY125" s="115">
        <f t="shared" si="151"/>
        <v>0</v>
      </c>
      <c r="EZ125" s="807">
        <f>SUM(EM125:EY125)</f>
        <v>0</v>
      </c>
      <c r="FA125" s="237"/>
      <c r="FB125" s="809">
        <f>SUM(EZ125,EZ115,EZ107,EZ84,EZ72,EZ55,EZ47,EZ30,EZ16)</f>
        <v>2142.54315</v>
      </c>
      <c r="GE125" s="237"/>
      <c r="GF125" s="237"/>
      <c r="GG125" s="237"/>
      <c r="GH125" s="237"/>
      <c r="GI125" s="237"/>
      <c r="GJ125" s="237"/>
      <c r="GK125" s="237"/>
      <c r="GL125" s="237"/>
      <c r="GT125" s="237"/>
      <c r="GU125" s="237"/>
      <c r="GV125" s="237"/>
      <c r="GW125" s="237"/>
      <c r="GX125" s="237"/>
      <c r="GY125" s="237"/>
      <c r="GZ125" s="237"/>
      <c r="HA125" s="237"/>
      <c r="HB125" s="237"/>
      <c r="HC125" s="237"/>
      <c r="HD125" s="237"/>
      <c r="HE125" s="237"/>
      <c r="HF125" s="237"/>
      <c r="HG125" s="237"/>
      <c r="HH125" s="237"/>
      <c r="HI125" s="237"/>
      <c r="HJ125" s="237"/>
      <c r="HK125" s="237"/>
      <c r="HL125" s="237"/>
    </row>
    <row r="126" spans="1:220" ht="15" customHeight="1" hidden="1">
      <c r="A126" s="218"/>
      <c r="B126" s="211" t="s">
        <v>70</v>
      </c>
      <c r="C126" s="219">
        <f>SUM(C124:C125)</f>
        <v>0</v>
      </c>
      <c r="D126" s="219"/>
      <c r="E126" s="234">
        <f>SUM(E124:E125)</f>
        <v>0</v>
      </c>
      <c r="F126" s="225" t="s">
        <v>110</v>
      </c>
      <c r="G126" s="220">
        <f>G$132</f>
        <v>0.506</v>
      </c>
      <c r="H126" s="221">
        <f aca="true" t="shared" si="152" ref="H126:AP126">SUM(H119:H123)*$G126</f>
        <v>0</v>
      </c>
      <c r="I126" s="221">
        <f t="shared" si="152"/>
        <v>0</v>
      </c>
      <c r="J126" s="221">
        <f t="shared" si="152"/>
        <v>0</v>
      </c>
      <c r="K126" s="221">
        <f t="shared" si="152"/>
        <v>0</v>
      </c>
      <c r="L126" s="221">
        <f t="shared" si="152"/>
        <v>0</v>
      </c>
      <c r="M126" s="221">
        <f t="shared" si="152"/>
        <v>0</v>
      </c>
      <c r="N126" s="221">
        <f t="shared" si="152"/>
        <v>0</v>
      </c>
      <c r="O126" s="221">
        <f t="shared" si="152"/>
        <v>0</v>
      </c>
      <c r="P126" s="221">
        <f t="shared" si="152"/>
        <v>0</v>
      </c>
      <c r="Q126" s="221">
        <f t="shared" si="152"/>
        <v>0</v>
      </c>
      <c r="R126" s="221">
        <f t="shared" si="152"/>
        <v>0</v>
      </c>
      <c r="S126" s="221">
        <f t="shared" si="152"/>
        <v>0</v>
      </c>
      <c r="T126" s="221">
        <f t="shared" si="152"/>
        <v>0</v>
      </c>
      <c r="U126" s="221">
        <f t="shared" si="152"/>
        <v>0</v>
      </c>
      <c r="V126" s="221">
        <f t="shared" si="152"/>
        <v>0</v>
      </c>
      <c r="W126" s="221">
        <f t="shared" si="152"/>
        <v>0</v>
      </c>
      <c r="X126" s="221">
        <f t="shared" si="152"/>
        <v>0</v>
      </c>
      <c r="Y126" s="221">
        <f t="shared" si="152"/>
        <v>0</v>
      </c>
      <c r="Z126" s="221">
        <f t="shared" si="152"/>
        <v>0</v>
      </c>
      <c r="AA126" s="221">
        <f t="shared" si="152"/>
        <v>0</v>
      </c>
      <c r="AB126" s="221">
        <f t="shared" si="152"/>
        <v>0</v>
      </c>
      <c r="AC126" s="221">
        <f t="shared" si="152"/>
        <v>0</v>
      </c>
      <c r="AD126" s="221">
        <f t="shared" si="152"/>
        <v>0</v>
      </c>
      <c r="AE126" s="221">
        <f t="shared" si="152"/>
        <v>0</v>
      </c>
      <c r="AF126" s="221">
        <f t="shared" si="152"/>
        <v>0</v>
      </c>
      <c r="AG126" s="221">
        <f t="shared" si="152"/>
        <v>0</v>
      </c>
      <c r="AH126" s="221">
        <f t="shared" si="152"/>
        <v>0</v>
      </c>
      <c r="AI126" s="221">
        <f t="shared" si="152"/>
        <v>0</v>
      </c>
      <c r="AJ126" s="221">
        <f t="shared" si="152"/>
        <v>0</v>
      </c>
      <c r="AK126" s="221">
        <f t="shared" si="152"/>
        <v>0</v>
      </c>
      <c r="AL126" s="221">
        <f t="shared" si="152"/>
        <v>0</v>
      </c>
      <c r="AM126" s="221">
        <f t="shared" si="152"/>
        <v>0</v>
      </c>
      <c r="AN126" s="221">
        <f t="shared" si="152"/>
        <v>0</v>
      </c>
      <c r="AO126" s="221">
        <f t="shared" si="152"/>
        <v>0</v>
      </c>
      <c r="AP126" s="628">
        <f t="shared" si="152"/>
        <v>0</v>
      </c>
      <c r="AQ126" s="628">
        <f>SUM(AQ119:AQ123)*$G126</f>
        <v>0</v>
      </c>
      <c r="AR126" s="628"/>
      <c r="AS126" s="628"/>
      <c r="AT126" s="682"/>
      <c r="AU126" s="682"/>
      <c r="AV126" s="682"/>
      <c r="AW126" s="682"/>
      <c r="AX126" s="682"/>
      <c r="AY126" s="682"/>
      <c r="AZ126" s="237"/>
      <c r="BA126" s="218"/>
      <c r="BB126" s="221"/>
      <c r="BC126" s="221"/>
      <c r="BD126" s="221"/>
      <c r="BE126" s="221"/>
      <c r="BF126" s="221"/>
      <c r="BG126" s="221"/>
      <c r="BH126" s="221"/>
      <c r="BI126" s="221"/>
      <c r="BJ126" s="221"/>
      <c r="BK126" s="221"/>
      <c r="BL126" s="221">
        <f aca="true" t="shared" si="153" ref="BL126:CI126">SUM(BL119:BL123)*$G126</f>
        <v>0</v>
      </c>
      <c r="BM126" s="221">
        <f t="shared" si="153"/>
        <v>0</v>
      </c>
      <c r="BN126" s="221">
        <f t="shared" si="153"/>
        <v>0</v>
      </c>
      <c r="BO126" s="221">
        <f t="shared" si="153"/>
        <v>0</v>
      </c>
      <c r="BP126" s="221">
        <f t="shared" si="153"/>
        <v>0</v>
      </c>
      <c r="BQ126" s="221">
        <f t="shared" si="153"/>
        <v>0</v>
      </c>
      <c r="BR126" s="221">
        <f t="shared" si="153"/>
        <v>0</v>
      </c>
      <c r="BS126" s="221">
        <f t="shared" si="153"/>
        <v>0</v>
      </c>
      <c r="BT126" s="221">
        <f t="shared" si="153"/>
        <v>0</v>
      </c>
      <c r="BU126" s="221">
        <f t="shared" si="153"/>
        <v>0</v>
      </c>
      <c r="BV126" s="221">
        <f t="shared" si="153"/>
        <v>0</v>
      </c>
      <c r="BW126" s="221">
        <f t="shared" si="153"/>
        <v>0</v>
      </c>
      <c r="BX126" s="221">
        <f t="shared" si="153"/>
        <v>0</v>
      </c>
      <c r="BY126" s="221">
        <f t="shared" si="153"/>
        <v>0</v>
      </c>
      <c r="BZ126" s="221">
        <f t="shared" si="153"/>
        <v>0</v>
      </c>
      <c r="CA126" s="221">
        <f t="shared" si="153"/>
        <v>0</v>
      </c>
      <c r="CB126" s="221">
        <f t="shared" si="153"/>
        <v>0</v>
      </c>
      <c r="CC126" s="221">
        <f t="shared" si="153"/>
        <v>0</v>
      </c>
      <c r="CD126" s="221">
        <f t="shared" si="153"/>
        <v>0</v>
      </c>
      <c r="CE126" s="221">
        <f t="shared" si="153"/>
        <v>0</v>
      </c>
      <c r="CF126" s="221">
        <f t="shared" si="153"/>
        <v>0</v>
      </c>
      <c r="CG126" s="221">
        <f t="shared" si="153"/>
        <v>0</v>
      </c>
      <c r="CH126" s="221">
        <f t="shared" si="153"/>
        <v>0</v>
      </c>
      <c r="CI126" s="628">
        <f t="shared" si="153"/>
        <v>0</v>
      </c>
      <c r="CJ126" s="628">
        <f>SUM(CJ119:CJ123)*$G126</f>
        <v>0</v>
      </c>
      <c r="CK126" s="628"/>
      <c r="CL126" s="628"/>
      <c r="CM126" s="628"/>
      <c r="CN126" s="628"/>
      <c r="CO126" s="628"/>
      <c r="CP126" s="628"/>
      <c r="CQ126" s="628"/>
      <c r="CR126" s="628"/>
      <c r="CT126" s="218"/>
      <c r="CU126" s="221"/>
      <c r="CV126" s="221"/>
      <c r="CW126" s="221"/>
      <c r="CX126" s="221"/>
      <c r="CY126" s="221"/>
      <c r="CZ126" s="221"/>
      <c r="DA126" s="221"/>
      <c r="DB126" s="221"/>
      <c r="DC126" s="221"/>
      <c r="DD126" s="221"/>
      <c r="DE126" s="221">
        <f aca="true" t="shared" si="154" ref="DE126:EB126">SUM(DE119:DE123)*$G126</f>
        <v>0</v>
      </c>
      <c r="DF126" s="221">
        <f t="shared" si="154"/>
        <v>0</v>
      </c>
      <c r="DG126" s="221">
        <f t="shared" si="154"/>
        <v>0</v>
      </c>
      <c r="DH126" s="221">
        <f t="shared" si="154"/>
        <v>0</v>
      </c>
      <c r="DI126" s="221">
        <f t="shared" si="154"/>
        <v>0</v>
      </c>
      <c r="DJ126" s="221">
        <f t="shared" si="154"/>
        <v>0</v>
      </c>
      <c r="DK126" s="221">
        <f t="shared" si="154"/>
        <v>0</v>
      </c>
      <c r="DL126" s="221">
        <f t="shared" si="154"/>
        <v>0</v>
      </c>
      <c r="DM126" s="221">
        <f t="shared" si="154"/>
        <v>0</v>
      </c>
      <c r="DN126" s="221">
        <f t="shared" si="154"/>
        <v>0</v>
      </c>
      <c r="DO126" s="221">
        <f t="shared" si="154"/>
        <v>0</v>
      </c>
      <c r="DP126" s="221">
        <f t="shared" si="154"/>
        <v>0</v>
      </c>
      <c r="DQ126" s="221">
        <f t="shared" si="154"/>
        <v>0</v>
      </c>
      <c r="DR126" s="221">
        <f t="shared" si="154"/>
        <v>0</v>
      </c>
      <c r="DS126" s="221">
        <f t="shared" si="154"/>
        <v>0</v>
      </c>
      <c r="DT126" s="221">
        <f t="shared" si="154"/>
        <v>0</v>
      </c>
      <c r="DU126" s="221">
        <f t="shared" si="154"/>
        <v>0</v>
      </c>
      <c r="DV126" s="221">
        <f t="shared" si="154"/>
        <v>0</v>
      </c>
      <c r="DW126" s="221">
        <f t="shared" si="154"/>
        <v>0</v>
      </c>
      <c r="DX126" s="221">
        <f t="shared" si="154"/>
        <v>0</v>
      </c>
      <c r="DY126" s="221">
        <f t="shared" si="154"/>
        <v>0</v>
      </c>
      <c r="DZ126" s="221">
        <f t="shared" si="154"/>
        <v>0</v>
      </c>
      <c r="EA126" s="221">
        <f t="shared" si="154"/>
        <v>0</v>
      </c>
      <c r="EB126" s="628">
        <f t="shared" si="154"/>
        <v>0</v>
      </c>
      <c r="EC126" s="628">
        <f>SUM(EC119:EC123)*$G126</f>
        <v>0</v>
      </c>
      <c r="ED126" s="628"/>
      <c r="EE126" s="628"/>
      <c r="EF126" s="682"/>
      <c r="EG126" s="682"/>
      <c r="EH126" s="682"/>
      <c r="EI126" s="682"/>
      <c r="EJ126" s="682"/>
      <c r="EK126" s="682"/>
      <c r="EN126" s="114" t="s">
        <v>238</v>
      </c>
      <c r="EO126" s="115">
        <f aca="true" t="shared" si="155" ref="EO126:EY126">SUM(EO124:EO125)</f>
        <v>0</v>
      </c>
      <c r="EP126" s="115">
        <f t="shared" si="155"/>
        <v>0</v>
      </c>
      <c r="EQ126" s="115">
        <f t="shared" si="155"/>
        <v>0</v>
      </c>
      <c r="ER126" s="115">
        <f t="shared" si="155"/>
        <v>0</v>
      </c>
      <c r="ES126" s="115">
        <f t="shared" si="155"/>
        <v>0</v>
      </c>
      <c r="ET126" s="115">
        <f t="shared" si="155"/>
        <v>0</v>
      </c>
      <c r="EU126" s="115">
        <f t="shared" si="155"/>
        <v>0</v>
      </c>
      <c r="EV126" s="115">
        <f t="shared" si="155"/>
        <v>0</v>
      </c>
      <c r="EW126" s="115">
        <f t="shared" si="155"/>
        <v>0</v>
      </c>
      <c r="EX126" s="115">
        <f t="shared" si="155"/>
        <v>0</v>
      </c>
      <c r="EY126" s="115">
        <f t="shared" si="155"/>
        <v>0</v>
      </c>
      <c r="EZ126" s="807">
        <f>SUM(EM126:EY126)</f>
        <v>0</v>
      </c>
      <c r="FA126" s="155"/>
      <c r="FB126" s="809">
        <f>SUM(EZ126,EZ116,EZ108,EZ85,EZ73,EZ56,EZ48,EZ31,EZ17)</f>
        <v>6376.818150000001</v>
      </c>
      <c r="GE126" s="237"/>
      <c r="GF126" s="237"/>
      <c r="GG126" s="237"/>
      <c r="GH126" s="237"/>
      <c r="GI126" s="237"/>
      <c r="GJ126" s="237"/>
      <c r="GK126" s="237"/>
      <c r="GL126" s="237"/>
      <c r="GT126" s="237"/>
      <c r="GU126" s="237"/>
      <c r="GV126" s="237"/>
      <c r="GW126" s="237"/>
      <c r="GX126" s="237"/>
      <c r="GY126" s="237"/>
      <c r="GZ126" s="237"/>
      <c r="HA126" s="237"/>
      <c r="HB126" s="237"/>
      <c r="HC126" s="237"/>
      <c r="HD126" s="237"/>
      <c r="HE126" s="237"/>
      <c r="HF126" s="237"/>
      <c r="HG126" s="237"/>
      <c r="HH126" s="237"/>
      <c r="HI126" s="237"/>
      <c r="HJ126" s="237"/>
      <c r="HK126" s="237"/>
      <c r="HL126" s="237"/>
    </row>
    <row r="127" spans="1:220" ht="15" customHeight="1" hidden="1" thickBot="1">
      <c r="A127" s="683"/>
      <c r="B127" s="406"/>
      <c r="C127" s="407"/>
      <c r="D127" s="407"/>
      <c r="E127" s="408"/>
      <c r="F127" s="395" t="s">
        <v>178</v>
      </c>
      <c r="G127" s="396">
        <v>0.01</v>
      </c>
      <c r="H127" s="405">
        <f>H125*$G$127</f>
        <v>0</v>
      </c>
      <c r="I127" s="405">
        <f aca="true" t="shared" si="156" ref="I127:AP127">I125*$G$127</f>
        <v>0</v>
      </c>
      <c r="J127" s="405">
        <f t="shared" si="156"/>
        <v>0</v>
      </c>
      <c r="K127" s="405">
        <f t="shared" si="156"/>
        <v>0</v>
      </c>
      <c r="L127" s="405">
        <f t="shared" si="156"/>
        <v>0</v>
      </c>
      <c r="M127" s="405">
        <f t="shared" si="156"/>
        <v>0</v>
      </c>
      <c r="N127" s="405">
        <f t="shared" si="156"/>
        <v>0</v>
      </c>
      <c r="O127" s="405">
        <f t="shared" si="156"/>
        <v>0</v>
      </c>
      <c r="P127" s="405">
        <f t="shared" si="156"/>
        <v>0</v>
      </c>
      <c r="Q127" s="405">
        <f t="shared" si="156"/>
        <v>0</v>
      </c>
      <c r="R127" s="405">
        <f t="shared" si="156"/>
        <v>0</v>
      </c>
      <c r="S127" s="405">
        <f t="shared" si="156"/>
        <v>0</v>
      </c>
      <c r="T127" s="405">
        <f t="shared" si="156"/>
        <v>0</v>
      </c>
      <c r="U127" s="405">
        <f t="shared" si="156"/>
        <v>0</v>
      </c>
      <c r="V127" s="405">
        <f t="shared" si="156"/>
        <v>0</v>
      </c>
      <c r="W127" s="405">
        <f t="shared" si="156"/>
        <v>0</v>
      </c>
      <c r="X127" s="405">
        <f t="shared" si="156"/>
        <v>0</v>
      </c>
      <c r="Y127" s="405">
        <f t="shared" si="156"/>
        <v>0</v>
      </c>
      <c r="Z127" s="405">
        <f t="shared" si="156"/>
        <v>0</v>
      </c>
      <c r="AA127" s="405">
        <f t="shared" si="156"/>
        <v>0</v>
      </c>
      <c r="AB127" s="405">
        <f t="shared" si="156"/>
        <v>0</v>
      </c>
      <c r="AC127" s="405">
        <f t="shared" si="156"/>
        <v>0</v>
      </c>
      <c r="AD127" s="405">
        <f t="shared" si="156"/>
        <v>0</v>
      </c>
      <c r="AE127" s="405">
        <f t="shared" si="156"/>
        <v>0</v>
      </c>
      <c r="AF127" s="405">
        <f t="shared" si="156"/>
        <v>0</v>
      </c>
      <c r="AG127" s="405">
        <f t="shared" si="156"/>
        <v>0</v>
      </c>
      <c r="AH127" s="405">
        <f t="shared" si="156"/>
        <v>0</v>
      </c>
      <c r="AI127" s="405">
        <f t="shared" si="156"/>
        <v>0</v>
      </c>
      <c r="AJ127" s="405">
        <f t="shared" si="156"/>
        <v>0</v>
      </c>
      <c r="AK127" s="405">
        <f t="shared" si="156"/>
        <v>0</v>
      </c>
      <c r="AL127" s="405">
        <f t="shared" si="156"/>
        <v>0</v>
      </c>
      <c r="AM127" s="405">
        <f t="shared" si="156"/>
        <v>0</v>
      </c>
      <c r="AN127" s="405">
        <f t="shared" si="156"/>
        <v>0</v>
      </c>
      <c r="AO127" s="405">
        <f t="shared" si="156"/>
        <v>0</v>
      </c>
      <c r="AP127" s="631">
        <f t="shared" si="156"/>
        <v>0</v>
      </c>
      <c r="AQ127" s="631">
        <f>AQ125*$G$127</f>
        <v>0</v>
      </c>
      <c r="AR127" s="631"/>
      <c r="AS127" s="631"/>
      <c r="AT127" s="684"/>
      <c r="AU127" s="684"/>
      <c r="AV127" s="684"/>
      <c r="AW127" s="684"/>
      <c r="AX127" s="684"/>
      <c r="AY127" s="684"/>
      <c r="AZ127" s="237"/>
      <c r="BA127" s="405"/>
      <c r="BB127" s="405"/>
      <c r="BC127" s="405"/>
      <c r="BD127" s="405"/>
      <c r="BE127" s="405"/>
      <c r="BF127" s="405"/>
      <c r="BG127" s="405"/>
      <c r="BH127" s="405"/>
      <c r="BI127" s="405"/>
      <c r="BJ127" s="405"/>
      <c r="BK127" s="405"/>
      <c r="BL127" s="405">
        <f aca="true" t="shared" si="157" ref="BL127:DM127">BL124*$G$127</f>
        <v>0</v>
      </c>
      <c r="BM127" s="405">
        <f t="shared" si="157"/>
        <v>0</v>
      </c>
      <c r="BN127" s="405">
        <f t="shared" si="157"/>
        <v>0</v>
      </c>
      <c r="BO127" s="405">
        <f t="shared" si="157"/>
        <v>0</v>
      </c>
      <c r="BP127" s="405">
        <f t="shared" si="157"/>
        <v>0</v>
      </c>
      <c r="BQ127" s="405">
        <f t="shared" si="157"/>
        <v>0</v>
      </c>
      <c r="BR127" s="405">
        <f t="shared" si="157"/>
        <v>0</v>
      </c>
      <c r="BS127" s="405">
        <f t="shared" si="157"/>
        <v>0</v>
      </c>
      <c r="BT127" s="405">
        <f t="shared" si="157"/>
        <v>0</v>
      </c>
      <c r="BU127" s="405">
        <f t="shared" si="157"/>
        <v>0</v>
      </c>
      <c r="BV127" s="405">
        <f t="shared" si="157"/>
        <v>0</v>
      </c>
      <c r="BW127" s="405">
        <f t="shared" si="157"/>
        <v>0</v>
      </c>
      <c r="BX127" s="405">
        <f t="shared" si="157"/>
        <v>0</v>
      </c>
      <c r="BY127" s="405">
        <f t="shared" si="157"/>
        <v>0</v>
      </c>
      <c r="BZ127" s="405">
        <f t="shared" si="157"/>
        <v>0</v>
      </c>
      <c r="CA127" s="405">
        <f t="shared" si="157"/>
        <v>0</v>
      </c>
      <c r="CB127" s="405">
        <f t="shared" si="157"/>
        <v>0</v>
      </c>
      <c r="CC127" s="405">
        <f t="shared" si="157"/>
        <v>0</v>
      </c>
      <c r="CD127" s="405">
        <f t="shared" si="157"/>
        <v>0</v>
      </c>
      <c r="CE127" s="405">
        <f t="shared" si="157"/>
        <v>0</v>
      </c>
      <c r="CF127" s="405">
        <f t="shared" si="157"/>
        <v>0</v>
      </c>
      <c r="CG127" s="405">
        <f t="shared" si="157"/>
        <v>0</v>
      </c>
      <c r="CH127" s="405">
        <f t="shared" si="157"/>
        <v>0</v>
      </c>
      <c r="CI127" s="631">
        <f t="shared" si="157"/>
        <v>0</v>
      </c>
      <c r="CJ127" s="631">
        <f>CJ124*$G$127</f>
        <v>0</v>
      </c>
      <c r="CK127" s="631"/>
      <c r="CL127" s="631"/>
      <c r="CM127" s="631"/>
      <c r="CN127" s="631"/>
      <c r="CO127" s="631"/>
      <c r="CP127" s="631"/>
      <c r="CQ127" s="631"/>
      <c r="CR127" s="631"/>
      <c r="CT127" s="683"/>
      <c r="CU127" s="405"/>
      <c r="CV127" s="405"/>
      <c r="CW127" s="405"/>
      <c r="CX127" s="405"/>
      <c r="CY127" s="405"/>
      <c r="CZ127" s="405"/>
      <c r="DA127" s="405"/>
      <c r="DB127" s="405"/>
      <c r="DC127" s="405"/>
      <c r="DD127" s="405"/>
      <c r="DE127" s="405">
        <f t="shared" si="157"/>
        <v>0</v>
      </c>
      <c r="DF127" s="405">
        <f t="shared" si="157"/>
        <v>0</v>
      </c>
      <c r="DG127" s="405">
        <f t="shared" si="157"/>
        <v>0</v>
      </c>
      <c r="DH127" s="405">
        <f t="shared" si="157"/>
        <v>0</v>
      </c>
      <c r="DI127" s="405">
        <f t="shared" si="157"/>
        <v>0</v>
      </c>
      <c r="DJ127" s="405">
        <f t="shared" si="157"/>
        <v>0</v>
      </c>
      <c r="DK127" s="405">
        <f t="shared" si="157"/>
        <v>0</v>
      </c>
      <c r="DL127" s="405">
        <f t="shared" si="157"/>
        <v>0</v>
      </c>
      <c r="DM127" s="405">
        <f t="shared" si="157"/>
        <v>0</v>
      </c>
      <c r="DN127" s="405">
        <f aca="true" t="shared" si="158" ref="DN127:EB127">DN124*$G$127</f>
        <v>0</v>
      </c>
      <c r="DO127" s="405">
        <f t="shared" si="158"/>
        <v>0</v>
      </c>
      <c r="DP127" s="405">
        <f t="shared" si="158"/>
        <v>0</v>
      </c>
      <c r="DQ127" s="405">
        <f t="shared" si="158"/>
        <v>0</v>
      </c>
      <c r="DR127" s="405">
        <f t="shared" si="158"/>
        <v>0</v>
      </c>
      <c r="DS127" s="405">
        <f t="shared" si="158"/>
        <v>0</v>
      </c>
      <c r="DT127" s="405">
        <f t="shared" si="158"/>
        <v>0</v>
      </c>
      <c r="DU127" s="405">
        <f t="shared" si="158"/>
        <v>0</v>
      </c>
      <c r="DV127" s="405">
        <f t="shared" si="158"/>
        <v>0</v>
      </c>
      <c r="DW127" s="405">
        <f t="shared" si="158"/>
        <v>0</v>
      </c>
      <c r="DX127" s="405">
        <f t="shared" si="158"/>
        <v>0</v>
      </c>
      <c r="DY127" s="405">
        <f t="shared" si="158"/>
        <v>0</v>
      </c>
      <c r="DZ127" s="405">
        <f t="shared" si="158"/>
        <v>0</v>
      </c>
      <c r="EA127" s="405">
        <f t="shared" si="158"/>
        <v>0</v>
      </c>
      <c r="EB127" s="631">
        <f t="shared" si="158"/>
        <v>0</v>
      </c>
      <c r="EC127" s="631">
        <f>EC124*$G$127</f>
        <v>0</v>
      </c>
      <c r="ED127" s="631"/>
      <c r="EE127" s="631"/>
      <c r="EF127" s="684"/>
      <c r="EG127" s="684"/>
      <c r="EH127" s="684"/>
      <c r="EI127" s="684"/>
      <c r="EJ127" s="684"/>
      <c r="EK127" s="684"/>
      <c r="EN127" s="390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C127" s="620"/>
      <c r="GE127" s="237"/>
      <c r="GF127" s="237"/>
      <c r="GG127" s="237"/>
      <c r="GH127" s="237"/>
      <c r="GI127" s="237"/>
      <c r="GJ127" s="237"/>
      <c r="GK127" s="237"/>
      <c r="GL127" s="237"/>
      <c r="GT127" s="237"/>
      <c r="GU127" s="237"/>
      <c r="GV127" s="237"/>
      <c r="GW127" s="237"/>
      <c r="GX127" s="237"/>
      <c r="GY127" s="237"/>
      <c r="GZ127" s="237"/>
      <c r="HA127" s="237"/>
      <c r="HB127" s="237"/>
      <c r="HC127" s="237"/>
      <c r="HD127" s="237"/>
      <c r="HE127" s="237"/>
      <c r="HF127" s="237"/>
      <c r="HG127" s="237"/>
      <c r="HH127" s="237"/>
      <c r="HI127" s="237"/>
      <c r="HJ127" s="237"/>
      <c r="HK127" s="237"/>
      <c r="HL127" s="237"/>
    </row>
    <row r="128" spans="1:220" ht="16.5" customHeight="1" thickBot="1">
      <c r="A128" s="1426" t="s">
        <v>168</v>
      </c>
      <c r="B128" s="1427"/>
      <c r="C128" s="400">
        <f>SUM(C17,C31,C48,C56,C73,C85,C108,C116,C126)</f>
        <v>77</v>
      </c>
      <c r="D128" s="400"/>
      <c r="E128" s="401">
        <f>SUM(E17,E31,E48,E56,E73,E85,E108,E116,E126)</f>
        <v>174.902</v>
      </c>
      <c r="F128" s="402" t="s">
        <v>179</v>
      </c>
      <c r="G128" s="403"/>
      <c r="H128" s="404">
        <f aca="true" t="shared" si="159" ref="H128:AQ128">SUM(H126,H116,H108,H85,H73,H56,H48,H31,H17)</f>
        <v>0</v>
      </c>
      <c r="I128" s="404">
        <f t="shared" si="159"/>
        <v>0</v>
      </c>
      <c r="J128" s="404">
        <f t="shared" si="159"/>
        <v>0</v>
      </c>
      <c r="K128" s="404">
        <f t="shared" si="159"/>
        <v>0</v>
      </c>
      <c r="L128" s="404">
        <f t="shared" si="159"/>
        <v>0</v>
      </c>
      <c r="M128" s="404">
        <f t="shared" si="159"/>
        <v>0</v>
      </c>
      <c r="N128" s="404">
        <f t="shared" si="159"/>
        <v>0</v>
      </c>
      <c r="O128" s="404">
        <f t="shared" si="159"/>
        <v>0</v>
      </c>
      <c r="P128" s="404">
        <f t="shared" si="159"/>
        <v>0</v>
      </c>
      <c r="Q128" s="404">
        <f t="shared" si="159"/>
        <v>0</v>
      </c>
      <c r="R128" s="404">
        <f t="shared" si="159"/>
        <v>0</v>
      </c>
      <c r="S128" s="404">
        <f t="shared" si="159"/>
        <v>86.17686</v>
      </c>
      <c r="T128" s="404">
        <f t="shared" si="159"/>
        <v>95.43666</v>
      </c>
      <c r="U128" s="404">
        <f t="shared" si="159"/>
        <v>95.43666</v>
      </c>
      <c r="V128" s="404">
        <f t="shared" si="159"/>
        <v>95.43666</v>
      </c>
      <c r="W128" s="404">
        <f t="shared" si="159"/>
        <v>95.43666</v>
      </c>
      <c r="X128" s="404">
        <f t="shared" si="159"/>
        <v>104.69646000000002</v>
      </c>
      <c r="Y128" s="404">
        <f t="shared" si="159"/>
        <v>104.69646000000002</v>
      </c>
      <c r="Z128" s="404">
        <f t="shared" si="159"/>
        <v>104.69646000000002</v>
      </c>
      <c r="AA128" s="404">
        <f t="shared" si="159"/>
        <v>104.69646000000002</v>
      </c>
      <c r="AB128" s="404">
        <f t="shared" si="159"/>
        <v>113.95626</v>
      </c>
      <c r="AC128" s="404">
        <f t="shared" si="159"/>
        <v>113.95626</v>
      </c>
      <c r="AD128" s="404">
        <f t="shared" si="159"/>
        <v>113.95626</v>
      </c>
      <c r="AE128" s="404">
        <f t="shared" si="159"/>
        <v>113.95626</v>
      </c>
      <c r="AF128" s="404">
        <f t="shared" si="159"/>
        <v>123.21606000000001</v>
      </c>
      <c r="AG128" s="404">
        <f t="shared" si="159"/>
        <v>123.21606000000001</v>
      </c>
      <c r="AH128" s="404">
        <f t="shared" si="159"/>
        <v>123.21606000000001</v>
      </c>
      <c r="AI128" s="404">
        <f t="shared" si="159"/>
        <v>123.21606000000001</v>
      </c>
      <c r="AJ128" s="404">
        <f t="shared" si="159"/>
        <v>123.21606000000001</v>
      </c>
      <c r="AK128" s="404">
        <f t="shared" si="159"/>
        <v>123.21606000000001</v>
      </c>
      <c r="AL128" s="404">
        <f t="shared" si="159"/>
        <v>123.21606000000001</v>
      </c>
      <c r="AM128" s="404">
        <f t="shared" si="159"/>
        <v>123.21606000000001</v>
      </c>
      <c r="AN128" s="404">
        <f t="shared" si="159"/>
        <v>123.21606000000001</v>
      </c>
      <c r="AO128" s="404">
        <f t="shared" si="159"/>
        <v>123.21606000000001</v>
      </c>
      <c r="AP128" s="411">
        <f t="shared" si="159"/>
        <v>123.21606000000001</v>
      </c>
      <c r="AQ128" s="411">
        <f t="shared" si="159"/>
        <v>123.21606000000001</v>
      </c>
      <c r="AR128" s="411"/>
      <c r="AS128" s="411"/>
      <c r="AT128" s="685"/>
      <c r="AU128" s="685"/>
      <c r="AV128" s="685"/>
      <c r="AW128" s="685"/>
      <c r="AX128" s="685"/>
      <c r="AY128" s="685"/>
      <c r="BA128" s="409"/>
      <c r="BB128" s="404"/>
      <c r="BC128" s="404"/>
      <c r="BD128" s="404"/>
      <c r="BE128" s="404"/>
      <c r="BF128" s="404"/>
      <c r="BG128" s="404"/>
      <c r="BH128" s="404"/>
      <c r="BI128" s="404"/>
      <c r="BJ128" s="404"/>
      <c r="BK128" s="404"/>
      <c r="BL128" s="404">
        <f aca="true" t="shared" si="160" ref="BL128:CJ128">SUM(BL126,BL116,BL108,BL85,BL73,BL56,BL48,BL31,BL17)</f>
        <v>19.831152</v>
      </c>
      <c r="BM128" s="404">
        <f t="shared" si="160"/>
        <v>21.349152</v>
      </c>
      <c r="BN128" s="404">
        <f t="shared" si="160"/>
        <v>21.349152</v>
      </c>
      <c r="BO128" s="404">
        <f t="shared" si="160"/>
        <v>21.349152</v>
      </c>
      <c r="BP128" s="404">
        <f t="shared" si="160"/>
        <v>21.349152</v>
      </c>
      <c r="BQ128" s="404">
        <f t="shared" si="160"/>
        <v>22.867151999999997</v>
      </c>
      <c r="BR128" s="404">
        <f t="shared" si="160"/>
        <v>22.867151999999997</v>
      </c>
      <c r="BS128" s="404">
        <f t="shared" si="160"/>
        <v>22.867151999999997</v>
      </c>
      <c r="BT128" s="404">
        <f t="shared" si="160"/>
        <v>22.867151999999997</v>
      </c>
      <c r="BU128" s="404">
        <f t="shared" si="160"/>
        <v>24.385151999999998</v>
      </c>
      <c r="BV128" s="404">
        <f t="shared" si="160"/>
        <v>24.385151999999998</v>
      </c>
      <c r="BW128" s="404">
        <f t="shared" si="160"/>
        <v>24.385151999999998</v>
      </c>
      <c r="BX128" s="404">
        <f t="shared" si="160"/>
        <v>24.385151999999998</v>
      </c>
      <c r="BY128" s="404">
        <f t="shared" si="160"/>
        <v>25.903152</v>
      </c>
      <c r="BZ128" s="404">
        <f t="shared" si="160"/>
        <v>25.903152</v>
      </c>
      <c r="CA128" s="404">
        <f t="shared" si="160"/>
        <v>25.903152</v>
      </c>
      <c r="CB128" s="404">
        <f t="shared" si="160"/>
        <v>25.903152</v>
      </c>
      <c r="CC128" s="404">
        <f t="shared" si="160"/>
        <v>25.903152</v>
      </c>
      <c r="CD128" s="404">
        <f t="shared" si="160"/>
        <v>25.903152</v>
      </c>
      <c r="CE128" s="404">
        <f t="shared" si="160"/>
        <v>25.903152</v>
      </c>
      <c r="CF128" s="404">
        <f t="shared" si="160"/>
        <v>25.903152</v>
      </c>
      <c r="CG128" s="404">
        <f t="shared" si="160"/>
        <v>25.903152</v>
      </c>
      <c r="CH128" s="404">
        <f t="shared" si="160"/>
        <v>25.903152</v>
      </c>
      <c r="CI128" s="411">
        <f t="shared" si="160"/>
        <v>25.903152</v>
      </c>
      <c r="CJ128" s="411">
        <f t="shared" si="160"/>
        <v>25.903152</v>
      </c>
      <c r="CK128" s="411"/>
      <c r="CL128" s="411"/>
      <c r="CM128" s="411"/>
      <c r="CN128" s="411"/>
      <c r="CO128" s="411"/>
      <c r="CP128" s="411"/>
      <c r="CQ128" s="411"/>
      <c r="CR128" s="411"/>
      <c r="CS128" s="256"/>
      <c r="CT128" s="410"/>
      <c r="CU128" s="411"/>
      <c r="CV128" s="411"/>
      <c r="CW128" s="411"/>
      <c r="CX128" s="411"/>
      <c r="CY128" s="411"/>
      <c r="CZ128" s="411"/>
      <c r="DA128" s="411"/>
      <c r="DB128" s="411"/>
      <c r="DC128" s="411"/>
      <c r="DD128" s="411"/>
      <c r="DE128" s="411">
        <f aca="true" t="shared" si="161" ref="DE128:EC128">SUM(DE126,DE116,DE108,DE85,DE73,DE56,DE48,DE31,DE17)</f>
        <v>6.694380000000001</v>
      </c>
      <c r="DF128" s="411">
        <f t="shared" si="161"/>
        <v>6.694380000000001</v>
      </c>
      <c r="DG128" s="411">
        <f t="shared" si="161"/>
        <v>6.694380000000001</v>
      </c>
      <c r="DH128" s="411">
        <f t="shared" si="161"/>
        <v>6.694380000000001</v>
      </c>
      <c r="DI128" s="411">
        <f t="shared" si="161"/>
        <v>6.694380000000001</v>
      </c>
      <c r="DJ128" s="411">
        <f t="shared" si="161"/>
        <v>6.694380000000001</v>
      </c>
      <c r="DK128" s="411">
        <f t="shared" si="161"/>
        <v>6.694380000000001</v>
      </c>
      <c r="DL128" s="411">
        <f t="shared" si="161"/>
        <v>6.694380000000001</v>
      </c>
      <c r="DM128" s="411">
        <f t="shared" si="161"/>
        <v>6.694380000000001</v>
      </c>
      <c r="DN128" s="411">
        <f t="shared" si="161"/>
        <v>6.694380000000001</v>
      </c>
      <c r="DO128" s="411">
        <f t="shared" si="161"/>
        <v>6.694380000000001</v>
      </c>
      <c r="DP128" s="411">
        <f t="shared" si="161"/>
        <v>6.694380000000001</v>
      </c>
      <c r="DQ128" s="411">
        <f t="shared" si="161"/>
        <v>6.694380000000001</v>
      </c>
      <c r="DR128" s="411">
        <f t="shared" si="161"/>
        <v>6.694380000000001</v>
      </c>
      <c r="DS128" s="411">
        <f t="shared" si="161"/>
        <v>6.694380000000001</v>
      </c>
      <c r="DT128" s="411">
        <f t="shared" si="161"/>
        <v>6.694380000000001</v>
      </c>
      <c r="DU128" s="411">
        <f t="shared" si="161"/>
        <v>6.694380000000001</v>
      </c>
      <c r="DV128" s="411">
        <f t="shared" si="161"/>
        <v>6.694380000000001</v>
      </c>
      <c r="DW128" s="411">
        <f t="shared" si="161"/>
        <v>6.694380000000001</v>
      </c>
      <c r="DX128" s="411">
        <f t="shared" si="161"/>
        <v>6.694380000000001</v>
      </c>
      <c r="DY128" s="411">
        <f t="shared" si="161"/>
        <v>6.694380000000001</v>
      </c>
      <c r="DZ128" s="411">
        <f t="shared" si="161"/>
        <v>6.694380000000001</v>
      </c>
      <c r="EA128" s="411">
        <f t="shared" si="161"/>
        <v>6.694380000000001</v>
      </c>
      <c r="EB128" s="411">
        <f t="shared" si="161"/>
        <v>6.694380000000001</v>
      </c>
      <c r="EC128" s="411">
        <f t="shared" si="161"/>
        <v>6.694380000000001</v>
      </c>
      <c r="ED128" s="411"/>
      <c r="EE128" s="411"/>
      <c r="EF128" s="685"/>
      <c r="EG128" s="685"/>
      <c r="EH128" s="685"/>
      <c r="EI128" s="685"/>
      <c r="EJ128" s="685"/>
      <c r="EK128" s="685"/>
      <c r="EN128" s="661" t="s">
        <v>240</v>
      </c>
      <c r="EO128" s="662">
        <f aca="true" t="shared" si="162" ref="EO128:EY128">SUM(EO15,EO29,EO46,EO54,EO71,EO83,EO106,EO114,EO124)</f>
        <v>0</v>
      </c>
      <c r="EP128" s="662">
        <f t="shared" si="162"/>
        <v>0</v>
      </c>
      <c r="EQ128" s="662">
        <f t="shared" si="162"/>
        <v>108.027</v>
      </c>
      <c r="ER128" s="662">
        <f t="shared" si="162"/>
        <v>517.3080000000001</v>
      </c>
      <c r="ES128" s="662">
        <f t="shared" si="162"/>
        <v>602.508</v>
      </c>
      <c r="ET128" s="662">
        <f t="shared" si="162"/>
        <v>687.7080000000001</v>
      </c>
      <c r="EU128" s="662">
        <f t="shared" si="162"/>
        <v>772.9080000000001</v>
      </c>
      <c r="EV128" s="662">
        <f t="shared" si="162"/>
        <v>772.9080000000001</v>
      </c>
      <c r="EW128" s="662">
        <f t="shared" si="162"/>
        <v>772.9080000000001</v>
      </c>
      <c r="EX128" s="662">
        <f t="shared" si="162"/>
        <v>0</v>
      </c>
      <c r="EY128" s="662">
        <f t="shared" si="162"/>
        <v>0</v>
      </c>
      <c r="EZ128" s="278">
        <f>SUM(EO128:EY128)</f>
        <v>4234.2750000000015</v>
      </c>
      <c r="FA128" s="279">
        <f>EZ128+H131+I131+J131+K131</f>
        <v>5371.45959495352</v>
      </c>
      <c r="GD128" s="238"/>
      <c r="GE128" s="238"/>
      <c r="GF128" s="238"/>
      <c r="GG128" s="238"/>
      <c r="GH128" s="238"/>
      <c r="GI128" s="238"/>
      <c r="GJ128" s="238"/>
      <c r="GK128" s="238"/>
      <c r="GL128" s="238"/>
      <c r="GT128" s="238"/>
      <c r="GU128" s="238"/>
      <c r="GV128" s="238"/>
      <c r="GW128" s="238"/>
      <c r="GX128" s="238"/>
      <c r="GY128" s="238"/>
      <c r="GZ128" s="238"/>
      <c r="HA128" s="238"/>
      <c r="HB128" s="238"/>
      <c r="HC128" s="238"/>
      <c r="HD128" s="238"/>
      <c r="HE128" s="238"/>
      <c r="HF128" s="238"/>
      <c r="HG128" s="238"/>
      <c r="HH128" s="238"/>
      <c r="HI128" s="238"/>
      <c r="HJ128" s="238"/>
      <c r="HK128" s="238"/>
      <c r="HL128" s="238"/>
    </row>
    <row r="129" spans="2:220" ht="24.75" customHeight="1" hidden="1">
      <c r="B129" s="57" t="s">
        <v>170</v>
      </c>
      <c r="C129" s="169">
        <f>C128-8+8*4</f>
        <v>101</v>
      </c>
      <c r="F129" s="157"/>
      <c r="H129" s="152">
        <f aca="true" t="shared" si="163" ref="H129:AQ129">SUM(H6:H12,H20:H28,H34:H45,H51:H53,H60:H70,H76:H82,H97:H105,H111:H113,H119:H123)</f>
        <v>0</v>
      </c>
      <c r="I129" s="152">
        <f t="shared" si="163"/>
        <v>0</v>
      </c>
      <c r="J129" s="152">
        <f t="shared" si="163"/>
        <v>0</v>
      </c>
      <c r="K129" s="152">
        <f t="shared" si="163"/>
        <v>0</v>
      </c>
      <c r="L129" s="152">
        <f t="shared" si="163"/>
        <v>0</v>
      </c>
      <c r="M129" s="152">
        <f t="shared" si="163"/>
        <v>0</v>
      </c>
      <c r="N129" s="152">
        <f t="shared" si="163"/>
        <v>0</v>
      </c>
      <c r="O129" s="152">
        <f t="shared" si="163"/>
        <v>0</v>
      </c>
      <c r="P129" s="152">
        <f t="shared" si="163"/>
        <v>0</v>
      </c>
      <c r="Q129" s="152">
        <f t="shared" si="163"/>
        <v>0</v>
      </c>
      <c r="R129" s="152">
        <f t="shared" si="163"/>
        <v>0</v>
      </c>
      <c r="S129" s="152">
        <f t="shared" si="163"/>
        <v>170.31000000000003</v>
      </c>
      <c r="T129" s="152">
        <f t="shared" si="163"/>
        <v>188.61</v>
      </c>
      <c r="U129" s="152">
        <f t="shared" si="163"/>
        <v>188.61</v>
      </c>
      <c r="V129" s="152">
        <f t="shared" si="163"/>
        <v>188.61</v>
      </c>
      <c r="W129" s="152">
        <f t="shared" si="163"/>
        <v>188.61</v>
      </c>
      <c r="X129" s="152">
        <f t="shared" si="163"/>
        <v>206.91000000000003</v>
      </c>
      <c r="Y129" s="152">
        <f t="shared" si="163"/>
        <v>206.91000000000003</v>
      </c>
      <c r="Z129" s="152">
        <f t="shared" si="163"/>
        <v>206.91000000000003</v>
      </c>
      <c r="AA129" s="152">
        <f t="shared" si="163"/>
        <v>206.91000000000003</v>
      </c>
      <c r="AB129" s="152">
        <f t="shared" si="163"/>
        <v>225.21000000000004</v>
      </c>
      <c r="AC129" s="152">
        <f t="shared" si="163"/>
        <v>225.21000000000004</v>
      </c>
      <c r="AD129" s="152">
        <f t="shared" si="163"/>
        <v>225.21000000000004</v>
      </c>
      <c r="AE129" s="152">
        <f t="shared" si="163"/>
        <v>225.21000000000004</v>
      </c>
      <c r="AF129" s="152">
        <f t="shared" si="163"/>
        <v>243.51000000000002</v>
      </c>
      <c r="AG129" s="152">
        <f t="shared" si="163"/>
        <v>243.51000000000002</v>
      </c>
      <c r="AH129" s="152">
        <f t="shared" si="163"/>
        <v>243.51000000000002</v>
      </c>
      <c r="AI129" s="152">
        <f t="shared" si="163"/>
        <v>243.51000000000002</v>
      </c>
      <c r="AJ129" s="152">
        <f t="shared" si="163"/>
        <v>243.51000000000002</v>
      </c>
      <c r="AK129" s="152">
        <f t="shared" si="163"/>
        <v>243.51000000000002</v>
      </c>
      <c r="AL129" s="152">
        <f t="shared" si="163"/>
        <v>243.51000000000002</v>
      </c>
      <c r="AM129" s="152">
        <f t="shared" si="163"/>
        <v>243.51000000000002</v>
      </c>
      <c r="AN129" s="152">
        <f t="shared" si="163"/>
        <v>243.51000000000002</v>
      </c>
      <c r="AO129" s="152">
        <f t="shared" si="163"/>
        <v>243.51000000000002</v>
      </c>
      <c r="AP129" s="152">
        <f t="shared" si="163"/>
        <v>243.51000000000002</v>
      </c>
      <c r="AQ129" s="152">
        <f t="shared" si="163"/>
        <v>243.51000000000002</v>
      </c>
      <c r="BL129" s="152">
        <f aca="true" t="shared" si="164" ref="BL129:CJ129">SUM(BL60:BL61,BL97:BL98,BL111,BL119)</f>
        <v>18.267</v>
      </c>
      <c r="BM129" s="152">
        <f t="shared" si="164"/>
        <v>21.267</v>
      </c>
      <c r="BN129" s="152">
        <f t="shared" si="164"/>
        <v>21.267</v>
      </c>
      <c r="BO129" s="152">
        <f t="shared" si="164"/>
        <v>21.267</v>
      </c>
      <c r="BP129" s="152">
        <f t="shared" si="164"/>
        <v>21.267</v>
      </c>
      <c r="BQ129" s="152">
        <f t="shared" si="164"/>
        <v>24.267</v>
      </c>
      <c r="BR129" s="152">
        <f t="shared" si="164"/>
        <v>24.267</v>
      </c>
      <c r="BS129" s="152">
        <f t="shared" si="164"/>
        <v>24.267</v>
      </c>
      <c r="BT129" s="152">
        <f t="shared" si="164"/>
        <v>24.267</v>
      </c>
      <c r="BU129" s="152">
        <f t="shared" si="164"/>
        <v>27.267</v>
      </c>
      <c r="BV129" s="152">
        <f t="shared" si="164"/>
        <v>27.267</v>
      </c>
      <c r="BW129" s="152">
        <f t="shared" si="164"/>
        <v>27.267</v>
      </c>
      <c r="BX129" s="152">
        <f t="shared" si="164"/>
        <v>27.267</v>
      </c>
      <c r="BY129" s="152">
        <f t="shared" si="164"/>
        <v>30.267</v>
      </c>
      <c r="BZ129" s="152">
        <f t="shared" si="164"/>
        <v>30.267</v>
      </c>
      <c r="CA129" s="152">
        <f t="shared" si="164"/>
        <v>30.267</v>
      </c>
      <c r="CB129" s="152">
        <f t="shared" si="164"/>
        <v>30.267</v>
      </c>
      <c r="CC129" s="152">
        <f t="shared" si="164"/>
        <v>30.267</v>
      </c>
      <c r="CD129" s="152">
        <f t="shared" si="164"/>
        <v>30.267</v>
      </c>
      <c r="CE129" s="152">
        <f t="shared" si="164"/>
        <v>30.267</v>
      </c>
      <c r="CF129" s="152">
        <f t="shared" si="164"/>
        <v>30.267</v>
      </c>
      <c r="CG129" s="152">
        <f t="shared" si="164"/>
        <v>30.267</v>
      </c>
      <c r="CH129" s="152">
        <f t="shared" si="164"/>
        <v>30.267</v>
      </c>
      <c r="CI129" s="152">
        <f t="shared" si="164"/>
        <v>30.267</v>
      </c>
      <c r="CJ129" s="152">
        <f t="shared" si="164"/>
        <v>30.267</v>
      </c>
      <c r="DE129" s="152">
        <f aca="true" t="shared" si="165" ref="DE129:EC129">SUM(DE5:DE14,DE20:DE24,DE34:DE39,DE51,DE62:DE65,DE76:DE77,DE99:DE104,DE120:DE121)</f>
        <v>13.23</v>
      </c>
      <c r="DF129" s="152">
        <f t="shared" si="165"/>
        <v>13.23</v>
      </c>
      <c r="DG129" s="152">
        <f t="shared" si="165"/>
        <v>13.23</v>
      </c>
      <c r="DH129" s="152">
        <f t="shared" si="165"/>
        <v>13.23</v>
      </c>
      <c r="DI129" s="152">
        <f t="shared" si="165"/>
        <v>13.23</v>
      </c>
      <c r="DJ129" s="152">
        <f t="shared" si="165"/>
        <v>13.23</v>
      </c>
      <c r="DK129" s="152">
        <f t="shared" si="165"/>
        <v>13.23</v>
      </c>
      <c r="DL129" s="152">
        <f t="shared" si="165"/>
        <v>13.23</v>
      </c>
      <c r="DM129" s="152">
        <f t="shared" si="165"/>
        <v>13.23</v>
      </c>
      <c r="DN129" s="152">
        <f t="shared" si="165"/>
        <v>13.23</v>
      </c>
      <c r="DO129" s="152">
        <f t="shared" si="165"/>
        <v>13.23</v>
      </c>
      <c r="DP129" s="152">
        <f t="shared" si="165"/>
        <v>13.23</v>
      </c>
      <c r="DQ129" s="152">
        <f t="shared" si="165"/>
        <v>13.23</v>
      </c>
      <c r="DR129" s="152">
        <f t="shared" si="165"/>
        <v>13.23</v>
      </c>
      <c r="DS129" s="152">
        <f t="shared" si="165"/>
        <v>13.23</v>
      </c>
      <c r="DT129" s="152">
        <f t="shared" si="165"/>
        <v>13.23</v>
      </c>
      <c r="DU129" s="152">
        <f t="shared" si="165"/>
        <v>13.23</v>
      </c>
      <c r="DV129" s="152">
        <f t="shared" si="165"/>
        <v>13.23</v>
      </c>
      <c r="DW129" s="152">
        <f t="shared" si="165"/>
        <v>13.23</v>
      </c>
      <c r="DX129" s="152">
        <f t="shared" si="165"/>
        <v>13.23</v>
      </c>
      <c r="DY129" s="152">
        <f t="shared" si="165"/>
        <v>13.23</v>
      </c>
      <c r="DZ129" s="152">
        <f t="shared" si="165"/>
        <v>13.23</v>
      </c>
      <c r="EA129" s="152">
        <f t="shared" si="165"/>
        <v>13.23</v>
      </c>
      <c r="EB129" s="152">
        <f t="shared" si="165"/>
        <v>13.23</v>
      </c>
      <c r="EC129" s="152">
        <f t="shared" si="165"/>
        <v>13.23</v>
      </c>
      <c r="EN129" s="114" t="s">
        <v>186</v>
      </c>
      <c r="EO129" s="281">
        <f aca="true" t="shared" si="166" ref="EO129:EY129">SUM(EO16,EO30,EO47,EO55,EO72,EO84,EO107,EO115,EO125)</f>
        <v>0</v>
      </c>
      <c r="EP129" s="281">
        <f t="shared" si="166"/>
        <v>0</v>
      </c>
      <c r="EQ129" s="281">
        <f t="shared" si="166"/>
        <v>54.661662</v>
      </c>
      <c r="ER129" s="281">
        <f t="shared" si="166"/>
        <v>261.757848</v>
      </c>
      <c r="ES129" s="281">
        <f t="shared" si="166"/>
        <v>304.869048</v>
      </c>
      <c r="ET129" s="281">
        <f t="shared" si="166"/>
        <v>347.9802480000001</v>
      </c>
      <c r="EU129" s="281">
        <f t="shared" si="166"/>
        <v>391.091448</v>
      </c>
      <c r="EV129" s="281">
        <f t="shared" si="166"/>
        <v>391.091448</v>
      </c>
      <c r="EW129" s="281">
        <f t="shared" si="166"/>
        <v>391.091448</v>
      </c>
      <c r="EX129" s="281">
        <f t="shared" si="166"/>
        <v>0</v>
      </c>
      <c r="EY129" s="281">
        <f t="shared" si="166"/>
        <v>0</v>
      </c>
      <c r="EZ129" s="276">
        <f>SUM(EO129:EY129)</f>
        <v>2142.5431500000004</v>
      </c>
      <c r="FA129" s="276">
        <f>EZ129-H128-CT128-BA128-K128+H132-H131-I128-J128-BB128-BC128-BD128-CU128-CV128-CW128+I132+J132+K132-I131-J131-K131</f>
        <v>2717.9585550464817</v>
      </c>
      <c r="FB129" s="580">
        <f>(FA128-H131-I131-J131-K131)*0.506+H130+I130+J130+K130</f>
        <v>2717.9585550464817</v>
      </c>
      <c r="GE129" s="237"/>
      <c r="GF129" s="237"/>
      <c r="GG129" s="237"/>
      <c r="GH129" s="237"/>
      <c r="GI129" s="237"/>
      <c r="GJ129" s="237"/>
      <c r="GK129" s="237"/>
      <c r="GL129" s="237"/>
      <c r="GT129" s="237"/>
      <c r="GU129" s="237"/>
      <c r="GV129" s="237"/>
      <c r="GW129" s="237"/>
      <c r="GX129" s="237"/>
      <c r="GY129" s="237"/>
      <c r="GZ129" s="237"/>
      <c r="HA129" s="237"/>
      <c r="HB129" s="237"/>
      <c r="HC129" s="237"/>
      <c r="HD129" s="237"/>
      <c r="HF129" s="237"/>
      <c r="HG129" s="237"/>
      <c r="HH129" s="237"/>
      <c r="HI129" s="237"/>
      <c r="HJ129" s="237"/>
      <c r="HK129" s="237"/>
      <c r="HL129" s="237"/>
    </row>
    <row r="130" spans="2:220" ht="15" customHeight="1" hidden="1" thickBot="1">
      <c r="B130" s="58" t="s">
        <v>169</v>
      </c>
      <c r="C130" s="250">
        <f>C129-C131</f>
        <v>15</v>
      </c>
      <c r="F130" s="157"/>
      <c r="H130" s="579">
        <f>H132-H131</f>
        <v>51.20478087649403</v>
      </c>
      <c r="I130" s="579">
        <f>I132-I131</f>
        <v>155.59667994687914</v>
      </c>
      <c r="J130" s="579">
        <f>J132-J131</f>
        <v>159.19176626826032</v>
      </c>
      <c r="K130" s="579">
        <f>K132-K131</f>
        <v>209.42217795484726</v>
      </c>
      <c r="AZ130" s="56" t="s">
        <v>510</v>
      </c>
      <c r="CS130" s="273" t="s">
        <v>514</v>
      </c>
      <c r="CU130" s="159"/>
      <c r="EL130" s="33" t="s">
        <v>513</v>
      </c>
      <c r="EN130" s="660" t="s">
        <v>241</v>
      </c>
      <c r="EO130" s="281">
        <f aca="true" t="shared" si="167" ref="EO130:FA130">SUM(EO128:EO129)</f>
        <v>0</v>
      </c>
      <c r="EP130" s="281">
        <f t="shared" si="167"/>
        <v>0</v>
      </c>
      <c r="EQ130" s="281">
        <f t="shared" si="167"/>
        <v>162.688662</v>
      </c>
      <c r="ER130" s="281">
        <f t="shared" si="167"/>
        <v>779.0658480000002</v>
      </c>
      <c r="ES130" s="281">
        <f t="shared" si="167"/>
        <v>907.3770480000001</v>
      </c>
      <c r="ET130" s="281">
        <f t="shared" si="167"/>
        <v>1035.6882480000002</v>
      </c>
      <c r="EU130" s="281">
        <f t="shared" si="167"/>
        <v>1163.999448</v>
      </c>
      <c r="EV130" s="281">
        <f t="shared" si="167"/>
        <v>1163.999448</v>
      </c>
      <c r="EW130" s="281">
        <f t="shared" si="167"/>
        <v>1163.999448</v>
      </c>
      <c r="EX130" s="281">
        <f t="shared" si="167"/>
        <v>0</v>
      </c>
      <c r="EY130" s="281">
        <f t="shared" si="167"/>
        <v>0</v>
      </c>
      <c r="EZ130" s="278">
        <f t="shared" si="167"/>
        <v>6376.818150000002</v>
      </c>
      <c r="FA130" s="279">
        <f t="shared" si="167"/>
        <v>8089.418150000001</v>
      </c>
      <c r="GE130" s="237"/>
      <c r="GF130" s="237"/>
      <c r="GG130" s="237"/>
      <c r="GH130" s="237"/>
      <c r="GI130" s="237"/>
      <c r="GJ130" s="237"/>
      <c r="GK130" s="237"/>
      <c r="GL130" s="237"/>
      <c r="GT130" s="237"/>
      <c r="GU130" s="237"/>
      <c r="GV130" s="237"/>
      <c r="GW130" s="237"/>
      <c r="GX130" s="237"/>
      <c r="GY130" s="237"/>
      <c r="GZ130" s="237"/>
      <c r="HA130" s="237"/>
      <c r="HB130" s="237"/>
      <c r="HC130" s="237"/>
      <c r="HD130" s="237"/>
      <c r="HF130" s="237"/>
      <c r="HG130" s="237"/>
      <c r="HH130" s="237"/>
      <c r="HI130" s="237"/>
      <c r="HJ130" s="237"/>
      <c r="HK130" s="237"/>
      <c r="HL130" s="237"/>
    </row>
    <row r="131" spans="2:220" ht="15" customHeight="1" hidden="1" thickBot="1">
      <c r="B131" s="60" t="s">
        <v>171</v>
      </c>
      <c r="C131" s="170">
        <f>B142</f>
        <v>86</v>
      </c>
      <c r="F131" s="268" t="s">
        <v>511</v>
      </c>
      <c r="G131" s="280"/>
      <c r="H131" s="260">
        <f>H132/1.506</f>
        <v>101.19521912350598</v>
      </c>
      <c r="I131" s="260">
        <f>I132/1.506</f>
        <v>307.5033200531209</v>
      </c>
      <c r="J131" s="260">
        <f>J132/1.506</f>
        <v>314.6082337317397</v>
      </c>
      <c r="K131" s="260">
        <f>K132/1.506</f>
        <v>413.8778220451527</v>
      </c>
      <c r="L131" s="260">
        <f aca="true" t="shared" si="168" ref="L131:BT131">L132/1.506</f>
        <v>0</v>
      </c>
      <c r="M131" s="260">
        <f t="shared" si="168"/>
        <v>0</v>
      </c>
      <c r="N131" s="260">
        <f t="shared" si="168"/>
        <v>0</v>
      </c>
      <c r="O131" s="260">
        <f t="shared" si="168"/>
        <v>0</v>
      </c>
      <c r="P131" s="260">
        <f t="shared" si="168"/>
        <v>0</v>
      </c>
      <c r="Q131" s="260">
        <f t="shared" si="168"/>
        <v>0</v>
      </c>
      <c r="R131" s="260">
        <f t="shared" si="168"/>
        <v>0</v>
      </c>
      <c r="S131" s="260">
        <f t="shared" si="168"/>
        <v>108.03908366533867</v>
      </c>
      <c r="T131" s="260">
        <f t="shared" si="168"/>
        <v>126.33908366533865</v>
      </c>
      <c r="U131" s="260">
        <f t="shared" si="168"/>
        <v>126.33908366533865</v>
      </c>
      <c r="V131" s="260">
        <f t="shared" si="168"/>
        <v>126.33908366533865</v>
      </c>
      <c r="W131" s="260">
        <f t="shared" si="168"/>
        <v>126.33908366533865</v>
      </c>
      <c r="X131" s="260">
        <f t="shared" si="168"/>
        <v>144.63908366533866</v>
      </c>
      <c r="Y131" s="260">
        <f t="shared" si="168"/>
        <v>144.63908366533866</v>
      </c>
      <c r="Z131" s="260">
        <f t="shared" si="168"/>
        <v>144.63908366533866</v>
      </c>
      <c r="AA131" s="260">
        <f t="shared" si="168"/>
        <v>144.63908366533866</v>
      </c>
      <c r="AB131" s="260">
        <f t="shared" si="168"/>
        <v>162.93908366533864</v>
      </c>
      <c r="AC131" s="260">
        <f t="shared" si="168"/>
        <v>162.93908366533864</v>
      </c>
      <c r="AD131" s="260">
        <f t="shared" si="168"/>
        <v>162.93908366533864</v>
      </c>
      <c r="AE131" s="260">
        <f t="shared" si="168"/>
        <v>162.93908366533864</v>
      </c>
      <c r="AF131" s="260">
        <f t="shared" si="168"/>
        <v>181.23908366533863</v>
      </c>
      <c r="AG131" s="260">
        <f t="shared" si="168"/>
        <v>181.23908366533863</v>
      </c>
      <c r="AH131" s="260">
        <f t="shared" si="168"/>
        <v>181.23908366533863</v>
      </c>
      <c r="AI131" s="260">
        <f t="shared" si="168"/>
        <v>181.23908366533863</v>
      </c>
      <c r="AJ131" s="260">
        <f t="shared" si="168"/>
        <v>181.23908366533863</v>
      </c>
      <c r="AK131" s="260">
        <f t="shared" si="168"/>
        <v>181.23908366533863</v>
      </c>
      <c r="AL131" s="260">
        <f t="shared" si="168"/>
        <v>181.23908366533863</v>
      </c>
      <c r="AM131" s="260">
        <f t="shared" si="168"/>
        <v>181.23908366533863</v>
      </c>
      <c r="AN131" s="260">
        <f t="shared" si="168"/>
        <v>181.23908366533863</v>
      </c>
      <c r="AO131" s="260">
        <f t="shared" si="168"/>
        <v>181.23908366533863</v>
      </c>
      <c r="AP131" s="261">
        <f t="shared" si="168"/>
        <v>181.23908366533863</v>
      </c>
      <c r="AQ131" s="261">
        <f t="shared" si="168"/>
        <v>181.23908366533863</v>
      </c>
      <c r="AR131" s="261"/>
      <c r="AS131" s="261"/>
      <c r="AT131" s="261"/>
      <c r="AU131" s="261"/>
      <c r="AV131" s="261"/>
      <c r="AW131" s="261"/>
      <c r="AX131" s="261"/>
      <c r="AY131" s="261"/>
      <c r="AZ131" s="646">
        <f aca="true" t="shared" si="169" ref="AZ131:AZ136">SUM(H131:AY131)</f>
        <v>5155.761686586985</v>
      </c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>
        <f t="shared" si="168"/>
        <v>25.297577689243028</v>
      </c>
      <c r="BM131" s="260">
        <f t="shared" si="168"/>
        <v>28.297577689243028</v>
      </c>
      <c r="BN131" s="260">
        <f t="shared" si="168"/>
        <v>28.297577689243028</v>
      </c>
      <c r="BO131" s="260">
        <f t="shared" si="168"/>
        <v>28.297577689243028</v>
      </c>
      <c r="BP131" s="260">
        <f t="shared" si="168"/>
        <v>28.297577689243028</v>
      </c>
      <c r="BQ131" s="260">
        <f t="shared" si="168"/>
        <v>31.297577689243028</v>
      </c>
      <c r="BR131" s="260">
        <f t="shared" si="168"/>
        <v>31.297577689243028</v>
      </c>
      <c r="BS131" s="260">
        <f t="shared" si="168"/>
        <v>31.297577689243028</v>
      </c>
      <c r="BT131" s="260">
        <f t="shared" si="168"/>
        <v>31.297577689243028</v>
      </c>
      <c r="BU131" s="260">
        <f aca="true" t="shared" si="170" ref="BU131:EC131">BU132/1.506</f>
        <v>34.29757768924303</v>
      </c>
      <c r="BV131" s="260">
        <f t="shared" si="170"/>
        <v>34.29757768924303</v>
      </c>
      <c r="BW131" s="260">
        <f t="shared" si="170"/>
        <v>34.29757768924303</v>
      </c>
      <c r="BX131" s="260">
        <f t="shared" si="170"/>
        <v>34.29757768924303</v>
      </c>
      <c r="BY131" s="260">
        <f t="shared" si="170"/>
        <v>37.29757768924303</v>
      </c>
      <c r="BZ131" s="260">
        <f t="shared" si="170"/>
        <v>37.29757768924303</v>
      </c>
      <c r="CA131" s="260">
        <f t="shared" si="170"/>
        <v>37.29757768924303</v>
      </c>
      <c r="CB131" s="260">
        <f t="shared" si="170"/>
        <v>37.29757768924303</v>
      </c>
      <c r="CC131" s="260">
        <f t="shared" si="170"/>
        <v>37.29757768924303</v>
      </c>
      <c r="CD131" s="260">
        <f t="shared" si="170"/>
        <v>37.29757768924303</v>
      </c>
      <c r="CE131" s="260">
        <f t="shared" si="170"/>
        <v>37.29757768924303</v>
      </c>
      <c r="CF131" s="260">
        <f t="shared" si="170"/>
        <v>37.29757768924303</v>
      </c>
      <c r="CG131" s="260">
        <f t="shared" si="170"/>
        <v>37.29757768924303</v>
      </c>
      <c r="CH131" s="260">
        <f t="shared" si="170"/>
        <v>37.29757768924303</v>
      </c>
      <c r="CI131" s="261">
        <f t="shared" si="170"/>
        <v>37.29757768924303</v>
      </c>
      <c r="CJ131" s="261">
        <f t="shared" si="170"/>
        <v>37.29757768924303</v>
      </c>
      <c r="CK131" s="261"/>
      <c r="CL131" s="261"/>
      <c r="CM131" s="261"/>
      <c r="CN131" s="261"/>
      <c r="CO131" s="261"/>
      <c r="CP131" s="261"/>
      <c r="CQ131" s="261"/>
      <c r="CR131" s="261"/>
      <c r="CS131" s="238">
        <f aca="true" t="shared" si="171" ref="CS131:CS136">SUM(BB131:CR131)</f>
        <v>848.4394422310754</v>
      </c>
      <c r="CT131" s="257"/>
      <c r="CU131" s="257"/>
      <c r="CV131" s="257"/>
      <c r="CW131" s="257"/>
      <c r="CX131" s="257"/>
      <c r="CY131" s="257"/>
      <c r="CZ131" s="257"/>
      <c r="DA131" s="257"/>
      <c r="DB131" s="257"/>
      <c r="DC131" s="257"/>
      <c r="DD131" s="257"/>
      <c r="DE131" s="257">
        <f t="shared" si="170"/>
        <v>13.230000000000002</v>
      </c>
      <c r="DF131" s="257">
        <f t="shared" si="170"/>
        <v>13.230000000000002</v>
      </c>
      <c r="DG131" s="257">
        <f t="shared" si="170"/>
        <v>13.230000000000002</v>
      </c>
      <c r="DH131" s="257">
        <f t="shared" si="170"/>
        <v>13.230000000000002</v>
      </c>
      <c r="DI131" s="257">
        <f t="shared" si="170"/>
        <v>13.230000000000002</v>
      </c>
      <c r="DJ131" s="257">
        <f t="shared" si="170"/>
        <v>13.230000000000002</v>
      </c>
      <c r="DK131" s="257">
        <f t="shared" si="170"/>
        <v>13.230000000000002</v>
      </c>
      <c r="DL131" s="257">
        <f t="shared" si="170"/>
        <v>13.230000000000002</v>
      </c>
      <c r="DM131" s="257">
        <f t="shared" si="170"/>
        <v>13.230000000000002</v>
      </c>
      <c r="DN131" s="257">
        <f t="shared" si="170"/>
        <v>13.230000000000002</v>
      </c>
      <c r="DO131" s="257">
        <f t="shared" si="170"/>
        <v>13.230000000000002</v>
      </c>
      <c r="DP131" s="257">
        <f t="shared" si="170"/>
        <v>13.230000000000002</v>
      </c>
      <c r="DQ131" s="257">
        <f t="shared" si="170"/>
        <v>13.230000000000002</v>
      </c>
      <c r="DR131" s="257">
        <f t="shared" si="170"/>
        <v>13.230000000000002</v>
      </c>
      <c r="DS131" s="257">
        <f t="shared" si="170"/>
        <v>13.230000000000002</v>
      </c>
      <c r="DT131" s="257">
        <f t="shared" si="170"/>
        <v>13.230000000000002</v>
      </c>
      <c r="DU131" s="257">
        <f t="shared" si="170"/>
        <v>13.230000000000002</v>
      </c>
      <c r="DV131" s="257">
        <f t="shared" si="170"/>
        <v>13.230000000000002</v>
      </c>
      <c r="DW131" s="257">
        <f t="shared" si="170"/>
        <v>13.230000000000002</v>
      </c>
      <c r="DX131" s="257">
        <f t="shared" si="170"/>
        <v>13.230000000000002</v>
      </c>
      <c r="DY131" s="257">
        <f t="shared" si="170"/>
        <v>13.230000000000002</v>
      </c>
      <c r="DZ131" s="257">
        <f t="shared" si="170"/>
        <v>13.230000000000002</v>
      </c>
      <c r="EA131" s="257">
        <f t="shared" si="170"/>
        <v>13.230000000000002</v>
      </c>
      <c r="EB131" s="271">
        <f t="shared" si="170"/>
        <v>13.230000000000002</v>
      </c>
      <c r="EC131" s="271">
        <f t="shared" si="170"/>
        <v>13.230000000000002</v>
      </c>
      <c r="ED131" s="271"/>
      <c r="EE131" s="271"/>
      <c r="EF131" s="271"/>
      <c r="EG131" s="271"/>
      <c r="EH131" s="271"/>
      <c r="EI131" s="271"/>
      <c r="EJ131" s="271"/>
      <c r="EK131" s="271"/>
      <c r="EL131" s="653">
        <f>SUM(CT131:EK131)</f>
        <v>330.75</v>
      </c>
      <c r="EM131" s="272">
        <f aca="true" t="shared" si="172" ref="EM131:EM136">SUM(EL131,CS131,AZ131)</f>
        <v>6334.95112881806</v>
      </c>
      <c r="EZ131" s="276">
        <f>SUM(EO130:EY130)</f>
        <v>6376.818150000001</v>
      </c>
      <c r="GD131" s="238"/>
      <c r="GE131" s="238"/>
      <c r="GF131" s="238"/>
      <c r="GG131" s="238"/>
      <c r="GH131" s="238"/>
      <c r="GI131" s="238"/>
      <c r="GJ131" s="238"/>
      <c r="GK131" s="238"/>
      <c r="GL131" s="238"/>
      <c r="GT131" s="238"/>
      <c r="GU131" s="238"/>
      <c r="GV131" s="238"/>
      <c r="GW131" s="238"/>
      <c r="GX131" s="238"/>
      <c r="GY131" s="238"/>
      <c r="GZ131" s="237"/>
      <c r="HA131" s="237"/>
      <c r="HB131" s="237"/>
      <c r="HC131" s="237"/>
      <c r="HD131" s="237"/>
      <c r="HE131" s="238"/>
      <c r="HF131" s="237"/>
      <c r="HG131" s="237"/>
      <c r="HH131" s="237"/>
      <c r="HI131" s="237"/>
      <c r="HJ131" s="238"/>
      <c r="HK131" s="238"/>
      <c r="HL131" s="238"/>
    </row>
    <row r="132" spans="6:220" ht="36.75" customHeight="1" hidden="1">
      <c r="F132" s="1324" t="s">
        <v>512</v>
      </c>
      <c r="G132" s="264">
        <f>SUM(G133:G136)</f>
        <v>0.506</v>
      </c>
      <c r="H132" s="259">
        <v>152.4</v>
      </c>
      <c r="I132" s="259">
        <v>463.1</v>
      </c>
      <c r="J132" s="259">
        <v>473.8</v>
      </c>
      <c r="K132" s="259">
        <v>623.3</v>
      </c>
      <c r="L132" s="259">
        <f aca="true" t="shared" si="173" ref="L132:AQ132">SUM(L16:L17,L30:L31,L47:L48,L55:L56,L72:L73,L84:L85,L107:L108,L115:L116,L125:L126)</f>
        <v>0</v>
      </c>
      <c r="M132" s="259">
        <f t="shared" si="173"/>
        <v>0</v>
      </c>
      <c r="N132" s="259">
        <f t="shared" si="173"/>
        <v>0</v>
      </c>
      <c r="O132" s="259">
        <f t="shared" si="173"/>
        <v>0</v>
      </c>
      <c r="P132" s="259">
        <f t="shared" si="173"/>
        <v>0</v>
      </c>
      <c r="Q132" s="259">
        <f t="shared" si="173"/>
        <v>0</v>
      </c>
      <c r="R132" s="259">
        <f t="shared" si="173"/>
        <v>0</v>
      </c>
      <c r="S132" s="259">
        <f t="shared" si="173"/>
        <v>162.70686000000003</v>
      </c>
      <c r="T132" s="259">
        <f t="shared" si="173"/>
        <v>190.26666</v>
      </c>
      <c r="U132" s="259">
        <f t="shared" si="173"/>
        <v>190.26666</v>
      </c>
      <c r="V132" s="259">
        <f t="shared" si="173"/>
        <v>190.26666</v>
      </c>
      <c r="W132" s="259">
        <f t="shared" si="173"/>
        <v>190.26666</v>
      </c>
      <c r="X132" s="259">
        <f t="shared" si="173"/>
        <v>217.82646000000003</v>
      </c>
      <c r="Y132" s="259">
        <f t="shared" si="173"/>
        <v>217.82646000000003</v>
      </c>
      <c r="Z132" s="259">
        <f t="shared" si="173"/>
        <v>217.82646000000003</v>
      </c>
      <c r="AA132" s="259">
        <f t="shared" si="173"/>
        <v>217.82646000000003</v>
      </c>
      <c r="AB132" s="259">
        <f t="shared" si="173"/>
        <v>245.38626</v>
      </c>
      <c r="AC132" s="259">
        <f t="shared" si="173"/>
        <v>245.38626</v>
      </c>
      <c r="AD132" s="259">
        <f t="shared" si="173"/>
        <v>245.38626</v>
      </c>
      <c r="AE132" s="259">
        <f t="shared" si="173"/>
        <v>245.38626</v>
      </c>
      <c r="AF132" s="259">
        <f t="shared" si="173"/>
        <v>272.94606</v>
      </c>
      <c r="AG132" s="259">
        <f t="shared" si="173"/>
        <v>272.94606</v>
      </c>
      <c r="AH132" s="259">
        <f t="shared" si="173"/>
        <v>272.94606</v>
      </c>
      <c r="AI132" s="259">
        <f t="shared" si="173"/>
        <v>272.94606</v>
      </c>
      <c r="AJ132" s="259">
        <f t="shared" si="173"/>
        <v>272.94606</v>
      </c>
      <c r="AK132" s="259">
        <f t="shared" si="173"/>
        <v>272.94606</v>
      </c>
      <c r="AL132" s="259">
        <f t="shared" si="173"/>
        <v>272.94606</v>
      </c>
      <c r="AM132" s="259">
        <f t="shared" si="173"/>
        <v>272.94606</v>
      </c>
      <c r="AN132" s="259">
        <f t="shared" si="173"/>
        <v>272.94606</v>
      </c>
      <c r="AO132" s="259">
        <f t="shared" si="173"/>
        <v>272.94606</v>
      </c>
      <c r="AP132" s="632">
        <f t="shared" si="173"/>
        <v>272.94606</v>
      </c>
      <c r="AQ132" s="632">
        <f t="shared" si="173"/>
        <v>272.94606</v>
      </c>
      <c r="AR132" s="632"/>
      <c r="AS132" s="632"/>
      <c r="AT132" s="632"/>
      <c r="AU132" s="632"/>
      <c r="AV132" s="632"/>
      <c r="AW132" s="632"/>
      <c r="AX132" s="632"/>
      <c r="AY132" s="632"/>
      <c r="AZ132" s="647">
        <f t="shared" si="169"/>
        <v>7764.577100000005</v>
      </c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>
        <f aca="true" t="shared" si="174" ref="BL132:CJ132">SUM(BL15,BL17,BL29,BL31,BL46,BL48,BL54,BL56,BL71,BL73,BL83,BL85,BL106,BL108,BL114,BL116,BL124,BL126)</f>
        <v>38.098152</v>
      </c>
      <c r="BM132" s="259">
        <f t="shared" si="174"/>
        <v>42.616152</v>
      </c>
      <c r="BN132" s="259">
        <f t="shared" si="174"/>
        <v>42.616152</v>
      </c>
      <c r="BO132" s="259">
        <f t="shared" si="174"/>
        <v>42.616152</v>
      </c>
      <c r="BP132" s="259">
        <f t="shared" si="174"/>
        <v>42.616152</v>
      </c>
      <c r="BQ132" s="259">
        <f t="shared" si="174"/>
        <v>47.134152</v>
      </c>
      <c r="BR132" s="259">
        <f t="shared" si="174"/>
        <v>47.134152</v>
      </c>
      <c r="BS132" s="259">
        <f t="shared" si="174"/>
        <v>47.134152</v>
      </c>
      <c r="BT132" s="259">
        <f t="shared" si="174"/>
        <v>47.134152</v>
      </c>
      <c r="BU132" s="259">
        <f t="shared" si="174"/>
        <v>51.652152</v>
      </c>
      <c r="BV132" s="259">
        <f t="shared" si="174"/>
        <v>51.652152</v>
      </c>
      <c r="BW132" s="259">
        <f t="shared" si="174"/>
        <v>51.652152</v>
      </c>
      <c r="BX132" s="259">
        <f t="shared" si="174"/>
        <v>51.652152</v>
      </c>
      <c r="BY132" s="259">
        <f t="shared" si="174"/>
        <v>56.170152</v>
      </c>
      <c r="BZ132" s="259">
        <f t="shared" si="174"/>
        <v>56.170152</v>
      </c>
      <c r="CA132" s="259">
        <f t="shared" si="174"/>
        <v>56.170152</v>
      </c>
      <c r="CB132" s="259">
        <f t="shared" si="174"/>
        <v>56.170152</v>
      </c>
      <c r="CC132" s="259">
        <f t="shared" si="174"/>
        <v>56.170152</v>
      </c>
      <c r="CD132" s="259">
        <f t="shared" si="174"/>
        <v>56.170152</v>
      </c>
      <c r="CE132" s="259">
        <f t="shared" si="174"/>
        <v>56.170152</v>
      </c>
      <c r="CF132" s="259">
        <f t="shared" si="174"/>
        <v>56.170152</v>
      </c>
      <c r="CG132" s="259">
        <f t="shared" si="174"/>
        <v>56.170152</v>
      </c>
      <c r="CH132" s="259">
        <f t="shared" si="174"/>
        <v>56.170152</v>
      </c>
      <c r="CI132" s="632">
        <f t="shared" si="174"/>
        <v>56.170152</v>
      </c>
      <c r="CJ132" s="632">
        <f t="shared" si="174"/>
        <v>56.170152</v>
      </c>
      <c r="CK132" s="632"/>
      <c r="CL132" s="632"/>
      <c r="CM132" s="632"/>
      <c r="CN132" s="632"/>
      <c r="CO132" s="632"/>
      <c r="CP132" s="632"/>
      <c r="CQ132" s="632"/>
      <c r="CR132" s="632"/>
      <c r="CS132" s="509">
        <f t="shared" si="171"/>
        <v>1277.7497999999998</v>
      </c>
      <c r="CT132" s="239"/>
      <c r="CU132" s="239"/>
      <c r="CV132" s="239"/>
      <c r="CW132" s="239"/>
      <c r="CX132" s="239"/>
      <c r="CY132" s="239"/>
      <c r="CZ132" s="239"/>
      <c r="DA132" s="239"/>
      <c r="DB132" s="239"/>
      <c r="DC132" s="239"/>
      <c r="DD132" s="239"/>
      <c r="DE132" s="239">
        <f aca="true" t="shared" si="175" ref="DE132:EC132">SUM(DE15,DE17,DE29,DE31,DE46,DE48,DE54,DE56,DE71,DE73,DE83,DE85,DE106,DE108,DE114,DE116,DE124,DE126)</f>
        <v>19.924380000000003</v>
      </c>
      <c r="DF132" s="239">
        <f t="shared" si="175"/>
        <v>19.924380000000003</v>
      </c>
      <c r="DG132" s="239">
        <f t="shared" si="175"/>
        <v>19.924380000000003</v>
      </c>
      <c r="DH132" s="239">
        <f t="shared" si="175"/>
        <v>19.924380000000003</v>
      </c>
      <c r="DI132" s="239">
        <f t="shared" si="175"/>
        <v>19.924380000000003</v>
      </c>
      <c r="DJ132" s="239">
        <f t="shared" si="175"/>
        <v>19.924380000000003</v>
      </c>
      <c r="DK132" s="239">
        <f t="shared" si="175"/>
        <v>19.924380000000003</v>
      </c>
      <c r="DL132" s="239">
        <f t="shared" si="175"/>
        <v>19.924380000000003</v>
      </c>
      <c r="DM132" s="239">
        <f t="shared" si="175"/>
        <v>19.924380000000003</v>
      </c>
      <c r="DN132" s="239">
        <f t="shared" si="175"/>
        <v>19.924380000000003</v>
      </c>
      <c r="DO132" s="239">
        <f t="shared" si="175"/>
        <v>19.924380000000003</v>
      </c>
      <c r="DP132" s="239">
        <f t="shared" si="175"/>
        <v>19.924380000000003</v>
      </c>
      <c r="DQ132" s="239">
        <f t="shared" si="175"/>
        <v>19.924380000000003</v>
      </c>
      <c r="DR132" s="239">
        <f t="shared" si="175"/>
        <v>19.924380000000003</v>
      </c>
      <c r="DS132" s="239">
        <f t="shared" si="175"/>
        <v>19.924380000000003</v>
      </c>
      <c r="DT132" s="239">
        <f t="shared" si="175"/>
        <v>19.924380000000003</v>
      </c>
      <c r="DU132" s="239">
        <f t="shared" si="175"/>
        <v>19.924380000000003</v>
      </c>
      <c r="DV132" s="239">
        <f t="shared" si="175"/>
        <v>19.924380000000003</v>
      </c>
      <c r="DW132" s="239">
        <f t="shared" si="175"/>
        <v>19.924380000000003</v>
      </c>
      <c r="DX132" s="239">
        <f t="shared" si="175"/>
        <v>19.924380000000003</v>
      </c>
      <c r="DY132" s="239">
        <f t="shared" si="175"/>
        <v>19.924380000000003</v>
      </c>
      <c r="DZ132" s="239">
        <f t="shared" si="175"/>
        <v>19.924380000000003</v>
      </c>
      <c r="EA132" s="239">
        <f t="shared" si="175"/>
        <v>19.924380000000003</v>
      </c>
      <c r="EB132" s="652">
        <f t="shared" si="175"/>
        <v>19.924380000000003</v>
      </c>
      <c r="EC132" s="652">
        <f t="shared" si="175"/>
        <v>19.924380000000003</v>
      </c>
      <c r="ED132" s="652"/>
      <c r="EE132" s="652"/>
      <c r="EF132" s="652"/>
      <c r="EG132" s="652"/>
      <c r="EH132" s="652"/>
      <c r="EI132" s="652"/>
      <c r="EJ132" s="652"/>
      <c r="EK132" s="652"/>
      <c r="EL132" s="656">
        <f>SUM(CT132:EK132)</f>
        <v>498.1094999999999</v>
      </c>
      <c r="EM132" s="272">
        <f t="shared" si="172"/>
        <v>9540.436400000004</v>
      </c>
      <c r="EN132" s="239">
        <f>EM132-EM131</f>
        <v>3205.485271181944</v>
      </c>
      <c r="GD132" s="238"/>
      <c r="GE132" s="238"/>
      <c r="GF132" s="238"/>
      <c r="GG132" s="238"/>
      <c r="GH132" s="238"/>
      <c r="GI132" s="238"/>
      <c r="GJ132" s="238"/>
      <c r="GK132" s="238"/>
      <c r="GL132" s="238"/>
      <c r="GT132" s="238"/>
      <c r="GU132" s="238"/>
      <c r="GV132" s="238"/>
      <c r="GW132" s="238"/>
      <c r="GX132" s="238"/>
      <c r="GY132" s="238"/>
      <c r="GZ132" s="238"/>
      <c r="HA132" s="238"/>
      <c r="HB132" s="238"/>
      <c r="HC132" s="238"/>
      <c r="HD132" s="238"/>
      <c r="HE132" s="666"/>
      <c r="HF132" s="238"/>
      <c r="HG132" s="238"/>
      <c r="HH132" s="238"/>
      <c r="HI132" s="238"/>
      <c r="HJ132" s="238"/>
      <c r="HK132" s="238"/>
      <c r="HL132" s="238"/>
    </row>
    <row r="133" spans="6:220" ht="15" customHeight="1" hidden="1">
      <c r="F133" s="269" t="s">
        <v>180</v>
      </c>
      <c r="G133" s="265">
        <v>0.32</v>
      </c>
      <c r="H133" s="158">
        <f>H131*G133</f>
        <v>32.38247011952191</v>
      </c>
      <c r="I133" s="158">
        <f aca="true" t="shared" si="176" ref="I133:BT133">I131*$G133</f>
        <v>98.40106241699868</v>
      </c>
      <c r="J133" s="158">
        <f t="shared" si="176"/>
        <v>100.6746347941567</v>
      </c>
      <c r="K133" s="158">
        <f t="shared" si="176"/>
        <v>132.44090305444885</v>
      </c>
      <c r="L133" s="158">
        <f t="shared" si="176"/>
        <v>0</v>
      </c>
      <c r="M133" s="158">
        <f t="shared" si="176"/>
        <v>0</v>
      </c>
      <c r="N133" s="158">
        <f t="shared" si="176"/>
        <v>0</v>
      </c>
      <c r="O133" s="158">
        <f t="shared" si="176"/>
        <v>0</v>
      </c>
      <c r="P133" s="158">
        <f t="shared" si="176"/>
        <v>0</v>
      </c>
      <c r="Q133" s="158">
        <f t="shared" si="176"/>
        <v>0</v>
      </c>
      <c r="R133" s="158">
        <f t="shared" si="176"/>
        <v>0</v>
      </c>
      <c r="S133" s="158">
        <f t="shared" si="176"/>
        <v>34.572506772908376</v>
      </c>
      <c r="T133" s="158">
        <f t="shared" si="176"/>
        <v>40.42850677290837</v>
      </c>
      <c r="U133" s="158">
        <f t="shared" si="176"/>
        <v>40.42850677290837</v>
      </c>
      <c r="V133" s="158">
        <f t="shared" si="176"/>
        <v>40.42850677290837</v>
      </c>
      <c r="W133" s="158">
        <f t="shared" si="176"/>
        <v>40.42850677290837</v>
      </c>
      <c r="X133" s="158">
        <f t="shared" si="176"/>
        <v>46.28450677290837</v>
      </c>
      <c r="Y133" s="158">
        <f t="shared" si="176"/>
        <v>46.28450677290837</v>
      </c>
      <c r="Z133" s="158">
        <f t="shared" si="176"/>
        <v>46.28450677290837</v>
      </c>
      <c r="AA133" s="158">
        <f t="shared" si="176"/>
        <v>46.28450677290837</v>
      </c>
      <c r="AB133" s="158">
        <f t="shared" si="176"/>
        <v>52.14050677290837</v>
      </c>
      <c r="AC133" s="158">
        <f t="shared" si="176"/>
        <v>52.14050677290837</v>
      </c>
      <c r="AD133" s="158">
        <f t="shared" si="176"/>
        <v>52.14050677290837</v>
      </c>
      <c r="AE133" s="158">
        <f t="shared" si="176"/>
        <v>52.14050677290837</v>
      </c>
      <c r="AF133" s="158">
        <f t="shared" si="176"/>
        <v>57.99650677290836</v>
      </c>
      <c r="AG133" s="158">
        <f t="shared" si="176"/>
        <v>57.99650677290836</v>
      </c>
      <c r="AH133" s="158">
        <f t="shared" si="176"/>
        <v>57.99650677290836</v>
      </c>
      <c r="AI133" s="158">
        <f t="shared" si="176"/>
        <v>57.99650677290836</v>
      </c>
      <c r="AJ133" s="158">
        <f t="shared" si="176"/>
        <v>57.99650677290836</v>
      </c>
      <c r="AK133" s="158">
        <f t="shared" si="176"/>
        <v>57.99650677290836</v>
      </c>
      <c r="AL133" s="158">
        <f t="shared" si="176"/>
        <v>57.99650677290836</v>
      </c>
      <c r="AM133" s="158">
        <f t="shared" si="176"/>
        <v>57.99650677290836</v>
      </c>
      <c r="AN133" s="158">
        <f t="shared" si="176"/>
        <v>57.99650677290836</v>
      </c>
      <c r="AO133" s="158">
        <f t="shared" si="176"/>
        <v>57.99650677290836</v>
      </c>
      <c r="AP133" s="633">
        <f t="shared" si="176"/>
        <v>57.99650677290836</v>
      </c>
      <c r="AQ133" s="633">
        <f>AQ131*$G133</f>
        <v>57.99650677290836</v>
      </c>
      <c r="AR133" s="633"/>
      <c r="AS133" s="633"/>
      <c r="AT133" s="633"/>
      <c r="AU133" s="633"/>
      <c r="AV133" s="633"/>
      <c r="AW133" s="633"/>
      <c r="AX133" s="633"/>
      <c r="AY133" s="633"/>
      <c r="AZ133" s="646">
        <f t="shared" si="169"/>
        <v>1649.8437397078346</v>
      </c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>
        <f t="shared" si="176"/>
        <v>8.095224860557769</v>
      </c>
      <c r="BM133" s="158">
        <f t="shared" si="176"/>
        <v>9.05522486055777</v>
      </c>
      <c r="BN133" s="158">
        <f t="shared" si="176"/>
        <v>9.05522486055777</v>
      </c>
      <c r="BO133" s="158">
        <f t="shared" si="176"/>
        <v>9.05522486055777</v>
      </c>
      <c r="BP133" s="158">
        <f t="shared" si="176"/>
        <v>9.05522486055777</v>
      </c>
      <c r="BQ133" s="158">
        <f t="shared" si="176"/>
        <v>10.015224860557769</v>
      </c>
      <c r="BR133" s="158">
        <f t="shared" si="176"/>
        <v>10.015224860557769</v>
      </c>
      <c r="BS133" s="158">
        <f t="shared" si="176"/>
        <v>10.015224860557769</v>
      </c>
      <c r="BT133" s="158">
        <f t="shared" si="176"/>
        <v>10.015224860557769</v>
      </c>
      <c r="BU133" s="158">
        <f aca="true" t="shared" si="177" ref="BU133:EB133">BU131*$G133</f>
        <v>10.97522486055777</v>
      </c>
      <c r="BV133" s="158">
        <f t="shared" si="177"/>
        <v>10.97522486055777</v>
      </c>
      <c r="BW133" s="158">
        <f t="shared" si="177"/>
        <v>10.97522486055777</v>
      </c>
      <c r="BX133" s="158">
        <f t="shared" si="177"/>
        <v>10.97522486055777</v>
      </c>
      <c r="BY133" s="158">
        <f t="shared" si="177"/>
        <v>11.935224860557769</v>
      </c>
      <c r="BZ133" s="158">
        <f t="shared" si="177"/>
        <v>11.935224860557769</v>
      </c>
      <c r="CA133" s="158">
        <f t="shared" si="177"/>
        <v>11.935224860557769</v>
      </c>
      <c r="CB133" s="158">
        <f t="shared" si="177"/>
        <v>11.935224860557769</v>
      </c>
      <c r="CC133" s="158">
        <f t="shared" si="177"/>
        <v>11.935224860557769</v>
      </c>
      <c r="CD133" s="158">
        <f t="shared" si="177"/>
        <v>11.935224860557769</v>
      </c>
      <c r="CE133" s="158">
        <f t="shared" si="177"/>
        <v>11.935224860557769</v>
      </c>
      <c r="CF133" s="158">
        <f t="shared" si="177"/>
        <v>11.935224860557769</v>
      </c>
      <c r="CG133" s="158">
        <f t="shared" si="177"/>
        <v>11.935224860557769</v>
      </c>
      <c r="CH133" s="158">
        <f t="shared" si="177"/>
        <v>11.935224860557769</v>
      </c>
      <c r="CI133" s="633">
        <f t="shared" si="177"/>
        <v>11.935224860557769</v>
      </c>
      <c r="CJ133" s="633">
        <f>CJ131*$G133</f>
        <v>11.935224860557769</v>
      </c>
      <c r="CK133" s="633"/>
      <c r="CL133" s="633"/>
      <c r="CM133" s="633"/>
      <c r="CN133" s="633"/>
      <c r="CO133" s="633"/>
      <c r="CP133" s="633"/>
      <c r="CQ133" s="633"/>
      <c r="CR133" s="633"/>
      <c r="CS133" s="238">
        <f t="shared" si="171"/>
        <v>271.50062151394434</v>
      </c>
      <c r="CT133" s="262"/>
      <c r="CU133" s="158"/>
      <c r="CV133" s="158"/>
      <c r="CW133" s="158"/>
      <c r="CX133" s="158"/>
      <c r="CY133" s="158"/>
      <c r="CZ133" s="158"/>
      <c r="DA133" s="158"/>
      <c r="DB133" s="158"/>
      <c r="DC133" s="158"/>
      <c r="DD133" s="158"/>
      <c r="DE133" s="158">
        <f t="shared" si="177"/>
        <v>4.233600000000001</v>
      </c>
      <c r="DF133" s="158">
        <f t="shared" si="177"/>
        <v>4.233600000000001</v>
      </c>
      <c r="DG133" s="158">
        <f t="shared" si="177"/>
        <v>4.233600000000001</v>
      </c>
      <c r="DH133" s="158">
        <f t="shared" si="177"/>
        <v>4.233600000000001</v>
      </c>
      <c r="DI133" s="158">
        <f t="shared" si="177"/>
        <v>4.233600000000001</v>
      </c>
      <c r="DJ133" s="158">
        <f t="shared" si="177"/>
        <v>4.233600000000001</v>
      </c>
      <c r="DK133" s="158">
        <f t="shared" si="177"/>
        <v>4.233600000000001</v>
      </c>
      <c r="DL133" s="158">
        <f t="shared" si="177"/>
        <v>4.233600000000001</v>
      </c>
      <c r="DM133" s="158">
        <f t="shared" si="177"/>
        <v>4.233600000000001</v>
      </c>
      <c r="DN133" s="158">
        <f t="shared" si="177"/>
        <v>4.233600000000001</v>
      </c>
      <c r="DO133" s="158">
        <f t="shared" si="177"/>
        <v>4.233600000000001</v>
      </c>
      <c r="DP133" s="158">
        <f t="shared" si="177"/>
        <v>4.233600000000001</v>
      </c>
      <c r="DQ133" s="158">
        <f t="shared" si="177"/>
        <v>4.233600000000001</v>
      </c>
      <c r="DR133" s="158">
        <f t="shared" si="177"/>
        <v>4.233600000000001</v>
      </c>
      <c r="DS133" s="158">
        <f t="shared" si="177"/>
        <v>4.233600000000001</v>
      </c>
      <c r="DT133" s="158">
        <f t="shared" si="177"/>
        <v>4.233600000000001</v>
      </c>
      <c r="DU133" s="158">
        <f t="shared" si="177"/>
        <v>4.233600000000001</v>
      </c>
      <c r="DV133" s="158">
        <f t="shared" si="177"/>
        <v>4.233600000000001</v>
      </c>
      <c r="DW133" s="158">
        <f t="shared" si="177"/>
        <v>4.233600000000001</v>
      </c>
      <c r="DX133" s="158">
        <f t="shared" si="177"/>
        <v>4.233600000000001</v>
      </c>
      <c r="DY133" s="158">
        <f t="shared" si="177"/>
        <v>4.233600000000001</v>
      </c>
      <c r="DZ133" s="158">
        <f t="shared" si="177"/>
        <v>4.233600000000001</v>
      </c>
      <c r="EA133" s="158">
        <f t="shared" si="177"/>
        <v>4.233600000000001</v>
      </c>
      <c r="EB133" s="633">
        <f t="shared" si="177"/>
        <v>4.233600000000001</v>
      </c>
      <c r="EC133" s="633">
        <f>EC131*$G133</f>
        <v>4.233600000000001</v>
      </c>
      <c r="ED133" s="633"/>
      <c r="EE133" s="633"/>
      <c r="EF133" s="633"/>
      <c r="EG133" s="633"/>
      <c r="EH133" s="633"/>
      <c r="EI133" s="633"/>
      <c r="EJ133" s="633"/>
      <c r="EK133" s="633"/>
      <c r="EL133" s="657">
        <f>SUM(CT133:EK133)</f>
        <v>105.83999999999999</v>
      </c>
      <c r="EM133" s="272">
        <f t="shared" si="172"/>
        <v>2027.184361221779</v>
      </c>
      <c r="GD133" s="636"/>
      <c r="GE133" s="636"/>
      <c r="GF133" s="636"/>
      <c r="GG133" s="636"/>
      <c r="GH133" s="636"/>
      <c r="GI133" s="636"/>
      <c r="GJ133" s="636"/>
      <c r="GK133" s="636"/>
      <c r="GL133" s="636"/>
      <c r="GT133" s="636"/>
      <c r="GU133" s="636"/>
      <c r="GV133" s="636"/>
      <c r="GW133" s="636"/>
      <c r="GX133" s="636"/>
      <c r="GY133" s="636"/>
      <c r="GZ133" s="636"/>
      <c r="HA133" s="636"/>
      <c r="HB133" s="636"/>
      <c r="HC133" s="636"/>
      <c r="HD133" s="636"/>
      <c r="HE133" s="667"/>
      <c r="HF133" s="636"/>
      <c r="HG133" s="636"/>
      <c r="HH133" s="636"/>
      <c r="HI133" s="636"/>
      <c r="HJ133" s="636"/>
      <c r="HK133" s="636"/>
      <c r="HL133" s="636"/>
    </row>
    <row r="134" spans="1:220" ht="15" customHeight="1" hidden="1">
      <c r="A134" s="1420" t="s">
        <v>440</v>
      </c>
      <c r="B134" s="1420"/>
      <c r="F134" s="269" t="s">
        <v>181</v>
      </c>
      <c r="G134" s="266">
        <v>0.029</v>
      </c>
      <c r="H134" s="158">
        <v>4.418</v>
      </c>
      <c r="I134" s="158">
        <f aca="true" t="shared" si="178" ref="I134:BT134">I131*$G134</f>
        <v>8.917596281540506</v>
      </c>
      <c r="J134" s="158">
        <f t="shared" si="178"/>
        <v>9.123638778220451</v>
      </c>
      <c r="K134" s="158">
        <f t="shared" si="178"/>
        <v>12.00245683930943</v>
      </c>
      <c r="L134" s="158">
        <f t="shared" si="178"/>
        <v>0</v>
      </c>
      <c r="M134" s="158">
        <f t="shared" si="178"/>
        <v>0</v>
      </c>
      <c r="N134" s="158">
        <f t="shared" si="178"/>
        <v>0</v>
      </c>
      <c r="O134" s="158">
        <f t="shared" si="178"/>
        <v>0</v>
      </c>
      <c r="P134" s="158">
        <f t="shared" si="178"/>
        <v>0</v>
      </c>
      <c r="Q134" s="158">
        <f t="shared" si="178"/>
        <v>0</v>
      </c>
      <c r="R134" s="158">
        <f t="shared" si="178"/>
        <v>0</v>
      </c>
      <c r="S134" s="158">
        <f t="shared" si="178"/>
        <v>3.1331334262948216</v>
      </c>
      <c r="T134" s="158">
        <f t="shared" si="178"/>
        <v>3.663833426294821</v>
      </c>
      <c r="U134" s="158">
        <f t="shared" si="178"/>
        <v>3.663833426294821</v>
      </c>
      <c r="V134" s="158">
        <f t="shared" si="178"/>
        <v>3.663833426294821</v>
      </c>
      <c r="W134" s="158">
        <f t="shared" si="178"/>
        <v>3.663833426294821</v>
      </c>
      <c r="X134" s="158">
        <f t="shared" si="178"/>
        <v>4.1945334262948215</v>
      </c>
      <c r="Y134" s="158">
        <f t="shared" si="178"/>
        <v>4.1945334262948215</v>
      </c>
      <c r="Z134" s="158">
        <f t="shared" si="178"/>
        <v>4.1945334262948215</v>
      </c>
      <c r="AA134" s="158">
        <f t="shared" si="178"/>
        <v>4.1945334262948215</v>
      </c>
      <c r="AB134" s="158">
        <f t="shared" si="178"/>
        <v>4.725233426294821</v>
      </c>
      <c r="AC134" s="158">
        <f t="shared" si="178"/>
        <v>4.725233426294821</v>
      </c>
      <c r="AD134" s="158">
        <f t="shared" si="178"/>
        <v>4.725233426294821</v>
      </c>
      <c r="AE134" s="158">
        <f t="shared" si="178"/>
        <v>4.725233426294821</v>
      </c>
      <c r="AF134" s="158">
        <f t="shared" si="178"/>
        <v>5.2559334262948205</v>
      </c>
      <c r="AG134" s="158">
        <f t="shared" si="178"/>
        <v>5.2559334262948205</v>
      </c>
      <c r="AH134" s="158">
        <f t="shared" si="178"/>
        <v>5.2559334262948205</v>
      </c>
      <c r="AI134" s="158">
        <f t="shared" si="178"/>
        <v>5.2559334262948205</v>
      </c>
      <c r="AJ134" s="158">
        <f t="shared" si="178"/>
        <v>5.2559334262948205</v>
      </c>
      <c r="AK134" s="158">
        <f t="shared" si="178"/>
        <v>5.2559334262948205</v>
      </c>
      <c r="AL134" s="158">
        <f t="shared" si="178"/>
        <v>5.2559334262948205</v>
      </c>
      <c r="AM134" s="158">
        <f t="shared" si="178"/>
        <v>5.2559334262948205</v>
      </c>
      <c r="AN134" s="158">
        <f t="shared" si="178"/>
        <v>5.2559334262948205</v>
      </c>
      <c r="AO134" s="158">
        <f t="shared" si="178"/>
        <v>5.2559334262948205</v>
      </c>
      <c r="AP134" s="633">
        <f t="shared" si="178"/>
        <v>5.2559334262948205</v>
      </c>
      <c r="AQ134" s="633">
        <f>AQ131*$G134</f>
        <v>5.2559334262948205</v>
      </c>
      <c r="AR134" s="633"/>
      <c r="AS134" s="633"/>
      <c r="AT134" s="633"/>
      <c r="AU134" s="633"/>
      <c r="AV134" s="633"/>
      <c r="AW134" s="633"/>
      <c r="AX134" s="633"/>
      <c r="AY134" s="633"/>
      <c r="AZ134" s="646">
        <f t="shared" si="169"/>
        <v>151.00042755644094</v>
      </c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>
        <f t="shared" si="178"/>
        <v>0.7336297529880479</v>
      </c>
      <c r="BM134" s="158">
        <f t="shared" si="178"/>
        <v>0.8206297529880479</v>
      </c>
      <c r="BN134" s="158">
        <f t="shared" si="178"/>
        <v>0.8206297529880479</v>
      </c>
      <c r="BO134" s="158">
        <f t="shared" si="178"/>
        <v>0.8206297529880479</v>
      </c>
      <c r="BP134" s="158">
        <f t="shared" si="178"/>
        <v>0.8206297529880479</v>
      </c>
      <c r="BQ134" s="158">
        <f t="shared" si="178"/>
        <v>0.9076297529880478</v>
      </c>
      <c r="BR134" s="158">
        <f t="shared" si="178"/>
        <v>0.9076297529880478</v>
      </c>
      <c r="BS134" s="158">
        <f t="shared" si="178"/>
        <v>0.9076297529880478</v>
      </c>
      <c r="BT134" s="158">
        <f t="shared" si="178"/>
        <v>0.9076297529880478</v>
      </c>
      <c r="BU134" s="158">
        <f aca="true" t="shared" si="179" ref="BU134:EB134">BU131*$G134</f>
        <v>0.9946297529880479</v>
      </c>
      <c r="BV134" s="158">
        <f t="shared" si="179"/>
        <v>0.9946297529880479</v>
      </c>
      <c r="BW134" s="158">
        <f t="shared" si="179"/>
        <v>0.9946297529880479</v>
      </c>
      <c r="BX134" s="158">
        <f t="shared" si="179"/>
        <v>0.9946297529880479</v>
      </c>
      <c r="BY134" s="158">
        <f t="shared" si="179"/>
        <v>1.0816297529880479</v>
      </c>
      <c r="BZ134" s="158">
        <f t="shared" si="179"/>
        <v>1.0816297529880479</v>
      </c>
      <c r="CA134" s="158">
        <f t="shared" si="179"/>
        <v>1.0816297529880479</v>
      </c>
      <c r="CB134" s="158">
        <f t="shared" si="179"/>
        <v>1.0816297529880479</v>
      </c>
      <c r="CC134" s="158">
        <f t="shared" si="179"/>
        <v>1.0816297529880479</v>
      </c>
      <c r="CD134" s="158">
        <f t="shared" si="179"/>
        <v>1.0816297529880479</v>
      </c>
      <c r="CE134" s="158">
        <f t="shared" si="179"/>
        <v>1.0816297529880479</v>
      </c>
      <c r="CF134" s="158">
        <f t="shared" si="179"/>
        <v>1.0816297529880479</v>
      </c>
      <c r="CG134" s="158">
        <f t="shared" si="179"/>
        <v>1.0816297529880479</v>
      </c>
      <c r="CH134" s="158">
        <f t="shared" si="179"/>
        <v>1.0816297529880479</v>
      </c>
      <c r="CI134" s="633">
        <f t="shared" si="179"/>
        <v>1.0816297529880479</v>
      </c>
      <c r="CJ134" s="633">
        <f>CJ131*$G134</f>
        <v>1.0816297529880479</v>
      </c>
      <c r="CK134" s="633"/>
      <c r="CL134" s="633"/>
      <c r="CM134" s="633"/>
      <c r="CN134" s="633"/>
      <c r="CO134" s="633"/>
      <c r="CP134" s="633"/>
      <c r="CQ134" s="633"/>
      <c r="CR134" s="633"/>
      <c r="CS134" s="238">
        <f t="shared" si="171"/>
        <v>24.604743824701192</v>
      </c>
      <c r="CT134" s="262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>
        <f t="shared" si="179"/>
        <v>0.38367000000000007</v>
      </c>
      <c r="DF134" s="158">
        <f t="shared" si="179"/>
        <v>0.38367000000000007</v>
      </c>
      <c r="DG134" s="158">
        <f t="shared" si="179"/>
        <v>0.38367000000000007</v>
      </c>
      <c r="DH134" s="158">
        <f t="shared" si="179"/>
        <v>0.38367000000000007</v>
      </c>
      <c r="DI134" s="158">
        <f t="shared" si="179"/>
        <v>0.38367000000000007</v>
      </c>
      <c r="DJ134" s="158">
        <f t="shared" si="179"/>
        <v>0.38367000000000007</v>
      </c>
      <c r="DK134" s="158">
        <f t="shared" si="179"/>
        <v>0.38367000000000007</v>
      </c>
      <c r="DL134" s="158">
        <f t="shared" si="179"/>
        <v>0.38367000000000007</v>
      </c>
      <c r="DM134" s="158">
        <f t="shared" si="179"/>
        <v>0.38367000000000007</v>
      </c>
      <c r="DN134" s="158">
        <f t="shared" si="179"/>
        <v>0.38367000000000007</v>
      </c>
      <c r="DO134" s="158">
        <f t="shared" si="179"/>
        <v>0.38367000000000007</v>
      </c>
      <c r="DP134" s="158">
        <f t="shared" si="179"/>
        <v>0.38367000000000007</v>
      </c>
      <c r="DQ134" s="158">
        <f t="shared" si="179"/>
        <v>0.38367000000000007</v>
      </c>
      <c r="DR134" s="158">
        <f t="shared" si="179"/>
        <v>0.38367000000000007</v>
      </c>
      <c r="DS134" s="158">
        <f t="shared" si="179"/>
        <v>0.38367000000000007</v>
      </c>
      <c r="DT134" s="158">
        <f t="shared" si="179"/>
        <v>0.38367000000000007</v>
      </c>
      <c r="DU134" s="158">
        <f t="shared" si="179"/>
        <v>0.38367000000000007</v>
      </c>
      <c r="DV134" s="158">
        <f t="shared" si="179"/>
        <v>0.38367000000000007</v>
      </c>
      <c r="DW134" s="158">
        <f t="shared" si="179"/>
        <v>0.38367000000000007</v>
      </c>
      <c r="DX134" s="158">
        <f t="shared" si="179"/>
        <v>0.38367000000000007</v>
      </c>
      <c r="DY134" s="158">
        <f t="shared" si="179"/>
        <v>0.38367000000000007</v>
      </c>
      <c r="DZ134" s="158">
        <f t="shared" si="179"/>
        <v>0.38367000000000007</v>
      </c>
      <c r="EA134" s="158">
        <f t="shared" si="179"/>
        <v>0.38367000000000007</v>
      </c>
      <c r="EB134" s="633">
        <f t="shared" si="179"/>
        <v>0.38367000000000007</v>
      </c>
      <c r="EC134" s="633">
        <f>EC131*$G134</f>
        <v>0.38367000000000007</v>
      </c>
      <c r="ED134" s="633"/>
      <c r="EE134" s="633"/>
      <c r="EF134" s="633"/>
      <c r="EG134" s="633"/>
      <c r="EH134" s="633"/>
      <c r="EI134" s="633"/>
      <c r="EJ134" s="633"/>
      <c r="EK134" s="633"/>
      <c r="EL134" s="657">
        <f>SUM(CT134:EK134)</f>
        <v>9.591750000000005</v>
      </c>
      <c r="EM134" s="272">
        <f t="shared" si="172"/>
        <v>185.19692138114215</v>
      </c>
      <c r="EO134" s="239">
        <f>SUM(H131:K131,BA131:BD131,CT131:CW131)</f>
        <v>1137.1845949535193</v>
      </c>
      <c r="EP134" s="239">
        <f>SUM(L131:O131,BE131:BH131,CX131:DA131)</f>
        <v>0</v>
      </c>
      <c r="EQ134" s="239">
        <f>SUM(P131:S131,BI131:BL131,DB131:DE131)</f>
        <v>146.56666135458167</v>
      </c>
      <c r="ER134" s="239">
        <f>SUM(T131:W131,BM131:BP131,DF131:DI131)</f>
        <v>671.4666454183266</v>
      </c>
      <c r="ES134" s="239">
        <f>SUM(X131:AA131,BQ131:BT131,DJ131:DM131)</f>
        <v>756.6666454183267</v>
      </c>
      <c r="ET134" s="239">
        <f>SUM(AB131:AE131,BU131:BX131,DN131:DQ131)</f>
        <v>841.8666454183266</v>
      </c>
      <c r="EU134" s="239">
        <f>SUM(AF131:AI131,BY131:CB131,DR131:DU131)</f>
        <v>927.0666454183265</v>
      </c>
      <c r="EV134" s="239">
        <f>SUM(AJ131:AM131,CC131:CF131,DV131:DY131)</f>
        <v>927.0666454183265</v>
      </c>
      <c r="EW134" s="239">
        <f>SUM(AN131:AQ131,CG131:CJ131,DZ131:EC131)</f>
        <v>927.0666454183265</v>
      </c>
      <c r="EX134" s="239">
        <f>SUM(AR131:AU131,CK131:CN131,ED131:EG131)</f>
        <v>0</v>
      </c>
      <c r="EY134" s="239">
        <f>SUM(AV131:AY131,CO131:CR131,EH131:EK131)</f>
        <v>0</v>
      </c>
      <c r="EZ134" s="663">
        <f>SUM(EO134:EY134)</f>
        <v>6334.95112881806</v>
      </c>
      <c r="FA134" s="648"/>
      <c r="GD134" s="636"/>
      <c r="GE134" s="636"/>
      <c r="GF134" s="636"/>
      <c r="GG134" s="636"/>
      <c r="GH134" s="636"/>
      <c r="GI134" s="636"/>
      <c r="GJ134" s="636"/>
      <c r="GK134" s="636"/>
      <c r="GL134" s="636"/>
      <c r="GT134" s="636"/>
      <c r="GU134" s="636"/>
      <c r="GV134" s="636"/>
      <c r="GW134" s="636"/>
      <c r="GX134" s="636"/>
      <c r="GY134" s="636"/>
      <c r="GZ134" s="636"/>
      <c r="HA134" s="636"/>
      <c r="HB134" s="636"/>
      <c r="HC134" s="636"/>
      <c r="HD134" s="636"/>
      <c r="HE134" s="667"/>
      <c r="HF134" s="636"/>
      <c r="HG134" s="636"/>
      <c r="HH134" s="636"/>
      <c r="HI134" s="636"/>
      <c r="HJ134" s="636"/>
      <c r="HK134" s="636"/>
      <c r="HL134" s="636"/>
    </row>
    <row r="135" spans="1:220" ht="15" customHeight="1" hidden="1" thickBot="1">
      <c r="A135" s="155"/>
      <c r="B135" s="34"/>
      <c r="F135" s="269" t="s">
        <v>182</v>
      </c>
      <c r="G135" s="266">
        <v>0.019</v>
      </c>
      <c r="H135" s="158">
        <v>1.414</v>
      </c>
      <c r="I135" s="158">
        <f aca="true" t="shared" si="180" ref="I135:BT135">I131*$G135</f>
        <v>5.842563081009296</v>
      </c>
      <c r="J135" s="158">
        <f t="shared" si="180"/>
        <v>5.9775564409030535</v>
      </c>
      <c r="K135" s="158">
        <f t="shared" si="180"/>
        <v>7.863678618857901</v>
      </c>
      <c r="L135" s="158">
        <f t="shared" si="180"/>
        <v>0</v>
      </c>
      <c r="M135" s="158">
        <f t="shared" si="180"/>
        <v>0</v>
      </c>
      <c r="N135" s="158">
        <f t="shared" si="180"/>
        <v>0</v>
      </c>
      <c r="O135" s="158">
        <f t="shared" si="180"/>
        <v>0</v>
      </c>
      <c r="P135" s="158">
        <f t="shared" si="180"/>
        <v>0</v>
      </c>
      <c r="Q135" s="158">
        <f t="shared" si="180"/>
        <v>0</v>
      </c>
      <c r="R135" s="158">
        <f t="shared" si="180"/>
        <v>0</v>
      </c>
      <c r="S135" s="158">
        <f t="shared" si="180"/>
        <v>2.0527425896414346</v>
      </c>
      <c r="T135" s="158">
        <f t="shared" si="180"/>
        <v>2.4004425896414343</v>
      </c>
      <c r="U135" s="158">
        <f t="shared" si="180"/>
        <v>2.4004425896414343</v>
      </c>
      <c r="V135" s="158">
        <f t="shared" si="180"/>
        <v>2.4004425896414343</v>
      </c>
      <c r="W135" s="158">
        <f t="shared" si="180"/>
        <v>2.4004425896414343</v>
      </c>
      <c r="X135" s="158">
        <f t="shared" si="180"/>
        <v>2.7481425896414344</v>
      </c>
      <c r="Y135" s="158">
        <f t="shared" si="180"/>
        <v>2.7481425896414344</v>
      </c>
      <c r="Z135" s="158">
        <f t="shared" si="180"/>
        <v>2.7481425896414344</v>
      </c>
      <c r="AA135" s="158">
        <f t="shared" si="180"/>
        <v>2.7481425896414344</v>
      </c>
      <c r="AB135" s="158">
        <f t="shared" si="180"/>
        <v>3.095842589641434</v>
      </c>
      <c r="AC135" s="158">
        <f t="shared" si="180"/>
        <v>3.095842589641434</v>
      </c>
      <c r="AD135" s="158">
        <f t="shared" si="180"/>
        <v>3.095842589641434</v>
      </c>
      <c r="AE135" s="158">
        <f t="shared" si="180"/>
        <v>3.095842589641434</v>
      </c>
      <c r="AF135" s="158">
        <f t="shared" si="180"/>
        <v>3.443542589641434</v>
      </c>
      <c r="AG135" s="158">
        <f t="shared" si="180"/>
        <v>3.443542589641434</v>
      </c>
      <c r="AH135" s="158">
        <f t="shared" si="180"/>
        <v>3.443542589641434</v>
      </c>
      <c r="AI135" s="158">
        <f t="shared" si="180"/>
        <v>3.443542589641434</v>
      </c>
      <c r="AJ135" s="158">
        <f t="shared" si="180"/>
        <v>3.443542589641434</v>
      </c>
      <c r="AK135" s="158">
        <f t="shared" si="180"/>
        <v>3.443542589641434</v>
      </c>
      <c r="AL135" s="158">
        <f t="shared" si="180"/>
        <v>3.443542589641434</v>
      </c>
      <c r="AM135" s="158">
        <f t="shared" si="180"/>
        <v>3.443542589641434</v>
      </c>
      <c r="AN135" s="158">
        <f t="shared" si="180"/>
        <v>3.443542589641434</v>
      </c>
      <c r="AO135" s="158">
        <f t="shared" si="180"/>
        <v>3.443542589641434</v>
      </c>
      <c r="AP135" s="633">
        <f t="shared" si="180"/>
        <v>3.443542589641434</v>
      </c>
      <c r="AQ135" s="633">
        <f>AQ131*$G135</f>
        <v>3.443542589641434</v>
      </c>
      <c r="AR135" s="633"/>
      <c r="AS135" s="633"/>
      <c r="AT135" s="633"/>
      <c r="AU135" s="633"/>
      <c r="AV135" s="633"/>
      <c r="AW135" s="633"/>
      <c r="AX135" s="633"/>
      <c r="AY135" s="633"/>
      <c r="AZ135" s="646">
        <f t="shared" si="169"/>
        <v>97.45076288180614</v>
      </c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>
        <f t="shared" si="180"/>
        <v>0.4806539760956175</v>
      </c>
      <c r="BM135" s="158">
        <f t="shared" si="180"/>
        <v>0.5376539760956175</v>
      </c>
      <c r="BN135" s="158">
        <f t="shared" si="180"/>
        <v>0.5376539760956175</v>
      </c>
      <c r="BO135" s="158">
        <f t="shared" si="180"/>
        <v>0.5376539760956175</v>
      </c>
      <c r="BP135" s="158">
        <f t="shared" si="180"/>
        <v>0.5376539760956175</v>
      </c>
      <c r="BQ135" s="158">
        <f t="shared" si="180"/>
        <v>0.5946539760956175</v>
      </c>
      <c r="BR135" s="158">
        <f t="shared" si="180"/>
        <v>0.5946539760956175</v>
      </c>
      <c r="BS135" s="158">
        <f t="shared" si="180"/>
        <v>0.5946539760956175</v>
      </c>
      <c r="BT135" s="158">
        <f t="shared" si="180"/>
        <v>0.5946539760956175</v>
      </c>
      <c r="BU135" s="158">
        <f aca="true" t="shared" si="181" ref="BU135:EB135">BU131*$G135</f>
        <v>0.6516539760956175</v>
      </c>
      <c r="BV135" s="158">
        <f t="shared" si="181"/>
        <v>0.6516539760956175</v>
      </c>
      <c r="BW135" s="158">
        <f t="shared" si="181"/>
        <v>0.6516539760956175</v>
      </c>
      <c r="BX135" s="158">
        <f t="shared" si="181"/>
        <v>0.6516539760956175</v>
      </c>
      <c r="BY135" s="158">
        <f t="shared" si="181"/>
        <v>0.7086539760956175</v>
      </c>
      <c r="BZ135" s="158">
        <f t="shared" si="181"/>
        <v>0.7086539760956175</v>
      </c>
      <c r="CA135" s="158">
        <f t="shared" si="181"/>
        <v>0.7086539760956175</v>
      </c>
      <c r="CB135" s="158">
        <f t="shared" si="181"/>
        <v>0.7086539760956175</v>
      </c>
      <c r="CC135" s="158">
        <f t="shared" si="181"/>
        <v>0.7086539760956175</v>
      </c>
      <c r="CD135" s="158">
        <f t="shared" si="181"/>
        <v>0.7086539760956175</v>
      </c>
      <c r="CE135" s="158">
        <f t="shared" si="181"/>
        <v>0.7086539760956175</v>
      </c>
      <c r="CF135" s="158">
        <f t="shared" si="181"/>
        <v>0.7086539760956175</v>
      </c>
      <c r="CG135" s="158">
        <f t="shared" si="181"/>
        <v>0.7086539760956175</v>
      </c>
      <c r="CH135" s="158">
        <f t="shared" si="181"/>
        <v>0.7086539760956175</v>
      </c>
      <c r="CI135" s="633">
        <f t="shared" si="181"/>
        <v>0.7086539760956175</v>
      </c>
      <c r="CJ135" s="633">
        <f>CJ131*$G135</f>
        <v>0.7086539760956175</v>
      </c>
      <c r="CK135" s="633"/>
      <c r="CL135" s="633"/>
      <c r="CM135" s="633"/>
      <c r="CN135" s="633"/>
      <c r="CO135" s="633"/>
      <c r="CP135" s="633"/>
      <c r="CQ135" s="633"/>
      <c r="CR135" s="633"/>
      <c r="CS135" s="238">
        <f t="shared" si="171"/>
        <v>16.12034940239043</v>
      </c>
      <c r="CT135" s="262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>
        <f t="shared" si="181"/>
        <v>0.25137000000000004</v>
      </c>
      <c r="DF135" s="158">
        <f t="shared" si="181"/>
        <v>0.25137000000000004</v>
      </c>
      <c r="DG135" s="158">
        <f t="shared" si="181"/>
        <v>0.25137000000000004</v>
      </c>
      <c r="DH135" s="158">
        <f t="shared" si="181"/>
        <v>0.25137000000000004</v>
      </c>
      <c r="DI135" s="158">
        <f t="shared" si="181"/>
        <v>0.25137000000000004</v>
      </c>
      <c r="DJ135" s="158">
        <f t="shared" si="181"/>
        <v>0.25137000000000004</v>
      </c>
      <c r="DK135" s="158">
        <f t="shared" si="181"/>
        <v>0.25137000000000004</v>
      </c>
      <c r="DL135" s="158">
        <f t="shared" si="181"/>
        <v>0.25137000000000004</v>
      </c>
      <c r="DM135" s="158">
        <f t="shared" si="181"/>
        <v>0.25137000000000004</v>
      </c>
      <c r="DN135" s="158">
        <f t="shared" si="181"/>
        <v>0.25137000000000004</v>
      </c>
      <c r="DO135" s="158">
        <f t="shared" si="181"/>
        <v>0.25137000000000004</v>
      </c>
      <c r="DP135" s="158">
        <f t="shared" si="181"/>
        <v>0.25137000000000004</v>
      </c>
      <c r="DQ135" s="158">
        <f t="shared" si="181"/>
        <v>0.25137000000000004</v>
      </c>
      <c r="DR135" s="158">
        <f t="shared" si="181"/>
        <v>0.25137000000000004</v>
      </c>
      <c r="DS135" s="158">
        <f t="shared" si="181"/>
        <v>0.25137000000000004</v>
      </c>
      <c r="DT135" s="158">
        <f t="shared" si="181"/>
        <v>0.25137000000000004</v>
      </c>
      <c r="DU135" s="158">
        <f t="shared" si="181"/>
        <v>0.25137000000000004</v>
      </c>
      <c r="DV135" s="158">
        <f t="shared" si="181"/>
        <v>0.25137000000000004</v>
      </c>
      <c r="DW135" s="158">
        <f t="shared" si="181"/>
        <v>0.25137000000000004</v>
      </c>
      <c r="DX135" s="158">
        <f t="shared" si="181"/>
        <v>0.25137000000000004</v>
      </c>
      <c r="DY135" s="158">
        <f t="shared" si="181"/>
        <v>0.25137000000000004</v>
      </c>
      <c r="DZ135" s="158">
        <f t="shared" si="181"/>
        <v>0.25137000000000004</v>
      </c>
      <c r="EA135" s="158">
        <f t="shared" si="181"/>
        <v>0.25137000000000004</v>
      </c>
      <c r="EB135" s="633">
        <f t="shared" si="181"/>
        <v>0.25137000000000004</v>
      </c>
      <c r="EC135" s="633">
        <f>EC131*$G135</f>
        <v>0.25137000000000004</v>
      </c>
      <c r="ED135" s="633"/>
      <c r="EE135" s="633"/>
      <c r="EF135" s="633"/>
      <c r="EG135" s="633"/>
      <c r="EH135" s="633"/>
      <c r="EI135" s="633"/>
      <c r="EJ135" s="633"/>
      <c r="EK135" s="633"/>
      <c r="EL135" s="657">
        <f>SUM(CT135:EK135)</f>
        <v>6.2842499999999974</v>
      </c>
      <c r="EM135" s="272">
        <f t="shared" si="172"/>
        <v>119.85536228419657</v>
      </c>
      <c r="GD135" s="636"/>
      <c r="GE135" s="636"/>
      <c r="GF135" s="636"/>
      <c r="GG135" s="636"/>
      <c r="GH135" s="636"/>
      <c r="GI135" s="636"/>
      <c r="GJ135" s="636"/>
      <c r="GK135" s="636"/>
      <c r="GL135" s="636"/>
      <c r="GT135" s="636"/>
      <c r="GU135" s="636"/>
      <c r="GV135" s="636"/>
      <c r="GW135" s="636"/>
      <c r="GX135" s="636"/>
      <c r="GY135" s="636"/>
      <c r="GZ135" s="636"/>
      <c r="HA135" s="636"/>
      <c r="HB135" s="636"/>
      <c r="HC135" s="636"/>
      <c r="HD135" s="636"/>
      <c r="HE135" s="667"/>
      <c r="HF135" s="636"/>
      <c r="HG135" s="636"/>
      <c r="HH135" s="636"/>
      <c r="HI135" s="636"/>
      <c r="HJ135" s="636"/>
      <c r="HK135" s="636"/>
      <c r="HL135" s="636"/>
    </row>
    <row r="136" spans="1:220" ht="15" customHeight="1" hidden="1" thickBot="1">
      <c r="A136" s="190" t="s">
        <v>172</v>
      </c>
      <c r="B136" s="191" t="s">
        <v>441</v>
      </c>
      <c r="F136" s="270" t="s">
        <v>183</v>
      </c>
      <c r="G136" s="267">
        <v>0.138</v>
      </c>
      <c r="H136" s="258">
        <v>27.967</v>
      </c>
      <c r="I136" s="258">
        <f aca="true" t="shared" si="182" ref="I136:BT136">I131*$G136</f>
        <v>42.43545816733069</v>
      </c>
      <c r="J136" s="258">
        <f t="shared" si="182"/>
        <v>43.41593625498008</v>
      </c>
      <c r="K136" s="258">
        <f t="shared" si="182"/>
        <v>57.115139442231076</v>
      </c>
      <c r="L136" s="258">
        <f t="shared" si="182"/>
        <v>0</v>
      </c>
      <c r="M136" s="258">
        <f t="shared" si="182"/>
        <v>0</v>
      </c>
      <c r="N136" s="258">
        <f t="shared" si="182"/>
        <v>0</v>
      </c>
      <c r="O136" s="258">
        <f t="shared" si="182"/>
        <v>0</v>
      </c>
      <c r="P136" s="258">
        <f t="shared" si="182"/>
        <v>0</v>
      </c>
      <c r="Q136" s="258">
        <f t="shared" si="182"/>
        <v>0</v>
      </c>
      <c r="R136" s="258">
        <f t="shared" si="182"/>
        <v>0</v>
      </c>
      <c r="S136" s="258">
        <f t="shared" si="182"/>
        <v>14.909393545816737</v>
      </c>
      <c r="T136" s="258">
        <f t="shared" si="182"/>
        <v>17.434793545816735</v>
      </c>
      <c r="U136" s="258">
        <f t="shared" si="182"/>
        <v>17.434793545816735</v>
      </c>
      <c r="V136" s="258">
        <f t="shared" si="182"/>
        <v>17.434793545816735</v>
      </c>
      <c r="W136" s="258">
        <f t="shared" si="182"/>
        <v>17.434793545816735</v>
      </c>
      <c r="X136" s="258">
        <f t="shared" si="182"/>
        <v>19.960193545816736</v>
      </c>
      <c r="Y136" s="258">
        <f t="shared" si="182"/>
        <v>19.960193545816736</v>
      </c>
      <c r="Z136" s="258">
        <f t="shared" si="182"/>
        <v>19.960193545816736</v>
      </c>
      <c r="AA136" s="258">
        <f t="shared" si="182"/>
        <v>19.960193545816736</v>
      </c>
      <c r="AB136" s="258">
        <f t="shared" si="182"/>
        <v>22.485593545816734</v>
      </c>
      <c r="AC136" s="258">
        <f t="shared" si="182"/>
        <v>22.485593545816734</v>
      </c>
      <c r="AD136" s="258">
        <f t="shared" si="182"/>
        <v>22.485593545816734</v>
      </c>
      <c r="AE136" s="258">
        <f t="shared" si="182"/>
        <v>22.485593545816734</v>
      </c>
      <c r="AF136" s="258">
        <f t="shared" si="182"/>
        <v>25.01099354581673</v>
      </c>
      <c r="AG136" s="258">
        <f t="shared" si="182"/>
        <v>25.01099354581673</v>
      </c>
      <c r="AH136" s="258">
        <f t="shared" si="182"/>
        <v>25.01099354581673</v>
      </c>
      <c r="AI136" s="258">
        <f t="shared" si="182"/>
        <v>25.01099354581673</v>
      </c>
      <c r="AJ136" s="258">
        <f t="shared" si="182"/>
        <v>25.01099354581673</v>
      </c>
      <c r="AK136" s="258">
        <f t="shared" si="182"/>
        <v>25.01099354581673</v>
      </c>
      <c r="AL136" s="258">
        <f t="shared" si="182"/>
        <v>25.01099354581673</v>
      </c>
      <c r="AM136" s="258">
        <f t="shared" si="182"/>
        <v>25.01099354581673</v>
      </c>
      <c r="AN136" s="258">
        <f t="shared" si="182"/>
        <v>25.01099354581673</v>
      </c>
      <c r="AO136" s="258">
        <f t="shared" si="182"/>
        <v>25.01099354581673</v>
      </c>
      <c r="AP136" s="634">
        <f t="shared" si="182"/>
        <v>25.01099354581673</v>
      </c>
      <c r="AQ136" s="634">
        <f>AQ131*$G136</f>
        <v>25.01099354581673</v>
      </c>
      <c r="AR136" s="634"/>
      <c r="AS136" s="634"/>
      <c r="AT136" s="634"/>
      <c r="AU136" s="634"/>
      <c r="AV136" s="634"/>
      <c r="AW136" s="634"/>
      <c r="AX136" s="634"/>
      <c r="AY136" s="634"/>
      <c r="AZ136" s="646">
        <f t="shared" si="169"/>
        <v>725.4971725099605</v>
      </c>
      <c r="BA136" s="258"/>
      <c r="BB136" s="258"/>
      <c r="BC136" s="258"/>
      <c r="BD136" s="258"/>
      <c r="BE136" s="258"/>
      <c r="BF136" s="258"/>
      <c r="BG136" s="258"/>
      <c r="BH136" s="258"/>
      <c r="BI136" s="258"/>
      <c r="BJ136" s="258"/>
      <c r="BK136" s="258"/>
      <c r="BL136" s="258">
        <f t="shared" si="182"/>
        <v>3.4910657211155383</v>
      </c>
      <c r="BM136" s="258">
        <f t="shared" si="182"/>
        <v>3.905065721115538</v>
      </c>
      <c r="BN136" s="258">
        <f t="shared" si="182"/>
        <v>3.905065721115538</v>
      </c>
      <c r="BO136" s="258">
        <f t="shared" si="182"/>
        <v>3.905065721115538</v>
      </c>
      <c r="BP136" s="258">
        <f t="shared" si="182"/>
        <v>3.905065721115538</v>
      </c>
      <c r="BQ136" s="258">
        <f t="shared" si="182"/>
        <v>4.319065721115538</v>
      </c>
      <c r="BR136" s="258">
        <f t="shared" si="182"/>
        <v>4.319065721115538</v>
      </c>
      <c r="BS136" s="258">
        <f t="shared" si="182"/>
        <v>4.319065721115538</v>
      </c>
      <c r="BT136" s="258">
        <f t="shared" si="182"/>
        <v>4.319065721115538</v>
      </c>
      <c r="BU136" s="258">
        <f aca="true" t="shared" si="183" ref="BU136:EB136">BU131*$G136</f>
        <v>4.733065721115538</v>
      </c>
      <c r="BV136" s="258">
        <f t="shared" si="183"/>
        <v>4.733065721115538</v>
      </c>
      <c r="BW136" s="258">
        <f t="shared" si="183"/>
        <v>4.733065721115538</v>
      </c>
      <c r="BX136" s="258">
        <f t="shared" si="183"/>
        <v>4.733065721115538</v>
      </c>
      <c r="BY136" s="258">
        <f t="shared" si="183"/>
        <v>5.147065721115538</v>
      </c>
      <c r="BZ136" s="258">
        <f t="shared" si="183"/>
        <v>5.147065721115538</v>
      </c>
      <c r="CA136" s="258">
        <f t="shared" si="183"/>
        <v>5.147065721115538</v>
      </c>
      <c r="CB136" s="258">
        <f t="shared" si="183"/>
        <v>5.147065721115538</v>
      </c>
      <c r="CC136" s="258">
        <f t="shared" si="183"/>
        <v>5.147065721115538</v>
      </c>
      <c r="CD136" s="258">
        <f t="shared" si="183"/>
        <v>5.147065721115538</v>
      </c>
      <c r="CE136" s="258">
        <f t="shared" si="183"/>
        <v>5.147065721115538</v>
      </c>
      <c r="CF136" s="258">
        <f t="shared" si="183"/>
        <v>5.147065721115538</v>
      </c>
      <c r="CG136" s="258">
        <f t="shared" si="183"/>
        <v>5.147065721115538</v>
      </c>
      <c r="CH136" s="258">
        <f t="shared" si="183"/>
        <v>5.147065721115538</v>
      </c>
      <c r="CI136" s="634">
        <f t="shared" si="183"/>
        <v>5.147065721115538</v>
      </c>
      <c r="CJ136" s="634">
        <f>CJ131*$G136</f>
        <v>5.147065721115538</v>
      </c>
      <c r="CK136" s="634"/>
      <c r="CL136" s="634"/>
      <c r="CM136" s="634"/>
      <c r="CN136" s="634"/>
      <c r="CO136" s="634"/>
      <c r="CP136" s="634"/>
      <c r="CQ136" s="634"/>
      <c r="CR136" s="634"/>
      <c r="CS136" s="238">
        <f t="shared" si="171"/>
        <v>117.08464302788845</v>
      </c>
      <c r="CT136" s="263"/>
      <c r="CU136" s="258"/>
      <c r="CV136" s="258"/>
      <c r="CW136" s="258"/>
      <c r="CX136" s="258"/>
      <c r="CY136" s="258"/>
      <c r="CZ136" s="258"/>
      <c r="DA136" s="258"/>
      <c r="DB136" s="258"/>
      <c r="DC136" s="258"/>
      <c r="DD136" s="258"/>
      <c r="DE136" s="258">
        <f t="shared" si="183"/>
        <v>1.8257400000000004</v>
      </c>
      <c r="DF136" s="258">
        <f t="shared" si="183"/>
        <v>1.8257400000000004</v>
      </c>
      <c r="DG136" s="258">
        <f t="shared" si="183"/>
        <v>1.8257400000000004</v>
      </c>
      <c r="DH136" s="258">
        <f t="shared" si="183"/>
        <v>1.8257400000000004</v>
      </c>
      <c r="DI136" s="258">
        <f t="shared" si="183"/>
        <v>1.8257400000000004</v>
      </c>
      <c r="DJ136" s="258">
        <f t="shared" si="183"/>
        <v>1.8257400000000004</v>
      </c>
      <c r="DK136" s="258">
        <f t="shared" si="183"/>
        <v>1.8257400000000004</v>
      </c>
      <c r="DL136" s="258">
        <f t="shared" si="183"/>
        <v>1.8257400000000004</v>
      </c>
      <c r="DM136" s="258">
        <f t="shared" si="183"/>
        <v>1.8257400000000004</v>
      </c>
      <c r="DN136" s="258">
        <f t="shared" si="183"/>
        <v>1.8257400000000004</v>
      </c>
      <c r="DO136" s="258">
        <f t="shared" si="183"/>
        <v>1.8257400000000004</v>
      </c>
      <c r="DP136" s="258">
        <f t="shared" si="183"/>
        <v>1.8257400000000004</v>
      </c>
      <c r="DQ136" s="258">
        <f t="shared" si="183"/>
        <v>1.8257400000000004</v>
      </c>
      <c r="DR136" s="258">
        <f t="shared" si="183"/>
        <v>1.8257400000000004</v>
      </c>
      <c r="DS136" s="258">
        <f t="shared" si="183"/>
        <v>1.8257400000000004</v>
      </c>
      <c r="DT136" s="258">
        <f t="shared" si="183"/>
        <v>1.8257400000000004</v>
      </c>
      <c r="DU136" s="258">
        <f t="shared" si="183"/>
        <v>1.8257400000000004</v>
      </c>
      <c r="DV136" s="258">
        <f t="shared" si="183"/>
        <v>1.8257400000000004</v>
      </c>
      <c r="DW136" s="258">
        <f t="shared" si="183"/>
        <v>1.8257400000000004</v>
      </c>
      <c r="DX136" s="258">
        <f t="shared" si="183"/>
        <v>1.8257400000000004</v>
      </c>
      <c r="DY136" s="258">
        <f t="shared" si="183"/>
        <v>1.8257400000000004</v>
      </c>
      <c r="DZ136" s="258">
        <f t="shared" si="183"/>
        <v>1.8257400000000004</v>
      </c>
      <c r="EA136" s="258">
        <f t="shared" si="183"/>
        <v>1.8257400000000004</v>
      </c>
      <c r="EB136" s="634">
        <f t="shared" si="183"/>
        <v>1.8257400000000004</v>
      </c>
      <c r="EC136" s="634">
        <f>EC131*$G136</f>
        <v>1.8257400000000004</v>
      </c>
      <c r="ED136" s="634"/>
      <c r="EE136" s="634"/>
      <c r="EF136" s="634"/>
      <c r="EG136" s="634"/>
      <c r="EH136" s="634"/>
      <c r="EI136" s="634"/>
      <c r="EJ136" s="634"/>
      <c r="EK136" s="634"/>
      <c r="EL136" s="657">
        <f>SUM(CT136:EK136)</f>
        <v>45.643500000000024</v>
      </c>
      <c r="EM136" s="272">
        <f t="shared" si="172"/>
        <v>888.2253155378489</v>
      </c>
      <c r="EO136" s="281">
        <f>EO128-H129-BA129-CT129-K129+H131-I129-J129-BB129-BC129-BD129-CU129-CV129-CW129+I131+J131+K131</f>
        <v>1137.1845949535193</v>
      </c>
      <c r="GD136" s="636"/>
      <c r="GE136" s="636"/>
      <c r="GF136" s="636"/>
      <c r="GG136" s="636"/>
      <c r="GH136" s="636"/>
      <c r="GI136" s="636"/>
      <c r="GJ136" s="636"/>
      <c r="GK136" s="636"/>
      <c r="GL136" s="636"/>
      <c r="GT136" s="636"/>
      <c r="GU136" s="636"/>
      <c r="GV136" s="636"/>
      <c r="GW136" s="636"/>
      <c r="GX136" s="636"/>
      <c r="GY136" s="636"/>
      <c r="GZ136" s="636"/>
      <c r="HA136" s="636"/>
      <c r="HB136" s="636"/>
      <c r="HC136" s="636"/>
      <c r="HD136" s="636"/>
      <c r="HE136" s="668"/>
      <c r="HF136" s="636"/>
      <c r="HG136" s="636"/>
      <c r="HH136" s="636"/>
      <c r="HI136" s="636"/>
      <c r="HJ136" s="636"/>
      <c r="HK136" s="636"/>
      <c r="HL136" s="636"/>
    </row>
    <row r="137" spans="1:7" ht="15" customHeight="1" hidden="1">
      <c r="A137" s="165" t="s">
        <v>176</v>
      </c>
      <c r="B137" s="166">
        <v>40</v>
      </c>
      <c r="G137" s="160"/>
    </row>
    <row r="138" spans="1:143" ht="15" customHeight="1" hidden="1">
      <c r="A138" s="163" t="s">
        <v>175</v>
      </c>
      <c r="B138" s="26">
        <v>7</v>
      </c>
      <c r="C138" s="155"/>
      <c r="D138" s="155"/>
      <c r="E138" s="155"/>
      <c r="EM138" s="578">
        <f>EL132+CS132+AZ132</f>
        <v>9540.436400000004</v>
      </c>
    </row>
    <row r="139" spans="1:5" ht="15" customHeight="1" hidden="1">
      <c r="A139" s="163" t="s">
        <v>173</v>
      </c>
      <c r="B139" s="26">
        <v>9</v>
      </c>
      <c r="C139" s="192"/>
      <c r="D139" s="193"/>
      <c r="E139" s="194"/>
    </row>
    <row r="140" spans="1:10" ht="15" customHeight="1" hidden="1">
      <c r="A140" s="163" t="s">
        <v>442</v>
      </c>
      <c r="B140" s="26">
        <v>29</v>
      </c>
      <c r="C140" s="192"/>
      <c r="D140" s="194"/>
      <c r="E140" s="194"/>
      <c r="J140" s="159"/>
    </row>
    <row r="141" spans="1:5" ht="15" customHeight="1" hidden="1" thickBot="1">
      <c r="A141" s="164" t="s">
        <v>174</v>
      </c>
      <c r="B141" s="162">
        <v>1</v>
      </c>
      <c r="C141" s="195"/>
      <c r="D141" s="196"/>
      <c r="E141" s="197"/>
    </row>
    <row r="142" spans="1:5" ht="15" customHeight="1" hidden="1" thickBot="1">
      <c r="A142" s="167" t="s">
        <v>81</v>
      </c>
      <c r="B142" s="168">
        <f>SUM(B137:B141)</f>
        <v>86</v>
      </c>
      <c r="C142" s="21"/>
      <c r="D142" s="21" t="s">
        <v>52</v>
      </c>
      <c r="E142" s="21"/>
    </row>
    <row r="143" spans="1:5" ht="15" customHeight="1" hidden="1">
      <c r="A143" s="155"/>
      <c r="B143" s="34"/>
      <c r="C143" s="21"/>
      <c r="D143" s="21"/>
      <c r="E143" s="155"/>
    </row>
    <row r="144" spans="1:5" ht="15" customHeight="1">
      <c r="A144" s="155"/>
      <c r="B144" s="34"/>
      <c r="C144" s="21"/>
      <c r="D144" s="21"/>
      <c r="E144" s="155"/>
    </row>
    <row r="145" spans="1:5" ht="15" customHeight="1">
      <c r="A145" s="155"/>
      <c r="B145" s="34"/>
      <c r="C145" s="21"/>
      <c r="D145" s="21"/>
      <c r="E145" s="155"/>
    </row>
    <row r="146" spans="1:5" ht="15" customHeight="1">
      <c r="A146" s="6"/>
      <c r="B146" s="21"/>
      <c r="C146" s="21"/>
      <c r="D146" s="21"/>
      <c r="E146" s="155"/>
    </row>
    <row r="147" spans="1:5" ht="15" customHeight="1">
      <c r="A147" s="6"/>
      <c r="B147" s="21"/>
      <c r="C147" s="21"/>
      <c r="D147" s="21"/>
      <c r="E147" s="155"/>
    </row>
    <row r="148" spans="1:5" ht="15" customHeight="1">
      <c r="A148" s="155"/>
      <c r="B148" s="21"/>
      <c r="C148" s="21"/>
      <c r="D148" s="21"/>
      <c r="E148" s="155"/>
    </row>
    <row r="149" spans="1:5" ht="15" customHeight="1">
      <c r="A149" s="155"/>
      <c r="B149" s="34"/>
      <c r="C149" s="21"/>
      <c r="D149" s="21"/>
      <c r="E149" s="155"/>
    </row>
    <row r="150" spans="1:5" ht="15" customHeight="1">
      <c r="A150" s="155"/>
      <c r="B150" s="34"/>
      <c r="C150" s="21"/>
      <c r="D150" s="21"/>
      <c r="E150" s="155"/>
    </row>
    <row r="151" spans="1:5" ht="15" customHeight="1">
      <c r="A151" s="155"/>
      <c r="B151" s="34"/>
      <c r="C151" s="21"/>
      <c r="D151" s="21"/>
      <c r="E151" s="155"/>
    </row>
    <row r="152" spans="1:5" ht="15" customHeight="1">
      <c r="A152" s="155"/>
      <c r="B152" s="34"/>
      <c r="C152" s="155"/>
      <c r="D152" s="155"/>
      <c r="E152" s="155"/>
    </row>
    <row r="153" spans="1:5" ht="15" customHeight="1">
      <c r="A153" s="155"/>
      <c r="B153" s="34"/>
      <c r="C153" s="155"/>
      <c r="D153" s="155"/>
      <c r="E153" s="155"/>
    </row>
    <row r="154" spans="1:5" ht="15" customHeight="1">
      <c r="A154" s="155"/>
      <c r="B154" s="34"/>
      <c r="C154" s="155"/>
      <c r="D154" s="155"/>
      <c r="E154" s="155"/>
    </row>
    <row r="155" spans="3:5" ht="15" customHeight="1">
      <c r="C155" s="155"/>
      <c r="D155" s="155"/>
      <c r="E155" s="155"/>
    </row>
    <row r="156" spans="3:5" ht="15" customHeight="1">
      <c r="C156" s="155"/>
      <c r="D156" s="155"/>
      <c r="E156" s="155"/>
    </row>
    <row r="157" spans="3:5" ht="15" customHeight="1">
      <c r="C157" s="155"/>
      <c r="D157" s="155"/>
      <c r="E157" s="155"/>
    </row>
  </sheetData>
  <mergeCells count="39">
    <mergeCell ref="ED2:EG2"/>
    <mergeCell ref="EH2:EK2"/>
    <mergeCell ref="CT1:EB1"/>
    <mergeCell ref="DR2:DU2"/>
    <mergeCell ref="DB2:DE2"/>
    <mergeCell ref="DF2:DI2"/>
    <mergeCell ref="DJ2:DM2"/>
    <mergeCell ref="DN2:DQ2"/>
    <mergeCell ref="DZ2:EC2"/>
    <mergeCell ref="CT2:CW2"/>
    <mergeCell ref="BA1:CI1"/>
    <mergeCell ref="BI2:BL2"/>
    <mergeCell ref="BM2:BP2"/>
    <mergeCell ref="BQ2:BT2"/>
    <mergeCell ref="BU2:BX2"/>
    <mergeCell ref="CG2:CJ2"/>
    <mergeCell ref="BY2:CB2"/>
    <mergeCell ref="CC2:CF2"/>
    <mergeCell ref="A134:B134"/>
    <mergeCell ref="A1:E1"/>
    <mergeCell ref="X2:AA2"/>
    <mergeCell ref="T2:W2"/>
    <mergeCell ref="P2:S2"/>
    <mergeCell ref="L2:O2"/>
    <mergeCell ref="H2:K2"/>
    <mergeCell ref="F1:AP1"/>
    <mergeCell ref="A128:B128"/>
    <mergeCell ref="AJ2:AM2"/>
    <mergeCell ref="AB2:AE2"/>
    <mergeCell ref="BA2:BD2"/>
    <mergeCell ref="BE2:BH2"/>
    <mergeCell ref="AN2:AQ2"/>
    <mergeCell ref="AR2:AU2"/>
    <mergeCell ref="AV2:AY2"/>
    <mergeCell ref="AF2:AI2"/>
    <mergeCell ref="CX2:DA2"/>
    <mergeCell ref="DV2:DY2"/>
    <mergeCell ref="CK2:CN2"/>
    <mergeCell ref="CO2:CR2"/>
  </mergeCells>
  <printOptions/>
  <pageMargins left="0.2" right="0.2" top="0.22" bottom="0.16" header="0.17" footer="0.16"/>
  <pageSetup fitToHeight="2" fitToWidth="2" horizontalDpi="600" verticalDpi="600" orientation="landscape" paperSize="9" scale="55" r:id="rId1"/>
  <headerFooter alignWithMargins="0">
    <oddHeader>&amp;RПриложение 1</oddHeader>
  </headerFooter>
  <rowBreaks count="2" manualBreakCount="2">
    <brk id="57" max="255" man="1"/>
    <brk id="1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R81"/>
  <sheetViews>
    <sheetView showGridLines="0" showZeros="0" zoomScaleSheetLayoutView="75" workbookViewId="0" topLeftCell="A1">
      <pane xSplit="3" ySplit="4" topLeftCell="Z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I14" sqref="EI14"/>
    </sheetView>
  </sheetViews>
  <sheetFormatPr defaultColWidth="9.00390625" defaultRowHeight="33" customHeight="1"/>
  <cols>
    <col min="1" max="1" width="7.75390625" style="2" customWidth="1"/>
    <col min="2" max="2" width="34.125" style="9" customWidth="1"/>
    <col min="3" max="3" width="12.00390625" style="9" customWidth="1"/>
    <col min="4" max="4" width="12.25390625" style="9" hidden="1" customWidth="1"/>
    <col min="5" max="5" width="9.125" style="9" hidden="1" customWidth="1"/>
    <col min="6" max="6" width="8.75390625" style="9" hidden="1" customWidth="1"/>
    <col min="7" max="7" width="11.75390625" style="9" hidden="1" customWidth="1"/>
    <col min="8" max="8" width="9.875" style="9" hidden="1" customWidth="1"/>
    <col min="9" max="9" width="11.625" style="9" hidden="1" customWidth="1"/>
    <col min="10" max="10" width="11.75390625" style="9" hidden="1" customWidth="1"/>
    <col min="11" max="11" width="9.25390625" style="9" hidden="1" customWidth="1"/>
    <col min="12" max="12" width="10.25390625" style="9" hidden="1" customWidth="1"/>
    <col min="13" max="13" width="11.75390625" style="9" hidden="1" customWidth="1"/>
    <col min="14" max="14" width="10.00390625" style="9" hidden="1" customWidth="1"/>
    <col min="15" max="15" width="10.125" style="9" hidden="1" customWidth="1"/>
    <col min="16" max="16" width="11.875" style="9" hidden="1" customWidth="1"/>
    <col min="17" max="17" width="10.125" style="9" hidden="1" customWidth="1"/>
    <col min="18" max="18" width="11.00390625" style="9" hidden="1" customWidth="1"/>
    <col min="19" max="19" width="11.625" style="9" hidden="1" customWidth="1"/>
    <col min="20" max="20" width="10.125" style="9" hidden="1" customWidth="1"/>
    <col min="21" max="21" width="10.625" style="9" hidden="1" customWidth="1"/>
    <col min="22" max="22" width="11.875" style="9" hidden="1" customWidth="1"/>
    <col min="23" max="23" width="9.75390625" style="9" hidden="1" customWidth="1"/>
    <col min="24" max="24" width="10.625" style="9" hidden="1" customWidth="1"/>
    <col min="25" max="25" width="11.375" style="9" hidden="1" customWidth="1"/>
    <col min="26" max="26" width="11.125" style="9" customWidth="1"/>
    <col min="27" max="27" width="10.625" style="9" hidden="1" customWidth="1"/>
    <col min="28" max="28" width="12.00390625" style="9" customWidth="1"/>
    <col min="29" max="29" width="13.875" style="9" bestFit="1" customWidth="1"/>
    <col min="30" max="30" width="10.375" style="9" bestFit="1" customWidth="1"/>
    <col min="31" max="31" width="11.625" style="9" customWidth="1"/>
    <col min="32" max="32" width="11.625" style="9" bestFit="1" customWidth="1"/>
    <col min="33" max="33" width="10.375" style="9" bestFit="1" customWidth="1"/>
    <col min="34" max="34" width="11.375" style="9" customWidth="1"/>
    <col min="35" max="35" width="9.25390625" style="9" customWidth="1"/>
    <col min="36" max="36" width="12.625" style="9" bestFit="1" customWidth="1"/>
    <col min="37" max="37" width="13.875" style="9" bestFit="1" customWidth="1"/>
    <col min="38" max="38" width="10.75390625" style="9" bestFit="1" customWidth="1"/>
    <col min="39" max="39" width="10.375" style="9" bestFit="1" customWidth="1"/>
    <col min="40" max="40" width="12.375" style="9" customWidth="1"/>
    <col min="41" max="41" width="9.75390625" style="9" customWidth="1"/>
    <col min="42" max="42" width="10.375" style="9" bestFit="1" customWidth="1"/>
    <col min="43" max="43" width="11.875" style="9" customWidth="1"/>
    <col min="44" max="44" width="10.125" style="9" customWidth="1"/>
    <col min="45" max="45" width="10.375" style="9" bestFit="1" customWidth="1"/>
    <col min="46" max="46" width="11.875" style="9" customWidth="1"/>
    <col min="47" max="47" width="9.375" style="9" customWidth="1"/>
    <col min="48" max="48" width="10.375" style="9" bestFit="1" customWidth="1"/>
    <col min="49" max="49" width="11.375" style="9" customWidth="1"/>
    <col min="50" max="50" width="9.75390625" style="9" customWidth="1"/>
    <col min="51" max="51" width="10.375" style="9" bestFit="1" customWidth="1"/>
    <col min="52" max="52" width="11.375" style="9" customWidth="1"/>
    <col min="53" max="53" width="9.375" style="9" customWidth="1"/>
    <col min="54" max="54" width="10.375" style="9" bestFit="1" customWidth="1"/>
    <col min="55" max="55" width="12.125" style="9" customWidth="1"/>
    <col min="56" max="56" width="9.875" style="9" customWidth="1"/>
    <col min="57" max="57" width="10.375" style="9" bestFit="1" customWidth="1"/>
    <col min="58" max="58" width="11.875" style="9" customWidth="1"/>
    <col min="59" max="59" width="9.625" style="9" customWidth="1"/>
    <col min="60" max="60" width="10.375" style="9" bestFit="1" customWidth="1"/>
    <col min="61" max="61" width="11.875" style="9" customWidth="1"/>
    <col min="62" max="62" width="10.00390625" style="9" customWidth="1"/>
    <col min="63" max="63" width="9.625" style="18" bestFit="1" customWidth="1"/>
    <col min="64" max="64" width="11.375" style="9" customWidth="1"/>
    <col min="65" max="65" width="10.00390625" style="9" customWidth="1"/>
    <col min="66" max="66" width="9.125" style="9" customWidth="1"/>
    <col min="67" max="67" width="12.00390625" style="9" customWidth="1"/>
    <col min="68" max="68" width="10.00390625" style="9" customWidth="1"/>
    <col min="69" max="69" width="9.125" style="9" customWidth="1"/>
    <col min="70" max="70" width="12.25390625" style="9" customWidth="1"/>
    <col min="71" max="71" width="9.375" style="9" customWidth="1"/>
    <col min="72" max="72" width="9.125" style="9" customWidth="1"/>
    <col min="73" max="73" width="11.625" style="9" customWidth="1"/>
    <col min="74" max="74" width="9.25390625" style="9" bestFit="1" customWidth="1"/>
    <col min="75" max="75" width="9.125" style="9" customWidth="1"/>
    <col min="76" max="76" width="11.75390625" style="9" customWidth="1"/>
    <col min="77" max="77" width="9.375" style="9" customWidth="1"/>
    <col min="78" max="78" width="9.125" style="9" customWidth="1"/>
    <col min="79" max="79" width="11.625" style="9" customWidth="1"/>
    <col min="80" max="80" width="10.00390625" style="9" customWidth="1"/>
    <col min="81" max="81" width="9.125" style="9" customWidth="1"/>
    <col min="82" max="82" width="11.375" style="9" customWidth="1"/>
    <col min="83" max="83" width="9.25390625" style="9" customWidth="1"/>
    <col min="84" max="84" width="9.125" style="9" customWidth="1"/>
    <col min="85" max="85" width="11.75390625" style="9" customWidth="1"/>
    <col min="86" max="86" width="9.875" style="9" customWidth="1"/>
    <col min="87" max="87" width="9.125" style="9" customWidth="1"/>
    <col min="88" max="88" width="12.125" style="9" customWidth="1"/>
    <col min="89" max="89" width="9.75390625" style="9" customWidth="1"/>
    <col min="90" max="90" width="9.125" style="9" customWidth="1"/>
    <col min="91" max="91" width="11.75390625" style="9" customWidth="1"/>
    <col min="92" max="92" width="9.75390625" style="9" customWidth="1"/>
    <col min="93" max="93" width="9.125" style="9" customWidth="1"/>
    <col min="94" max="94" width="11.375" style="9" customWidth="1"/>
    <col min="95" max="95" width="9.375" style="9" customWidth="1"/>
    <col min="96" max="96" width="9.125" style="9" customWidth="1"/>
    <col min="97" max="97" width="12.25390625" style="9" customWidth="1"/>
    <col min="98" max="98" width="9.875" style="9" customWidth="1"/>
    <col min="99" max="99" width="9.125" style="9" customWidth="1"/>
    <col min="100" max="100" width="11.375" style="9" customWidth="1"/>
    <col min="101" max="102" width="9.125" style="9" customWidth="1"/>
    <col min="103" max="103" width="11.625" style="9" customWidth="1"/>
    <col min="104" max="104" width="10.125" style="9" customWidth="1"/>
    <col min="105" max="105" width="9.125" style="9" customWidth="1"/>
    <col min="106" max="107" width="11.625" style="9" customWidth="1"/>
    <col min="108" max="108" width="9.125" style="9" customWidth="1"/>
    <col min="109" max="109" width="12.125" style="9" customWidth="1"/>
    <col min="110" max="110" width="9.125" style="9" customWidth="1"/>
    <col min="111" max="111" width="0" style="9" hidden="1" customWidth="1"/>
    <col min="112" max="112" width="10.75390625" style="9" hidden="1" customWidth="1"/>
    <col min="113" max="114" width="9.125" style="9" hidden="1" customWidth="1"/>
    <col min="115" max="115" width="10.75390625" style="9" hidden="1" customWidth="1"/>
    <col min="116" max="119" width="9.125" style="9" hidden="1" customWidth="1"/>
    <col min="120" max="120" width="8.625" style="9" hidden="1" customWidth="1"/>
    <col min="121" max="121" width="11.375" style="9" hidden="1" customWidth="1"/>
    <col min="122" max="122" width="9.75390625" style="9" hidden="1" customWidth="1"/>
    <col min="123" max="123" width="9.125" style="9" hidden="1" customWidth="1"/>
    <col min="124" max="124" width="11.375" style="9" hidden="1" customWidth="1"/>
    <col min="125" max="125" width="9.75390625" style="9" hidden="1" customWidth="1"/>
    <col min="126" max="126" width="9.125" style="9" hidden="1" customWidth="1"/>
    <col min="127" max="127" width="12.125" style="9" hidden="1" customWidth="1"/>
    <col min="128" max="128" width="10.125" style="9" hidden="1" customWidth="1"/>
    <col min="129" max="129" width="9.125" style="9" hidden="1" customWidth="1"/>
    <col min="130" max="130" width="12.25390625" style="9" hidden="1" customWidth="1"/>
    <col min="131" max="131" width="9.125" style="9" hidden="1" customWidth="1"/>
    <col min="132" max="132" width="9.25390625" style="9" hidden="1" customWidth="1"/>
    <col min="133" max="133" width="12.125" style="9" hidden="1" customWidth="1"/>
    <col min="134" max="134" width="9.875" style="9" hidden="1" customWidth="1"/>
    <col min="135" max="135" width="9.125" style="9" hidden="1" customWidth="1"/>
    <col min="136" max="136" width="11.875" style="9" customWidth="1"/>
    <col min="137" max="137" width="9.125" style="9" customWidth="1"/>
    <col min="138" max="138" width="10.375" style="9" bestFit="1" customWidth="1"/>
    <col min="139" max="139" width="11.375" style="9" customWidth="1"/>
    <col min="140" max="140" width="9.75390625" style="9" customWidth="1"/>
    <col min="141" max="141" width="9.125" style="9" customWidth="1"/>
    <col min="142" max="142" width="11.375" style="9" customWidth="1"/>
    <col min="143" max="143" width="10.00390625" style="9" customWidth="1"/>
    <col min="144" max="144" width="9.25390625" style="9" bestFit="1" customWidth="1"/>
    <col min="145" max="145" width="11.375" style="9" customWidth="1"/>
    <col min="146" max="146" width="9.75390625" style="9" customWidth="1"/>
    <col min="147" max="147" width="9.125" style="9" customWidth="1"/>
    <col min="148" max="148" width="10.75390625" style="9" bestFit="1" customWidth="1"/>
    <col min="149" max="149" width="9.125" style="9" customWidth="1"/>
    <col min="150" max="150" width="10.25390625" style="9" bestFit="1" customWidth="1"/>
    <col min="151" max="16384" width="9.125" style="9" customWidth="1"/>
  </cols>
  <sheetData>
    <row r="1" spans="1:44" ht="37.5" customHeight="1" thickBot="1">
      <c r="A1" s="1447" t="s">
        <v>446</v>
      </c>
      <c r="B1" s="1447"/>
      <c r="C1" s="19"/>
      <c r="D1" s="19"/>
      <c r="E1" s="19"/>
      <c r="F1" s="19"/>
      <c r="G1" s="7">
        <v>0</v>
      </c>
      <c r="H1" s="7">
        <v>0</v>
      </c>
      <c r="I1" s="7">
        <v>0</v>
      </c>
      <c r="J1" s="7">
        <v>0</v>
      </c>
      <c r="K1" s="7">
        <v>0</v>
      </c>
      <c r="L1" s="7">
        <v>0</v>
      </c>
      <c r="M1" s="7">
        <v>0</v>
      </c>
      <c r="N1" s="7">
        <v>0</v>
      </c>
      <c r="O1" s="8">
        <v>0</v>
      </c>
      <c r="P1" s="8">
        <v>0</v>
      </c>
      <c r="Q1" s="8">
        <v>0</v>
      </c>
      <c r="R1" s="8">
        <v>0</v>
      </c>
      <c r="S1" s="8">
        <v>0</v>
      </c>
      <c r="T1" s="8">
        <v>0</v>
      </c>
      <c r="U1" s="8">
        <v>0</v>
      </c>
      <c r="V1" s="9">
        <v>0</v>
      </c>
      <c r="W1" s="9">
        <v>0</v>
      </c>
      <c r="X1" s="9">
        <v>0</v>
      </c>
      <c r="Y1" s="9">
        <v>0</v>
      </c>
      <c r="Z1" s="9">
        <v>0</v>
      </c>
      <c r="AA1" s="9">
        <v>0</v>
      </c>
      <c r="AB1" s="9">
        <v>0</v>
      </c>
      <c r="AC1" s="9">
        <v>0</v>
      </c>
      <c r="AD1" s="9">
        <v>0</v>
      </c>
      <c r="AE1" s="9">
        <v>0</v>
      </c>
      <c r="AF1" s="9">
        <v>0</v>
      </c>
      <c r="AG1" s="9">
        <v>0</v>
      </c>
      <c r="AH1" s="9">
        <v>0</v>
      </c>
      <c r="AI1" s="9">
        <v>0</v>
      </c>
      <c r="AJ1" s="9">
        <v>0</v>
      </c>
      <c r="AK1" s="9">
        <v>0</v>
      </c>
      <c r="AL1" s="9">
        <v>0</v>
      </c>
      <c r="AM1" s="9">
        <v>0</v>
      </c>
      <c r="AN1" s="9">
        <v>0</v>
      </c>
      <c r="AO1" s="9">
        <v>0</v>
      </c>
      <c r="AP1" s="9">
        <v>0</v>
      </c>
      <c r="AQ1" s="9">
        <v>0</v>
      </c>
      <c r="AR1" s="9">
        <v>0</v>
      </c>
    </row>
    <row r="2" spans="1:147" s="467" customFormat="1" ht="33" customHeight="1">
      <c r="A2" s="1450" t="s">
        <v>137</v>
      </c>
      <c r="B2" s="1443" t="s">
        <v>188</v>
      </c>
      <c r="C2" s="1445" t="s">
        <v>288</v>
      </c>
      <c r="D2" s="1435" t="s">
        <v>474</v>
      </c>
      <c r="E2" s="1436"/>
      <c r="F2" s="1436"/>
      <c r="G2" s="1435" t="s">
        <v>475</v>
      </c>
      <c r="H2" s="1436"/>
      <c r="I2" s="1436"/>
      <c r="J2" s="1435" t="s">
        <v>476</v>
      </c>
      <c r="K2" s="1436"/>
      <c r="L2" s="1436"/>
      <c r="M2" s="1435" t="s">
        <v>477</v>
      </c>
      <c r="N2" s="1436"/>
      <c r="O2" s="1436"/>
      <c r="P2" s="1436" t="s">
        <v>478</v>
      </c>
      <c r="Q2" s="1436"/>
      <c r="R2" s="1436"/>
      <c r="S2" s="1436" t="s">
        <v>479</v>
      </c>
      <c r="T2" s="1436"/>
      <c r="U2" s="1436"/>
      <c r="V2" s="1436" t="s">
        <v>480</v>
      </c>
      <c r="W2" s="1436"/>
      <c r="X2" s="1436"/>
      <c r="Y2" s="1443" t="s">
        <v>189</v>
      </c>
      <c r="Z2" s="1443"/>
      <c r="AA2" s="1444"/>
      <c r="AB2" s="1438" t="s">
        <v>191</v>
      </c>
      <c r="AC2" s="1436"/>
      <c r="AD2" s="1439"/>
      <c r="AE2" s="1435" t="s">
        <v>192</v>
      </c>
      <c r="AF2" s="1436"/>
      <c r="AG2" s="1437"/>
      <c r="AH2" s="1438" t="s">
        <v>193</v>
      </c>
      <c r="AI2" s="1436"/>
      <c r="AJ2" s="1439"/>
      <c r="AK2" s="1435" t="s">
        <v>194</v>
      </c>
      <c r="AL2" s="1436"/>
      <c r="AM2" s="1437"/>
      <c r="AN2" s="1438" t="s">
        <v>195</v>
      </c>
      <c r="AO2" s="1436"/>
      <c r="AP2" s="1439"/>
      <c r="AQ2" s="1435" t="s">
        <v>196</v>
      </c>
      <c r="AR2" s="1436"/>
      <c r="AS2" s="1437"/>
      <c r="AT2" s="1438" t="s">
        <v>197</v>
      </c>
      <c r="AU2" s="1436"/>
      <c r="AV2" s="1439"/>
      <c r="AW2" s="1435" t="s">
        <v>198</v>
      </c>
      <c r="AX2" s="1436"/>
      <c r="AY2" s="1437"/>
      <c r="AZ2" s="1438" t="s">
        <v>199</v>
      </c>
      <c r="BA2" s="1436"/>
      <c r="BB2" s="1439"/>
      <c r="BC2" s="1435" t="s">
        <v>200</v>
      </c>
      <c r="BD2" s="1436"/>
      <c r="BE2" s="1437"/>
      <c r="BF2" s="1438" t="s">
        <v>201</v>
      </c>
      <c r="BG2" s="1436"/>
      <c r="BH2" s="1439"/>
      <c r="BI2" s="1435" t="s">
        <v>202</v>
      </c>
      <c r="BJ2" s="1436"/>
      <c r="BK2" s="1437"/>
      <c r="BL2" s="1438" t="s">
        <v>203</v>
      </c>
      <c r="BM2" s="1436"/>
      <c r="BN2" s="1439"/>
      <c r="BO2" s="1435" t="s">
        <v>204</v>
      </c>
      <c r="BP2" s="1436"/>
      <c r="BQ2" s="1437"/>
      <c r="BR2" s="1438" t="s">
        <v>205</v>
      </c>
      <c r="BS2" s="1436"/>
      <c r="BT2" s="1439"/>
      <c r="BU2" s="1435" t="s">
        <v>206</v>
      </c>
      <c r="BV2" s="1436"/>
      <c r="BW2" s="1437"/>
      <c r="BX2" s="1438" t="s">
        <v>207</v>
      </c>
      <c r="BY2" s="1436"/>
      <c r="BZ2" s="1439"/>
      <c r="CA2" s="1435" t="s">
        <v>208</v>
      </c>
      <c r="CB2" s="1436"/>
      <c r="CC2" s="1437"/>
      <c r="CD2" s="1438" t="s">
        <v>209</v>
      </c>
      <c r="CE2" s="1436"/>
      <c r="CF2" s="1439"/>
      <c r="CG2" s="1435" t="s">
        <v>210</v>
      </c>
      <c r="CH2" s="1436"/>
      <c r="CI2" s="1437"/>
      <c r="CJ2" s="1438" t="s">
        <v>211</v>
      </c>
      <c r="CK2" s="1436"/>
      <c r="CL2" s="1439"/>
      <c r="CM2" s="1435" t="s">
        <v>212</v>
      </c>
      <c r="CN2" s="1436"/>
      <c r="CO2" s="1437"/>
      <c r="CP2" s="1438" t="s">
        <v>213</v>
      </c>
      <c r="CQ2" s="1436"/>
      <c r="CR2" s="1439"/>
      <c r="CS2" s="1435" t="s">
        <v>214</v>
      </c>
      <c r="CT2" s="1436"/>
      <c r="CU2" s="1436"/>
      <c r="CV2" s="1435" t="s">
        <v>215</v>
      </c>
      <c r="CW2" s="1436"/>
      <c r="CX2" s="1436"/>
      <c r="CY2" s="1435" t="s">
        <v>216</v>
      </c>
      <c r="CZ2" s="1436"/>
      <c r="DA2" s="1436"/>
      <c r="DB2" s="1435" t="s">
        <v>217</v>
      </c>
      <c r="DC2" s="1436"/>
      <c r="DD2" s="1437"/>
      <c r="DE2" s="1438" t="s">
        <v>218</v>
      </c>
      <c r="DF2" s="1436"/>
      <c r="DG2" s="1439"/>
      <c r="DH2" s="1435"/>
      <c r="DI2" s="1436"/>
      <c r="DJ2" s="1437"/>
      <c r="DK2" s="1436"/>
      <c r="DL2" s="1436"/>
      <c r="DM2" s="1437"/>
      <c r="DN2" s="1436"/>
      <c r="DO2" s="1436"/>
      <c r="DP2" s="1437"/>
      <c r="DQ2" s="1436"/>
      <c r="DR2" s="1436"/>
      <c r="DS2" s="1437"/>
      <c r="DT2" s="1436"/>
      <c r="DU2" s="1436"/>
      <c r="DV2" s="1437"/>
      <c r="DW2" s="1436"/>
      <c r="DX2" s="1436"/>
      <c r="DY2" s="1437"/>
      <c r="DZ2" s="1436"/>
      <c r="EA2" s="1436"/>
      <c r="EB2" s="1437"/>
      <c r="EC2" s="1436"/>
      <c r="ED2" s="1436"/>
      <c r="EE2" s="1437"/>
      <c r="EF2" s="1433" t="s">
        <v>84</v>
      </c>
      <c r="EH2" s="476"/>
      <c r="EI2" s="476"/>
      <c r="EJ2" s="476"/>
      <c r="EK2" s="476"/>
      <c r="EL2" s="476"/>
      <c r="EM2" s="476"/>
      <c r="EN2" s="476"/>
      <c r="EO2" s="476"/>
      <c r="EP2" s="476"/>
      <c r="EQ2" s="476"/>
    </row>
    <row r="3" spans="1:147" s="467" customFormat="1" ht="43.5" customHeight="1" thickBot="1">
      <c r="A3" s="1451"/>
      <c r="B3" s="1452"/>
      <c r="C3" s="1446"/>
      <c r="D3" s="998" t="s">
        <v>190</v>
      </c>
      <c r="E3" s="975" t="s">
        <v>290</v>
      </c>
      <c r="F3" s="999" t="s">
        <v>445</v>
      </c>
      <c r="G3" s="998" t="s">
        <v>190</v>
      </c>
      <c r="H3" s="975" t="s">
        <v>290</v>
      </c>
      <c r="I3" s="999" t="s">
        <v>445</v>
      </c>
      <c r="J3" s="998" t="s">
        <v>190</v>
      </c>
      <c r="K3" s="975" t="s">
        <v>290</v>
      </c>
      <c r="L3" s="999" t="s">
        <v>445</v>
      </c>
      <c r="M3" s="998" t="s">
        <v>190</v>
      </c>
      <c r="N3" s="975" t="s">
        <v>290</v>
      </c>
      <c r="O3" s="999" t="s">
        <v>445</v>
      </c>
      <c r="P3" s="998" t="s">
        <v>190</v>
      </c>
      <c r="Q3" s="975" t="s">
        <v>290</v>
      </c>
      <c r="R3" s="999" t="s">
        <v>445</v>
      </c>
      <c r="S3" s="998" t="s">
        <v>190</v>
      </c>
      <c r="T3" s="975" t="s">
        <v>290</v>
      </c>
      <c r="U3" s="999" t="s">
        <v>445</v>
      </c>
      <c r="V3" s="998" t="s">
        <v>190</v>
      </c>
      <c r="W3" s="975" t="s">
        <v>290</v>
      </c>
      <c r="X3" s="999" t="s">
        <v>445</v>
      </c>
      <c r="Y3" s="998" t="s">
        <v>190</v>
      </c>
      <c r="Z3" s="975" t="s">
        <v>290</v>
      </c>
      <c r="AA3" s="999" t="s">
        <v>445</v>
      </c>
      <c r="AB3" s="998" t="s">
        <v>190</v>
      </c>
      <c r="AC3" s="975" t="s">
        <v>290</v>
      </c>
      <c r="AD3" s="999" t="s">
        <v>445</v>
      </c>
      <c r="AE3" s="998" t="s">
        <v>190</v>
      </c>
      <c r="AF3" s="975" t="s">
        <v>290</v>
      </c>
      <c r="AG3" s="999" t="s">
        <v>445</v>
      </c>
      <c r="AH3" s="998" t="s">
        <v>190</v>
      </c>
      <c r="AI3" s="975" t="s">
        <v>290</v>
      </c>
      <c r="AJ3" s="999" t="s">
        <v>445</v>
      </c>
      <c r="AK3" s="998" t="s">
        <v>190</v>
      </c>
      <c r="AL3" s="975" t="s">
        <v>290</v>
      </c>
      <c r="AM3" s="999" t="s">
        <v>445</v>
      </c>
      <c r="AN3" s="998" t="s">
        <v>190</v>
      </c>
      <c r="AO3" s="975" t="s">
        <v>290</v>
      </c>
      <c r="AP3" s="999" t="s">
        <v>445</v>
      </c>
      <c r="AQ3" s="998" t="s">
        <v>190</v>
      </c>
      <c r="AR3" s="975" t="s">
        <v>290</v>
      </c>
      <c r="AS3" s="999" t="s">
        <v>445</v>
      </c>
      <c r="AT3" s="998" t="s">
        <v>190</v>
      </c>
      <c r="AU3" s="975" t="s">
        <v>290</v>
      </c>
      <c r="AV3" s="999" t="s">
        <v>445</v>
      </c>
      <c r="AW3" s="998" t="s">
        <v>190</v>
      </c>
      <c r="AX3" s="975" t="s">
        <v>290</v>
      </c>
      <c r="AY3" s="999" t="s">
        <v>445</v>
      </c>
      <c r="AZ3" s="998" t="s">
        <v>190</v>
      </c>
      <c r="BA3" s="975" t="s">
        <v>290</v>
      </c>
      <c r="BB3" s="999" t="s">
        <v>445</v>
      </c>
      <c r="BC3" s="998" t="s">
        <v>190</v>
      </c>
      <c r="BD3" s="975" t="s">
        <v>290</v>
      </c>
      <c r="BE3" s="999" t="s">
        <v>445</v>
      </c>
      <c r="BF3" s="998" t="s">
        <v>190</v>
      </c>
      <c r="BG3" s="975" t="s">
        <v>290</v>
      </c>
      <c r="BH3" s="999" t="s">
        <v>445</v>
      </c>
      <c r="BI3" s="998" t="s">
        <v>190</v>
      </c>
      <c r="BJ3" s="975" t="s">
        <v>290</v>
      </c>
      <c r="BK3" s="999" t="s">
        <v>445</v>
      </c>
      <c r="BL3" s="998" t="s">
        <v>190</v>
      </c>
      <c r="BM3" s="975" t="s">
        <v>290</v>
      </c>
      <c r="BN3" s="999" t="s">
        <v>445</v>
      </c>
      <c r="BO3" s="998" t="s">
        <v>190</v>
      </c>
      <c r="BP3" s="975" t="s">
        <v>290</v>
      </c>
      <c r="BQ3" s="999" t="s">
        <v>445</v>
      </c>
      <c r="BR3" s="998" t="s">
        <v>190</v>
      </c>
      <c r="BS3" s="975" t="s">
        <v>290</v>
      </c>
      <c r="BT3" s="999" t="s">
        <v>445</v>
      </c>
      <c r="BU3" s="998" t="s">
        <v>190</v>
      </c>
      <c r="BV3" s="975" t="s">
        <v>290</v>
      </c>
      <c r="BW3" s="999" t="s">
        <v>445</v>
      </c>
      <c r="BX3" s="998" t="s">
        <v>190</v>
      </c>
      <c r="BY3" s="975" t="s">
        <v>290</v>
      </c>
      <c r="BZ3" s="999" t="s">
        <v>445</v>
      </c>
      <c r="CA3" s="998" t="s">
        <v>190</v>
      </c>
      <c r="CB3" s="975" t="s">
        <v>290</v>
      </c>
      <c r="CC3" s="999" t="s">
        <v>445</v>
      </c>
      <c r="CD3" s="998" t="s">
        <v>190</v>
      </c>
      <c r="CE3" s="975" t="s">
        <v>290</v>
      </c>
      <c r="CF3" s="999" t="s">
        <v>445</v>
      </c>
      <c r="CG3" s="998" t="s">
        <v>190</v>
      </c>
      <c r="CH3" s="975" t="s">
        <v>290</v>
      </c>
      <c r="CI3" s="999" t="s">
        <v>445</v>
      </c>
      <c r="CJ3" s="998" t="s">
        <v>190</v>
      </c>
      <c r="CK3" s="975" t="s">
        <v>290</v>
      </c>
      <c r="CL3" s="999" t="s">
        <v>445</v>
      </c>
      <c r="CM3" s="998" t="s">
        <v>190</v>
      </c>
      <c r="CN3" s="975" t="s">
        <v>290</v>
      </c>
      <c r="CO3" s="999" t="s">
        <v>445</v>
      </c>
      <c r="CP3" s="998" t="s">
        <v>190</v>
      </c>
      <c r="CQ3" s="975" t="s">
        <v>290</v>
      </c>
      <c r="CR3" s="999" t="s">
        <v>445</v>
      </c>
      <c r="CS3" s="998" t="s">
        <v>190</v>
      </c>
      <c r="CT3" s="975" t="s">
        <v>290</v>
      </c>
      <c r="CU3" s="999" t="s">
        <v>445</v>
      </c>
      <c r="CV3" s="998" t="s">
        <v>190</v>
      </c>
      <c r="CW3" s="975" t="s">
        <v>290</v>
      </c>
      <c r="CX3" s="999" t="s">
        <v>461</v>
      </c>
      <c r="CY3" s="998" t="s">
        <v>190</v>
      </c>
      <c r="CZ3" s="975" t="s">
        <v>290</v>
      </c>
      <c r="DA3" s="999" t="s">
        <v>445</v>
      </c>
      <c r="DB3" s="998" t="s">
        <v>190</v>
      </c>
      <c r="DC3" s="975" t="s">
        <v>290</v>
      </c>
      <c r="DD3" s="999" t="s">
        <v>461</v>
      </c>
      <c r="DE3" s="998" t="s">
        <v>190</v>
      </c>
      <c r="DF3" s="975" t="s">
        <v>290</v>
      </c>
      <c r="DG3" s="999" t="s">
        <v>461</v>
      </c>
      <c r="DH3" s="99"/>
      <c r="DI3" s="96"/>
      <c r="DJ3" s="97"/>
      <c r="DK3" s="96"/>
      <c r="DL3" s="96"/>
      <c r="DM3" s="97"/>
      <c r="DN3" s="96"/>
      <c r="DO3" s="96"/>
      <c r="DP3" s="97"/>
      <c r="DQ3" s="96"/>
      <c r="DR3" s="96"/>
      <c r="DS3" s="97"/>
      <c r="DT3" s="96"/>
      <c r="DU3" s="96"/>
      <c r="DV3" s="97"/>
      <c r="DW3" s="96"/>
      <c r="DX3" s="96"/>
      <c r="DY3" s="97"/>
      <c r="DZ3" s="96"/>
      <c r="EA3" s="96"/>
      <c r="EB3" s="97"/>
      <c r="EC3" s="96"/>
      <c r="ED3" s="96"/>
      <c r="EE3" s="97"/>
      <c r="EF3" s="1434"/>
      <c r="EH3" s="614"/>
      <c r="EI3" s="614"/>
      <c r="EJ3" s="614"/>
      <c r="EK3" s="614"/>
      <c r="EL3" s="614"/>
      <c r="EM3" s="614"/>
      <c r="EN3" s="614"/>
      <c r="EO3" s="614"/>
      <c r="EP3" s="614"/>
      <c r="EQ3" s="614"/>
    </row>
    <row r="4" spans="1:147" s="467" customFormat="1" ht="23.25" customHeight="1">
      <c r="A4" s="928">
        <v>1</v>
      </c>
      <c r="B4" s="973" t="s">
        <v>219</v>
      </c>
      <c r="C4" s="994">
        <v>0.02</v>
      </c>
      <c r="D4" s="991"/>
      <c r="E4" s="977"/>
      <c r="F4" s="976"/>
      <c r="G4" s="91">
        <f>D4-E4+F4</f>
        <v>0</v>
      </c>
      <c r="H4" s="974">
        <f>G4*$C$4</f>
        <v>0</v>
      </c>
      <c r="I4" s="974"/>
      <c r="J4" s="91">
        <f>G4-H4+I4</f>
        <v>0</v>
      </c>
      <c r="K4" s="974">
        <f>J4*$C$4</f>
        <v>0</v>
      </c>
      <c r="L4" s="974"/>
      <c r="M4" s="586"/>
      <c r="N4" s="974">
        <f>M4*$C$4</f>
        <v>0</v>
      </c>
      <c r="O4" s="974"/>
      <c r="P4" s="972">
        <f>M4-N4+O4</f>
        <v>0</v>
      </c>
      <c r="Q4" s="974">
        <f>P4*$C$4</f>
        <v>0</v>
      </c>
      <c r="R4" s="974"/>
      <c r="S4" s="91">
        <f>P4-Q4+R4</f>
        <v>0</v>
      </c>
      <c r="T4" s="974">
        <f>S4*$C$4</f>
        <v>0</v>
      </c>
      <c r="U4" s="974"/>
      <c r="V4" s="91">
        <f>S4-T4+U4</f>
        <v>0</v>
      </c>
      <c r="W4" s="974">
        <f>V4*$C$4</f>
        <v>0</v>
      </c>
      <c r="X4" s="974"/>
      <c r="Y4" s="91">
        <f>V4-W4+X4</f>
        <v>0</v>
      </c>
      <c r="Z4" s="974">
        <f>Y4*$C$4</f>
        <v>0</v>
      </c>
      <c r="AA4" s="996"/>
      <c r="AB4" s="98">
        <f>Y4-Z4+AA4</f>
        <v>0</v>
      </c>
      <c r="AC4" s="974">
        <f>AB4*$C$4</f>
        <v>0</v>
      </c>
      <c r="AD4" s="1000"/>
      <c r="AE4" s="100">
        <f>AB4-AC4+AD4</f>
        <v>0</v>
      </c>
      <c r="AF4" s="974">
        <f>AE4*$C$4</f>
        <v>0</v>
      </c>
      <c r="AG4" s="996"/>
      <c r="AH4" s="98">
        <f>AE4-AF4+AG4</f>
        <v>0</v>
      </c>
      <c r="AI4" s="974">
        <f>AH4*$C$4</f>
        <v>0</v>
      </c>
      <c r="AJ4" s="1000"/>
      <c r="AK4" s="1001">
        <f>(2869956+22625078)/1000</f>
        <v>25495.034</v>
      </c>
      <c r="AL4" s="974">
        <f>AK4*$C$4</f>
        <v>509.90068</v>
      </c>
      <c r="AM4" s="996">
        <f>SUM('Capital investments'!G5,'Capital investments'!G6,'Capital investments'!G8,'Capital investments'!G9,'Capital investments'!G10,'Capital investments'!G14,'Capital investments'!G15,'Capital investments'!G21,'Capital investments'!G22,'Capital investments'!G28)</f>
        <v>151.0011</v>
      </c>
      <c r="AN4" s="98">
        <f aca="true" t="shared" si="0" ref="AN4:AN9">AK4-AL4+AM4</f>
        <v>25136.134420000002</v>
      </c>
      <c r="AO4" s="974">
        <f>AN4*$C$4</f>
        <v>502.72268840000004</v>
      </c>
      <c r="AP4" s="1000">
        <f>SUM('Capital investments'!H5,'Capital investments'!H6,'Capital investments'!H8,'Capital investments'!H9,'Capital investments'!H10,'Capital investments'!H14,'Capital investments'!H15,'Capital investments'!H21,'Capital investments'!H22,'Capital investments'!H28)</f>
        <v>8865.768633333333</v>
      </c>
      <c r="AQ4" s="100">
        <f aca="true" t="shared" si="1" ref="AQ4:AQ9">AN4-AO4+AP4</f>
        <v>33499.18036493333</v>
      </c>
      <c r="AR4" s="974">
        <f>AQ4*$C$4</f>
        <v>669.9836072986666</v>
      </c>
      <c r="AS4" s="996">
        <f>SUM('Capital investments'!I5,'Capital investments'!I6,'Capital investments'!I8,'Capital investments'!I9,'Capital investments'!I10,'Capital investments'!I14,'Capital investments'!I15,'Capital investments'!I21,'Capital investments'!I22,'Capital investments'!I28)</f>
        <v>7560.611133333334</v>
      </c>
      <c r="AT4" s="98">
        <f aca="true" t="shared" si="2" ref="AT4:AT9">AQ4-AR4+AS4</f>
        <v>40389.807890968</v>
      </c>
      <c r="AU4" s="974">
        <f>AT4*$C$4</f>
        <v>807.7961578193599</v>
      </c>
      <c r="AV4" s="1000">
        <f>SUM('Capital investments'!J5,'Capital investments'!J6,'Capital investments'!J8,'Capital investments'!J9,'Capital investments'!J10,'Capital investments'!J14,'Capital investments'!J15,'Capital investments'!J21,'Capital investments'!J22,'Capital investments'!J28)</f>
        <v>7560.611133333334</v>
      </c>
      <c r="AW4" s="100">
        <f aca="true" t="shared" si="3" ref="AW4:AW9">AT4-AU4+AV4</f>
        <v>47142.62286648197</v>
      </c>
      <c r="AX4" s="974">
        <f>AW4*$C$4</f>
        <v>942.8524573296395</v>
      </c>
      <c r="AY4" s="996">
        <f>SUM('Capital investments'!K5,'Capital investments'!K6,'Capital investments'!K8,'Capital investments'!K9,'Capital investments'!K10,'Capital investments'!K14,'Capital investments'!K15,'Capital investments'!K21,'Capital investments'!K22,'Capital investments'!K28)</f>
        <v>27446.150433333332</v>
      </c>
      <c r="AZ4" s="98">
        <f aca="true" t="shared" si="4" ref="AZ4:AZ9">AW4-AX4+AY4</f>
        <v>73645.92084248566</v>
      </c>
      <c r="BA4" s="974">
        <f>AZ4*$C$4</f>
        <v>1472.9184168497134</v>
      </c>
      <c r="BB4" s="1000">
        <f>SUM('Capital investments'!L5,'Capital investments'!L6,'Capital investments'!L8,'Capital investments'!L9,'Capital investments'!L10,'Capital investments'!L14,'Capital investments'!L15,'Capital investments'!L21,'Capital investments'!L22,'Capital investments'!L28)</f>
        <v>5664.491933333333</v>
      </c>
      <c r="BC4" s="100">
        <f aca="true" t="shared" si="5" ref="BC4:BC9">AZ4-BA4+BB4</f>
        <v>77837.49435896928</v>
      </c>
      <c r="BD4" s="974">
        <f>BC4*$C$4</f>
        <v>1556.7498871793857</v>
      </c>
      <c r="BE4" s="996">
        <f>SUM('Capital investments'!M5,'Capital investments'!M6,'Capital investments'!M8,'Capital investments'!M9,'Capital investments'!M10,'Capital investments'!M14,'Capital investments'!M15,'Capital investments'!M21,'Capital investments'!M22,'Capital investments'!M28)</f>
        <v>4359.334433333333</v>
      </c>
      <c r="BF4" s="98">
        <f aca="true" t="shared" si="6" ref="BF4:BF9">BC4-BD4+BE4</f>
        <v>80640.07890512324</v>
      </c>
      <c r="BG4" s="974">
        <f>BF4*$C$4</f>
        <v>1612.8015781024649</v>
      </c>
      <c r="BH4" s="1000">
        <f>SUM('Capital investments'!N5,'Capital investments'!N6,'Capital investments'!N8,'Capital investments'!N9,'Capital investments'!N10,'Capital investments'!N14,'Capital investments'!N15,'Capital investments'!N21,'Capital investments'!N22,'Capital investments'!N28)</f>
        <v>151.0011</v>
      </c>
      <c r="BI4" s="100">
        <f aca="true" t="shared" si="7" ref="BI4:BI9">BF4-BG4+BH4</f>
        <v>79178.27842702078</v>
      </c>
      <c r="BJ4" s="974">
        <f>BI4*$C$4</f>
        <v>1583.5655685404156</v>
      </c>
      <c r="BK4" s="996">
        <f>SUM('Capital investments'!O5,'Capital investments'!O6,'Capital investments'!O8,'Capital investments'!O9,'Capital investments'!O10,'Capital investments'!O14,'Capital investments'!O15,'Capital investments'!O21,'Capital investments'!O22,'Capital investments'!O28)</f>
        <v>151.0011</v>
      </c>
      <c r="BL4" s="98">
        <f aca="true" t="shared" si="8" ref="BL4:BL9">BI4-BJ4+BK4</f>
        <v>77745.71395848035</v>
      </c>
      <c r="BM4" s="974">
        <f>BL4*$C$4</f>
        <v>1554.914279169607</v>
      </c>
      <c r="BN4" s="1000">
        <f>SUM('Capital investments'!P5,'Capital investments'!P6,'Capital investments'!P8,'Capital investments'!P9,'Capital investments'!P10,'Capital investments'!P14,'Capital investments'!P15,'Capital investments'!P21,'Capital investments'!P22,'Capital investments'!P28)</f>
        <v>1456.1586</v>
      </c>
      <c r="BO4" s="100">
        <f aca="true" t="shared" si="9" ref="BO4:BO9">BL4-BM4+BN4</f>
        <v>77646.95827931074</v>
      </c>
      <c r="BP4" s="974">
        <f>BO4*$C$4</f>
        <v>1552.9391655862148</v>
      </c>
      <c r="BQ4" s="996">
        <f>SUM('Capital investments'!Q5,'Capital investments'!Q6,'Capital investments'!Q8,'Capital investments'!Q9,'Capital investments'!Q10,'Capital investments'!Q14,'Capital investments'!Q15,'Capital investments'!Q21,'Capital investments'!Q22,'Capital investments'!Q28)</f>
        <v>151.0011</v>
      </c>
      <c r="BR4" s="98">
        <f aca="true" t="shared" si="10" ref="BR4:BR9">BO4-BP4+BQ4</f>
        <v>76245.02021372452</v>
      </c>
      <c r="BS4" s="974">
        <f>BR4*$C$4</f>
        <v>1524.9004042744905</v>
      </c>
      <c r="BT4" s="1000">
        <f>SUM('Capital investments'!R5,'Capital investments'!R6,'Capital investments'!R8,'Capital investments'!R9,'Capital investments'!R10,'Capital investments'!R14,'Capital investments'!R15,'Capital investments'!R21,'Capital investments'!R22,'Capital investments'!R28)</f>
        <v>151.0011</v>
      </c>
      <c r="BU4" s="100">
        <f aca="true" t="shared" si="11" ref="BU4:BU9">BR4-BS4+BT4</f>
        <v>74871.12090945002</v>
      </c>
      <c r="BV4" s="974">
        <f>BU4*$C$4</f>
        <v>1497.4224181890004</v>
      </c>
      <c r="BW4" s="996">
        <f>SUM('Capital investments'!S5,'Capital investments'!S6,'Capital investments'!S8,'Capital investments'!S9,'Capital investments'!S10,'Capital investments'!S14,'Capital investments'!S15,'Capital investments'!S21,'Capital investments'!S22,'Capital investments'!S28)</f>
        <v>151.0011</v>
      </c>
      <c r="BX4" s="98">
        <f aca="true" t="shared" si="12" ref="BX4:BX9">BU4-BV4+BW4</f>
        <v>73524.69959126101</v>
      </c>
      <c r="BY4" s="974">
        <f>BX4*$C$4</f>
        <v>1470.4939918252203</v>
      </c>
      <c r="BZ4" s="1000">
        <f>SUM('Capital investments'!T5,'Capital investments'!T6,'Capital investments'!T8,'Capital investments'!T9,'Capital investments'!T10,'Capital investments'!T14,'Capital investments'!T15,'Capital investments'!T21,'Capital investments'!T22,'Capital investments'!T28)</f>
        <v>1456.1586</v>
      </c>
      <c r="CA4" s="100">
        <f aca="true" t="shared" si="13" ref="CA4:CA9">BX4-BY4+BZ4</f>
        <v>73510.36419943579</v>
      </c>
      <c r="CB4" s="974">
        <f>CA4*$C$4</f>
        <v>1470.2072839887157</v>
      </c>
      <c r="CC4" s="996">
        <f>SUM('Capital investments'!U5,'Capital investments'!U6,'Capital investments'!U8,'Capital investments'!U9,'Capital investments'!U10,'Capital investments'!U14,'Capital investments'!U15,'Capital investments'!U21,'Capital investments'!U22,'Capital investments'!U28)</f>
        <v>151.0011</v>
      </c>
      <c r="CD4" s="98">
        <f aca="true" t="shared" si="14" ref="CD4:CD9">CA4-CB4+CC4</f>
        <v>72191.15801544707</v>
      </c>
      <c r="CE4" s="974">
        <f>CD4*$C$4</f>
        <v>1443.8231603089414</v>
      </c>
      <c r="CF4" s="1000">
        <f>SUM('Capital investments'!V5,'Capital investments'!V6,'Capital investments'!V8,'Capital investments'!V9,'Capital investments'!V10,'Capital investments'!V14,'Capital investments'!V15,'Capital investments'!V21,'Capital investments'!V22,'Capital investments'!V28)</f>
        <v>151.0011</v>
      </c>
      <c r="CG4" s="100">
        <f aca="true" t="shared" si="15" ref="CG4:CG9">CD4-CE4+CF4</f>
        <v>70898.33595513813</v>
      </c>
      <c r="CH4" s="974">
        <f>CG4*$C$4</f>
        <v>1417.9667191027627</v>
      </c>
      <c r="CI4" s="996">
        <f>SUM('Capital investments'!W5,'Capital investments'!W6,'Capital investments'!W8,'Capital investments'!W9,'Capital investments'!W10,'Capital investments'!W14,'Capital investments'!W15,'Capital investments'!W21,'Capital investments'!W22,'Capital investments'!W28)</f>
        <v>151.0011</v>
      </c>
      <c r="CJ4" s="98">
        <f aca="true" t="shared" si="16" ref="CJ4:CJ9">CG4-CH4+CI4</f>
        <v>69631.37033603535</v>
      </c>
      <c r="CK4" s="974">
        <f>CJ4*$C$4</f>
        <v>1392.627406720707</v>
      </c>
      <c r="CL4" s="1000">
        <f>SUM('Capital investments'!X5,'Capital investments'!X6,'Capital investments'!X8,'Capital investments'!X9,'Capital investments'!X10,'Capital investments'!X14,'Capital investments'!X15,'Capital investments'!X21,'Capital investments'!X22,'Capital investments'!X28)</f>
        <v>151.0011</v>
      </c>
      <c r="CM4" s="100">
        <f aca="true" t="shared" si="17" ref="CM4:CM9">CJ4-CK4+CL4</f>
        <v>68389.74402931464</v>
      </c>
      <c r="CN4" s="974">
        <f>CM4*$C$4</f>
        <v>1367.7948805862927</v>
      </c>
      <c r="CO4" s="996">
        <f>SUM('Capital investments'!Y5,'Capital investments'!Y6,'Capital investments'!Y8,'Capital investments'!Y9,'Capital investments'!Y10,'Capital investments'!Y14,'Capital investments'!Y15,'Capital investments'!Y21,'Capital investments'!Y22,'Capital investments'!Y28)</f>
        <v>151.0011</v>
      </c>
      <c r="CP4" s="98">
        <f aca="true" t="shared" si="18" ref="CP4:CP9">CM4-CN4+CO4</f>
        <v>67172.95024872833</v>
      </c>
      <c r="CQ4" s="974">
        <f>CP4*$C$4</f>
        <v>1343.4590049745666</v>
      </c>
      <c r="CR4" s="1000">
        <f>SUM('Capital investments'!Z5,'Capital investments'!Z6,'Capital investments'!Z8,'Capital investments'!Z9,'Capital investments'!Z10,'Capital investments'!Z14,'Capital investments'!Z15,'Capital investments'!Z21,'Capital investments'!Z22,'Capital investments'!Z28)</f>
        <v>151.0011</v>
      </c>
      <c r="CS4" s="100">
        <f aca="true" t="shared" si="19" ref="CS4:CS9">CP4-CQ4+CR4</f>
        <v>65980.49234375377</v>
      </c>
      <c r="CT4" s="974">
        <f>CS4*$C$4</f>
        <v>1319.6098468750754</v>
      </c>
      <c r="CU4" s="974">
        <f>SUM('Capital investments'!AA5,'Capital investments'!AA6,'Capital investments'!AA8,'Capital investments'!AA9,'Capital investments'!AA10,'Capital investments'!AA14,'Capital investments'!AA15,'Capital investments'!AA21,'Capital investments'!AA22,'Capital investments'!AA28)</f>
        <v>151.0011</v>
      </c>
      <c r="CV4" s="100">
        <f aca="true" t="shared" si="20" ref="CV4:CV9">CS4-CT4+CU4</f>
        <v>64811.88359687869</v>
      </c>
      <c r="CW4" s="974">
        <f>CV4*$C$4</f>
        <v>1296.2376719375739</v>
      </c>
      <c r="CX4" s="468"/>
      <c r="CY4" s="100">
        <f aca="true" t="shared" si="21" ref="CY4:CY9">CV4-CW4+CX4</f>
        <v>63515.64592494111</v>
      </c>
      <c r="CZ4" s="974">
        <f>CY4*$C$4</f>
        <v>1270.3129184988222</v>
      </c>
      <c r="DA4" s="468"/>
      <c r="DB4" s="100">
        <f aca="true" t="shared" si="22" ref="DB4:DB9">CY4-CZ4+DA4</f>
        <v>62245.33300644229</v>
      </c>
      <c r="DC4" s="974">
        <f>DB4*$C$4</f>
        <v>1244.906660128846</v>
      </c>
      <c r="DD4" s="469"/>
      <c r="DE4" s="98">
        <f aca="true" t="shared" si="23" ref="DE4:DE9">DB4-DC4+DD4</f>
        <v>61000.42634631345</v>
      </c>
      <c r="DF4" s="974">
        <f>DE4*$C$4</f>
        <v>1220.008526926269</v>
      </c>
      <c r="DG4" s="1086"/>
      <c r="DH4" s="103"/>
      <c r="DI4" s="468"/>
      <c r="DJ4" s="469"/>
      <c r="DK4" s="102"/>
      <c r="DL4" s="468"/>
      <c r="DM4" s="469"/>
      <c r="DN4" s="102"/>
      <c r="DO4" s="468"/>
      <c r="DP4" s="469"/>
      <c r="DQ4" s="102"/>
      <c r="DR4" s="468"/>
      <c r="DS4" s="469"/>
      <c r="DT4" s="102"/>
      <c r="DU4" s="468"/>
      <c r="DV4" s="469"/>
      <c r="DW4" s="102"/>
      <c r="DX4" s="468"/>
      <c r="DY4" s="469"/>
      <c r="DZ4" s="102"/>
      <c r="EA4" s="468"/>
      <c r="EB4" s="469"/>
      <c r="EC4" s="102"/>
      <c r="ED4" s="468"/>
      <c r="EE4" s="469"/>
      <c r="EF4" s="470"/>
      <c r="EH4" s="616"/>
      <c r="EI4" s="615"/>
      <c r="EJ4" s="616"/>
      <c r="EK4" s="616"/>
      <c r="EL4" s="615"/>
      <c r="EM4" s="616"/>
      <c r="EN4" s="616"/>
      <c r="EO4" s="615"/>
      <c r="EP4" s="616"/>
      <c r="EQ4" s="616"/>
    </row>
    <row r="5" spans="1:147" s="467" customFormat="1" ht="26.25" customHeight="1">
      <c r="A5" s="1432">
        <v>2</v>
      </c>
      <c r="B5" s="973" t="s">
        <v>220</v>
      </c>
      <c r="C5" s="994">
        <v>0.1</v>
      </c>
      <c r="D5" s="991"/>
      <c r="E5" s="977"/>
      <c r="F5" s="976"/>
      <c r="G5" s="91"/>
      <c r="H5" s="974"/>
      <c r="I5" s="974"/>
      <c r="J5" s="91"/>
      <c r="K5" s="974"/>
      <c r="L5" s="974"/>
      <c r="M5" s="586"/>
      <c r="N5" s="974"/>
      <c r="O5" s="974"/>
      <c r="P5" s="972"/>
      <c r="Q5" s="974"/>
      <c r="R5" s="974"/>
      <c r="S5" s="91"/>
      <c r="T5" s="974"/>
      <c r="U5" s="974"/>
      <c r="V5" s="91"/>
      <c r="W5" s="974"/>
      <c r="X5" s="974"/>
      <c r="Y5" s="91"/>
      <c r="Z5" s="974"/>
      <c r="AA5" s="996"/>
      <c r="AB5" s="98"/>
      <c r="AC5" s="974"/>
      <c r="AD5" s="1000"/>
      <c r="AE5" s="100"/>
      <c r="AF5" s="974"/>
      <c r="AG5" s="996"/>
      <c r="AH5" s="98"/>
      <c r="AI5" s="974"/>
      <c r="AJ5" s="1000"/>
      <c r="AK5" s="1001">
        <f>136929/1000</f>
        <v>136.929</v>
      </c>
      <c r="AL5" s="974">
        <f>AK5*$C$5</f>
        <v>13.692900000000002</v>
      </c>
      <c r="AM5" s="996"/>
      <c r="AN5" s="98">
        <f t="shared" si="0"/>
        <v>123.2361</v>
      </c>
      <c r="AO5" s="974">
        <f>AN5*$C$5</f>
        <v>12.32361</v>
      </c>
      <c r="AP5" s="1000"/>
      <c r="AQ5" s="100">
        <f t="shared" si="1"/>
        <v>110.91248999999999</v>
      </c>
      <c r="AR5" s="974">
        <f>AQ5*$C$5</f>
        <v>11.091249</v>
      </c>
      <c r="AS5" s="996"/>
      <c r="AT5" s="98">
        <f t="shared" si="2"/>
        <v>99.82124099999999</v>
      </c>
      <c r="AU5" s="974">
        <f>AT5*$C$5</f>
        <v>9.9821241</v>
      </c>
      <c r="AV5" s="1000"/>
      <c r="AW5" s="100">
        <f t="shared" si="3"/>
        <v>89.8391169</v>
      </c>
      <c r="AX5" s="974">
        <f>AW5*$C$5</f>
        <v>8.98391169</v>
      </c>
      <c r="AY5" s="996"/>
      <c r="AZ5" s="98">
        <f t="shared" si="4"/>
        <v>80.85520521</v>
      </c>
      <c r="BA5" s="974">
        <f>AZ5*$C$5</f>
        <v>8.085520521</v>
      </c>
      <c r="BB5" s="1000"/>
      <c r="BC5" s="100">
        <f t="shared" si="5"/>
        <v>72.769684689</v>
      </c>
      <c r="BD5" s="974">
        <f>BC5*$C$5</f>
        <v>7.276968468900001</v>
      </c>
      <c r="BE5" s="996"/>
      <c r="BF5" s="98">
        <f t="shared" si="6"/>
        <v>65.49271622010001</v>
      </c>
      <c r="BG5" s="974">
        <f>BF5*$C$5</f>
        <v>6.549271622010001</v>
      </c>
      <c r="BH5" s="1000"/>
      <c r="BI5" s="100">
        <f t="shared" si="7"/>
        <v>58.943444598090004</v>
      </c>
      <c r="BJ5" s="974">
        <f>BI5*$C$5</f>
        <v>5.894344459809001</v>
      </c>
      <c r="BK5" s="996"/>
      <c r="BL5" s="98">
        <f t="shared" si="8"/>
        <v>53.049100138281005</v>
      </c>
      <c r="BM5" s="974">
        <f>BL5*$C$5</f>
        <v>5.304910013828101</v>
      </c>
      <c r="BN5" s="1000"/>
      <c r="BO5" s="100">
        <f t="shared" si="9"/>
        <v>47.744190124452906</v>
      </c>
      <c r="BP5" s="974">
        <f>BO5*$C$5</f>
        <v>4.774419012445291</v>
      </c>
      <c r="BQ5" s="996"/>
      <c r="BR5" s="98">
        <f t="shared" si="10"/>
        <v>42.969771112007614</v>
      </c>
      <c r="BS5" s="974">
        <f>BR5*$C$5</f>
        <v>4.2969771112007615</v>
      </c>
      <c r="BT5" s="1000"/>
      <c r="BU5" s="100">
        <f t="shared" si="11"/>
        <v>38.67279400080685</v>
      </c>
      <c r="BV5" s="974">
        <f>BU5*$C$5</f>
        <v>3.8672794000806854</v>
      </c>
      <c r="BW5" s="996"/>
      <c r="BX5" s="98">
        <f t="shared" si="12"/>
        <v>34.80551460072617</v>
      </c>
      <c r="BY5" s="974">
        <f>BX5*$C$5</f>
        <v>3.480551460072617</v>
      </c>
      <c r="BZ5" s="1000"/>
      <c r="CA5" s="100">
        <f t="shared" si="13"/>
        <v>31.32496314065355</v>
      </c>
      <c r="CB5" s="974">
        <f>CA5*$C$5</f>
        <v>3.1324963140653552</v>
      </c>
      <c r="CC5" s="996"/>
      <c r="CD5" s="98">
        <f t="shared" si="14"/>
        <v>28.192466826588195</v>
      </c>
      <c r="CE5" s="974">
        <f>CD5*$C$5</f>
        <v>2.81924668265882</v>
      </c>
      <c r="CF5" s="1000"/>
      <c r="CG5" s="100">
        <f t="shared" si="15"/>
        <v>25.373220143929373</v>
      </c>
      <c r="CH5" s="974">
        <f>CG5*$C$5</f>
        <v>2.5373220143929376</v>
      </c>
      <c r="CI5" s="996"/>
      <c r="CJ5" s="98">
        <f t="shared" si="16"/>
        <v>22.835898129536435</v>
      </c>
      <c r="CK5" s="974">
        <f>CJ5*$C$5</f>
        <v>2.2835898129536436</v>
      </c>
      <c r="CL5" s="1000"/>
      <c r="CM5" s="100">
        <f t="shared" si="17"/>
        <v>20.552308316582792</v>
      </c>
      <c r="CN5" s="974">
        <f>CM5*$C$5</f>
        <v>2.0552308316582795</v>
      </c>
      <c r="CO5" s="996"/>
      <c r="CP5" s="98">
        <f t="shared" si="18"/>
        <v>18.497077484924514</v>
      </c>
      <c r="CQ5" s="974">
        <f>CP5*$C$5</f>
        <v>1.8497077484924516</v>
      </c>
      <c r="CR5" s="1000"/>
      <c r="CS5" s="100">
        <f t="shared" si="19"/>
        <v>16.64736973643206</v>
      </c>
      <c r="CT5" s="974">
        <f>CS5*$C$5</f>
        <v>1.6647369736432063</v>
      </c>
      <c r="CU5" s="974"/>
      <c r="CV5" s="100">
        <f t="shared" si="20"/>
        <v>14.982632762788855</v>
      </c>
      <c r="CW5" s="974">
        <f>CV5*$C$5</f>
        <v>1.4982632762788857</v>
      </c>
      <c r="CX5" s="468"/>
      <c r="CY5" s="100">
        <f t="shared" si="21"/>
        <v>13.48436948650997</v>
      </c>
      <c r="CZ5" s="974">
        <f>CY5*$C$5</f>
        <v>1.348436948650997</v>
      </c>
      <c r="DA5" s="468"/>
      <c r="DB5" s="100">
        <f t="shared" si="22"/>
        <v>12.135932537858972</v>
      </c>
      <c r="DC5" s="974">
        <f>DB5*$C$5</f>
        <v>1.2135932537858973</v>
      </c>
      <c r="DD5" s="469"/>
      <c r="DE5" s="98">
        <f t="shared" si="23"/>
        <v>10.922339284073075</v>
      </c>
      <c r="DF5" s="974">
        <f>DE5*$C$5</f>
        <v>1.0922339284073075</v>
      </c>
      <c r="DG5" s="1086"/>
      <c r="DH5" s="103"/>
      <c r="DI5" s="468"/>
      <c r="DJ5" s="469"/>
      <c r="DK5" s="102"/>
      <c r="DL5" s="468"/>
      <c r="DM5" s="469"/>
      <c r="DN5" s="102"/>
      <c r="DO5" s="468"/>
      <c r="DP5" s="469"/>
      <c r="DQ5" s="102"/>
      <c r="DR5" s="468"/>
      <c r="DS5" s="469"/>
      <c r="DT5" s="102"/>
      <c r="DU5" s="468"/>
      <c r="DV5" s="469"/>
      <c r="DW5" s="102"/>
      <c r="DX5" s="468"/>
      <c r="DY5" s="469"/>
      <c r="DZ5" s="102"/>
      <c r="EA5" s="468"/>
      <c r="EB5" s="469"/>
      <c r="EC5" s="102"/>
      <c r="ED5" s="468"/>
      <c r="EE5" s="469"/>
      <c r="EF5" s="470"/>
      <c r="EH5" s="616"/>
      <c r="EI5" s="615"/>
      <c r="EJ5" s="616"/>
      <c r="EK5" s="616"/>
      <c r="EL5" s="615"/>
      <c r="EM5" s="616"/>
      <c r="EN5" s="616"/>
      <c r="EO5" s="615"/>
      <c r="EP5" s="616"/>
      <c r="EQ5" s="616"/>
    </row>
    <row r="6" spans="1:147" s="467" customFormat="1" ht="27" customHeight="1">
      <c r="A6" s="1432"/>
      <c r="B6" s="973" t="s">
        <v>447</v>
      </c>
      <c r="C6" s="994">
        <v>0.0625</v>
      </c>
      <c r="D6" s="991"/>
      <c r="E6" s="977"/>
      <c r="F6" s="976"/>
      <c r="G6" s="91"/>
      <c r="H6" s="974"/>
      <c r="I6" s="974"/>
      <c r="J6" s="91"/>
      <c r="K6" s="974"/>
      <c r="L6" s="974"/>
      <c r="M6" s="586"/>
      <c r="N6" s="974"/>
      <c r="O6" s="974"/>
      <c r="P6" s="972"/>
      <c r="Q6" s="974"/>
      <c r="R6" s="974"/>
      <c r="S6" s="91"/>
      <c r="T6" s="974"/>
      <c r="U6" s="974"/>
      <c r="V6" s="91"/>
      <c r="W6" s="974"/>
      <c r="X6" s="974"/>
      <c r="Y6" s="91"/>
      <c r="Z6" s="974"/>
      <c r="AA6" s="996"/>
      <c r="AB6" s="98"/>
      <c r="AC6" s="974"/>
      <c r="AD6" s="1000"/>
      <c r="AE6" s="100"/>
      <c r="AF6" s="974"/>
      <c r="AG6" s="996"/>
      <c r="AH6" s="98"/>
      <c r="AI6" s="974"/>
      <c r="AJ6" s="1000"/>
      <c r="AK6" s="1001">
        <f>927/1000</f>
        <v>0.927</v>
      </c>
      <c r="AL6" s="974">
        <f>AK6*$C$6</f>
        <v>0.0579375</v>
      </c>
      <c r="AM6" s="996"/>
      <c r="AN6" s="98">
        <f t="shared" si="0"/>
        <v>0.8690625000000001</v>
      </c>
      <c r="AO6" s="974">
        <f>AN6*$C$6</f>
        <v>0.054316406250000004</v>
      </c>
      <c r="AP6" s="1000"/>
      <c r="AQ6" s="100">
        <f t="shared" si="1"/>
        <v>0.8147460937500001</v>
      </c>
      <c r="AR6" s="974">
        <f>AQ6*$C$6</f>
        <v>0.050921630859375004</v>
      </c>
      <c r="AS6" s="996"/>
      <c r="AT6" s="98">
        <f t="shared" si="2"/>
        <v>0.7638244628906251</v>
      </c>
      <c r="AU6" s="974">
        <f>AT6*$C$6</f>
        <v>0.04773902893066407</v>
      </c>
      <c r="AV6" s="1000"/>
      <c r="AW6" s="100">
        <f t="shared" si="3"/>
        <v>0.716085433959961</v>
      </c>
      <c r="AX6" s="974">
        <f>AW6*$C$6</f>
        <v>0.044755339622497566</v>
      </c>
      <c r="AY6" s="996"/>
      <c r="AZ6" s="98">
        <f t="shared" si="4"/>
        <v>0.6713300943374635</v>
      </c>
      <c r="BA6" s="974">
        <f>AZ6*$C$6</f>
        <v>0.04195813089609147</v>
      </c>
      <c r="BB6" s="1000"/>
      <c r="BC6" s="100">
        <f t="shared" si="5"/>
        <v>0.629371963441372</v>
      </c>
      <c r="BD6" s="974">
        <f>BC6*$C$6</f>
        <v>0.03933574771508575</v>
      </c>
      <c r="BE6" s="996"/>
      <c r="BF6" s="98">
        <f t="shared" si="6"/>
        <v>0.5900362157262863</v>
      </c>
      <c r="BG6" s="974">
        <f>BF6*$C$6</f>
        <v>0.03687726348289289</v>
      </c>
      <c r="BH6" s="1000"/>
      <c r="BI6" s="100">
        <f t="shared" si="7"/>
        <v>0.5531589522433934</v>
      </c>
      <c r="BJ6" s="974">
        <f>BI6*$C$6</f>
        <v>0.03457243451521209</v>
      </c>
      <c r="BK6" s="996"/>
      <c r="BL6" s="98">
        <f t="shared" si="8"/>
        <v>0.5185865177281813</v>
      </c>
      <c r="BM6" s="974">
        <f>BL6*$C$6</f>
        <v>0.03241165735801133</v>
      </c>
      <c r="BN6" s="1000"/>
      <c r="BO6" s="100">
        <f t="shared" si="9"/>
        <v>0.48617486037017</v>
      </c>
      <c r="BP6" s="974">
        <f>BO6*$C$6</f>
        <v>0.030385928773135625</v>
      </c>
      <c r="BQ6" s="996"/>
      <c r="BR6" s="98">
        <f t="shared" si="10"/>
        <v>0.4557889315970344</v>
      </c>
      <c r="BS6" s="974">
        <f>BR6*$C$6</f>
        <v>0.02848680822481465</v>
      </c>
      <c r="BT6" s="1000"/>
      <c r="BU6" s="100">
        <f t="shared" si="11"/>
        <v>0.42730212337221973</v>
      </c>
      <c r="BV6" s="974">
        <f>BU6*$C$6</f>
        <v>0.026706382710763733</v>
      </c>
      <c r="BW6" s="996"/>
      <c r="BX6" s="98">
        <f t="shared" si="12"/>
        <v>0.400595740661456</v>
      </c>
      <c r="BY6" s="974">
        <f>BX6*$C$6</f>
        <v>0.025037233791341</v>
      </c>
      <c r="BZ6" s="1000"/>
      <c r="CA6" s="100">
        <f t="shared" si="13"/>
        <v>0.375558506870115</v>
      </c>
      <c r="CB6" s="974">
        <f>CA6*$C$6</f>
        <v>0.023472406679382187</v>
      </c>
      <c r="CC6" s="996"/>
      <c r="CD6" s="98">
        <f t="shared" si="14"/>
        <v>0.35208610019073283</v>
      </c>
      <c r="CE6" s="974">
        <f>CD6*$C$6</f>
        <v>0.022005381261920802</v>
      </c>
      <c r="CF6" s="1000"/>
      <c r="CG6" s="100">
        <f t="shared" si="15"/>
        <v>0.330080718928812</v>
      </c>
      <c r="CH6" s="974">
        <f>CG6*$C$6</f>
        <v>0.02063004493305075</v>
      </c>
      <c r="CI6" s="996"/>
      <c r="CJ6" s="98">
        <f t="shared" si="16"/>
        <v>0.30945067399576126</v>
      </c>
      <c r="CK6" s="974">
        <f>CJ6*$C$6</f>
        <v>0.01934066712473508</v>
      </c>
      <c r="CL6" s="1000"/>
      <c r="CM6" s="100">
        <f t="shared" si="17"/>
        <v>0.29011000687102617</v>
      </c>
      <c r="CN6" s="974">
        <f>CM6*$C$6</f>
        <v>0.018131875429439136</v>
      </c>
      <c r="CO6" s="996"/>
      <c r="CP6" s="98">
        <f t="shared" si="18"/>
        <v>0.27197813144158706</v>
      </c>
      <c r="CQ6" s="974">
        <f>CP6*$C$6</f>
        <v>0.01699863321509919</v>
      </c>
      <c r="CR6" s="1000"/>
      <c r="CS6" s="100">
        <f t="shared" si="19"/>
        <v>0.25497949822648786</v>
      </c>
      <c r="CT6" s="974">
        <f>CS6*$C$6</f>
        <v>0.01593621863915549</v>
      </c>
      <c r="CU6" s="974"/>
      <c r="CV6" s="100">
        <f t="shared" si="20"/>
        <v>0.23904327958733237</v>
      </c>
      <c r="CW6" s="974">
        <f>CV6*$C$6</f>
        <v>0.014940204974208273</v>
      </c>
      <c r="CX6" s="468"/>
      <c r="CY6" s="100">
        <f t="shared" si="21"/>
        <v>0.2241030746131241</v>
      </c>
      <c r="CZ6" s="974">
        <f>CY6*$C$6</f>
        <v>0.014006442163320256</v>
      </c>
      <c r="DA6" s="468"/>
      <c r="DB6" s="100">
        <f t="shared" si="22"/>
        <v>0.21009663244980384</v>
      </c>
      <c r="DC6" s="974">
        <f>DB6*$C$6</f>
        <v>0.01313103952811274</v>
      </c>
      <c r="DD6" s="469"/>
      <c r="DE6" s="98">
        <f t="shared" si="23"/>
        <v>0.1969655929216911</v>
      </c>
      <c r="DF6" s="974">
        <f>DE6*$C$6</f>
        <v>0.012310349557605694</v>
      </c>
      <c r="DG6" s="1086"/>
      <c r="DH6" s="103"/>
      <c r="DI6" s="468"/>
      <c r="DJ6" s="469"/>
      <c r="DK6" s="102"/>
      <c r="DL6" s="468"/>
      <c r="DM6" s="469"/>
      <c r="DN6" s="102"/>
      <c r="DO6" s="468"/>
      <c r="DP6" s="469"/>
      <c r="DQ6" s="102"/>
      <c r="DR6" s="468"/>
      <c r="DS6" s="469"/>
      <c r="DT6" s="102"/>
      <c r="DU6" s="468"/>
      <c r="DV6" s="469"/>
      <c r="DW6" s="102"/>
      <c r="DX6" s="468"/>
      <c r="DY6" s="469"/>
      <c r="DZ6" s="102"/>
      <c r="EA6" s="468"/>
      <c r="EB6" s="469"/>
      <c r="EC6" s="102"/>
      <c r="ED6" s="468"/>
      <c r="EE6" s="469"/>
      <c r="EF6" s="470"/>
      <c r="EH6" s="616"/>
      <c r="EI6" s="615"/>
      <c r="EJ6" s="616"/>
      <c r="EK6" s="616"/>
      <c r="EL6" s="615"/>
      <c r="EM6" s="616"/>
      <c r="EN6" s="616"/>
      <c r="EO6" s="615"/>
      <c r="EP6" s="616"/>
      <c r="EQ6" s="616"/>
    </row>
    <row r="7" spans="1:147" s="467" customFormat="1" ht="25.5">
      <c r="A7" s="1432">
        <v>3</v>
      </c>
      <c r="B7" s="459" t="s">
        <v>448</v>
      </c>
      <c r="C7" s="471">
        <v>0.0375</v>
      </c>
      <c r="D7" s="100"/>
      <c r="E7" s="91"/>
      <c r="F7" s="91"/>
      <c r="G7" s="91"/>
      <c r="H7" s="91"/>
      <c r="I7" s="91"/>
      <c r="J7" s="91"/>
      <c r="K7" s="91"/>
      <c r="L7" s="91"/>
      <c r="M7" s="586"/>
      <c r="N7" s="91">
        <f>M7*$C$7</f>
        <v>0</v>
      </c>
      <c r="O7" s="91"/>
      <c r="P7" s="972">
        <f>M7-N7+O7</f>
        <v>0</v>
      </c>
      <c r="Q7" s="91">
        <f>P7*$C$7</f>
        <v>0</v>
      </c>
      <c r="R7" s="91"/>
      <c r="S7" s="91">
        <f>P7-Q7+R7</f>
        <v>0</v>
      </c>
      <c r="T7" s="91">
        <f>S7*$C$7</f>
        <v>0</v>
      </c>
      <c r="U7" s="91"/>
      <c r="V7" s="91">
        <f>S7-T7+U7</f>
        <v>0</v>
      </c>
      <c r="W7" s="91">
        <f>V7*$C$7</f>
        <v>0</v>
      </c>
      <c r="X7" s="91"/>
      <c r="Y7" s="91">
        <f>V7-W7+X7</f>
        <v>0</v>
      </c>
      <c r="Z7" s="91">
        <f>Y7*$C$7</f>
        <v>0</v>
      </c>
      <c r="AA7" s="105"/>
      <c r="AB7" s="98">
        <f>Y7-Z7+AA7</f>
        <v>0</v>
      </c>
      <c r="AC7" s="91">
        <f>AB7*$C$7</f>
        <v>0</v>
      </c>
      <c r="AD7" s="104"/>
      <c r="AE7" s="100">
        <f>AB7-AC7+AD7</f>
        <v>0</v>
      </c>
      <c r="AF7" s="91">
        <f>AE7*$C$7</f>
        <v>0</v>
      </c>
      <c r="AG7" s="105"/>
      <c r="AH7" s="98">
        <f>AE7-AF7+AG7</f>
        <v>0</v>
      </c>
      <c r="AI7" s="91">
        <f>AH7*$C$7</f>
        <v>0</v>
      </c>
      <c r="AJ7" s="104"/>
      <c r="AK7" s="1001">
        <f>(4503457+8638)/1000</f>
        <v>4512.095</v>
      </c>
      <c r="AL7" s="91">
        <f>AK7*$C$7</f>
        <v>169.2035625</v>
      </c>
      <c r="AM7" s="105"/>
      <c r="AN7" s="98">
        <f t="shared" si="0"/>
        <v>4342.8914375</v>
      </c>
      <c r="AO7" s="91">
        <f>AN7*$C$7</f>
        <v>162.85842890625</v>
      </c>
      <c r="AP7" s="104"/>
      <c r="AQ7" s="100">
        <f t="shared" si="1"/>
        <v>4180.03300859375</v>
      </c>
      <c r="AR7" s="91">
        <f>AQ7*$C$7</f>
        <v>156.75123782226564</v>
      </c>
      <c r="AS7" s="105"/>
      <c r="AT7" s="98">
        <f t="shared" si="2"/>
        <v>4023.281770771485</v>
      </c>
      <c r="AU7" s="91">
        <f>AT7*$C$7</f>
        <v>150.87306640393066</v>
      </c>
      <c r="AV7" s="104"/>
      <c r="AW7" s="100">
        <f t="shared" si="3"/>
        <v>3872.408704367554</v>
      </c>
      <c r="AX7" s="91">
        <f>AW7*$C$7</f>
        <v>145.21532641378326</v>
      </c>
      <c r="AY7" s="105"/>
      <c r="AZ7" s="98">
        <f t="shared" si="4"/>
        <v>3727.193377953771</v>
      </c>
      <c r="BA7" s="91">
        <f>AZ7*$C$7</f>
        <v>139.7697516732664</v>
      </c>
      <c r="BB7" s="104"/>
      <c r="BC7" s="100">
        <f t="shared" si="5"/>
        <v>3587.4236262805043</v>
      </c>
      <c r="BD7" s="91">
        <f>BC7*$C$7</f>
        <v>134.5283859855189</v>
      </c>
      <c r="BE7" s="105"/>
      <c r="BF7" s="98">
        <f t="shared" si="6"/>
        <v>3452.8952402949853</v>
      </c>
      <c r="BG7" s="91">
        <f>BF7*$C$7</f>
        <v>129.48357151106194</v>
      </c>
      <c r="BH7" s="104"/>
      <c r="BI7" s="100">
        <f t="shared" si="7"/>
        <v>3323.4116687839232</v>
      </c>
      <c r="BJ7" s="91">
        <f>BI7*$C$7</f>
        <v>124.62793757939711</v>
      </c>
      <c r="BK7" s="105"/>
      <c r="BL7" s="98">
        <f t="shared" si="8"/>
        <v>3198.7837312045262</v>
      </c>
      <c r="BM7" s="91">
        <f>BL7*$C$7</f>
        <v>119.95438992016973</v>
      </c>
      <c r="BN7" s="104"/>
      <c r="BO7" s="100">
        <f t="shared" si="9"/>
        <v>3078.8293412843564</v>
      </c>
      <c r="BP7" s="91">
        <f>BO7*$C$7</f>
        <v>115.45610029816336</v>
      </c>
      <c r="BQ7" s="105"/>
      <c r="BR7" s="98">
        <f t="shared" si="10"/>
        <v>2963.373240986193</v>
      </c>
      <c r="BS7" s="91">
        <f>BR7*$C$7</f>
        <v>111.12649653698224</v>
      </c>
      <c r="BT7" s="104"/>
      <c r="BU7" s="100">
        <f t="shared" si="11"/>
        <v>2852.246744449211</v>
      </c>
      <c r="BV7" s="91">
        <f>BU7*$C$7</f>
        <v>106.9592529168454</v>
      </c>
      <c r="BW7" s="105"/>
      <c r="BX7" s="98">
        <f t="shared" si="12"/>
        <v>2745.2874915323655</v>
      </c>
      <c r="BY7" s="91">
        <f>BX7*$C$7</f>
        <v>102.9482809324637</v>
      </c>
      <c r="BZ7" s="104"/>
      <c r="CA7" s="100">
        <f t="shared" si="13"/>
        <v>2642.339210599902</v>
      </c>
      <c r="CB7" s="91">
        <f>CA7*$C$7</f>
        <v>99.08772039749631</v>
      </c>
      <c r="CC7" s="105"/>
      <c r="CD7" s="98">
        <f t="shared" si="14"/>
        <v>2543.2514902024054</v>
      </c>
      <c r="CE7" s="91">
        <f>CD7*$C$7</f>
        <v>95.3719308825902</v>
      </c>
      <c r="CF7" s="104"/>
      <c r="CG7" s="100">
        <f t="shared" si="15"/>
        <v>2447.879559319815</v>
      </c>
      <c r="CH7" s="91">
        <f>CG7*$C$7</f>
        <v>91.79548347449307</v>
      </c>
      <c r="CI7" s="105"/>
      <c r="CJ7" s="98">
        <f t="shared" si="16"/>
        <v>2356.084075845322</v>
      </c>
      <c r="CK7" s="91">
        <f>CJ7*$C$7</f>
        <v>88.35315284419957</v>
      </c>
      <c r="CL7" s="104"/>
      <c r="CM7" s="100">
        <f t="shared" si="17"/>
        <v>2267.7309230011224</v>
      </c>
      <c r="CN7" s="91">
        <f>CM7*$C$7</f>
        <v>85.03990961254209</v>
      </c>
      <c r="CO7" s="105"/>
      <c r="CP7" s="98">
        <f t="shared" si="18"/>
        <v>2182.6910133885804</v>
      </c>
      <c r="CQ7" s="91">
        <f>CP7*$C$7</f>
        <v>81.85091300207176</v>
      </c>
      <c r="CR7" s="104"/>
      <c r="CS7" s="100">
        <f t="shared" si="19"/>
        <v>2100.8401003865088</v>
      </c>
      <c r="CT7" s="91">
        <f>CS7*$C$7</f>
        <v>78.78150376449408</v>
      </c>
      <c r="CU7" s="91"/>
      <c r="CV7" s="100">
        <f t="shared" si="20"/>
        <v>2022.0585966220146</v>
      </c>
      <c r="CW7" s="91">
        <f>CV7*$C$7</f>
        <v>75.82719737332555</v>
      </c>
      <c r="CX7" s="91"/>
      <c r="CY7" s="100">
        <f t="shared" si="21"/>
        <v>1946.231399248689</v>
      </c>
      <c r="CZ7" s="91">
        <f>CY7*$C$7</f>
        <v>72.98367747182584</v>
      </c>
      <c r="DA7" s="91"/>
      <c r="DB7" s="100">
        <f t="shared" si="22"/>
        <v>1873.2477217768633</v>
      </c>
      <c r="DC7" s="91">
        <f>DB7*$C$7</f>
        <v>70.24678956663237</v>
      </c>
      <c r="DD7" s="105"/>
      <c r="DE7" s="98">
        <f t="shared" si="23"/>
        <v>1803.000932210231</v>
      </c>
      <c r="DF7" s="91">
        <f>DE7*$C$7</f>
        <v>67.61253495788365</v>
      </c>
      <c r="DG7" s="104"/>
      <c r="DH7" s="100"/>
      <c r="DI7" s="91"/>
      <c r="DJ7" s="105"/>
      <c r="DK7" s="91"/>
      <c r="DL7" s="91"/>
      <c r="DM7" s="105"/>
      <c r="DN7" s="91"/>
      <c r="DO7" s="91"/>
      <c r="DP7" s="105"/>
      <c r="DQ7" s="91"/>
      <c r="DR7" s="91"/>
      <c r="DS7" s="105"/>
      <c r="DT7" s="91"/>
      <c r="DU7" s="91"/>
      <c r="DV7" s="105"/>
      <c r="DW7" s="91"/>
      <c r="DX7" s="91"/>
      <c r="DY7" s="105"/>
      <c r="DZ7" s="91"/>
      <c r="EA7" s="91"/>
      <c r="EB7" s="105"/>
      <c r="EC7" s="91"/>
      <c r="ED7" s="91"/>
      <c r="EE7" s="105"/>
      <c r="EF7" s="470"/>
      <c r="EH7" s="615"/>
      <c r="EI7" s="615"/>
      <c r="EJ7" s="615"/>
      <c r="EK7" s="615"/>
      <c r="EL7" s="615"/>
      <c r="EM7" s="615"/>
      <c r="EN7" s="615"/>
      <c r="EO7" s="615"/>
      <c r="EP7" s="615"/>
      <c r="EQ7" s="615"/>
    </row>
    <row r="8" spans="1:147" s="467" customFormat="1" ht="22.5" customHeight="1">
      <c r="A8" s="1432"/>
      <c r="B8" s="459" t="s">
        <v>221</v>
      </c>
      <c r="C8" s="994">
        <v>0.06</v>
      </c>
      <c r="D8" s="992"/>
      <c r="E8" s="974"/>
      <c r="F8" s="974"/>
      <c r="G8" s="91">
        <f>D8-E8+F8</f>
        <v>0</v>
      </c>
      <c r="H8" s="974">
        <f>G8*$C$8</f>
        <v>0</v>
      </c>
      <c r="I8" s="974"/>
      <c r="J8" s="91">
        <f>G8-H8+I8</f>
        <v>0</v>
      </c>
      <c r="K8" s="974">
        <f>J8*$C$8</f>
        <v>0</v>
      </c>
      <c r="L8" s="974"/>
      <c r="M8" s="586"/>
      <c r="N8" s="974">
        <f>M8*$C$8</f>
        <v>0</v>
      </c>
      <c r="O8" s="974"/>
      <c r="P8" s="972">
        <f>M8-N8+O8</f>
        <v>0</v>
      </c>
      <c r="Q8" s="974">
        <f>P8*$C$8</f>
        <v>0</v>
      </c>
      <c r="R8" s="974"/>
      <c r="S8" s="91">
        <f>P8-Q8+R8</f>
        <v>0</v>
      </c>
      <c r="T8" s="974">
        <f>S8*$C$8</f>
        <v>0</v>
      </c>
      <c r="U8" s="974"/>
      <c r="V8" s="91">
        <f>S8-T8+U8</f>
        <v>0</v>
      </c>
      <c r="W8" s="974">
        <f>V8*$C$8</f>
        <v>0</v>
      </c>
      <c r="X8" s="974"/>
      <c r="Y8" s="91">
        <f>V8-W8+X8</f>
        <v>0</v>
      </c>
      <c r="Z8" s="974">
        <f>Y8*$C$8</f>
        <v>0</v>
      </c>
      <c r="AA8" s="996"/>
      <c r="AB8" s="98">
        <f>Y8-Z8+AA8</f>
        <v>0</v>
      </c>
      <c r="AC8" s="974">
        <f>AB8*$C$8</f>
        <v>0</v>
      </c>
      <c r="AD8" s="1000"/>
      <c r="AE8" s="100">
        <f>AB8-AC8+AD8</f>
        <v>0</v>
      </c>
      <c r="AF8" s="974">
        <f>AE8*$C$8</f>
        <v>0</v>
      </c>
      <c r="AG8" s="996"/>
      <c r="AH8" s="98">
        <f>AE8-AF8+AG8</f>
        <v>0</v>
      </c>
      <c r="AI8" s="974">
        <f>AH8*$C$8</f>
        <v>0</v>
      </c>
      <c r="AJ8" s="1000"/>
      <c r="AK8" s="1001">
        <f>(2766255+60665242)/1000</f>
        <v>63431.497</v>
      </c>
      <c r="AL8" s="974">
        <f>AK8*$C$8</f>
        <v>3805.88982</v>
      </c>
      <c r="AM8" s="996">
        <f>SUM('Capital investments'!G4,'Capital investments'!G7,'Capital investments'!G11:G13,'Capital investments'!G20,'Capital investments'!G27)</f>
        <v>0</v>
      </c>
      <c r="AN8" s="98">
        <f t="shared" si="0"/>
        <v>59625.607180000006</v>
      </c>
      <c r="AO8" s="974">
        <f>AN8*$C$8</f>
        <v>3577.5364308000003</v>
      </c>
      <c r="AP8" s="1000">
        <f>SUM('Capital investments'!H4,'Capital investments'!H7,'Capital investments'!H11:H13,'Capital investments'!H20,'Capital investments'!H27)</f>
        <v>2457.0515</v>
      </c>
      <c r="AQ8" s="100">
        <f t="shared" si="1"/>
        <v>58505.12224920001</v>
      </c>
      <c r="AR8" s="974">
        <f>AQ8*$C$8</f>
        <v>3510.3073349520005</v>
      </c>
      <c r="AS8" s="996">
        <f>SUM('Capital investments'!I4,'Capital investments'!I7,'Capital investments'!I11:I13,'Capital investments'!I20,'Capital investments'!I27)</f>
        <v>1550</v>
      </c>
      <c r="AT8" s="98">
        <f t="shared" si="2"/>
        <v>56544.81491424801</v>
      </c>
      <c r="AU8" s="974">
        <f>AT8*$C$8</f>
        <v>3392.6888948548803</v>
      </c>
      <c r="AV8" s="1000">
        <f>SUM('Capital investments'!J4,'Capital investments'!J7,'Capital investments'!J11:J13,'Capital investments'!J20,'Capital investments'!J27)</f>
        <v>1550</v>
      </c>
      <c r="AW8" s="100">
        <f t="shared" si="3"/>
        <v>54702.12601939313</v>
      </c>
      <c r="AX8" s="974">
        <f>AW8*$C$8</f>
        <v>3282.127561163588</v>
      </c>
      <c r="AY8" s="996">
        <f>SUM('Capital investments'!K4,'Capital investments'!K7,'Capital investments'!K11:K13,'Capital investments'!K20,'Capital investments'!K27)</f>
        <v>85697.142</v>
      </c>
      <c r="AZ8" s="98">
        <f t="shared" si="4"/>
        <v>137117.14045822955</v>
      </c>
      <c r="BA8" s="974">
        <f>AZ8*$C$8</f>
        <v>8227.028427493773</v>
      </c>
      <c r="BB8" s="1000">
        <f>SUM('Capital investments'!L4,'Capital investments'!L7,'Capital investments'!L11:L13,'Capital investments'!L20,'Capital investments'!L27)</f>
        <v>907.0515</v>
      </c>
      <c r="BC8" s="100">
        <f t="shared" si="5"/>
        <v>129797.16353073578</v>
      </c>
      <c r="BD8" s="974">
        <f>BC8*$C$8</f>
        <v>7787.829811844146</v>
      </c>
      <c r="BE8" s="996">
        <f>SUM('Capital investments'!M4,'Capital investments'!M7,'Capital investments'!M11:M13,'Capital investments'!M20,'Capital investments'!M27)</f>
        <v>0</v>
      </c>
      <c r="BF8" s="98">
        <f t="shared" si="6"/>
        <v>122009.33371889163</v>
      </c>
      <c r="BG8" s="974">
        <f>BF8*$C$8</f>
        <v>7320.560023133497</v>
      </c>
      <c r="BH8" s="1000">
        <f>SUM('Capital investments'!N4,'Capital investments'!N7,'Capital investments'!N11:N13,'Capital investments'!N20,'Capital investments'!N27)</f>
        <v>0</v>
      </c>
      <c r="BI8" s="100">
        <f t="shared" si="7"/>
        <v>114688.77369575814</v>
      </c>
      <c r="BJ8" s="974">
        <f>BI8*$C$8</f>
        <v>6881.326421745488</v>
      </c>
      <c r="BK8" s="996">
        <f>SUM('Capital investments'!O4,'Capital investments'!O7,'Capital investments'!O11:O13,'Capital investments'!O20,'Capital investments'!O27)</f>
        <v>0</v>
      </c>
      <c r="BL8" s="98">
        <f t="shared" si="8"/>
        <v>107807.44727401265</v>
      </c>
      <c r="BM8" s="974">
        <f>BL8*$C$8</f>
        <v>6468.4468364407585</v>
      </c>
      <c r="BN8" s="1000">
        <f>SUM('Capital investments'!P4,'Capital investments'!P7,'Capital investments'!P11:P13,'Capital investments'!P20,'Capital investments'!P27)</f>
        <v>907.0515</v>
      </c>
      <c r="BO8" s="100">
        <f t="shared" si="9"/>
        <v>102246.0519375719</v>
      </c>
      <c r="BP8" s="974">
        <f>BO8*$C$8</f>
        <v>6134.763116254314</v>
      </c>
      <c r="BQ8" s="996">
        <f>SUM('Capital investments'!Q4,'Capital investments'!Q7,'Capital investments'!Q11:Q13,'Capital investments'!Q20,'Capital investments'!Q27)</f>
        <v>0</v>
      </c>
      <c r="BR8" s="98">
        <f t="shared" si="10"/>
        <v>96111.28882131759</v>
      </c>
      <c r="BS8" s="974">
        <f>BR8*$C$8</f>
        <v>5766.677329279055</v>
      </c>
      <c r="BT8" s="1000">
        <f>SUM('Capital investments'!R4,'Capital investments'!R7,'Capital investments'!R11:R13,'Capital investments'!R20,'Capital investments'!R27)</f>
        <v>0</v>
      </c>
      <c r="BU8" s="100">
        <f t="shared" si="11"/>
        <v>90344.61149203853</v>
      </c>
      <c r="BV8" s="974">
        <f>BU8*$C$8</f>
        <v>5420.676689522312</v>
      </c>
      <c r="BW8" s="996">
        <f>SUM('Capital investments'!S4,'Capital investments'!S7,'Capital investments'!S11:S13,'Capital investments'!S20,'Capital investments'!S27)</f>
        <v>0</v>
      </c>
      <c r="BX8" s="98">
        <f t="shared" si="12"/>
        <v>84923.93480251622</v>
      </c>
      <c r="BY8" s="974">
        <f>BX8*$C$8</f>
        <v>5095.436088150973</v>
      </c>
      <c r="BZ8" s="1000">
        <f>SUM('Capital investments'!T4,'Capital investments'!T7,'Capital investments'!T11:T13,'Capital investments'!T20,'Capital investments'!T27)</f>
        <v>907.0515</v>
      </c>
      <c r="CA8" s="100">
        <f t="shared" si="13"/>
        <v>80735.55021436524</v>
      </c>
      <c r="CB8" s="974">
        <f>CA8*$C$8</f>
        <v>4844.133012861915</v>
      </c>
      <c r="CC8" s="996">
        <f>SUM('Capital investments'!U4,'Capital investments'!U7,'Capital investments'!U11:U13,'Capital investments'!U20,'Capital investments'!U27)</f>
        <v>0</v>
      </c>
      <c r="CD8" s="98">
        <f t="shared" si="14"/>
        <v>75891.41720150333</v>
      </c>
      <c r="CE8" s="974">
        <f>CD8*$C$8</f>
        <v>4553.4850320902</v>
      </c>
      <c r="CF8" s="1000">
        <f>SUM('Capital investments'!V4,'Capital investments'!V7,'Capital investments'!V11:V13,'Capital investments'!V20,'Capital investments'!V27)</f>
        <v>0</v>
      </c>
      <c r="CG8" s="100">
        <f t="shared" si="15"/>
        <v>71337.93216941312</v>
      </c>
      <c r="CH8" s="974">
        <f>CG8*$C$8</f>
        <v>4280.2759301647875</v>
      </c>
      <c r="CI8" s="996">
        <f>SUM('Capital investments'!W4,'Capital investments'!W7,'Capital investments'!W11:W13,'Capital investments'!W20,'Capital investments'!W27)</f>
        <v>0</v>
      </c>
      <c r="CJ8" s="98">
        <f t="shared" si="16"/>
        <v>67057.65623924833</v>
      </c>
      <c r="CK8" s="974">
        <f>CJ8*$C$8</f>
        <v>4023.4593743549</v>
      </c>
      <c r="CL8" s="1000">
        <f>SUM('Capital investments'!X4,'Capital investments'!X7,'Capital investments'!X11:X13,'Capital investments'!X20,'Capital investments'!X27)</f>
        <v>0</v>
      </c>
      <c r="CM8" s="100">
        <f t="shared" si="17"/>
        <v>63034.196864893434</v>
      </c>
      <c r="CN8" s="974">
        <f>CM8*$C$8</f>
        <v>3782.051811893606</v>
      </c>
      <c r="CO8" s="996">
        <f>SUM('Capital investments'!Y4,'Capital investments'!Y7,'Capital investments'!Y11:Y13,'Capital investments'!Y20,'Capital investments'!Y27)</f>
        <v>0</v>
      </c>
      <c r="CP8" s="98">
        <f t="shared" si="18"/>
        <v>59252.145052999826</v>
      </c>
      <c r="CQ8" s="974">
        <f>CP8*$C$8</f>
        <v>3555.1287031799893</v>
      </c>
      <c r="CR8" s="1000">
        <f>SUM('Capital investments'!Z4,'Capital investments'!Z7,'Capital investments'!Z11:Z13,'Capital investments'!Z20,'Capital investments'!Z27)</f>
        <v>0</v>
      </c>
      <c r="CS8" s="100">
        <f t="shared" si="19"/>
        <v>55697.01634981984</v>
      </c>
      <c r="CT8" s="974">
        <f>CS8*$C$8</f>
        <v>3341.82098098919</v>
      </c>
      <c r="CU8" s="974">
        <f>SUM('Capital investments'!AA4,'Capital investments'!AA7,'Capital investments'!AA11:AA13,'Capital investments'!AA20,'Capital investments'!AA27)</f>
        <v>0</v>
      </c>
      <c r="CV8" s="100">
        <f t="shared" si="20"/>
        <v>52355.195368830646</v>
      </c>
      <c r="CW8" s="974">
        <f>CV8*$C$8</f>
        <v>3141.3117221298385</v>
      </c>
      <c r="CX8" s="106"/>
      <c r="CY8" s="100">
        <f t="shared" si="21"/>
        <v>49213.88364670081</v>
      </c>
      <c r="CZ8" s="974">
        <f>CY8*$C$8</f>
        <v>2952.833018802048</v>
      </c>
      <c r="DA8" s="106"/>
      <c r="DB8" s="100">
        <f t="shared" si="22"/>
        <v>46261.05062789876</v>
      </c>
      <c r="DC8" s="974">
        <f>DB8*$C$8</f>
        <v>2775.6630376739254</v>
      </c>
      <c r="DD8" s="109"/>
      <c r="DE8" s="98">
        <f t="shared" si="23"/>
        <v>43485.38759022483</v>
      </c>
      <c r="DF8" s="974">
        <f>DE8*$C$8</f>
        <v>2609.12325541349</v>
      </c>
      <c r="DG8" s="1087"/>
      <c r="DH8" s="108"/>
      <c r="DI8" s="106"/>
      <c r="DJ8" s="109"/>
      <c r="DK8" s="107"/>
      <c r="DL8" s="106"/>
      <c r="DM8" s="109"/>
      <c r="DN8" s="107"/>
      <c r="DO8" s="106"/>
      <c r="DP8" s="109"/>
      <c r="DQ8" s="107"/>
      <c r="DR8" s="106"/>
      <c r="DS8" s="109"/>
      <c r="DT8" s="107"/>
      <c r="DU8" s="106"/>
      <c r="DV8" s="109"/>
      <c r="DW8" s="107"/>
      <c r="DX8" s="106"/>
      <c r="DY8" s="109"/>
      <c r="DZ8" s="107"/>
      <c r="EA8" s="106"/>
      <c r="EB8" s="109"/>
      <c r="EC8" s="107"/>
      <c r="ED8" s="106"/>
      <c r="EE8" s="109"/>
      <c r="EF8" s="470"/>
      <c r="EH8" s="616"/>
      <c r="EI8" s="615"/>
      <c r="EJ8" s="616"/>
      <c r="EK8" s="616"/>
      <c r="EL8" s="615"/>
      <c r="EM8" s="616"/>
      <c r="EN8" s="616"/>
      <c r="EO8" s="615"/>
      <c r="EP8" s="616"/>
      <c r="EQ8" s="616"/>
    </row>
    <row r="9" spans="1:147" s="467" customFormat="1" ht="22.5" customHeight="1" thickBot="1">
      <c r="A9" s="928">
        <v>4</v>
      </c>
      <c r="B9" s="973" t="s">
        <v>449</v>
      </c>
      <c r="C9" s="994">
        <v>0.15</v>
      </c>
      <c r="D9" s="992"/>
      <c r="E9" s="974"/>
      <c r="F9" s="974"/>
      <c r="G9" s="91"/>
      <c r="H9" s="974"/>
      <c r="I9" s="974"/>
      <c r="J9" s="91"/>
      <c r="K9" s="974"/>
      <c r="L9" s="974"/>
      <c r="M9" s="586"/>
      <c r="N9" s="974"/>
      <c r="O9" s="974"/>
      <c r="P9" s="972"/>
      <c r="Q9" s="974"/>
      <c r="R9" s="974"/>
      <c r="S9" s="91"/>
      <c r="T9" s="974"/>
      <c r="U9" s="974"/>
      <c r="V9" s="91"/>
      <c r="W9" s="974"/>
      <c r="X9" s="974"/>
      <c r="Y9" s="91"/>
      <c r="Z9" s="974"/>
      <c r="AA9" s="996"/>
      <c r="AB9" s="98"/>
      <c r="AC9" s="974"/>
      <c r="AD9" s="1000"/>
      <c r="AE9" s="100"/>
      <c r="AF9" s="974"/>
      <c r="AG9" s="996"/>
      <c r="AH9" s="98"/>
      <c r="AI9" s="974"/>
      <c r="AJ9" s="1000"/>
      <c r="AK9" s="1001">
        <f>277947/1000</f>
        <v>277.947</v>
      </c>
      <c r="AL9" s="974">
        <f>AK9*$C$9</f>
        <v>41.69205</v>
      </c>
      <c r="AM9" s="996"/>
      <c r="AN9" s="98">
        <f t="shared" si="0"/>
        <v>236.25495</v>
      </c>
      <c r="AO9" s="974">
        <f>AN9*$C$9</f>
        <v>35.4382425</v>
      </c>
      <c r="AP9" s="1000"/>
      <c r="AQ9" s="100">
        <f t="shared" si="1"/>
        <v>200.8167075</v>
      </c>
      <c r="AR9" s="974">
        <f>AQ9*$C$9</f>
        <v>30.122506125</v>
      </c>
      <c r="AS9" s="996"/>
      <c r="AT9" s="98">
        <f t="shared" si="2"/>
        <v>170.694201375</v>
      </c>
      <c r="AU9" s="974">
        <f>AT9*$C$9</f>
        <v>25.60413020625</v>
      </c>
      <c r="AV9" s="1000"/>
      <c r="AW9" s="100">
        <f t="shared" si="3"/>
        <v>145.09007116875</v>
      </c>
      <c r="AX9" s="974">
        <f>AW9*$C$9</f>
        <v>21.7635106753125</v>
      </c>
      <c r="AY9" s="996"/>
      <c r="AZ9" s="98">
        <f t="shared" si="4"/>
        <v>123.3265604934375</v>
      </c>
      <c r="BA9" s="974">
        <f>AZ9*$C$9</f>
        <v>18.498984074015624</v>
      </c>
      <c r="BB9" s="1000"/>
      <c r="BC9" s="100">
        <f t="shared" si="5"/>
        <v>104.82757641942187</v>
      </c>
      <c r="BD9" s="974">
        <f>BC9*$C$9</f>
        <v>15.72413646291328</v>
      </c>
      <c r="BE9" s="996"/>
      <c r="BF9" s="98">
        <f t="shared" si="6"/>
        <v>89.1034399565086</v>
      </c>
      <c r="BG9" s="974">
        <f>BF9*$C$9</f>
        <v>13.365515993476288</v>
      </c>
      <c r="BH9" s="1000"/>
      <c r="BI9" s="100">
        <f t="shared" si="7"/>
        <v>75.7379239630323</v>
      </c>
      <c r="BJ9" s="974">
        <f>BI9*$C$9</f>
        <v>11.360688594454844</v>
      </c>
      <c r="BK9" s="996"/>
      <c r="BL9" s="98">
        <f t="shared" si="8"/>
        <v>64.37723536857746</v>
      </c>
      <c r="BM9" s="974">
        <f>BL9*$C$9</f>
        <v>9.656585305286619</v>
      </c>
      <c r="BN9" s="1000"/>
      <c r="BO9" s="100">
        <f t="shared" si="9"/>
        <v>54.72065006329084</v>
      </c>
      <c r="BP9" s="974">
        <f>BO9*$C$9</f>
        <v>8.208097509493626</v>
      </c>
      <c r="BQ9" s="996"/>
      <c r="BR9" s="98">
        <f t="shared" si="10"/>
        <v>46.512552553797214</v>
      </c>
      <c r="BS9" s="974">
        <f>BR9*$C$9</f>
        <v>6.976882883069582</v>
      </c>
      <c r="BT9" s="1000"/>
      <c r="BU9" s="100">
        <f t="shared" si="11"/>
        <v>39.53566967072763</v>
      </c>
      <c r="BV9" s="974">
        <f>BU9*$C$9</f>
        <v>5.9303504506091445</v>
      </c>
      <c r="BW9" s="996"/>
      <c r="BX9" s="98">
        <f t="shared" si="12"/>
        <v>33.60531922011848</v>
      </c>
      <c r="BY9" s="974">
        <f>BX9*$C$9</f>
        <v>5.040797883017772</v>
      </c>
      <c r="BZ9" s="1000"/>
      <c r="CA9" s="100">
        <f t="shared" si="13"/>
        <v>28.564521337100707</v>
      </c>
      <c r="CB9" s="974">
        <f>CA9*$C$9</f>
        <v>4.284678200565106</v>
      </c>
      <c r="CC9" s="996"/>
      <c r="CD9" s="98">
        <f t="shared" si="14"/>
        <v>24.2798431365356</v>
      </c>
      <c r="CE9" s="974">
        <f>CD9*$C$9</f>
        <v>3.6419764704803397</v>
      </c>
      <c r="CF9" s="1000"/>
      <c r="CG9" s="100">
        <f t="shared" si="15"/>
        <v>20.63786666605526</v>
      </c>
      <c r="CH9" s="974">
        <f>CG9*$C$9</f>
        <v>3.0956799999082887</v>
      </c>
      <c r="CI9" s="996"/>
      <c r="CJ9" s="98">
        <f t="shared" si="16"/>
        <v>17.54218666614697</v>
      </c>
      <c r="CK9" s="974">
        <f>CJ9*$C$9</f>
        <v>2.631327999922046</v>
      </c>
      <c r="CL9" s="1000"/>
      <c r="CM9" s="100">
        <f t="shared" si="17"/>
        <v>14.910858666224925</v>
      </c>
      <c r="CN9" s="974">
        <f>CM9*$C$9</f>
        <v>2.236628799933739</v>
      </c>
      <c r="CO9" s="996"/>
      <c r="CP9" s="98">
        <f t="shared" si="18"/>
        <v>12.674229866291187</v>
      </c>
      <c r="CQ9" s="974">
        <f>CP9*$C$9</f>
        <v>1.901134479943678</v>
      </c>
      <c r="CR9" s="1000"/>
      <c r="CS9" s="100">
        <f t="shared" si="19"/>
        <v>10.773095386347508</v>
      </c>
      <c r="CT9" s="974">
        <f>CS9*$C$9</f>
        <v>1.6159643079521262</v>
      </c>
      <c r="CU9" s="974"/>
      <c r="CV9" s="100">
        <f t="shared" si="20"/>
        <v>9.157131078395382</v>
      </c>
      <c r="CW9" s="974">
        <f>CV9*$C$9</f>
        <v>1.3735696617593074</v>
      </c>
      <c r="CX9" s="968"/>
      <c r="CY9" s="100">
        <f t="shared" si="21"/>
        <v>7.783561416636075</v>
      </c>
      <c r="CZ9" s="974">
        <f>CY9*$C$9</f>
        <v>1.1675342124954111</v>
      </c>
      <c r="DA9" s="968"/>
      <c r="DB9" s="100">
        <f t="shared" si="22"/>
        <v>6.616027204140663</v>
      </c>
      <c r="DC9" s="974">
        <f>DB9*$C$9</f>
        <v>0.9924040806210994</v>
      </c>
      <c r="DD9" s="970"/>
      <c r="DE9" s="98">
        <f t="shared" si="23"/>
        <v>5.623623123519564</v>
      </c>
      <c r="DF9" s="974">
        <f>DE9*$C$9</f>
        <v>0.8435434685279345</v>
      </c>
      <c r="DG9" s="1088"/>
      <c r="DH9" s="971"/>
      <c r="DI9" s="968"/>
      <c r="DJ9" s="970"/>
      <c r="DK9" s="969"/>
      <c r="DL9" s="968"/>
      <c r="DM9" s="970"/>
      <c r="DN9" s="969"/>
      <c r="DO9" s="968"/>
      <c r="DP9" s="970"/>
      <c r="DQ9" s="969"/>
      <c r="DR9" s="968"/>
      <c r="DS9" s="970"/>
      <c r="DT9" s="969"/>
      <c r="DU9" s="968"/>
      <c r="DV9" s="970"/>
      <c r="DW9" s="969"/>
      <c r="DX9" s="968"/>
      <c r="DY9" s="970"/>
      <c r="DZ9" s="969"/>
      <c r="EA9" s="968"/>
      <c r="EB9" s="970"/>
      <c r="EC9" s="969"/>
      <c r="ED9" s="968"/>
      <c r="EE9" s="970"/>
      <c r="EF9" s="470"/>
      <c r="EH9" s="616"/>
      <c r="EI9" s="615"/>
      <c r="EJ9" s="616"/>
      <c r="EK9" s="616"/>
      <c r="EL9" s="615"/>
      <c r="EM9" s="616"/>
      <c r="EN9" s="616"/>
      <c r="EO9" s="615"/>
      <c r="EP9" s="616"/>
      <c r="EQ9" s="616"/>
    </row>
    <row r="10" spans="1:147" s="467" customFormat="1" ht="23.25" customHeight="1" thickBot="1">
      <c r="A10" s="1440" t="s">
        <v>289</v>
      </c>
      <c r="B10" s="1441"/>
      <c r="C10" s="1442"/>
      <c r="D10" s="993"/>
      <c r="E10" s="989">
        <f>SUM(E4:E8)</f>
        <v>0</v>
      </c>
      <c r="F10" s="989"/>
      <c r="G10" s="989"/>
      <c r="H10" s="990"/>
      <c r="I10" s="989"/>
      <c r="J10" s="989"/>
      <c r="K10" s="990"/>
      <c r="L10" s="989"/>
      <c r="M10" s="989"/>
      <c r="N10" s="990"/>
      <c r="O10" s="989"/>
      <c r="P10" s="989"/>
      <c r="Q10" s="990">
        <f>SUM(Q4:Q8)</f>
        <v>0</v>
      </c>
      <c r="R10" s="989"/>
      <c r="S10" s="989"/>
      <c r="T10" s="990">
        <f>SUM(T4:T8)</f>
        <v>0</v>
      </c>
      <c r="U10" s="989"/>
      <c r="V10" s="989"/>
      <c r="W10" s="990">
        <f>SUM(W4:W8)</f>
        <v>0</v>
      </c>
      <c r="X10" s="989"/>
      <c r="Y10" s="989"/>
      <c r="Z10" s="990">
        <f>(564606+1633198)/1000</f>
        <v>2197.804</v>
      </c>
      <c r="AA10" s="997"/>
      <c r="AB10" s="988"/>
      <c r="AC10" s="990">
        <f>436754/1000</f>
        <v>436.754</v>
      </c>
      <c r="AD10" s="995"/>
      <c r="AE10" s="993"/>
      <c r="AF10" s="990">
        <f>(426638+18665)/1000</f>
        <v>445.303</v>
      </c>
      <c r="AG10" s="997"/>
      <c r="AH10" s="988"/>
      <c r="AI10" s="990">
        <f>(410673+4351378)/1000</f>
        <v>4762.051</v>
      </c>
      <c r="AJ10" s="995"/>
      <c r="AK10" s="993"/>
      <c r="AL10" s="990">
        <f>SUM(AL4:AL9)</f>
        <v>4540.436949999999</v>
      </c>
      <c r="AM10" s="1002"/>
      <c r="AN10" s="988"/>
      <c r="AO10" s="990">
        <f>SUM(AO4:AO9)</f>
        <v>4290.933717012501</v>
      </c>
      <c r="AP10" s="1003"/>
      <c r="AQ10" s="993"/>
      <c r="AR10" s="990">
        <f>SUM(AR4:AR9)</f>
        <v>4378.306856828792</v>
      </c>
      <c r="AS10" s="1002"/>
      <c r="AT10" s="988"/>
      <c r="AU10" s="990">
        <f>SUM(AU4:AU9)</f>
        <v>4386.992112413352</v>
      </c>
      <c r="AV10" s="1003"/>
      <c r="AW10" s="993"/>
      <c r="AX10" s="990">
        <f>SUM(AX4:AX9)</f>
        <v>4400.987522611946</v>
      </c>
      <c r="AY10" s="1002"/>
      <c r="AZ10" s="988"/>
      <c r="BA10" s="990">
        <f>SUM(BA4:BA9)</f>
        <v>9866.343058742665</v>
      </c>
      <c r="BB10" s="1003"/>
      <c r="BC10" s="993"/>
      <c r="BD10" s="990">
        <f>SUM(BD4:BD9)</f>
        <v>9502.148525688579</v>
      </c>
      <c r="BE10" s="1002"/>
      <c r="BF10" s="988"/>
      <c r="BG10" s="990">
        <f>SUM(BG4:BG9)</f>
        <v>9082.796837625994</v>
      </c>
      <c r="BH10" s="995"/>
      <c r="BI10" s="993"/>
      <c r="BJ10" s="990">
        <f>SUM(BJ4:BJ9)</f>
        <v>8606.80953335408</v>
      </c>
      <c r="BK10" s="997"/>
      <c r="BL10" s="988"/>
      <c r="BM10" s="990">
        <f>SUM(BM4:BM9)</f>
        <v>8158.309412507007</v>
      </c>
      <c r="BN10" s="1003"/>
      <c r="BO10" s="993"/>
      <c r="BP10" s="990">
        <f>SUM(BP4:BP9)</f>
        <v>7816.1712845894035</v>
      </c>
      <c r="BQ10" s="997"/>
      <c r="BR10" s="988"/>
      <c r="BS10" s="990">
        <f>SUM(BS4:BS9)</f>
        <v>7414.006576893023</v>
      </c>
      <c r="BT10" s="995"/>
      <c r="BU10" s="993"/>
      <c r="BV10" s="990">
        <f>SUM(BV4:BV9)</f>
        <v>7034.882696861558</v>
      </c>
      <c r="BW10" s="997"/>
      <c r="BX10" s="988"/>
      <c r="BY10" s="990">
        <f>SUM(BY4:BY9)</f>
        <v>6677.424747485539</v>
      </c>
      <c r="BZ10" s="995"/>
      <c r="CA10" s="993"/>
      <c r="CB10" s="990">
        <f>SUM(CB4:CB9)</f>
        <v>6420.868664169437</v>
      </c>
      <c r="CC10" s="997"/>
      <c r="CD10" s="988"/>
      <c r="CE10" s="990">
        <f>SUM(CE4:CE9)</f>
        <v>6099.1633518161325</v>
      </c>
      <c r="CF10" s="995"/>
      <c r="CG10" s="993"/>
      <c r="CH10" s="990">
        <f>SUM(CH4:CH9)</f>
        <v>5795.691764801278</v>
      </c>
      <c r="CI10" s="997"/>
      <c r="CJ10" s="988"/>
      <c r="CK10" s="990">
        <f>SUM(CK4:CK9)</f>
        <v>5509.374192399807</v>
      </c>
      <c r="CL10" s="995"/>
      <c r="CM10" s="993"/>
      <c r="CN10" s="990">
        <f>SUM(CN4:CN9)</f>
        <v>5239.196593599462</v>
      </c>
      <c r="CO10" s="997"/>
      <c r="CP10" s="988"/>
      <c r="CQ10" s="990">
        <f>SUM(CQ4:CQ9)</f>
        <v>4984.206462018279</v>
      </c>
      <c r="CR10" s="995"/>
      <c r="CS10" s="993"/>
      <c r="CT10" s="990">
        <f>SUM(CT4:CT9)</f>
        <v>4743.508969128994</v>
      </c>
      <c r="CU10" s="989"/>
      <c r="CV10" s="993"/>
      <c r="CW10" s="990">
        <f>SUM(CW4:CW9)</f>
        <v>4516.26336458375</v>
      </c>
      <c r="CX10" s="92"/>
      <c r="CY10" s="993"/>
      <c r="CZ10" s="990">
        <f>SUM(CZ4:CZ9)</f>
        <v>4298.659592376006</v>
      </c>
      <c r="DA10" s="92"/>
      <c r="DB10" s="993"/>
      <c r="DC10" s="990">
        <f>SUM(DC4:DC9)</f>
        <v>4093.0356157433384</v>
      </c>
      <c r="DD10" s="94"/>
      <c r="DE10" s="988"/>
      <c r="DF10" s="990">
        <f>SUM(DF4:DF9)</f>
        <v>3898.6924050441353</v>
      </c>
      <c r="DG10" s="1089"/>
      <c r="DH10" s="101"/>
      <c r="DI10" s="93"/>
      <c r="DJ10" s="94"/>
      <c r="DK10" s="92"/>
      <c r="DL10" s="93"/>
      <c r="DM10" s="94"/>
      <c r="DN10" s="92"/>
      <c r="DO10" s="93"/>
      <c r="DP10" s="94"/>
      <c r="DQ10" s="92"/>
      <c r="DR10" s="93"/>
      <c r="DS10" s="94"/>
      <c r="DT10" s="92"/>
      <c r="DU10" s="93"/>
      <c r="DV10" s="94"/>
      <c r="DW10" s="92"/>
      <c r="DX10" s="93"/>
      <c r="DY10" s="94"/>
      <c r="DZ10" s="92"/>
      <c r="EA10" s="93"/>
      <c r="EB10" s="94"/>
      <c r="EC10" s="92"/>
      <c r="ED10" s="93"/>
      <c r="EE10" s="94"/>
      <c r="EF10" s="95">
        <f>SUM(D10:EE10)</f>
        <v>159597.12280829507</v>
      </c>
      <c r="EG10" s="489">
        <f>'Profit and losses'!AM14</f>
        <v>159597.12280829507</v>
      </c>
      <c r="EH10" s="345"/>
      <c r="EI10" s="345"/>
      <c r="EJ10" s="617"/>
      <c r="EK10" s="345"/>
      <c r="EL10" s="345"/>
      <c r="EM10" s="617"/>
      <c r="EN10" s="345"/>
      <c r="EO10" s="345"/>
      <c r="EP10" s="617"/>
      <c r="EQ10" s="345"/>
    </row>
    <row r="11" spans="1:147" ht="15.75">
      <c r="A11" s="10"/>
      <c r="B11" s="8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</row>
    <row r="12" spans="1:147" ht="15.75">
      <c r="A12" s="10"/>
      <c r="B12" s="8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1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</row>
    <row r="13" spans="1:148" ht="15.75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BK13" s="9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</row>
    <row r="14" spans="1:147" ht="15.75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BK14" s="9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</row>
    <row r="15" spans="1:63" ht="20.25" customHeight="1">
      <c r="A15" s="10"/>
      <c r="B15" s="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BK15" s="9"/>
    </row>
    <row r="16" spans="1:81" ht="33" customHeight="1">
      <c r="A16" s="10"/>
      <c r="B16" s="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BI16" s="966"/>
      <c r="BJ16" s="966"/>
      <c r="BK16" s="966"/>
      <c r="BL16" s="966"/>
      <c r="BM16" s="966"/>
      <c r="BN16" s="966"/>
      <c r="BO16" s="966"/>
      <c r="BP16" s="966"/>
      <c r="BQ16" s="966"/>
      <c r="BR16" s="966"/>
      <c r="BS16" s="966"/>
      <c r="BT16" s="966"/>
      <c r="BU16" s="966"/>
      <c r="BV16" s="966"/>
      <c r="BW16" s="966"/>
      <c r="BX16" s="966"/>
      <c r="BY16" s="966"/>
      <c r="BZ16" s="966"/>
      <c r="CA16" s="966"/>
      <c r="CB16" s="966"/>
      <c r="CC16" s="966"/>
    </row>
    <row r="17" spans="1:81" ht="33" customHeight="1">
      <c r="A17" s="10"/>
      <c r="B17" s="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AF17" s="12"/>
      <c r="BI17" s="967"/>
      <c r="BJ17" s="967"/>
      <c r="BK17" s="967"/>
      <c r="BL17" s="967"/>
      <c r="BM17" s="967"/>
      <c r="BN17" s="967"/>
      <c r="BO17" s="967"/>
      <c r="BP17" s="967"/>
      <c r="BQ17" s="967"/>
      <c r="BR17" s="967"/>
      <c r="BS17" s="967"/>
      <c r="BT17" s="967"/>
      <c r="BU17" s="967"/>
      <c r="BV17" s="967"/>
      <c r="BW17" s="967"/>
      <c r="BX17" s="967"/>
      <c r="BY17" s="967"/>
      <c r="BZ17" s="967"/>
      <c r="CA17" s="967"/>
      <c r="CB17" s="967"/>
      <c r="CC17" s="967"/>
    </row>
    <row r="18" spans="1:63" ht="15.75">
      <c r="A18" s="83"/>
      <c r="B18" s="11"/>
      <c r="C18" s="10"/>
      <c r="D18" s="84"/>
      <c r="E18" s="12"/>
      <c r="F18" s="12">
        <f aca="true" t="shared" si="24" ref="F18:AE18">E18-E21+E25</f>
        <v>0</v>
      </c>
      <c r="G18" s="12">
        <f t="shared" si="24"/>
        <v>0</v>
      </c>
      <c r="H18" s="12">
        <f t="shared" si="24"/>
        <v>0</v>
      </c>
      <c r="I18" s="12">
        <f t="shared" si="24"/>
        <v>0</v>
      </c>
      <c r="J18" s="12">
        <f t="shared" si="24"/>
        <v>0</v>
      </c>
      <c r="K18" s="12">
        <f t="shared" si="24"/>
        <v>0</v>
      </c>
      <c r="L18" s="12">
        <f t="shared" si="24"/>
        <v>0</v>
      </c>
      <c r="M18" s="12">
        <f t="shared" si="24"/>
        <v>0</v>
      </c>
      <c r="N18" s="12">
        <f t="shared" si="24"/>
        <v>0</v>
      </c>
      <c r="O18" s="12">
        <f t="shared" si="24"/>
        <v>0</v>
      </c>
      <c r="P18" s="12">
        <f t="shared" si="24"/>
        <v>0</v>
      </c>
      <c r="Q18" s="12">
        <f t="shared" si="24"/>
        <v>0</v>
      </c>
      <c r="R18" s="12">
        <f t="shared" si="24"/>
        <v>0</v>
      </c>
      <c r="S18" s="12">
        <f t="shared" si="24"/>
        <v>0</v>
      </c>
      <c r="T18" s="12">
        <f t="shared" si="24"/>
        <v>0</v>
      </c>
      <c r="U18" s="12">
        <f t="shared" si="24"/>
        <v>0</v>
      </c>
      <c r="V18" s="12">
        <f t="shared" si="24"/>
        <v>0</v>
      </c>
      <c r="W18" s="12">
        <f t="shared" si="24"/>
        <v>0</v>
      </c>
      <c r="X18" s="12">
        <f t="shared" si="24"/>
        <v>0</v>
      </c>
      <c r="Y18" s="12">
        <f t="shared" si="24"/>
        <v>0</v>
      </c>
      <c r="Z18" s="12">
        <f t="shared" si="24"/>
        <v>0</v>
      </c>
      <c r="AA18" s="12">
        <f t="shared" si="24"/>
        <v>0</v>
      </c>
      <c r="AB18" s="12">
        <f t="shared" si="24"/>
        <v>0</v>
      </c>
      <c r="AC18" s="12">
        <f t="shared" si="24"/>
        <v>0</v>
      </c>
      <c r="AD18" s="12">
        <f t="shared" si="24"/>
        <v>0</v>
      </c>
      <c r="AE18" s="12">
        <f t="shared" si="24"/>
        <v>0</v>
      </c>
      <c r="AF18" s="12"/>
      <c r="AG18" s="12"/>
      <c r="AH18" s="12"/>
      <c r="AI18" s="12"/>
      <c r="AJ18" s="12"/>
      <c r="AK18" s="978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K18" s="11"/>
    </row>
    <row r="19" spans="1:63" ht="15.75">
      <c r="A19" s="83"/>
      <c r="B19" s="11"/>
      <c r="C19" s="10"/>
      <c r="D19" s="84"/>
      <c r="E19" s="80"/>
      <c r="F19" s="82">
        <f aca="true" t="shared" si="25" ref="F19:AE19">E19-E20+E22</f>
        <v>0</v>
      </c>
      <c r="G19" s="82">
        <f t="shared" si="25"/>
        <v>0</v>
      </c>
      <c r="H19" s="82">
        <f t="shared" si="25"/>
        <v>0</v>
      </c>
      <c r="I19" s="82">
        <f t="shared" si="25"/>
        <v>0</v>
      </c>
      <c r="J19" s="82">
        <f t="shared" si="25"/>
        <v>0</v>
      </c>
      <c r="K19" s="82">
        <f t="shared" si="25"/>
        <v>0</v>
      </c>
      <c r="L19" s="82">
        <f t="shared" si="25"/>
        <v>0</v>
      </c>
      <c r="M19" s="82">
        <f t="shared" si="25"/>
        <v>0</v>
      </c>
      <c r="N19" s="82">
        <f t="shared" si="25"/>
        <v>0</v>
      </c>
      <c r="O19" s="82">
        <f t="shared" si="25"/>
        <v>0</v>
      </c>
      <c r="P19" s="82">
        <f t="shared" si="25"/>
        <v>0</v>
      </c>
      <c r="Q19" s="82">
        <f t="shared" si="25"/>
        <v>0</v>
      </c>
      <c r="R19" s="82">
        <f t="shared" si="25"/>
        <v>0</v>
      </c>
      <c r="S19" s="82">
        <f t="shared" si="25"/>
        <v>0</v>
      </c>
      <c r="T19" s="82">
        <f t="shared" si="25"/>
        <v>0</v>
      </c>
      <c r="U19" s="82">
        <f t="shared" si="25"/>
        <v>0</v>
      </c>
      <c r="V19" s="82">
        <f t="shared" si="25"/>
        <v>0</v>
      </c>
      <c r="W19" s="82">
        <f t="shared" si="25"/>
        <v>0</v>
      </c>
      <c r="X19" s="82">
        <f t="shared" si="25"/>
        <v>0</v>
      </c>
      <c r="Y19" s="82">
        <f t="shared" si="25"/>
        <v>0</v>
      </c>
      <c r="Z19" s="82">
        <f t="shared" si="25"/>
        <v>0</v>
      </c>
      <c r="AA19" s="82">
        <f t="shared" si="25"/>
        <v>0</v>
      </c>
      <c r="AB19" s="82">
        <f t="shared" si="25"/>
        <v>0</v>
      </c>
      <c r="AC19" s="82">
        <f t="shared" si="25"/>
        <v>0</v>
      </c>
      <c r="AD19" s="82">
        <f t="shared" si="25"/>
        <v>0</v>
      </c>
      <c r="AE19" s="82">
        <f t="shared" si="25"/>
        <v>0</v>
      </c>
      <c r="AF19" s="82"/>
      <c r="AG19" s="82"/>
      <c r="AH19" s="82"/>
      <c r="AI19" s="82"/>
      <c r="AJ19" s="82"/>
      <c r="AK19" s="979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BK19" s="80"/>
    </row>
    <row r="20" spans="1:63" ht="15.75">
      <c r="A20" s="83"/>
      <c r="B20" s="11"/>
      <c r="C20" s="10"/>
      <c r="D20" s="84"/>
      <c r="E20" s="12"/>
      <c r="F20" s="12">
        <f aca="true" t="shared" si="26" ref="F20:AV20">F19*$D$20</f>
        <v>0</v>
      </c>
      <c r="G20" s="12">
        <f t="shared" si="26"/>
        <v>0</v>
      </c>
      <c r="H20" s="12">
        <f t="shared" si="26"/>
        <v>0</v>
      </c>
      <c r="I20" s="12">
        <f t="shared" si="26"/>
        <v>0</v>
      </c>
      <c r="J20" s="12">
        <f t="shared" si="26"/>
        <v>0</v>
      </c>
      <c r="K20" s="12">
        <f t="shared" si="26"/>
        <v>0</v>
      </c>
      <c r="L20" s="12">
        <f t="shared" si="26"/>
        <v>0</v>
      </c>
      <c r="M20" s="12">
        <f t="shared" si="26"/>
        <v>0</v>
      </c>
      <c r="N20" s="12">
        <f t="shared" si="26"/>
        <v>0</v>
      </c>
      <c r="O20" s="12">
        <f t="shared" si="26"/>
        <v>0</v>
      </c>
      <c r="P20" s="12">
        <f t="shared" si="26"/>
        <v>0</v>
      </c>
      <c r="Q20" s="12">
        <f t="shared" si="26"/>
        <v>0</v>
      </c>
      <c r="R20" s="12">
        <f t="shared" si="26"/>
        <v>0</v>
      </c>
      <c r="S20" s="12">
        <f t="shared" si="26"/>
        <v>0</v>
      </c>
      <c r="T20" s="12">
        <f t="shared" si="26"/>
        <v>0</v>
      </c>
      <c r="U20" s="12">
        <f t="shared" si="26"/>
        <v>0</v>
      </c>
      <c r="V20" s="12">
        <f t="shared" si="26"/>
        <v>0</v>
      </c>
      <c r="W20" s="12">
        <f t="shared" si="26"/>
        <v>0</v>
      </c>
      <c r="X20" s="12">
        <f t="shared" si="26"/>
        <v>0</v>
      </c>
      <c r="Y20" s="12">
        <f t="shared" si="26"/>
        <v>0</v>
      </c>
      <c r="Z20" s="12">
        <f t="shared" si="26"/>
        <v>0</v>
      </c>
      <c r="AA20" s="12">
        <f t="shared" si="26"/>
        <v>0</v>
      </c>
      <c r="AB20" s="12">
        <f t="shared" si="26"/>
        <v>0</v>
      </c>
      <c r="AC20" s="12">
        <f t="shared" si="26"/>
        <v>0</v>
      </c>
      <c r="AD20" s="12">
        <f t="shared" si="26"/>
        <v>0</v>
      </c>
      <c r="AE20" s="12">
        <f t="shared" si="26"/>
        <v>0</v>
      </c>
      <c r="AF20" s="12">
        <f t="shared" si="26"/>
        <v>0</v>
      </c>
      <c r="AG20" s="12">
        <f t="shared" si="26"/>
        <v>0</v>
      </c>
      <c r="AH20" s="12">
        <f t="shared" si="26"/>
        <v>0</v>
      </c>
      <c r="AI20" s="12">
        <f t="shared" si="26"/>
        <v>0</v>
      </c>
      <c r="AJ20" s="12">
        <f t="shared" si="26"/>
        <v>0</v>
      </c>
      <c r="AK20" s="978"/>
      <c r="AL20" s="12">
        <f t="shared" si="26"/>
        <v>0</v>
      </c>
      <c r="AM20" s="12">
        <f t="shared" si="26"/>
        <v>0</v>
      </c>
      <c r="AN20" s="12">
        <f t="shared" si="26"/>
        <v>0</v>
      </c>
      <c r="AO20" s="12">
        <f t="shared" si="26"/>
        <v>0</v>
      </c>
      <c r="AP20" s="12">
        <f t="shared" si="26"/>
        <v>0</v>
      </c>
      <c r="AQ20" s="12">
        <f t="shared" si="26"/>
        <v>0</v>
      </c>
      <c r="AR20" s="12">
        <f t="shared" si="26"/>
        <v>0</v>
      </c>
      <c r="AS20" s="12">
        <f t="shared" si="26"/>
        <v>0</v>
      </c>
      <c r="AT20" s="12">
        <f t="shared" si="26"/>
        <v>0</v>
      </c>
      <c r="AU20" s="12">
        <f t="shared" si="26"/>
        <v>0</v>
      </c>
      <c r="AV20" s="12">
        <f t="shared" si="26"/>
        <v>0</v>
      </c>
      <c r="BK20" s="11"/>
    </row>
    <row r="21" spans="1:63" ht="15.75">
      <c r="A21" s="83"/>
      <c r="B21" s="11"/>
      <c r="C21" s="10"/>
      <c r="D21" s="84"/>
      <c r="E21" s="12"/>
      <c r="F21" s="12">
        <f aca="true" t="shared" si="27" ref="F21:AV21">F18*$D$21</f>
        <v>0</v>
      </c>
      <c r="G21" s="12">
        <f t="shared" si="27"/>
        <v>0</v>
      </c>
      <c r="H21" s="12">
        <f t="shared" si="27"/>
        <v>0</v>
      </c>
      <c r="I21" s="12">
        <f t="shared" si="27"/>
        <v>0</v>
      </c>
      <c r="J21" s="12">
        <f t="shared" si="27"/>
        <v>0</v>
      </c>
      <c r="K21" s="12">
        <f t="shared" si="27"/>
        <v>0</v>
      </c>
      <c r="L21" s="12">
        <f t="shared" si="27"/>
        <v>0</v>
      </c>
      <c r="M21" s="12">
        <f t="shared" si="27"/>
        <v>0</v>
      </c>
      <c r="N21" s="12">
        <f t="shared" si="27"/>
        <v>0</v>
      </c>
      <c r="O21" s="12">
        <f t="shared" si="27"/>
        <v>0</v>
      </c>
      <c r="P21" s="12">
        <f t="shared" si="27"/>
        <v>0</v>
      </c>
      <c r="Q21" s="12">
        <f t="shared" si="27"/>
        <v>0</v>
      </c>
      <c r="R21" s="12">
        <f t="shared" si="27"/>
        <v>0</v>
      </c>
      <c r="S21" s="12">
        <f t="shared" si="27"/>
        <v>0</v>
      </c>
      <c r="T21" s="12">
        <f t="shared" si="27"/>
        <v>0</v>
      </c>
      <c r="U21" s="12">
        <f t="shared" si="27"/>
        <v>0</v>
      </c>
      <c r="V21" s="12">
        <f t="shared" si="27"/>
        <v>0</v>
      </c>
      <c r="W21" s="12">
        <f t="shared" si="27"/>
        <v>0</v>
      </c>
      <c r="X21" s="12">
        <f t="shared" si="27"/>
        <v>0</v>
      </c>
      <c r="Y21" s="12">
        <f t="shared" si="27"/>
        <v>0</v>
      </c>
      <c r="Z21" s="12">
        <f t="shared" si="27"/>
        <v>0</v>
      </c>
      <c r="AA21" s="12">
        <f t="shared" si="27"/>
        <v>0</v>
      </c>
      <c r="AB21" s="12">
        <f t="shared" si="27"/>
        <v>0</v>
      </c>
      <c r="AC21" s="12">
        <f t="shared" si="27"/>
        <v>0</v>
      </c>
      <c r="AD21" s="12">
        <f t="shared" si="27"/>
        <v>0</v>
      </c>
      <c r="AE21" s="12">
        <f t="shared" si="27"/>
        <v>0</v>
      </c>
      <c r="AF21" s="12">
        <f t="shared" si="27"/>
        <v>0</v>
      </c>
      <c r="AG21" s="12">
        <f t="shared" si="27"/>
        <v>0</v>
      </c>
      <c r="AH21" s="12">
        <f t="shared" si="27"/>
        <v>0</v>
      </c>
      <c r="AI21" s="12">
        <f t="shared" si="27"/>
        <v>0</v>
      </c>
      <c r="AJ21" s="12">
        <f t="shared" si="27"/>
        <v>0</v>
      </c>
      <c r="AK21" s="12"/>
      <c r="AL21" s="12">
        <f t="shared" si="27"/>
        <v>0</v>
      </c>
      <c r="AM21" s="12">
        <f t="shared" si="27"/>
        <v>0</v>
      </c>
      <c r="AN21" s="12">
        <f t="shared" si="27"/>
        <v>0</v>
      </c>
      <c r="AO21" s="12">
        <f t="shared" si="27"/>
        <v>0</v>
      </c>
      <c r="AP21" s="12">
        <f t="shared" si="27"/>
        <v>0</v>
      </c>
      <c r="AQ21" s="12">
        <f t="shared" si="27"/>
        <v>0</v>
      </c>
      <c r="AR21" s="12">
        <f t="shared" si="27"/>
        <v>0</v>
      </c>
      <c r="AS21" s="12">
        <f t="shared" si="27"/>
        <v>0</v>
      </c>
      <c r="AT21" s="12">
        <f t="shared" si="27"/>
        <v>0</v>
      </c>
      <c r="AU21" s="12">
        <f t="shared" si="27"/>
        <v>0</v>
      </c>
      <c r="AV21" s="12">
        <f t="shared" si="27"/>
        <v>0</v>
      </c>
      <c r="BK21" s="11"/>
    </row>
    <row r="22" spans="1:63" ht="15.75">
      <c r="A22" s="85"/>
      <c r="B22" s="86"/>
      <c r="C22" s="87"/>
      <c r="D22" s="88"/>
      <c r="E22" s="12"/>
      <c r="F22" s="12"/>
      <c r="G22" s="12"/>
      <c r="H22" s="12"/>
      <c r="I22" s="12"/>
      <c r="J22" s="12"/>
      <c r="K22" s="12"/>
      <c r="L22" s="12"/>
      <c r="M22" s="12"/>
      <c r="N22" s="12"/>
      <c r="BK22" s="11"/>
    </row>
    <row r="23" spans="1:147" s="5" customFormat="1" ht="18" customHeight="1">
      <c r="A23" s="465"/>
      <c r="B23" s="466"/>
      <c r="C23" s="460"/>
      <c r="D23" s="461"/>
      <c r="E23" s="462"/>
      <c r="F23" s="461"/>
      <c r="G23" s="463"/>
      <c r="H23" s="464"/>
      <c r="I23" s="461"/>
      <c r="J23" s="463"/>
      <c r="K23" s="464"/>
      <c r="L23" s="461"/>
      <c r="M23" s="463"/>
      <c r="N23" s="464"/>
      <c r="O23" s="464"/>
      <c r="P23" s="463"/>
      <c r="Q23" s="464"/>
      <c r="R23" s="464"/>
      <c r="S23" s="463"/>
      <c r="T23" s="464"/>
      <c r="U23" s="464"/>
      <c r="V23" s="463"/>
      <c r="W23" s="464"/>
      <c r="X23" s="464"/>
      <c r="Y23" s="463"/>
      <c r="Z23" s="464"/>
      <c r="AA23" s="464"/>
      <c r="AB23" s="463"/>
      <c r="AC23" s="464"/>
      <c r="AD23" s="464"/>
      <c r="AE23" s="463"/>
      <c r="AF23" s="464"/>
      <c r="AG23" s="464"/>
      <c r="AH23" s="463"/>
      <c r="AI23" s="464"/>
      <c r="AJ23" s="464"/>
      <c r="AK23" s="463"/>
      <c r="AL23" s="464"/>
      <c r="AM23" s="464"/>
      <c r="AN23" s="463"/>
      <c r="AO23" s="464"/>
      <c r="AP23" s="464"/>
      <c r="AQ23" s="463"/>
      <c r="AR23" s="464"/>
      <c r="AS23" s="464"/>
      <c r="AT23" s="463"/>
      <c r="AU23" s="464"/>
      <c r="AV23" s="464"/>
      <c r="AW23" s="463"/>
      <c r="AX23" s="464"/>
      <c r="AY23" s="464"/>
      <c r="AZ23" s="463"/>
      <c r="BA23" s="464"/>
      <c r="BB23" s="464"/>
      <c r="BC23" s="463"/>
      <c r="BD23" s="464"/>
      <c r="BE23" s="464"/>
      <c r="BF23" s="463"/>
      <c r="BG23" s="464"/>
      <c r="BH23" s="464"/>
      <c r="BI23" s="463"/>
      <c r="BJ23" s="464"/>
      <c r="BK23" s="464"/>
      <c r="BL23" s="463"/>
      <c r="BM23" s="464"/>
      <c r="BN23" s="464"/>
      <c r="BO23" s="463"/>
      <c r="BP23" s="464"/>
      <c r="BQ23" s="464"/>
      <c r="BR23" s="463"/>
      <c r="BS23" s="464"/>
      <c r="BT23" s="464"/>
      <c r="BU23" s="463"/>
      <c r="BV23" s="464"/>
      <c r="BW23" s="464"/>
      <c r="BX23" s="463"/>
      <c r="BY23" s="464"/>
      <c r="BZ23" s="464"/>
      <c r="CA23" s="463"/>
      <c r="CB23" s="464"/>
      <c r="CC23" s="464"/>
      <c r="CD23" s="463"/>
      <c r="CE23" s="464"/>
      <c r="CF23" s="464"/>
      <c r="CG23" s="463"/>
      <c r="CH23" s="464"/>
      <c r="CI23" s="464"/>
      <c r="CJ23" s="463"/>
      <c r="CK23" s="464"/>
      <c r="CL23" s="464"/>
      <c r="CM23" s="463"/>
      <c r="CN23" s="464"/>
      <c r="CO23" s="464"/>
      <c r="CP23" s="463"/>
      <c r="CQ23" s="464"/>
      <c r="CR23" s="464"/>
      <c r="CS23" s="463"/>
      <c r="CT23" s="464"/>
      <c r="CU23" s="464"/>
      <c r="CV23" s="463"/>
      <c r="CW23" s="464"/>
      <c r="CX23" s="464"/>
      <c r="CY23" s="463"/>
      <c r="CZ23" s="464"/>
      <c r="DA23" s="464"/>
      <c r="DB23" s="463"/>
      <c r="DC23" s="464"/>
      <c r="DD23" s="464"/>
      <c r="DE23" s="464"/>
      <c r="DF23" s="464"/>
      <c r="DG23" s="464"/>
      <c r="DH23" s="464"/>
      <c r="DI23" s="464"/>
      <c r="DJ23" s="464"/>
      <c r="DK23" s="464"/>
      <c r="DL23" s="464"/>
      <c r="DM23" s="464"/>
      <c r="DN23" s="464"/>
      <c r="DO23" s="464"/>
      <c r="DP23" s="464"/>
      <c r="DQ23" s="463"/>
      <c r="DR23" s="464"/>
      <c r="DS23" s="464"/>
      <c r="DT23" s="463"/>
      <c r="DU23" s="464"/>
      <c r="DV23" s="464"/>
      <c r="DW23" s="463"/>
      <c r="DX23" s="464"/>
      <c r="DY23" s="464"/>
      <c r="DZ23" s="463"/>
      <c r="EA23" s="464"/>
      <c r="EB23" s="464"/>
      <c r="EC23" s="463"/>
      <c r="ED23" s="464"/>
      <c r="EE23" s="464"/>
      <c r="EF23" s="463"/>
      <c r="EG23" s="464"/>
      <c r="EH23" s="464"/>
      <c r="EI23" s="463"/>
      <c r="EJ23" s="464"/>
      <c r="EK23" s="464"/>
      <c r="EL23" s="463"/>
      <c r="EM23" s="464"/>
      <c r="EN23" s="464"/>
      <c r="EO23" s="463"/>
      <c r="EP23" s="464"/>
      <c r="EQ23" s="464"/>
    </row>
    <row r="24" spans="1:147" s="5" customFormat="1" ht="18" customHeight="1">
      <c r="A24" s="465"/>
      <c r="B24" s="466"/>
      <c r="C24" s="460"/>
      <c r="D24" s="461"/>
      <c r="E24" s="462"/>
      <c r="F24" s="461"/>
      <c r="G24" s="463"/>
      <c r="H24" s="464"/>
      <c r="I24" s="461"/>
      <c r="J24" s="463"/>
      <c r="K24" s="464"/>
      <c r="L24" s="461"/>
      <c r="M24" s="463"/>
      <c r="N24" s="464"/>
      <c r="O24" s="464"/>
      <c r="P24" s="463"/>
      <c r="Q24" s="464"/>
      <c r="R24" s="464"/>
      <c r="S24" s="463"/>
      <c r="T24" s="464"/>
      <c r="U24" s="464"/>
      <c r="V24" s="463"/>
      <c r="W24" s="464"/>
      <c r="X24" s="464"/>
      <c r="Y24" s="463"/>
      <c r="Z24" s="464"/>
      <c r="AA24" s="464"/>
      <c r="AB24" s="463"/>
      <c r="AC24" s="464"/>
      <c r="AD24" s="464"/>
      <c r="AE24" s="463"/>
      <c r="AF24" s="464"/>
      <c r="AG24" s="464"/>
      <c r="AH24" s="463"/>
      <c r="AI24" s="464"/>
      <c r="AJ24" s="464"/>
      <c r="AK24" s="463"/>
      <c r="AL24" s="464"/>
      <c r="AM24" s="464"/>
      <c r="AN24" s="463"/>
      <c r="AO24" s="464"/>
      <c r="AP24" s="464"/>
      <c r="AQ24" s="463"/>
      <c r="AR24" s="464"/>
      <c r="AS24" s="464"/>
      <c r="AT24" s="463"/>
      <c r="AU24" s="464"/>
      <c r="AV24" s="464"/>
      <c r="AW24" s="463"/>
      <c r="AX24" s="464"/>
      <c r="AY24" s="464"/>
      <c r="AZ24" s="463"/>
      <c r="BA24" s="464"/>
      <c r="BB24" s="464"/>
      <c r="BC24" s="463"/>
      <c r="BD24" s="464"/>
      <c r="BE24" s="464"/>
      <c r="BF24" s="463"/>
      <c r="BG24" s="464"/>
      <c r="BH24" s="464"/>
      <c r="BI24" s="463"/>
      <c r="BJ24" s="464"/>
      <c r="BK24" s="464"/>
      <c r="BL24" s="463"/>
      <c r="BM24" s="464"/>
      <c r="BN24" s="464"/>
      <c r="BO24" s="463"/>
      <c r="BP24" s="464"/>
      <c r="BQ24" s="464"/>
      <c r="BR24" s="463"/>
      <c r="BS24" s="464"/>
      <c r="BT24" s="464"/>
      <c r="BU24" s="463"/>
      <c r="BV24" s="464"/>
      <c r="BW24" s="464"/>
      <c r="BX24" s="463"/>
      <c r="BY24" s="464"/>
      <c r="BZ24" s="464"/>
      <c r="CA24" s="463"/>
      <c r="CB24" s="464"/>
      <c r="CC24" s="464"/>
      <c r="CD24" s="463"/>
      <c r="CE24" s="464"/>
      <c r="CF24" s="464"/>
      <c r="CG24" s="463"/>
      <c r="CH24" s="464"/>
      <c r="CI24" s="464"/>
      <c r="CJ24" s="463"/>
      <c r="CK24" s="464"/>
      <c r="CL24" s="464"/>
      <c r="CM24" s="463"/>
      <c r="CN24" s="464"/>
      <c r="CO24" s="464"/>
      <c r="CP24" s="463"/>
      <c r="CQ24" s="464"/>
      <c r="CR24" s="464"/>
      <c r="CS24" s="463"/>
      <c r="CT24" s="464"/>
      <c r="CU24" s="464"/>
      <c r="CV24" s="463"/>
      <c r="CW24" s="464"/>
      <c r="CX24" s="464"/>
      <c r="CY24" s="463"/>
      <c r="CZ24" s="464"/>
      <c r="DA24" s="464"/>
      <c r="DB24" s="463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3"/>
      <c r="DR24" s="464"/>
      <c r="DS24" s="464"/>
      <c r="DT24" s="463"/>
      <c r="DU24" s="464"/>
      <c r="DV24" s="464"/>
      <c r="DW24" s="463"/>
      <c r="DX24" s="464"/>
      <c r="DY24" s="464"/>
      <c r="DZ24" s="463"/>
      <c r="EA24" s="464"/>
      <c r="EB24" s="464"/>
      <c r="EC24" s="463"/>
      <c r="ED24" s="464"/>
      <c r="EE24" s="464"/>
      <c r="EF24" s="463"/>
      <c r="EG24" s="464"/>
      <c r="EH24" s="464"/>
      <c r="EI24" s="463"/>
      <c r="EJ24" s="464"/>
      <c r="EK24" s="464"/>
      <c r="EL24" s="463"/>
      <c r="EM24" s="464"/>
      <c r="EN24" s="464"/>
      <c r="EO24" s="463"/>
      <c r="EP24" s="464"/>
      <c r="EQ24" s="464"/>
    </row>
    <row r="25" spans="1:63" ht="15.75">
      <c r="A25" s="85"/>
      <c r="B25" s="86"/>
      <c r="C25" s="87"/>
      <c r="D25" s="88"/>
      <c r="E25" s="81"/>
      <c r="H25" s="81"/>
      <c r="K25" s="81"/>
      <c r="N25" s="81"/>
      <c r="BK25" s="11"/>
    </row>
    <row r="26" spans="1:63" ht="33" customHeight="1">
      <c r="A26" s="10"/>
      <c r="B26" s="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BK26" s="11"/>
    </row>
    <row r="27" spans="1:63" ht="33" customHeight="1">
      <c r="A27" s="1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BK27" s="80"/>
    </row>
    <row r="28" spans="1:63" ht="33" customHeight="1">
      <c r="A28" s="10"/>
      <c r="B28" s="8"/>
      <c r="E28" s="81"/>
      <c r="H28" s="81"/>
      <c r="K28" s="81"/>
      <c r="N28" s="81"/>
      <c r="AK28" s="966"/>
      <c r="BK28" s="11"/>
    </row>
    <row r="29" spans="1:63" s="13" customFormat="1" ht="33" customHeight="1">
      <c r="A29" s="473"/>
      <c r="B29" s="474"/>
      <c r="C29" s="473"/>
      <c r="D29" s="475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7"/>
      <c r="BK29" s="472"/>
    </row>
    <row r="30" spans="1:63" s="13" customFormat="1" ht="15.75">
      <c r="A30" s="1448"/>
      <c r="B30" s="86"/>
      <c r="C30" s="87"/>
      <c r="D30" s="8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BK30" s="86"/>
    </row>
    <row r="31" spans="1:63" s="13" customFormat="1" ht="15.75">
      <c r="A31" s="1448"/>
      <c r="B31" s="1449"/>
      <c r="C31" s="87"/>
      <c r="D31" s="479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478"/>
      <c r="BK31" s="86"/>
    </row>
    <row r="32" spans="1:63" s="13" customFormat="1" ht="15.75">
      <c r="A32" s="1448"/>
      <c r="B32" s="1449"/>
      <c r="C32" s="87"/>
      <c r="D32" s="8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BK32" s="86"/>
    </row>
    <row r="33" spans="1:63" s="13" customFormat="1" ht="15.75">
      <c r="A33" s="1448"/>
      <c r="B33" s="86"/>
      <c r="C33" s="87"/>
      <c r="D33" s="8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478"/>
      <c r="AS33" s="478"/>
      <c r="AT33" s="478"/>
      <c r="AU33" s="478"/>
      <c r="AV33" s="478"/>
      <c r="AW33" s="480"/>
      <c r="BK33" s="86"/>
    </row>
    <row r="34" spans="1:63" s="13" customFormat="1" ht="15.75">
      <c r="A34" s="1448"/>
      <c r="B34" s="1449"/>
      <c r="C34" s="87"/>
      <c r="D34" s="479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478"/>
      <c r="AL34" s="478"/>
      <c r="AM34" s="478"/>
      <c r="AN34" s="478"/>
      <c r="AO34" s="478"/>
      <c r="AP34" s="478"/>
      <c r="AQ34" s="478"/>
      <c r="AR34" s="478"/>
      <c r="AS34" s="478"/>
      <c r="AT34" s="478"/>
      <c r="AU34" s="478"/>
      <c r="AV34" s="478"/>
      <c r="AW34" s="480"/>
      <c r="BK34" s="86"/>
    </row>
    <row r="35" spans="1:63" s="13" customFormat="1" ht="15.75">
      <c r="A35" s="1448"/>
      <c r="B35" s="1449"/>
      <c r="C35" s="87"/>
      <c r="D35" s="8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8"/>
      <c r="AU35" s="478"/>
      <c r="AV35" s="478"/>
      <c r="AW35" s="480"/>
      <c r="BK35" s="86"/>
    </row>
    <row r="36" spans="1:63" s="13" customFormat="1" ht="15.75">
      <c r="A36" s="1448"/>
      <c r="B36" s="86"/>
      <c r="C36" s="87"/>
      <c r="D36" s="88"/>
      <c r="E36" s="478"/>
      <c r="F36" s="478"/>
      <c r="G36" s="478"/>
      <c r="H36" s="478"/>
      <c r="I36" s="478"/>
      <c r="J36" s="478"/>
      <c r="K36" s="478"/>
      <c r="L36" s="481"/>
      <c r="M36" s="481"/>
      <c r="N36" s="481"/>
      <c r="O36" s="481"/>
      <c r="P36" s="481"/>
      <c r="Q36" s="481"/>
      <c r="R36" s="481"/>
      <c r="S36" s="481"/>
      <c r="T36" s="481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BK36" s="86"/>
    </row>
    <row r="37" spans="1:63" s="13" customFormat="1" ht="15.75">
      <c r="A37" s="1448"/>
      <c r="B37" s="1449"/>
      <c r="C37" s="87"/>
      <c r="D37" s="479"/>
      <c r="E37" s="478"/>
      <c r="F37" s="478"/>
      <c r="G37" s="478"/>
      <c r="H37" s="478"/>
      <c r="I37" s="478"/>
      <c r="J37" s="478"/>
      <c r="K37" s="478"/>
      <c r="L37" s="481"/>
      <c r="M37" s="481"/>
      <c r="N37" s="481"/>
      <c r="O37" s="481"/>
      <c r="P37" s="481"/>
      <c r="Q37" s="481"/>
      <c r="R37" s="481"/>
      <c r="S37" s="481"/>
      <c r="T37" s="481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BK37" s="86"/>
    </row>
    <row r="38" spans="1:63" s="13" customFormat="1" ht="15.75">
      <c r="A38" s="1448"/>
      <c r="B38" s="1449"/>
      <c r="C38" s="87"/>
      <c r="D38" s="88"/>
      <c r="E38" s="483"/>
      <c r="F38" s="484"/>
      <c r="G38" s="484"/>
      <c r="H38" s="484"/>
      <c r="I38" s="484"/>
      <c r="J38" s="484"/>
      <c r="K38" s="484"/>
      <c r="L38" s="484"/>
      <c r="M38" s="484"/>
      <c r="N38" s="484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BK38" s="86"/>
    </row>
    <row r="39" spans="1:63" s="13" customFormat="1" ht="15.75">
      <c r="A39" s="485"/>
      <c r="B39" s="486"/>
      <c r="C39" s="487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88"/>
      <c r="AL39" s="488"/>
      <c r="AM39" s="488"/>
      <c r="AN39" s="488"/>
      <c r="AO39" s="488"/>
      <c r="AP39" s="488"/>
      <c r="AQ39" s="488"/>
      <c r="AR39" s="488"/>
      <c r="AS39" s="488"/>
      <c r="AT39" s="488"/>
      <c r="AU39" s="488"/>
      <c r="AV39" s="488"/>
      <c r="AW39" s="487"/>
      <c r="BK39" s="86"/>
    </row>
    <row r="40" spans="1:63" ht="33" customHeight="1">
      <c r="A40" s="10"/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BK40" s="11"/>
    </row>
    <row r="41" spans="1:63" ht="33" customHeight="1">
      <c r="A41" s="10"/>
      <c r="B41" s="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BK41" s="11"/>
    </row>
    <row r="42" spans="1:63" ht="33" customHeight="1">
      <c r="A42" s="10"/>
      <c r="B42" s="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BK42" s="11"/>
    </row>
    <row r="43" spans="1:63" ht="33" customHeight="1">
      <c r="A43" s="10"/>
      <c r="B43" s="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BK43" s="11"/>
    </row>
    <row r="44" spans="1:63" ht="33" customHeight="1">
      <c r="A44" s="10"/>
      <c r="B44" s="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BK44" s="11"/>
    </row>
    <row r="45" spans="1:63" ht="33" customHeight="1">
      <c r="A45" s="10"/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BK45" s="11"/>
    </row>
    <row r="46" spans="1:63" ht="33" customHeight="1">
      <c r="A46" s="10"/>
      <c r="B46" s="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BK46" s="11"/>
    </row>
    <row r="47" spans="1:63" ht="33" customHeight="1">
      <c r="A47" s="1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BK47" s="80"/>
    </row>
    <row r="48" spans="1:63" ht="33" customHeight="1">
      <c r="A48" s="10"/>
      <c r="B48" s="8"/>
      <c r="E48" s="81"/>
      <c r="H48" s="81"/>
      <c r="K48" s="81"/>
      <c r="N48" s="81"/>
      <c r="Q48" s="81"/>
      <c r="BK48" s="11"/>
    </row>
    <row r="49" spans="1:63" ht="33" customHeight="1">
      <c r="A49" s="10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BK49" s="11"/>
    </row>
    <row r="50" spans="1:63" ht="33" customHeight="1">
      <c r="A50" s="10"/>
      <c r="B50" s="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BK50" s="11"/>
    </row>
    <row r="51" spans="1:63" ht="33" customHeight="1">
      <c r="A51" s="10"/>
      <c r="B51" s="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BK51" s="11"/>
    </row>
    <row r="52" spans="1:63" ht="33" customHeight="1">
      <c r="A52" s="10"/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BK52" s="11"/>
    </row>
    <row r="53" spans="1:63" ht="33" customHeight="1">
      <c r="A53" s="10"/>
      <c r="B53" s="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BK53" s="11"/>
    </row>
    <row r="54" spans="1:63" ht="33" customHeight="1">
      <c r="A54" s="10"/>
      <c r="B54" s="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BK54" s="11"/>
    </row>
    <row r="55" spans="1:63" ht="33" customHeight="1">
      <c r="A55" s="10"/>
      <c r="B55" s="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BK55" s="11"/>
    </row>
    <row r="56" spans="1:63" ht="33" customHeight="1">
      <c r="A56" s="10"/>
      <c r="F56" s="14"/>
      <c r="G56" s="14"/>
      <c r="H56" s="14"/>
      <c r="I56" s="14"/>
      <c r="J56" s="14"/>
      <c r="K56" s="14"/>
      <c r="L56" s="14"/>
      <c r="M56" s="14"/>
      <c r="N56" s="14"/>
      <c r="BK56" s="80"/>
    </row>
    <row r="57" spans="1:63" ht="33" customHeight="1">
      <c r="A57" s="10"/>
      <c r="F57" s="15"/>
      <c r="G57" s="15"/>
      <c r="H57" s="16"/>
      <c r="I57" s="15"/>
      <c r="J57" s="15"/>
      <c r="K57" s="16"/>
      <c r="L57" s="15"/>
      <c r="M57" s="15"/>
      <c r="N57" s="16"/>
      <c r="BK57" s="11"/>
    </row>
    <row r="58" spans="1:63" ht="33" customHeight="1">
      <c r="A58" s="10"/>
      <c r="F58" s="17"/>
      <c r="G58" s="17"/>
      <c r="H58" s="17"/>
      <c r="I58" s="17"/>
      <c r="J58" s="17"/>
      <c r="K58" s="17"/>
      <c r="L58" s="17"/>
      <c r="M58" s="17"/>
      <c r="N58" s="17"/>
      <c r="BK58" s="11"/>
    </row>
    <row r="59" spans="1:63" ht="33" customHeight="1">
      <c r="A59" s="10"/>
      <c r="F59" s="17"/>
      <c r="G59" s="17"/>
      <c r="H59" s="17"/>
      <c r="I59" s="17"/>
      <c r="J59" s="17"/>
      <c r="K59" s="17"/>
      <c r="L59" s="17"/>
      <c r="M59" s="17"/>
      <c r="N59" s="17"/>
      <c r="BK59" s="11"/>
    </row>
    <row r="60" spans="1:63" ht="33" customHeight="1">
      <c r="A60" s="10"/>
      <c r="F60" s="17"/>
      <c r="G60" s="17"/>
      <c r="H60" s="17"/>
      <c r="I60" s="17"/>
      <c r="J60" s="17"/>
      <c r="K60" s="17"/>
      <c r="L60" s="17"/>
      <c r="M60" s="17"/>
      <c r="N60" s="17"/>
      <c r="BK60" s="11"/>
    </row>
    <row r="61" spans="1:63" ht="33" customHeight="1">
      <c r="A61" s="10"/>
      <c r="F61" s="17"/>
      <c r="G61" s="17"/>
      <c r="H61" s="17"/>
      <c r="I61" s="17"/>
      <c r="J61" s="17"/>
      <c r="K61" s="17"/>
      <c r="L61" s="17"/>
      <c r="M61" s="17"/>
      <c r="N61" s="17"/>
      <c r="BK61" s="11"/>
    </row>
    <row r="62" spans="1:63" ht="33" customHeight="1">
      <c r="A62" s="10"/>
      <c r="F62" s="17"/>
      <c r="G62" s="17"/>
      <c r="H62" s="17"/>
      <c r="I62" s="17"/>
      <c r="J62" s="17"/>
      <c r="K62" s="17"/>
      <c r="L62" s="17"/>
      <c r="M62" s="17"/>
      <c r="N62" s="17"/>
      <c r="BK62" s="11"/>
    </row>
    <row r="63" spans="1:63" ht="33" customHeight="1">
      <c r="A63" s="10"/>
      <c r="F63" s="17"/>
      <c r="G63" s="17"/>
      <c r="H63" s="17"/>
      <c r="I63" s="17"/>
      <c r="J63" s="17"/>
      <c r="K63" s="17"/>
      <c r="L63" s="17"/>
      <c r="M63" s="17"/>
      <c r="N63" s="17"/>
      <c r="BK63" s="11"/>
    </row>
    <row r="64" spans="1:63" ht="33" customHeight="1">
      <c r="A64" s="10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BK64" s="11"/>
    </row>
    <row r="65" spans="1:63" ht="33" customHeight="1">
      <c r="A65" s="1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BK65" s="80"/>
    </row>
    <row r="66" spans="1:63" ht="33" customHeight="1">
      <c r="A66" s="10"/>
      <c r="B66" s="8"/>
      <c r="E66" s="81"/>
      <c r="H66" s="81"/>
      <c r="K66" s="81"/>
      <c r="N66" s="81"/>
      <c r="BK66" s="11"/>
    </row>
    <row r="67" spans="1:63" ht="33" customHeight="1">
      <c r="A67" s="10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BK67" s="11"/>
    </row>
    <row r="68" spans="1:63" ht="33" customHeight="1">
      <c r="A68" s="10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BK68" s="11"/>
    </row>
    <row r="69" spans="1:63" ht="33" customHeight="1">
      <c r="A69" s="10"/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BK69" s="11"/>
    </row>
    <row r="70" spans="1:63" ht="33" customHeight="1">
      <c r="A70" s="10"/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BK70" s="11"/>
    </row>
    <row r="71" spans="1:63" ht="33" customHeight="1">
      <c r="A71" s="10"/>
      <c r="B71" s="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BK71" s="11"/>
    </row>
    <row r="72" spans="1:63" ht="33" customHeight="1">
      <c r="A72" s="10"/>
      <c r="B72" s="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BK72" s="11"/>
    </row>
    <row r="73" spans="1:63" ht="33" customHeight="1">
      <c r="A73" s="10"/>
      <c r="B73" s="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BK73" s="11"/>
    </row>
    <row r="74" spans="1:63" ht="33" customHeight="1">
      <c r="A74" s="1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BK74" s="80"/>
    </row>
    <row r="75" spans="1:63" ht="33" customHeight="1">
      <c r="A75" s="10"/>
      <c r="B75" s="8"/>
      <c r="E75" s="81"/>
      <c r="H75" s="81"/>
      <c r="K75" s="81"/>
      <c r="N75" s="81"/>
      <c r="BK75" s="11"/>
    </row>
    <row r="76" spans="1:63" ht="33" customHeight="1">
      <c r="A76" s="10"/>
      <c r="B76" s="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BK76" s="11"/>
    </row>
    <row r="77" spans="1:63" ht="33" customHeight="1">
      <c r="A77" s="10"/>
      <c r="B77" s="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BK77" s="11"/>
    </row>
    <row r="78" spans="1:63" ht="33" customHeight="1">
      <c r="A78" s="10"/>
      <c r="B78" s="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BK78" s="11"/>
    </row>
    <row r="79" spans="1:63" ht="33" customHeight="1">
      <c r="A79" s="10"/>
      <c r="B79" s="8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BK79" s="11"/>
    </row>
    <row r="80" spans="1:63" ht="33" customHeight="1">
      <c r="A80" s="10"/>
      <c r="B80" s="8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BK80" s="11"/>
    </row>
    <row r="81" spans="1:63" ht="33" customHeight="1">
      <c r="A81" s="10"/>
      <c r="B81" s="8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BK81" s="11"/>
    </row>
  </sheetData>
  <mergeCells count="58">
    <mergeCell ref="DT2:DV2"/>
    <mergeCell ref="DW2:DY2"/>
    <mergeCell ref="DZ2:EB2"/>
    <mergeCell ref="EC2:EE2"/>
    <mergeCell ref="A1:B1"/>
    <mergeCell ref="A30:A32"/>
    <mergeCell ref="A33:A35"/>
    <mergeCell ref="A36:A38"/>
    <mergeCell ref="B31:B32"/>
    <mergeCell ref="B34:B35"/>
    <mergeCell ref="B37:B38"/>
    <mergeCell ref="A2:A3"/>
    <mergeCell ref="B2:B3"/>
    <mergeCell ref="A7:A8"/>
    <mergeCell ref="C2:C3"/>
    <mergeCell ref="D2:F2"/>
    <mergeCell ref="G2:I2"/>
    <mergeCell ref="J2:L2"/>
    <mergeCell ref="M2:O2"/>
    <mergeCell ref="P2:R2"/>
    <mergeCell ref="S2:U2"/>
    <mergeCell ref="V2:X2"/>
    <mergeCell ref="AB2:AD2"/>
    <mergeCell ref="BO2:BQ2"/>
    <mergeCell ref="BR2:BT2"/>
    <mergeCell ref="AQ2:AS2"/>
    <mergeCell ref="AT2:AV2"/>
    <mergeCell ref="AW2:AY2"/>
    <mergeCell ref="AZ2:BB2"/>
    <mergeCell ref="A10:C10"/>
    <mergeCell ref="BI2:BK2"/>
    <mergeCell ref="BL2:BN2"/>
    <mergeCell ref="BC2:BE2"/>
    <mergeCell ref="BF2:BH2"/>
    <mergeCell ref="AE2:AG2"/>
    <mergeCell ref="AH2:AJ2"/>
    <mergeCell ref="AK2:AM2"/>
    <mergeCell ref="AN2:AP2"/>
    <mergeCell ref="Y2:AA2"/>
    <mergeCell ref="BU2:BW2"/>
    <mergeCell ref="BX2:BZ2"/>
    <mergeCell ref="CA2:CC2"/>
    <mergeCell ref="CD2:CF2"/>
    <mergeCell ref="DQ2:DS2"/>
    <mergeCell ref="CG2:CI2"/>
    <mergeCell ref="CJ2:CL2"/>
    <mergeCell ref="CM2:CO2"/>
    <mergeCell ref="CP2:CR2"/>
    <mergeCell ref="A5:A6"/>
    <mergeCell ref="EF2:EF3"/>
    <mergeCell ref="CS2:CU2"/>
    <mergeCell ref="CV2:CX2"/>
    <mergeCell ref="CY2:DA2"/>
    <mergeCell ref="DB2:DD2"/>
    <mergeCell ref="DE2:DG2"/>
    <mergeCell ref="DH2:DJ2"/>
    <mergeCell ref="DK2:DM2"/>
    <mergeCell ref="DN2:DP2"/>
  </mergeCells>
  <printOptions/>
  <pageMargins left="0.3937007874015748" right="0.3937007874015748" top="1.52" bottom="0.2362204724409449" header="1.01" footer="0.2362204724409449"/>
  <pageSetup fitToWidth="10" horizontalDpi="600" verticalDpi="600" orientation="landscape" paperSize="9" scale="80" r:id="rId1"/>
  <headerFooter alignWithMargins="0">
    <oddHeader>&amp;R&amp;"Arial,обычный"Приложение 5
</oddHeader>
  </headerFooter>
  <colBreaks count="10" manualBreakCount="10">
    <brk id="14" max="65535" man="1"/>
    <brk id="26" max="65535" man="1"/>
    <brk id="38" max="65535" man="1"/>
    <brk id="50" max="65535" man="1"/>
    <brk id="63" max="65535" man="1"/>
    <brk id="75" max="65535" man="1"/>
    <brk id="87" max="65535" man="1"/>
    <brk id="99" max="65535" man="1"/>
    <brk id="123" max="65535" man="1"/>
    <brk id="1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A.Ridosh</dc:creator>
  <cp:keywords/>
  <dc:description/>
  <cp:lastModifiedBy>Lennard de Klerk</cp:lastModifiedBy>
  <cp:lastPrinted>2006-11-01T08:24:44Z</cp:lastPrinted>
  <dcterms:created xsi:type="dcterms:W3CDTF">2003-11-23T11:50:02Z</dcterms:created>
  <dcterms:modified xsi:type="dcterms:W3CDTF">2008-06-24T07:27:55Z</dcterms:modified>
  <cp:category/>
  <cp:version/>
  <cp:contentType/>
  <cp:contentStatus/>
</cp:coreProperties>
</file>