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3060" windowWidth="19200" windowHeight="3600" tabRatio="816" activeTab="2"/>
  </bookViews>
  <sheets>
    <sheet name="Title" sheetId="1" r:id="rId1"/>
    <sheet name="Default Data" sheetId="2" r:id="rId2"/>
    <sheet name="Furnaces (SP1)" sheetId="3" r:id="rId3"/>
    <sheet name="Vacuumator  (SP2)" sheetId="4" r:id="rId4"/>
    <sheet name="Ladle Furnace (SP3)" sheetId="5" r:id="rId5"/>
    <sheet name="Press (SP4) " sheetId="6" r:id="rId6"/>
    <sheet name="ER 2Q2011" sheetId="7" r:id="rId7"/>
  </sheets>
  <definedNames>
    <definedName name="OLE_LINK1" localSheetId="2">'Furnaces (SP1)'!#REF!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B5" authorId="0">
      <text>
        <r>
          <rPr>
            <b/>
            <sz val="10"/>
            <rFont val="Tahoma"/>
            <family val="2"/>
          </rPr>
          <t>Your User Name:</t>
        </r>
        <r>
          <rPr>
            <sz val="10"/>
            <rFont val="Tahoma"/>
            <family val="2"/>
          </rPr>
          <t xml:space="preserve">
data from "spravka"</t>
        </r>
      </text>
    </comment>
    <comment ref="E53" authorId="0">
      <text>
        <r>
          <rPr>
            <b/>
            <sz val="10"/>
            <rFont val="Tahoma"/>
            <family val="2"/>
          </rPr>
          <t>Your User Name:</t>
        </r>
        <r>
          <rPr>
            <sz val="10"/>
            <rFont val="Tahoma"/>
            <family val="2"/>
          </rPr>
          <t xml:space="preserve">
data from spravka
</t>
        </r>
      </text>
    </comment>
  </commentList>
</comments>
</file>

<file path=xl/sharedStrings.xml><?xml version="1.0" encoding="utf-8"?>
<sst xmlns="http://schemas.openxmlformats.org/spreadsheetml/2006/main" count="323" uniqueCount="113">
  <si>
    <t xml:space="preserve"> </t>
  </si>
  <si>
    <t>tCO2/GJ</t>
  </si>
  <si>
    <t>tCO2/MWh</t>
  </si>
  <si>
    <t>Natural gas LCV (GJ/1000Nm3)</t>
  </si>
  <si>
    <t>Transformers conversion factors</t>
  </si>
  <si>
    <t>EAF 50</t>
  </si>
  <si>
    <t>current transformer factor</t>
  </si>
  <si>
    <t>voltage transformer factor</t>
  </si>
  <si>
    <t>overall conversion factor</t>
  </si>
  <si>
    <t>EAF 100 #3</t>
  </si>
  <si>
    <t>EAF 100 #5</t>
  </si>
  <si>
    <t>LF</t>
  </si>
  <si>
    <t>Emission factors</t>
  </si>
  <si>
    <t>Natural gas</t>
  </si>
  <si>
    <t>electricity</t>
  </si>
  <si>
    <t>thermal #9,TS</t>
  </si>
  <si>
    <t>thermal #10, TS</t>
  </si>
  <si>
    <t>thermal #1, TS</t>
  </si>
  <si>
    <t>thermal #2, TS</t>
  </si>
  <si>
    <t>heating #10, FPS</t>
  </si>
  <si>
    <t>heating #9, FPS</t>
  </si>
  <si>
    <t>heating #8, FPS</t>
  </si>
  <si>
    <t>heating #7, FPS</t>
  </si>
  <si>
    <t>thermal #30, FPS</t>
  </si>
  <si>
    <t>thermal #18, FPS</t>
  </si>
  <si>
    <t>tonnes</t>
  </si>
  <si>
    <t>Nm3</t>
  </si>
  <si>
    <t>Project emissions</t>
  </si>
  <si>
    <t>tCO2</t>
  </si>
  <si>
    <t>Natural Gas consumpton and semi-products production</t>
  </si>
  <si>
    <t>Grand Total</t>
  </si>
  <si>
    <t>Furnace</t>
  </si>
  <si>
    <t>m3/t</t>
  </si>
  <si>
    <t>Baseline emissions</t>
  </si>
  <si>
    <t>Emission reductions</t>
  </si>
  <si>
    <t>Emission Reductions</t>
  </si>
  <si>
    <t>Month</t>
  </si>
  <si>
    <t xml:space="preserve">Vacuumed steel </t>
  </si>
  <si>
    <t>Baseline heat</t>
  </si>
  <si>
    <t>Baseline electricity</t>
  </si>
  <si>
    <t>Project Electricity consumption</t>
  </si>
  <si>
    <t>[t]</t>
  </si>
  <si>
    <t>MWh</t>
  </si>
  <si>
    <t>Total</t>
  </si>
  <si>
    <t>[tCO2]</t>
  </si>
  <si>
    <t>Baseline specific NG consumption for the SP1, [m3/t ]steel]</t>
  </si>
  <si>
    <t>Baseline factors for the SP2</t>
  </si>
  <si>
    <t>efficiency of the coal boilers</t>
  </si>
  <si>
    <t>%</t>
  </si>
  <si>
    <t>coal</t>
  </si>
  <si>
    <t>GJ/t</t>
  </si>
  <si>
    <t>specific electricity consumption</t>
  </si>
  <si>
    <t>specific heat consumption</t>
  </si>
  <si>
    <t>MWh/t</t>
  </si>
  <si>
    <t>Baseline factors for the SP3</t>
  </si>
  <si>
    <t>conversion factor kcal to MJ</t>
  </si>
  <si>
    <t>Baseline emissions, [tCO2]</t>
  </si>
  <si>
    <t>Project emissions, [tCO2]</t>
  </si>
  <si>
    <t>ER, [tCO2]</t>
  </si>
  <si>
    <t>working hours, [h]</t>
  </si>
  <si>
    <t>Electricity consumption, [MWh]</t>
  </si>
  <si>
    <t>installed capacity of the press’ serving motors before reconstruction</t>
  </si>
  <si>
    <t>MW</t>
  </si>
  <si>
    <t>Baseline factors for the SP4</t>
  </si>
  <si>
    <t>SP1</t>
  </si>
  <si>
    <t>SP2</t>
  </si>
  <si>
    <t>SP3</t>
  </si>
  <si>
    <t>SP4</t>
  </si>
  <si>
    <t xml:space="preserve">Project emissions </t>
  </si>
  <si>
    <t>thermal #19, FPS</t>
  </si>
  <si>
    <t>thermal #20, FPS</t>
  </si>
  <si>
    <t>Electricity consumption at EAFs, [MWh]</t>
  </si>
  <si>
    <t>Electricity consumption at LF,     [MWh]</t>
  </si>
  <si>
    <t>Baseline emissions,       [tCO2]</t>
  </si>
  <si>
    <t>Project emissions,       [tCO2]</t>
  </si>
  <si>
    <t>Electrosteel,       [tonnes]</t>
  </si>
  <si>
    <t>#</t>
  </si>
  <si>
    <t>thermal    #19, FPS</t>
  </si>
  <si>
    <t>thermal    #20, FPS</t>
  </si>
  <si>
    <t>thermal #32, FPS</t>
  </si>
  <si>
    <t>thermal #31, FPS</t>
  </si>
  <si>
    <t>thermal #37, FPS</t>
  </si>
  <si>
    <t>heating  #33, FPS</t>
  </si>
  <si>
    <t>thermal  #30, FPS</t>
  </si>
  <si>
    <t>thermal  #18, FPS</t>
  </si>
  <si>
    <t>thermal  #19, FPS</t>
  </si>
  <si>
    <t>thermal  #20, FPS</t>
  </si>
  <si>
    <t>thermal  #32, FPS</t>
  </si>
  <si>
    <t>thermal  #37, FPS</t>
  </si>
  <si>
    <t>heating    #33, FPS</t>
  </si>
  <si>
    <t>heating #33, FPS</t>
  </si>
  <si>
    <t>thermal    #32, FPS</t>
  </si>
  <si>
    <t>thermal    #37, FPS</t>
  </si>
  <si>
    <t>thermal    #21, FPS</t>
  </si>
  <si>
    <t>thermal  #21, FPS</t>
  </si>
  <si>
    <t>thermal #21, FPS</t>
  </si>
  <si>
    <t>thermal #4, TS</t>
  </si>
  <si>
    <t>heating #34, FPS</t>
  </si>
  <si>
    <t>heating #35, FPS</t>
  </si>
  <si>
    <t xml:space="preserve">Total           </t>
  </si>
  <si>
    <t>heating #36, FPS</t>
  </si>
  <si>
    <t>thermal #38, FPS</t>
  </si>
  <si>
    <t>heating #38, FPS</t>
  </si>
  <si>
    <t>heating #1, FPS</t>
  </si>
  <si>
    <t>thermal #17, TS</t>
  </si>
  <si>
    <t>thermal #18, TS</t>
  </si>
  <si>
    <t>heating #17, TS</t>
  </si>
  <si>
    <t>heating #18, TS</t>
  </si>
  <si>
    <t>Apr</t>
  </si>
  <si>
    <t>May</t>
  </si>
  <si>
    <t>Jun</t>
  </si>
  <si>
    <t>Total            (3months)</t>
  </si>
  <si>
    <t xml:space="preserve">Total 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</si>
</sst>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[$-419]mmmm;@"/>
    <numFmt numFmtId="165" formatCode="0.0"/>
    <numFmt numFmtId="166" formatCode="#,##0.000"/>
    <numFmt numFmtId="167" formatCode="0.000"/>
    <numFmt numFmtId="168" formatCode="0.0000"/>
    <numFmt numFmtId="169" formatCode="0.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 style="medium"/>
      <right/>
      <top/>
      <bottom/>
    </border>
  </borders>
  <cellStyleXfs count="64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64" fontId="4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4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164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6">
    <xf numFmtId="164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2" fillId="0" borderId="15" xfId="0" applyFont="1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2" fillId="0" borderId="18" xfId="0" applyFont="1" applyBorder="1" applyAlignment="1">
      <alignment/>
    </xf>
    <xf numFmtId="164" fontId="2" fillId="0" borderId="19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20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164" fontId="2" fillId="0" borderId="21" xfId="0" applyFont="1" applyBorder="1" applyAlignment="1">
      <alignment horizontal="justify" vertical="justify" wrapText="1"/>
    </xf>
    <xf numFmtId="164" fontId="2" fillId="0" borderId="21" xfId="0" applyFont="1" applyFill="1" applyBorder="1" applyAlignment="1">
      <alignment horizontal="justify" vertical="justify" wrapText="1"/>
    </xf>
    <xf numFmtId="3" fontId="0" fillId="0" borderId="23" xfId="0" applyNumberFormat="1" applyBorder="1" applyAlignment="1">
      <alignment/>
    </xf>
    <xf numFmtId="164" fontId="2" fillId="33" borderId="24" xfId="0" applyFont="1" applyFill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164" fontId="0" fillId="0" borderId="0" xfId="0" applyFill="1" applyAlignment="1">
      <alignment/>
    </xf>
    <xf numFmtId="164" fontId="2" fillId="0" borderId="11" xfId="0" applyFont="1" applyBorder="1" applyAlignment="1">
      <alignment horizontal="center"/>
    </xf>
    <xf numFmtId="164" fontId="4" fillId="0" borderId="0" xfId="33" applyFill="1">
      <alignment/>
      <protection/>
    </xf>
    <xf numFmtId="164" fontId="5" fillId="0" borderId="0" xfId="33" applyFont="1" applyFill="1">
      <alignment/>
      <protection/>
    </xf>
    <xf numFmtId="164" fontId="6" fillId="0" borderId="0" xfId="33" applyFont="1" applyFill="1" applyBorder="1">
      <alignment/>
      <protection/>
    </xf>
    <xf numFmtId="164" fontId="6" fillId="0" borderId="27" xfId="33" applyFont="1" applyFill="1" applyBorder="1">
      <alignment/>
      <protection/>
    </xf>
    <xf numFmtId="1" fontId="6" fillId="0" borderId="0" xfId="33" applyNumberFormat="1" applyFont="1" applyFill="1" applyBorder="1">
      <alignment/>
      <protection/>
    </xf>
    <xf numFmtId="1" fontId="7" fillId="0" borderId="0" xfId="33" applyNumberFormat="1" applyFont="1" applyFill="1" applyBorder="1">
      <alignment/>
      <protection/>
    </xf>
    <xf numFmtId="1" fontId="7" fillId="0" borderId="0" xfId="33" applyNumberFormat="1" applyFont="1" applyFill="1">
      <alignment/>
      <protection/>
    </xf>
    <xf numFmtId="164" fontId="0" fillId="0" borderId="28" xfId="0" applyBorder="1" applyAlignment="1">
      <alignment/>
    </xf>
    <xf numFmtId="10" fontId="0" fillId="0" borderId="13" xfId="0" applyNumberFormat="1" applyBorder="1" applyAlignment="1">
      <alignment/>
    </xf>
    <xf numFmtId="164" fontId="0" fillId="0" borderId="29" xfId="0" applyBorder="1" applyAlignment="1">
      <alignment/>
    </xf>
    <xf numFmtId="164" fontId="6" fillId="0" borderId="10" xfId="33" applyFont="1" applyFill="1" applyBorder="1">
      <alignment/>
      <protection/>
    </xf>
    <xf numFmtId="164" fontId="7" fillId="0" borderId="19" xfId="33" applyFont="1" applyFill="1" applyBorder="1" applyAlignment="1">
      <alignment horizontal="right"/>
      <protection/>
    </xf>
    <xf numFmtId="164" fontId="2" fillId="0" borderId="30" xfId="0" applyFont="1" applyBorder="1" applyAlignment="1">
      <alignment horizontal="center"/>
    </xf>
    <xf numFmtId="164" fontId="2" fillId="0" borderId="31" xfId="0" applyFont="1" applyBorder="1" applyAlignment="1">
      <alignment horizontal="center"/>
    </xf>
    <xf numFmtId="164" fontId="2" fillId="0" borderId="32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18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0" borderId="0" xfId="0" applyFill="1" applyBorder="1" applyAlignment="1">
      <alignment/>
    </xf>
    <xf numFmtId="164" fontId="2" fillId="0" borderId="18" xfId="0" applyFont="1" applyBorder="1" applyAlignment="1">
      <alignment horizontal="center" vertical="center"/>
    </xf>
    <xf numFmtId="164" fontId="2" fillId="0" borderId="19" xfId="0" applyFont="1" applyBorder="1" applyAlignment="1">
      <alignment horizontal="center" vertical="center"/>
    </xf>
    <xf numFmtId="164" fontId="2" fillId="0" borderId="26" xfId="0" applyFont="1" applyBorder="1" applyAlignment="1">
      <alignment horizontal="center" vertical="center"/>
    </xf>
    <xf numFmtId="164" fontId="0" fillId="0" borderId="0" xfId="0" applyAlignment="1">
      <alignment horizontal="right" vertical="center"/>
    </xf>
    <xf numFmtId="164" fontId="0" fillId="0" borderId="33" xfId="0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0" fillId="0" borderId="27" xfId="0" applyNumberFormat="1" applyBorder="1" applyAlignment="1">
      <alignment/>
    </xf>
    <xf numFmtId="164" fontId="2" fillId="0" borderId="33" xfId="0" applyFont="1" applyBorder="1" applyAlignment="1">
      <alignment/>
    </xf>
    <xf numFmtId="3" fontId="0" fillId="0" borderId="12" xfId="0" applyNumberFormat="1" applyBorder="1" applyAlignment="1">
      <alignment/>
    </xf>
    <xf numFmtId="164" fontId="2" fillId="0" borderId="34" xfId="0" applyFont="1" applyBorder="1" applyAlignment="1">
      <alignment horizontal="justify" vertical="justify" wrapText="1"/>
    </xf>
    <xf numFmtId="3" fontId="37" fillId="33" borderId="35" xfId="0" applyNumberFormat="1" applyFont="1" applyFill="1" applyBorder="1" applyAlignment="1">
      <alignment/>
    </xf>
    <xf numFmtId="3" fontId="37" fillId="33" borderId="36" xfId="0" applyNumberFormat="1" applyFont="1" applyFill="1" applyBorder="1" applyAlignment="1">
      <alignment/>
    </xf>
    <xf numFmtId="164" fontId="2" fillId="0" borderId="34" xfId="0" applyFont="1" applyBorder="1" applyAlignment="1">
      <alignment horizontal="center" vertical="center"/>
    </xf>
    <xf numFmtId="164" fontId="0" fillId="34" borderId="13" xfId="0" applyFill="1" applyBorder="1" applyAlignment="1">
      <alignment/>
    </xf>
    <xf numFmtId="3" fontId="0" fillId="34" borderId="23" xfId="0" applyNumberFormat="1" applyFill="1" applyBorder="1" applyAlignment="1">
      <alignment/>
    </xf>
    <xf numFmtId="3" fontId="0" fillId="34" borderId="37" xfId="0" applyNumberFormat="1" applyFill="1" applyBorder="1" applyAlignment="1">
      <alignment/>
    </xf>
    <xf numFmtId="3" fontId="2" fillId="34" borderId="26" xfId="0" applyNumberFormat="1" applyFont="1" applyFill="1" applyBorder="1" applyAlignment="1">
      <alignment/>
    </xf>
    <xf numFmtId="164" fontId="0" fillId="0" borderId="0" xfId="0" applyBorder="1" applyAlignment="1">
      <alignment/>
    </xf>
    <xf numFmtId="164" fontId="2" fillId="0" borderId="12" xfId="0" applyFont="1" applyBorder="1" applyAlignment="1">
      <alignment horizontal="justify" vertical="justify" wrapText="1"/>
    </xf>
    <xf numFmtId="164" fontId="2" fillId="0" borderId="17" xfId="0" applyFont="1" applyBorder="1" applyAlignment="1">
      <alignment/>
    </xf>
    <xf numFmtId="3" fontId="2" fillId="0" borderId="19" xfId="0" applyNumberFormat="1" applyFont="1" applyBorder="1" applyAlignment="1">
      <alignment/>
    </xf>
    <xf numFmtId="164" fontId="0" fillId="0" borderId="15" xfId="0" applyBorder="1" applyAlignment="1">
      <alignment horizontal="left" vertical="center"/>
    </xf>
    <xf numFmtId="164" fontId="0" fillId="0" borderId="33" xfId="0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0" fillId="0" borderId="12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19" xfId="0" applyBorder="1" applyAlignment="1">
      <alignment horizontal="center" vertical="center"/>
    </xf>
    <xf numFmtId="164" fontId="2" fillId="0" borderId="38" xfId="0" applyFont="1" applyBorder="1" applyAlignment="1">
      <alignment horizontal="justify" vertical="justify" wrapText="1"/>
    </xf>
    <xf numFmtId="2" fontId="0" fillId="0" borderId="0" xfId="0" applyNumberFormat="1" applyAlignment="1">
      <alignment/>
    </xf>
    <xf numFmtId="2" fontId="0" fillId="0" borderId="39" xfId="0" applyNumberFormat="1" applyFill="1" applyBorder="1" applyAlignment="1">
      <alignment/>
    </xf>
    <xf numFmtId="2" fontId="0" fillId="0" borderId="40" xfId="0" applyNumberFormat="1" applyFill="1" applyBorder="1" applyAlignment="1">
      <alignment/>
    </xf>
    <xf numFmtId="2" fontId="0" fillId="0" borderId="41" xfId="0" applyNumberFormat="1" applyFill="1" applyBorder="1" applyAlignment="1">
      <alignment/>
    </xf>
    <xf numFmtId="164" fontId="0" fillId="0" borderId="14" xfId="0" applyFill="1" applyBorder="1" applyAlignment="1">
      <alignment vertical="justify" wrapText="1"/>
    </xf>
    <xf numFmtId="164" fontId="0" fillId="0" borderId="15" xfId="0" applyFill="1" applyBorder="1" applyAlignment="1">
      <alignment vertical="justify" wrapText="1"/>
    </xf>
    <xf numFmtId="164" fontId="0" fillId="0" borderId="42" xfId="0" applyFill="1" applyBorder="1" applyAlignment="1">
      <alignment/>
    </xf>
    <xf numFmtId="164" fontId="0" fillId="0" borderId="43" xfId="0" applyFill="1" applyBorder="1" applyAlignment="1">
      <alignment/>
    </xf>
    <xf numFmtId="164" fontId="0" fillId="0" borderId="15" xfId="0" applyFill="1" applyBorder="1" applyAlignment="1">
      <alignment horizontal="center" vertical="center"/>
    </xf>
    <xf numFmtId="164" fontId="0" fillId="0" borderId="44" xfId="0" applyFill="1" applyBorder="1" applyAlignment="1">
      <alignment horizontal="center" vertical="center"/>
    </xf>
    <xf numFmtId="164" fontId="0" fillId="0" borderId="17" xfId="0" applyFill="1" applyBorder="1" applyAlignment="1">
      <alignment horizontal="center" vertical="center"/>
    </xf>
    <xf numFmtId="164" fontId="0" fillId="0" borderId="45" xfId="0" applyFill="1" applyBorder="1" applyAlignment="1">
      <alignment horizontal="center" vertical="center"/>
    </xf>
    <xf numFmtId="164" fontId="0" fillId="0" borderId="16" xfId="0" applyFill="1" applyBorder="1" applyAlignment="1">
      <alignment horizontal="center" vertical="center"/>
    </xf>
    <xf numFmtId="164" fontId="0" fillId="0" borderId="37" xfId="0" applyFill="1" applyBorder="1" applyAlignment="1">
      <alignment horizontal="center" vertical="center"/>
    </xf>
    <xf numFmtId="164" fontId="2" fillId="0" borderId="24" xfId="0" applyFont="1" applyFill="1" applyBorder="1" applyAlignment="1">
      <alignment wrapText="1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2" fontId="2" fillId="0" borderId="46" xfId="0" applyNumberFormat="1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2" fontId="2" fillId="0" borderId="47" xfId="0" applyNumberFormat="1" applyFont="1" applyFill="1" applyBorder="1" applyAlignment="1">
      <alignment horizontal="center" vertical="center"/>
    </xf>
    <xf numFmtId="164" fontId="2" fillId="0" borderId="0" xfId="0" applyFont="1" applyFill="1" applyAlignment="1">
      <alignment/>
    </xf>
    <xf numFmtId="2" fontId="0" fillId="0" borderId="26" xfId="0" applyNumberFormat="1" applyBorder="1" applyAlignment="1">
      <alignment/>
    </xf>
    <xf numFmtId="1" fontId="0" fillId="0" borderId="26" xfId="0" applyNumberFormat="1" applyBorder="1" applyAlignment="1">
      <alignment/>
    </xf>
    <xf numFmtId="168" fontId="0" fillId="0" borderId="26" xfId="0" applyNumberFormat="1" applyBorder="1" applyAlignment="1">
      <alignment/>
    </xf>
    <xf numFmtId="167" fontId="0" fillId="0" borderId="26" xfId="0" applyNumberFormat="1" applyBorder="1" applyAlignment="1">
      <alignment/>
    </xf>
    <xf numFmtId="169" fontId="0" fillId="0" borderId="26" xfId="0" applyNumberFormat="1" applyBorder="1" applyAlignment="1">
      <alignment/>
    </xf>
    <xf numFmtId="0" fontId="0" fillId="0" borderId="0" xfId="0" applyNumberFormat="1" applyAlignment="1">
      <alignment horizontal="right" vertical="center"/>
    </xf>
    <xf numFmtId="164" fontId="0" fillId="0" borderId="0" xfId="0" applyFill="1" applyBorder="1" applyAlignment="1">
      <alignment vertical="justify" wrapText="1"/>
    </xf>
    <xf numFmtId="164" fontId="0" fillId="0" borderId="48" xfId="0" applyFill="1" applyBorder="1" applyAlignment="1">
      <alignment vertical="justify" wrapText="1"/>
    </xf>
    <xf numFmtId="164" fontId="2" fillId="0" borderId="18" xfId="0" applyFont="1" applyBorder="1" applyAlignment="1">
      <alignment horizontal="center"/>
    </xf>
    <xf numFmtId="164" fontId="2" fillId="0" borderId="26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164" fontId="2" fillId="0" borderId="18" xfId="0" applyFont="1" applyBorder="1" applyAlignment="1">
      <alignment horizontal="justify" vertical="justify" wrapText="1"/>
    </xf>
    <xf numFmtId="164" fontId="2" fillId="0" borderId="19" xfId="0" applyFont="1" applyFill="1" applyBorder="1" applyAlignment="1">
      <alignment horizontal="justify" vertical="justify" wrapText="1"/>
    </xf>
    <xf numFmtId="164" fontId="2" fillId="0" borderId="26" xfId="0" applyFont="1" applyFill="1" applyBorder="1" applyAlignment="1">
      <alignment horizontal="justify" vertical="justify" wrapText="1"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164" fontId="2" fillId="0" borderId="18" xfId="0" applyFont="1" applyBorder="1" applyAlignment="1">
      <alignment/>
    </xf>
    <xf numFmtId="164" fontId="2" fillId="0" borderId="19" xfId="0" applyFont="1" applyBorder="1" applyAlignment="1">
      <alignment/>
    </xf>
    <xf numFmtId="164" fontId="2" fillId="0" borderId="26" xfId="0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2" fillId="0" borderId="18" xfId="0" applyNumberFormat="1" applyFont="1" applyBorder="1" applyAlignment="1">
      <alignment/>
    </xf>
    <xf numFmtId="164" fontId="2" fillId="0" borderId="45" xfId="0" applyFont="1" applyBorder="1" applyAlignment="1">
      <alignment/>
    </xf>
    <xf numFmtId="164" fontId="2" fillId="0" borderId="50" xfId="0" applyFont="1" applyBorder="1" applyAlignment="1">
      <alignment horizontal="center" vertical="center"/>
    </xf>
    <xf numFmtId="164" fontId="2" fillId="0" borderId="51" xfId="0" applyFont="1" applyBorder="1" applyAlignment="1">
      <alignment horizontal="center" vertical="center"/>
    </xf>
    <xf numFmtId="164" fontId="0" fillId="0" borderId="15" xfId="0" applyFill="1" applyBorder="1" applyAlignment="1">
      <alignment/>
    </xf>
    <xf numFmtId="164" fontId="0" fillId="0" borderId="20" xfId="0" applyFill="1" applyBorder="1" applyAlignment="1">
      <alignment horizontal="center" vertical="center"/>
    </xf>
    <xf numFmtId="164" fontId="0" fillId="0" borderId="30" xfId="0" applyFill="1" applyBorder="1" applyAlignment="1">
      <alignment/>
    </xf>
    <xf numFmtId="164" fontId="0" fillId="0" borderId="40" xfId="0" applyFill="1" applyBorder="1" applyAlignment="1">
      <alignment/>
    </xf>
    <xf numFmtId="164" fontId="0" fillId="0" borderId="41" xfId="0" applyFill="1" applyBorder="1" applyAlignment="1">
      <alignment/>
    </xf>
    <xf numFmtId="2" fontId="2" fillId="0" borderId="52" xfId="0" applyNumberFormat="1" applyFont="1" applyFill="1" applyBorder="1" applyAlignment="1">
      <alignment horizontal="center" vertical="center"/>
    </xf>
    <xf numFmtId="166" fontId="0" fillId="0" borderId="27" xfId="0" applyNumberFormat="1" applyFont="1" applyBorder="1" applyAlignment="1">
      <alignment/>
    </xf>
    <xf numFmtId="3" fontId="37" fillId="33" borderId="49" xfId="0" applyNumberFormat="1" applyFont="1" applyFill="1" applyBorder="1" applyAlignment="1">
      <alignment/>
    </xf>
    <xf numFmtId="3" fontId="37" fillId="33" borderId="23" xfId="0" applyNumberFormat="1" applyFont="1" applyFill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53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41" xfId="0" applyNumberFormat="1" applyBorder="1" applyAlignment="1">
      <alignment/>
    </xf>
    <xf numFmtId="164" fontId="37" fillId="0" borderId="24" xfId="0" applyFont="1" applyBorder="1" applyAlignment="1">
      <alignment wrapText="1"/>
    </xf>
    <xf numFmtId="3" fontId="0" fillId="0" borderId="30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37" fillId="33" borderId="35" xfId="0" applyNumberFormat="1" applyFont="1" applyFill="1" applyBorder="1" applyAlignment="1">
      <alignment/>
    </xf>
    <xf numFmtId="3" fontId="37" fillId="33" borderId="36" xfId="0" applyNumberFormat="1" applyFont="1" applyFill="1" applyBorder="1" applyAlignment="1">
      <alignment/>
    </xf>
    <xf numFmtId="3" fontId="37" fillId="0" borderId="34" xfId="0" applyNumberFormat="1" applyFont="1" applyBorder="1" applyAlignment="1">
      <alignment/>
    </xf>
    <xf numFmtId="3" fontId="37" fillId="33" borderId="55" xfId="0" applyNumberFormat="1" applyFont="1" applyFill="1" applyBorder="1" applyAlignment="1">
      <alignment/>
    </xf>
    <xf numFmtId="164" fontId="37" fillId="0" borderId="24" xfId="0" applyFont="1" applyBorder="1" applyAlignment="1">
      <alignment/>
    </xf>
    <xf numFmtId="3" fontId="37" fillId="0" borderId="34" xfId="0" applyNumberFormat="1" applyFont="1" applyBorder="1" applyAlignment="1">
      <alignment/>
    </xf>
    <xf numFmtId="3" fontId="37" fillId="33" borderId="55" xfId="0" applyNumberFormat="1" applyFont="1" applyFill="1" applyBorder="1" applyAlignment="1">
      <alignment/>
    </xf>
    <xf numFmtId="164" fontId="7" fillId="0" borderId="25" xfId="33" applyFont="1" applyFill="1" applyBorder="1">
      <alignment/>
      <protection/>
    </xf>
    <xf numFmtId="3" fontId="2" fillId="0" borderId="34" xfId="0" applyNumberFormat="1" applyFont="1" applyBorder="1" applyAlignment="1">
      <alignment/>
    </xf>
    <xf numFmtId="166" fontId="2" fillId="0" borderId="34" xfId="0" applyNumberFormat="1" applyFont="1" applyBorder="1" applyAlignment="1">
      <alignment/>
    </xf>
    <xf numFmtId="3" fontId="2" fillId="33" borderId="55" xfId="0" applyNumberFormat="1" applyFont="1" applyFill="1" applyBorder="1" applyAlignment="1">
      <alignment/>
    </xf>
    <xf numFmtId="165" fontId="0" fillId="16" borderId="56" xfId="0" applyNumberFormat="1" applyFill="1" applyBorder="1" applyAlignment="1">
      <alignment/>
    </xf>
    <xf numFmtId="165" fontId="0" fillId="18" borderId="13" xfId="0" applyNumberFormat="1" applyFill="1" applyBorder="1" applyAlignment="1">
      <alignment/>
    </xf>
    <xf numFmtId="165" fontId="0" fillId="18" borderId="23" xfId="0" applyNumberFormat="1" applyFill="1" applyBorder="1" applyAlignment="1">
      <alignment/>
    </xf>
    <xf numFmtId="165" fontId="0" fillId="35" borderId="49" xfId="0" applyNumberFormat="1" applyFill="1" applyBorder="1" applyAlignment="1">
      <alignment/>
    </xf>
    <xf numFmtId="165" fontId="0" fillId="35" borderId="23" xfId="0" applyNumberFormat="1" applyFill="1" applyBorder="1" applyAlignment="1">
      <alignment/>
    </xf>
    <xf numFmtId="165" fontId="0" fillId="35" borderId="44" xfId="0" applyNumberFormat="1" applyFill="1" applyBorder="1" applyAlignment="1">
      <alignment/>
    </xf>
    <xf numFmtId="166" fontId="2" fillId="3" borderId="34" xfId="0" applyNumberFormat="1" applyFont="1" applyFill="1" applyBorder="1" applyAlignment="1">
      <alignment/>
    </xf>
    <xf numFmtId="4" fontId="37" fillId="36" borderId="34" xfId="0" applyNumberFormat="1" applyFont="1" applyFill="1" applyBorder="1" applyAlignment="1">
      <alignment/>
    </xf>
    <xf numFmtId="4" fontId="37" fillId="10" borderId="34" xfId="0" applyNumberFormat="1" applyFont="1" applyFill="1" applyBorder="1" applyAlignment="1">
      <alignment/>
    </xf>
    <xf numFmtId="4" fontId="37" fillId="37" borderId="34" xfId="0" applyNumberFormat="1" applyFont="1" applyFill="1" applyBorder="1" applyAlignment="1">
      <alignment/>
    </xf>
    <xf numFmtId="2" fontId="37" fillId="12" borderId="34" xfId="0" applyNumberFormat="1" applyFont="1" applyFill="1" applyBorder="1" applyAlignment="1">
      <alignment/>
    </xf>
    <xf numFmtId="167" fontId="6" fillId="36" borderId="30" xfId="0" applyNumberFormat="1" applyFont="1" applyFill="1" applyBorder="1" applyAlignment="1">
      <alignment/>
    </xf>
    <xf numFmtId="2" fontId="6" fillId="36" borderId="39" xfId="0" applyNumberFormat="1" applyFont="1" applyFill="1" applyBorder="1" applyAlignment="1">
      <alignment/>
    </xf>
    <xf numFmtId="167" fontId="6" fillId="11" borderId="27" xfId="0" applyNumberFormat="1" applyFont="1" applyFill="1" applyBorder="1" applyAlignment="1">
      <alignment/>
    </xf>
    <xf numFmtId="167" fontId="11" fillId="38" borderId="30" xfId="0" applyNumberFormat="1" applyFont="1" applyFill="1" applyBorder="1" applyAlignment="1">
      <alignment/>
    </xf>
    <xf numFmtId="167" fontId="11" fillId="38" borderId="39" xfId="0" applyNumberFormat="1" applyFont="1" applyFill="1" applyBorder="1" applyAlignment="1">
      <alignment/>
    </xf>
    <xf numFmtId="2" fontId="11" fillId="38" borderId="39" xfId="0" applyNumberFormat="1" applyFont="1" applyFill="1" applyBorder="1" applyAlignment="1">
      <alignment/>
    </xf>
    <xf numFmtId="167" fontId="11" fillId="10" borderId="53" xfId="0" applyNumberFormat="1" applyFont="1" applyFill="1" applyBorder="1" applyAlignment="1">
      <alignment horizontal="right"/>
    </xf>
    <xf numFmtId="167" fontId="11" fillId="10" borderId="35" xfId="0" applyNumberFormat="1" applyFont="1" applyFill="1" applyBorder="1" applyAlignment="1">
      <alignment horizontal="right"/>
    </xf>
    <xf numFmtId="165" fontId="11" fillId="37" borderId="30" xfId="0" applyNumberFormat="1" applyFont="1" applyFill="1" applyBorder="1" applyAlignment="1">
      <alignment/>
    </xf>
    <xf numFmtId="2" fontId="11" fillId="37" borderId="40" xfId="0" applyNumberFormat="1" applyFont="1" applyFill="1" applyBorder="1" applyAlignment="1">
      <alignment/>
    </xf>
    <xf numFmtId="2" fontId="11" fillId="39" borderId="55" xfId="0" applyNumberFormat="1" applyFont="1" applyFill="1" applyBorder="1" applyAlignment="1">
      <alignment/>
    </xf>
    <xf numFmtId="167" fontId="11" fillId="39" borderId="55" xfId="0" applyNumberFormat="1" applyFont="1" applyFill="1" applyBorder="1" applyAlignment="1">
      <alignment/>
    </xf>
    <xf numFmtId="164" fontId="0" fillId="0" borderId="16" xfId="0" applyFill="1" applyBorder="1" applyAlignment="1">
      <alignment vertical="justify" wrapText="1"/>
    </xf>
    <xf numFmtId="165" fontId="0" fillId="35" borderId="37" xfId="0" applyNumberFormat="1" applyFill="1" applyBorder="1" applyAlignment="1">
      <alignment/>
    </xf>
    <xf numFmtId="164" fontId="0" fillId="0" borderId="18" xfId="0" applyFill="1" applyBorder="1" applyAlignment="1">
      <alignment vertical="justify" wrapText="1"/>
    </xf>
    <xf numFmtId="165" fontId="0" fillId="35" borderId="55" xfId="0" applyNumberFormat="1" applyFill="1" applyBorder="1" applyAlignment="1">
      <alignment/>
    </xf>
    <xf numFmtId="164" fontId="37" fillId="0" borderId="34" xfId="0" applyFont="1" applyFill="1" applyBorder="1" applyAlignment="1">
      <alignment wrapText="1"/>
    </xf>
    <xf numFmtId="0" fontId="0" fillId="0" borderId="0" xfId="0" applyNumberFormat="1" applyAlignment="1">
      <alignment/>
    </xf>
    <xf numFmtId="168" fontId="0" fillId="0" borderId="26" xfId="0" applyNumberFormat="1" applyFill="1" applyBorder="1" applyAlignment="1">
      <alignment/>
    </xf>
    <xf numFmtId="164" fontId="0" fillId="0" borderId="40" xfId="0" applyFill="1" applyBorder="1" applyAlignment="1">
      <alignment vertical="justify" wrapText="1"/>
    </xf>
    <xf numFmtId="164" fontId="0" fillId="0" borderId="11" xfId="0" applyBorder="1" applyAlignment="1">
      <alignment horizontal="left" vertical="center" wrapText="1"/>
    </xf>
    <xf numFmtId="164" fontId="0" fillId="0" borderId="12" xfId="0" applyBorder="1" applyAlignment="1">
      <alignment horizontal="left" vertical="center" wrapText="1"/>
    </xf>
    <xf numFmtId="164" fontId="0" fillId="0" borderId="15" xfId="0" applyBorder="1" applyAlignment="1">
      <alignment horizontal="left" vertical="center" wrapText="1"/>
    </xf>
    <xf numFmtId="164" fontId="0" fillId="0" borderId="33" xfId="0" applyBorder="1" applyAlignment="1">
      <alignment horizontal="left" vertical="center" wrapText="1"/>
    </xf>
    <xf numFmtId="164" fontId="0" fillId="0" borderId="57" xfId="0" applyBorder="1" applyAlignment="1">
      <alignment horizontal="center" vertical="center"/>
    </xf>
    <xf numFmtId="164" fontId="0" fillId="0" borderId="29" xfId="0" applyBorder="1" applyAlignment="1">
      <alignment horizontal="center" vertical="center"/>
    </xf>
    <xf numFmtId="2" fontId="0" fillId="0" borderId="58" xfId="0" applyNumberFormat="1" applyBorder="1" applyAlignment="1">
      <alignment horizontal="right"/>
    </xf>
    <xf numFmtId="2" fontId="0" fillId="0" borderId="47" xfId="0" applyNumberFormat="1" applyBorder="1" applyAlignment="1">
      <alignment horizontal="right"/>
    </xf>
    <xf numFmtId="164" fontId="2" fillId="0" borderId="0" xfId="0" applyFont="1" applyAlignment="1">
      <alignment horizontal="center"/>
    </xf>
    <xf numFmtId="164" fontId="0" fillId="0" borderId="11" xfId="0" applyBorder="1" applyAlignment="1">
      <alignment horizontal="left" vertical="center"/>
    </xf>
    <xf numFmtId="164" fontId="0" fillId="0" borderId="12" xfId="0" applyBorder="1" applyAlignment="1">
      <alignment horizontal="left" vertical="center"/>
    </xf>
    <xf numFmtId="164" fontId="0" fillId="0" borderId="14" xfId="0" applyBorder="1" applyAlignment="1">
      <alignment horizontal="left" vertical="center"/>
    </xf>
    <xf numFmtId="164" fontId="0" fillId="0" borderId="10" xfId="0" applyBorder="1" applyAlignment="1">
      <alignment horizontal="left" vertical="center"/>
    </xf>
    <xf numFmtId="164" fontId="2" fillId="0" borderId="0" xfId="0" applyFont="1" applyFill="1" applyBorder="1" applyAlignment="1">
      <alignment horizontal="left" vertical="center" wrapText="1"/>
    </xf>
    <xf numFmtId="164" fontId="2" fillId="0" borderId="59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18" xfId="0" applyBorder="1" applyAlignment="1">
      <alignment horizontal="left" vertical="center"/>
    </xf>
    <xf numFmtId="164" fontId="0" fillId="0" borderId="19" xfId="0" applyBorder="1" applyAlignment="1">
      <alignment horizontal="left" vertical="center"/>
    </xf>
    <xf numFmtId="164" fontId="37" fillId="0" borderId="11" xfId="0" applyFont="1" applyFill="1" applyBorder="1" applyAlignment="1">
      <alignment horizontal="center"/>
    </xf>
    <xf numFmtId="164" fontId="37" fillId="0" borderId="13" xfId="0" applyFont="1" applyFill="1" applyBorder="1" applyAlignment="1">
      <alignment horizontal="center"/>
    </xf>
    <xf numFmtId="3" fontId="2" fillId="33" borderId="60" xfId="0" applyNumberFormat="1" applyFont="1" applyFill="1" applyBorder="1" applyAlignment="1">
      <alignment horizontal="center"/>
    </xf>
    <xf numFmtId="3" fontId="2" fillId="33" borderId="61" xfId="0" applyNumberFormat="1" applyFont="1" applyFill="1" applyBorder="1" applyAlignment="1">
      <alignment horizontal="center"/>
    </xf>
    <xf numFmtId="164" fontId="37" fillId="0" borderId="42" xfId="0" applyFont="1" applyFill="1" applyBorder="1" applyAlignment="1">
      <alignment horizontal="center"/>
    </xf>
    <xf numFmtId="164" fontId="37" fillId="0" borderId="62" xfId="0" applyFont="1" applyFill="1" applyBorder="1" applyAlignment="1">
      <alignment horizontal="center"/>
    </xf>
    <xf numFmtId="164" fontId="37" fillId="0" borderId="53" xfId="0" applyFont="1" applyFill="1" applyBorder="1" applyAlignment="1">
      <alignment horizontal="center"/>
    </xf>
    <xf numFmtId="164" fontId="2" fillId="33" borderId="24" xfId="0" applyFont="1" applyFill="1" applyBorder="1" applyAlignment="1">
      <alignment horizontal="center"/>
    </xf>
    <xf numFmtId="164" fontId="2" fillId="33" borderId="55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7" fillId="0" borderId="42" xfId="0" applyFont="1" applyFill="1" applyBorder="1" applyAlignment="1">
      <alignment horizontal="center" vertical="justify"/>
    </xf>
    <xf numFmtId="164" fontId="37" fillId="0" borderId="53" xfId="0" applyFont="1" applyFill="1" applyBorder="1" applyAlignment="1">
      <alignment horizontal="center" vertical="justify"/>
    </xf>
    <xf numFmtId="3" fontId="2" fillId="33" borderId="63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164" fontId="3" fillId="0" borderId="59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7.emf" /><Relationship Id="rId4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Relationship Id="rId3" Type="http://schemas.openxmlformats.org/officeDocument/2006/relationships/image" Target="../media/image15.emf" /><Relationship Id="rId4" Type="http://schemas.openxmlformats.org/officeDocument/2006/relationships/image" Target="../media/image1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vmlDrawing" Target="../drawings/vmlDrawing4.v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5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vmlDrawing" Target="../drawings/vmlDrawing6.vml" /><Relationship Id="rId6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L23"/>
  <sheetViews>
    <sheetView zoomScalePageLayoutView="0" workbookViewId="0" topLeftCell="A1">
      <selection activeCell="F4" sqref="F4"/>
    </sheetView>
  </sheetViews>
  <sheetFormatPr defaultColWidth="9.140625" defaultRowHeight="15"/>
  <sheetData>
    <row r="6" spans="3:12" ht="14.25"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3:12" ht="14.25"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3:12" ht="14.25"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3:12" ht="15"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3:12" ht="15"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3:12" ht="15"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3:12" ht="15"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3:12" ht="15"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3:12" ht="15"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3:12" ht="15"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3:12" ht="15"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3:12" ht="15"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3:12" ht="15"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3:12" ht="15"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3:12" ht="15"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3:12" ht="14.25"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3:12" ht="14.25"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3:12" ht="14.25">
      <c r="C23" s="40"/>
      <c r="D23" s="40"/>
      <c r="E23" s="40"/>
      <c r="F23" s="40"/>
      <c r="G23" s="40"/>
      <c r="H23" s="40"/>
      <c r="I23" s="40"/>
      <c r="J23" s="40"/>
      <c r="K23" s="40"/>
      <c r="L23" s="40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8" shapeId="40593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G65"/>
  <sheetViews>
    <sheetView zoomScalePageLayoutView="0" workbookViewId="0" topLeftCell="A55">
      <selection activeCell="G13" sqref="G13"/>
    </sheetView>
  </sheetViews>
  <sheetFormatPr defaultColWidth="9.140625" defaultRowHeight="15"/>
  <cols>
    <col min="2" max="2" width="16.28125" style="0" customWidth="1"/>
    <col min="3" max="3" width="24.421875" style="0" bestFit="1" customWidth="1"/>
    <col min="4" max="4" width="24.7109375" style="0" bestFit="1" customWidth="1"/>
    <col min="5" max="5" width="23.28125" style="0" bestFit="1" customWidth="1"/>
    <col min="9" max="9" width="13.57421875" style="0" customWidth="1"/>
    <col min="10" max="11" width="12.00390625" style="0" bestFit="1" customWidth="1"/>
  </cols>
  <sheetData>
    <row r="2" spans="5:7" ht="15">
      <c r="E2" s="180"/>
      <c r="F2" s="180"/>
      <c r="G2" s="180"/>
    </row>
    <row r="3" spans="2:5" ht="15.75" thickBot="1">
      <c r="B3" s="197"/>
      <c r="C3" s="198"/>
      <c r="D3" s="198"/>
      <c r="E3" s="198"/>
    </row>
    <row r="4" spans="2:5" ht="60.75" thickBot="1">
      <c r="B4" s="53" t="s">
        <v>3</v>
      </c>
      <c r="C4" s="61"/>
      <c r="D4" s="61"/>
      <c r="E4" s="61"/>
    </row>
    <row r="5" spans="1:7" ht="15.75" thickBot="1">
      <c r="A5" s="122" t="s">
        <v>108</v>
      </c>
      <c r="B5" s="73">
        <f>(8060+8065+7930+8053)/4/G5</f>
        <v>33.6074290547047</v>
      </c>
      <c r="D5" s="41" t="s">
        <v>55</v>
      </c>
      <c r="E5" s="42"/>
      <c r="F5" s="42"/>
      <c r="G5" s="94">
        <v>238.846</v>
      </c>
    </row>
    <row r="6" spans="1:2" ht="15">
      <c r="A6" s="123" t="s">
        <v>109</v>
      </c>
      <c r="B6" s="74">
        <f>(8222+8073)/2/G5</f>
        <v>34.11193823635313</v>
      </c>
    </row>
    <row r="7" spans="1:2" ht="15.75" thickBot="1">
      <c r="A7" s="124" t="s">
        <v>110</v>
      </c>
      <c r="B7" s="75">
        <f>(8105+8160+8058)/3/G5</f>
        <v>33.94516410853297</v>
      </c>
    </row>
    <row r="8" ht="15">
      <c r="A8" s="1"/>
    </row>
    <row r="9" spans="2:5" ht="15.75" thickBot="1">
      <c r="B9" s="191" t="s">
        <v>4</v>
      </c>
      <c r="C9" s="191"/>
      <c r="D9" s="191"/>
      <c r="E9" s="191"/>
    </row>
    <row r="10" spans="2:5" ht="15.75" thickBot="1">
      <c r="B10" s="3"/>
      <c r="C10" s="4" t="s">
        <v>6</v>
      </c>
      <c r="D10" s="4" t="s">
        <v>7</v>
      </c>
      <c r="E10" s="5" t="s">
        <v>8</v>
      </c>
    </row>
    <row r="11" spans="2:5" ht="15.75" thickBot="1">
      <c r="B11" s="6" t="s">
        <v>5</v>
      </c>
      <c r="C11" s="95">
        <f>600/5</f>
        <v>120</v>
      </c>
      <c r="D11" s="95">
        <f>35000/100</f>
        <v>350</v>
      </c>
      <c r="E11" s="95">
        <f>C11*D11</f>
        <v>42000</v>
      </c>
    </row>
    <row r="12" spans="2:5" ht="15.75" thickBot="1">
      <c r="B12" s="6" t="s">
        <v>9</v>
      </c>
      <c r="C12" s="95">
        <f>600/5</f>
        <v>120</v>
      </c>
      <c r="D12" s="95">
        <f>35000/100</f>
        <v>350</v>
      </c>
      <c r="E12" s="95">
        <f>C12*D12</f>
        <v>42000</v>
      </c>
    </row>
    <row r="13" spans="2:5" ht="15.75" thickBot="1">
      <c r="B13" s="6" t="s">
        <v>10</v>
      </c>
      <c r="C13" s="95">
        <f>1000/5</f>
        <v>200</v>
      </c>
      <c r="D13" s="95">
        <f>35000/100</f>
        <v>350</v>
      </c>
      <c r="E13" s="95">
        <f>C13*D13</f>
        <v>70000</v>
      </c>
    </row>
    <row r="14" spans="2:5" ht="15.75" thickBot="1">
      <c r="B14" s="7" t="s">
        <v>11</v>
      </c>
      <c r="C14" s="95">
        <f>500/5</f>
        <v>100</v>
      </c>
      <c r="D14" s="95">
        <f>35000/100</f>
        <v>350</v>
      </c>
      <c r="E14" s="95">
        <f>C14*D14</f>
        <v>35000</v>
      </c>
    </row>
    <row r="16" spans="2:4" ht="15">
      <c r="B16" s="191" t="s">
        <v>12</v>
      </c>
      <c r="C16" s="191"/>
      <c r="D16" s="191"/>
    </row>
    <row r="17" ht="15.75" thickBot="1"/>
    <row r="18" spans="2:4" ht="15.75" thickBot="1">
      <c r="B18" s="3" t="s">
        <v>13</v>
      </c>
      <c r="C18" s="4" t="s">
        <v>1</v>
      </c>
      <c r="D18" s="96">
        <v>0.0561</v>
      </c>
    </row>
    <row r="19" spans="2:4" ht="15.75" thickBot="1">
      <c r="B19" s="32" t="s">
        <v>49</v>
      </c>
      <c r="C19" s="2" t="s">
        <v>1</v>
      </c>
      <c r="D19" s="96">
        <v>0.0983</v>
      </c>
    </row>
    <row r="20" spans="2:4" ht="15.75" thickBot="1">
      <c r="B20" s="7" t="s">
        <v>14</v>
      </c>
      <c r="C20" s="34" t="s">
        <v>2</v>
      </c>
      <c r="D20" s="181">
        <v>1.09</v>
      </c>
    </row>
    <row r="23" spans="2:4" ht="15">
      <c r="B23" s="196" t="s">
        <v>45</v>
      </c>
      <c r="C23" s="196"/>
      <c r="D23" s="196"/>
    </row>
    <row r="24" ht="15.75" thickBot="1"/>
    <row r="25" spans="1:3" ht="15.75" thickBot="1">
      <c r="A25" s="47" t="s">
        <v>76</v>
      </c>
      <c r="B25" s="102" t="s">
        <v>31</v>
      </c>
      <c r="C25" s="103" t="s">
        <v>32</v>
      </c>
    </row>
    <row r="26" spans="1:3" ht="30">
      <c r="A26" s="99">
        <v>1</v>
      </c>
      <c r="B26" s="101" t="s">
        <v>15</v>
      </c>
      <c r="C26" s="155">
        <v>388.7</v>
      </c>
    </row>
    <row r="27" spans="1:3" ht="30">
      <c r="A27" s="99">
        <v>2</v>
      </c>
      <c r="B27" s="76" t="s">
        <v>16</v>
      </c>
      <c r="C27" s="156">
        <v>388.7</v>
      </c>
    </row>
    <row r="28" spans="1:3" ht="30">
      <c r="A28" s="99">
        <v>3</v>
      </c>
      <c r="B28" s="76" t="s">
        <v>17</v>
      </c>
      <c r="C28" s="156">
        <v>373</v>
      </c>
    </row>
    <row r="29" spans="1:3" ht="30">
      <c r="A29" s="99">
        <v>4</v>
      </c>
      <c r="B29" s="76" t="s">
        <v>18</v>
      </c>
      <c r="C29" s="156">
        <v>373</v>
      </c>
    </row>
    <row r="30" spans="1:3" ht="15.75" customHeight="1">
      <c r="A30" s="99">
        <v>5</v>
      </c>
      <c r="B30" s="76" t="s">
        <v>19</v>
      </c>
      <c r="C30" s="156">
        <v>931.4</v>
      </c>
    </row>
    <row r="31" spans="1:3" ht="30">
      <c r="A31" s="99">
        <v>6</v>
      </c>
      <c r="B31" s="76" t="s">
        <v>20</v>
      </c>
      <c r="C31" s="156">
        <v>861.5</v>
      </c>
    </row>
    <row r="32" spans="1:3" ht="30">
      <c r="A32" s="99">
        <v>7</v>
      </c>
      <c r="B32" s="76" t="s">
        <v>21</v>
      </c>
      <c r="C32" s="156">
        <v>861.5</v>
      </c>
    </row>
    <row r="33" spans="1:3" ht="30">
      <c r="A33" s="99">
        <v>8</v>
      </c>
      <c r="B33" s="76" t="s">
        <v>22</v>
      </c>
      <c r="C33" s="156">
        <v>1005.3</v>
      </c>
    </row>
    <row r="34" spans="1:3" ht="30">
      <c r="A34" s="99">
        <v>9</v>
      </c>
      <c r="B34" s="76" t="s">
        <v>23</v>
      </c>
      <c r="C34" s="156">
        <v>694.4</v>
      </c>
    </row>
    <row r="35" spans="1:3" ht="30">
      <c r="A35" s="99">
        <v>10</v>
      </c>
      <c r="B35" s="76" t="s">
        <v>24</v>
      </c>
      <c r="C35" s="156">
        <v>381.4</v>
      </c>
    </row>
    <row r="36" spans="1:3" ht="30">
      <c r="A36" s="99">
        <v>11</v>
      </c>
      <c r="B36" s="76" t="s">
        <v>69</v>
      </c>
      <c r="C36" s="156">
        <v>381.4</v>
      </c>
    </row>
    <row r="37" spans="1:3" ht="30">
      <c r="A37" s="99">
        <v>12</v>
      </c>
      <c r="B37" s="76" t="s">
        <v>70</v>
      </c>
      <c r="C37" s="156">
        <v>381.4</v>
      </c>
    </row>
    <row r="38" spans="1:3" ht="30">
      <c r="A38" s="99">
        <v>13</v>
      </c>
      <c r="B38" s="76" t="s">
        <v>95</v>
      </c>
      <c r="C38" s="156">
        <v>694.4</v>
      </c>
    </row>
    <row r="39" spans="1:3" ht="30">
      <c r="A39" s="99">
        <v>14</v>
      </c>
      <c r="B39" s="76" t="s">
        <v>79</v>
      </c>
      <c r="C39" s="156">
        <v>381.4</v>
      </c>
    </row>
    <row r="40" spans="1:3" ht="30">
      <c r="A40" s="99">
        <v>15</v>
      </c>
      <c r="B40" s="76" t="s">
        <v>90</v>
      </c>
      <c r="C40" s="156">
        <v>682</v>
      </c>
    </row>
    <row r="41" spans="1:3" ht="30">
      <c r="A41" s="99">
        <v>16</v>
      </c>
      <c r="B41" s="76" t="s">
        <v>81</v>
      </c>
      <c r="C41" s="156">
        <v>240</v>
      </c>
    </row>
    <row r="42" spans="1:3" ht="30">
      <c r="A42" s="99">
        <v>17</v>
      </c>
      <c r="B42" s="76" t="s">
        <v>96</v>
      </c>
      <c r="C42" s="156">
        <v>373</v>
      </c>
    </row>
    <row r="43" spans="1:5" ht="30">
      <c r="A43" s="99">
        <v>18</v>
      </c>
      <c r="B43" s="76" t="s">
        <v>97</v>
      </c>
      <c r="C43" s="156">
        <v>682</v>
      </c>
      <c r="E43" s="180"/>
    </row>
    <row r="44" spans="1:3" ht="30.75" thickBot="1">
      <c r="A44" s="99">
        <v>19</v>
      </c>
      <c r="B44" s="77" t="s">
        <v>98</v>
      </c>
      <c r="C44" s="157">
        <v>682</v>
      </c>
    </row>
    <row r="45" spans="1:3" ht="30.75" thickBot="1">
      <c r="A45" s="99">
        <v>20</v>
      </c>
      <c r="B45" s="77" t="s">
        <v>100</v>
      </c>
      <c r="C45" s="157">
        <v>682</v>
      </c>
    </row>
    <row r="46" spans="1:3" ht="30.75" thickBot="1">
      <c r="A46" s="99">
        <v>21</v>
      </c>
      <c r="B46" s="175" t="s">
        <v>101</v>
      </c>
      <c r="C46" s="176">
        <v>240</v>
      </c>
    </row>
    <row r="47" spans="1:3" ht="30.75" thickBot="1">
      <c r="A47" s="99">
        <v>22</v>
      </c>
      <c r="B47" s="177" t="s">
        <v>103</v>
      </c>
      <c r="C47" s="178">
        <v>861.5</v>
      </c>
    </row>
    <row r="48" spans="1:3" ht="30">
      <c r="A48" s="99">
        <v>23</v>
      </c>
      <c r="B48" s="182" t="s">
        <v>104</v>
      </c>
      <c r="C48" s="176">
        <v>464.5</v>
      </c>
    </row>
    <row r="49" spans="1:3" ht="30">
      <c r="A49" s="99">
        <v>24</v>
      </c>
      <c r="B49" s="182" t="s">
        <v>105</v>
      </c>
      <c r="C49" s="176">
        <v>464.5</v>
      </c>
    </row>
    <row r="50" ht="15">
      <c r="B50" s="100"/>
    </row>
    <row r="51" spans="2:4" ht="15">
      <c r="B51" s="196" t="s">
        <v>46</v>
      </c>
      <c r="C51" s="196"/>
      <c r="D51" s="196"/>
    </row>
    <row r="52" ht="15.75" thickBot="1"/>
    <row r="53" spans="2:5" ht="15.75" thickBot="1">
      <c r="B53" s="192" t="s">
        <v>47</v>
      </c>
      <c r="C53" s="193"/>
      <c r="D53" s="68" t="s">
        <v>48</v>
      </c>
      <c r="E53" s="33">
        <v>0.809</v>
      </c>
    </row>
    <row r="54" spans="2:5" ht="15.75" thickBot="1">
      <c r="B54" s="194" t="s">
        <v>52</v>
      </c>
      <c r="C54" s="195"/>
      <c r="D54" s="69" t="s">
        <v>50</v>
      </c>
      <c r="E54" s="97">
        <v>4.176</v>
      </c>
    </row>
    <row r="55" spans="2:5" ht="15.75" thickBot="1">
      <c r="B55" s="65" t="s">
        <v>51</v>
      </c>
      <c r="C55" s="66"/>
      <c r="D55" s="48" t="s">
        <v>53</v>
      </c>
      <c r="E55" s="98">
        <v>2.8E-05</v>
      </c>
    </row>
    <row r="56" spans="2:4" ht="15">
      <c r="B56" s="67"/>
      <c r="C56" s="67"/>
      <c r="D56" s="67"/>
    </row>
    <row r="57" spans="2:4" ht="14.25">
      <c r="B57" s="67"/>
      <c r="C57" s="67"/>
      <c r="D57" s="67"/>
    </row>
    <row r="58" spans="2:5" ht="15" customHeight="1">
      <c r="B58" s="196" t="s">
        <v>54</v>
      </c>
      <c r="C58" s="196"/>
      <c r="D58" s="196"/>
      <c r="E58" s="23"/>
    </row>
    <row r="59" spans="2:4" ht="15" thickBot="1">
      <c r="B59" s="67"/>
      <c r="C59" s="67"/>
      <c r="D59" s="67"/>
    </row>
    <row r="60" spans="2:5" ht="15" thickBot="1">
      <c r="B60" s="199" t="s">
        <v>51</v>
      </c>
      <c r="C60" s="200"/>
      <c r="D60" s="70" t="s">
        <v>53</v>
      </c>
      <c r="E60" s="97">
        <f>1.03</f>
        <v>1.03</v>
      </c>
    </row>
    <row r="61" spans="2:4" ht="14.25">
      <c r="B61" s="67"/>
      <c r="C61" s="67"/>
      <c r="D61" s="67"/>
    </row>
    <row r="62" spans="2:4" ht="14.25">
      <c r="B62" s="196" t="s">
        <v>63</v>
      </c>
      <c r="C62" s="196"/>
      <c r="D62" s="196"/>
    </row>
    <row r="63" spans="2:4" ht="15" thickBot="1">
      <c r="B63" s="67"/>
      <c r="C63" s="67"/>
      <c r="D63" s="67"/>
    </row>
    <row r="64" spans="2:5" ht="14.25">
      <c r="B64" s="183" t="s">
        <v>61</v>
      </c>
      <c r="C64" s="184"/>
      <c r="D64" s="187" t="s">
        <v>62</v>
      </c>
      <c r="E64" s="189">
        <v>12</v>
      </c>
    </row>
    <row r="65" spans="2:5" ht="15" customHeight="1" thickBot="1">
      <c r="B65" s="185"/>
      <c r="C65" s="186"/>
      <c r="D65" s="188"/>
      <c r="E65" s="190"/>
    </row>
    <row r="69" ht="15" customHeight="1"/>
  </sheetData>
  <sheetProtection/>
  <mergeCells count="13">
    <mergeCell ref="B3:E3"/>
    <mergeCell ref="B16:D16"/>
    <mergeCell ref="B23:D23"/>
    <mergeCell ref="B60:C60"/>
    <mergeCell ref="B64:C65"/>
    <mergeCell ref="D64:D65"/>
    <mergeCell ref="E64:E65"/>
    <mergeCell ref="B9:E9"/>
    <mergeCell ref="B53:C53"/>
    <mergeCell ref="B54:C54"/>
    <mergeCell ref="B62:D62"/>
    <mergeCell ref="B58:D58"/>
    <mergeCell ref="B51:D5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0"/>
  <sheetViews>
    <sheetView tabSelected="1" zoomScalePageLayoutView="0" workbookViewId="0" topLeftCell="A1">
      <selection activeCell="D31" sqref="D31"/>
    </sheetView>
  </sheetViews>
  <sheetFormatPr defaultColWidth="9.140625" defaultRowHeight="15"/>
  <cols>
    <col min="1" max="1" width="14.7109375" style="0" customWidth="1"/>
    <col min="2" max="2" width="12.140625" style="0" customWidth="1"/>
    <col min="3" max="3" width="9.00390625" style="0" customWidth="1"/>
    <col min="4" max="5" width="9.57421875" style="0" bestFit="1" customWidth="1"/>
    <col min="6" max="6" width="9.421875" style="0" bestFit="1" customWidth="1"/>
    <col min="7" max="8" width="9.57421875" style="0" bestFit="1" customWidth="1"/>
    <col min="9" max="9" width="9.28125" style="0" customWidth="1"/>
    <col min="10" max="11" width="9.57421875" style="0" bestFit="1" customWidth="1"/>
    <col min="12" max="12" width="9.421875" style="0" bestFit="1" customWidth="1"/>
    <col min="13" max="13" width="9.57421875" style="0" bestFit="1" customWidth="1"/>
    <col min="14" max="14" width="10.57421875" style="0" bestFit="1" customWidth="1"/>
    <col min="15" max="15" width="9.421875" style="0" bestFit="1" customWidth="1"/>
    <col min="16" max="17" width="10.57421875" style="0" bestFit="1" customWidth="1"/>
    <col min="18" max="18" width="9.421875" style="0" bestFit="1" customWidth="1"/>
    <col min="19" max="20" width="10.57421875" style="0" bestFit="1" customWidth="1"/>
    <col min="21" max="21" width="9.421875" style="0" bestFit="1" customWidth="1"/>
    <col min="22" max="23" width="10.57421875" style="0" bestFit="1" customWidth="1"/>
    <col min="24" max="24" width="9.421875" style="0" bestFit="1" customWidth="1"/>
    <col min="25" max="26" width="10.57421875" style="0" bestFit="1" customWidth="1"/>
    <col min="27" max="27" width="9.421875" style="0" bestFit="1" customWidth="1"/>
    <col min="28" max="29" width="9.57421875" style="0" bestFit="1" customWidth="1"/>
    <col min="30" max="30" width="9.421875" style="0" bestFit="1" customWidth="1"/>
    <col min="31" max="32" width="9.57421875" style="0" bestFit="1" customWidth="1"/>
    <col min="33" max="33" width="9.421875" style="0" bestFit="1" customWidth="1"/>
    <col min="34" max="35" width="9.57421875" style="0" bestFit="1" customWidth="1"/>
    <col min="36" max="36" width="9.421875" style="0" bestFit="1" customWidth="1"/>
    <col min="37" max="38" width="9.57421875" style="0" bestFit="1" customWidth="1"/>
    <col min="39" max="39" width="8.57421875" style="0" customWidth="1"/>
    <col min="40" max="41" width="9.57421875" style="0" bestFit="1" customWidth="1"/>
    <col min="42" max="50" width="9.421875" style="0" bestFit="1" customWidth="1"/>
  </cols>
  <sheetData>
    <row r="1" ht="14.25">
      <c r="A1" t="s">
        <v>0</v>
      </c>
    </row>
    <row r="2" spans="2:7" s="23" customFormat="1" ht="15" thickBot="1">
      <c r="B2" s="215" t="s">
        <v>29</v>
      </c>
      <c r="C2" s="215"/>
      <c r="D2" s="215"/>
      <c r="E2" s="215"/>
      <c r="F2" s="215"/>
      <c r="G2" s="215"/>
    </row>
    <row r="3" spans="2:50" s="23" customFormat="1" ht="15" customHeight="1">
      <c r="B3" s="78"/>
      <c r="C3" s="205" t="s">
        <v>15</v>
      </c>
      <c r="D3" s="207"/>
      <c r="E3" s="205" t="s">
        <v>16</v>
      </c>
      <c r="F3" s="207"/>
      <c r="G3" s="205" t="s">
        <v>17</v>
      </c>
      <c r="H3" s="207"/>
      <c r="I3" s="205" t="s">
        <v>18</v>
      </c>
      <c r="J3" s="207"/>
      <c r="K3" s="205" t="s">
        <v>19</v>
      </c>
      <c r="L3" s="207"/>
      <c r="M3" s="205" t="s">
        <v>20</v>
      </c>
      <c r="N3" s="207"/>
      <c r="O3" s="211" t="s">
        <v>21</v>
      </c>
      <c r="P3" s="212"/>
      <c r="Q3" s="205" t="s">
        <v>22</v>
      </c>
      <c r="R3" s="207"/>
      <c r="S3" s="205" t="s">
        <v>83</v>
      </c>
      <c r="T3" s="207"/>
      <c r="U3" s="205" t="s">
        <v>84</v>
      </c>
      <c r="V3" s="207"/>
      <c r="W3" s="205" t="s">
        <v>85</v>
      </c>
      <c r="X3" s="207"/>
      <c r="Y3" s="205" t="s">
        <v>86</v>
      </c>
      <c r="Z3" s="207"/>
      <c r="AA3" s="205" t="s">
        <v>87</v>
      </c>
      <c r="AB3" s="207"/>
      <c r="AC3" s="205" t="s">
        <v>94</v>
      </c>
      <c r="AD3" s="207"/>
      <c r="AE3" s="205" t="s">
        <v>82</v>
      </c>
      <c r="AF3" s="206"/>
      <c r="AG3" s="205" t="s">
        <v>88</v>
      </c>
      <c r="AH3" s="206"/>
      <c r="AI3" s="201" t="s">
        <v>96</v>
      </c>
      <c r="AJ3" s="202"/>
      <c r="AK3" s="201" t="s">
        <v>97</v>
      </c>
      <c r="AL3" s="202"/>
      <c r="AM3" s="201" t="s">
        <v>98</v>
      </c>
      <c r="AN3" s="202"/>
      <c r="AO3" s="201" t="s">
        <v>100</v>
      </c>
      <c r="AP3" s="202"/>
      <c r="AQ3" s="201" t="s">
        <v>102</v>
      </c>
      <c r="AR3" s="202"/>
      <c r="AS3" s="201" t="s">
        <v>103</v>
      </c>
      <c r="AT3" s="202"/>
      <c r="AU3" s="201" t="s">
        <v>106</v>
      </c>
      <c r="AV3" s="202"/>
      <c r="AW3" s="201" t="s">
        <v>107</v>
      </c>
      <c r="AX3" s="202"/>
    </row>
    <row r="4" spans="2:50" s="23" customFormat="1" ht="15" thickBot="1">
      <c r="B4" s="79"/>
      <c r="C4" s="80" t="s">
        <v>25</v>
      </c>
      <c r="D4" s="81" t="s">
        <v>26</v>
      </c>
      <c r="E4" s="80" t="s">
        <v>25</v>
      </c>
      <c r="F4" s="81" t="s">
        <v>26</v>
      </c>
      <c r="G4" s="80" t="s">
        <v>25</v>
      </c>
      <c r="H4" s="81" t="s">
        <v>26</v>
      </c>
      <c r="I4" s="80" t="s">
        <v>25</v>
      </c>
      <c r="J4" s="81" t="s">
        <v>26</v>
      </c>
      <c r="K4" s="80" t="s">
        <v>25</v>
      </c>
      <c r="L4" s="81" t="s">
        <v>26</v>
      </c>
      <c r="M4" s="80" t="s">
        <v>25</v>
      </c>
      <c r="N4" s="81" t="s">
        <v>26</v>
      </c>
      <c r="O4" s="80" t="s">
        <v>25</v>
      </c>
      <c r="P4" s="81" t="s">
        <v>26</v>
      </c>
      <c r="Q4" s="80" t="s">
        <v>25</v>
      </c>
      <c r="R4" s="81" t="s">
        <v>26</v>
      </c>
      <c r="S4" s="80" t="s">
        <v>25</v>
      </c>
      <c r="T4" s="81" t="s">
        <v>26</v>
      </c>
      <c r="U4" s="80" t="s">
        <v>25</v>
      </c>
      <c r="V4" s="81" t="s">
        <v>26</v>
      </c>
      <c r="W4" s="82" t="s">
        <v>25</v>
      </c>
      <c r="X4" s="83" t="s">
        <v>26</v>
      </c>
      <c r="Y4" s="84" t="s">
        <v>25</v>
      </c>
      <c r="Z4" s="85" t="s">
        <v>26</v>
      </c>
      <c r="AA4" s="84" t="s">
        <v>25</v>
      </c>
      <c r="AB4" s="85" t="s">
        <v>26</v>
      </c>
      <c r="AC4" s="84" t="s">
        <v>25</v>
      </c>
      <c r="AD4" s="85" t="s">
        <v>26</v>
      </c>
      <c r="AE4" s="80" t="s">
        <v>25</v>
      </c>
      <c r="AF4" s="121" t="s">
        <v>26</v>
      </c>
      <c r="AG4" s="84" t="s">
        <v>25</v>
      </c>
      <c r="AH4" s="83" t="s">
        <v>26</v>
      </c>
      <c r="AI4" s="120" t="s">
        <v>25</v>
      </c>
      <c r="AJ4" s="81" t="s">
        <v>26</v>
      </c>
      <c r="AK4" s="80" t="s">
        <v>25</v>
      </c>
      <c r="AL4" s="81" t="s">
        <v>26</v>
      </c>
      <c r="AM4" s="80" t="s">
        <v>25</v>
      </c>
      <c r="AN4" s="81" t="s">
        <v>26</v>
      </c>
      <c r="AO4" s="80" t="s">
        <v>25</v>
      </c>
      <c r="AP4" s="81" t="s">
        <v>26</v>
      </c>
      <c r="AQ4" s="80" t="s">
        <v>25</v>
      </c>
      <c r="AR4" s="81" t="s">
        <v>26</v>
      </c>
      <c r="AS4" s="80" t="s">
        <v>25</v>
      </c>
      <c r="AT4" s="81" t="s">
        <v>26</v>
      </c>
      <c r="AU4" s="80" t="s">
        <v>25</v>
      </c>
      <c r="AV4" s="81" t="s">
        <v>26</v>
      </c>
      <c r="AW4" s="80" t="s">
        <v>25</v>
      </c>
      <c r="AX4" s="81" t="s">
        <v>26</v>
      </c>
    </row>
    <row r="5" spans="2:50" s="23" customFormat="1" ht="14.25">
      <c r="B5" s="122" t="s">
        <v>108</v>
      </c>
      <c r="C5" s="152">
        <v>295.5</v>
      </c>
      <c r="D5" s="153">
        <v>31301</v>
      </c>
      <c r="E5" s="152">
        <v>285.7</v>
      </c>
      <c r="F5" s="153">
        <v>32471</v>
      </c>
      <c r="G5" s="152">
        <v>993.41</v>
      </c>
      <c r="H5" s="153">
        <v>61091</v>
      </c>
      <c r="I5" s="152">
        <v>413</v>
      </c>
      <c r="J5" s="153">
        <v>58103</v>
      </c>
      <c r="K5" s="152">
        <v>2367.9</v>
      </c>
      <c r="L5" s="153">
        <v>208078</v>
      </c>
      <c r="M5" s="152">
        <v>1477.4</v>
      </c>
      <c r="N5" s="153">
        <v>120886</v>
      </c>
      <c r="O5" s="152">
        <v>844.1</v>
      </c>
      <c r="P5" s="153">
        <v>64775</v>
      </c>
      <c r="Q5" s="152">
        <v>679.8</v>
      </c>
      <c r="R5" s="153">
        <v>47699</v>
      </c>
      <c r="S5" s="152">
        <v>322.25</v>
      </c>
      <c r="T5" s="153">
        <v>81182</v>
      </c>
      <c r="U5" s="152">
        <v>511.28</v>
      </c>
      <c r="V5" s="153">
        <v>54095</v>
      </c>
      <c r="W5" s="152">
        <v>570.43</v>
      </c>
      <c r="X5" s="153">
        <v>78858</v>
      </c>
      <c r="Y5" s="152">
        <v>433.07</v>
      </c>
      <c r="Z5" s="153">
        <v>59297</v>
      </c>
      <c r="AA5" s="152">
        <v>495.24</v>
      </c>
      <c r="AB5" s="153">
        <v>83921</v>
      </c>
      <c r="AC5" s="152">
        <v>460.54</v>
      </c>
      <c r="AD5" s="153">
        <v>72027</v>
      </c>
      <c r="AE5" s="152">
        <v>859.8</v>
      </c>
      <c r="AF5" s="153">
        <v>80596</v>
      </c>
      <c r="AG5" s="152">
        <v>271.9</v>
      </c>
      <c r="AH5" s="153">
        <v>17651</v>
      </c>
      <c r="AI5" s="152">
        <v>258.9</v>
      </c>
      <c r="AJ5" s="153">
        <v>57410</v>
      </c>
      <c r="AK5" s="152">
        <v>911.9</v>
      </c>
      <c r="AL5" s="153">
        <v>72115</v>
      </c>
      <c r="AM5" s="152">
        <v>790.03</v>
      </c>
      <c r="AN5" s="153">
        <v>65922</v>
      </c>
      <c r="AO5" s="152">
        <v>244.6</v>
      </c>
      <c r="AP5" s="153">
        <v>12579</v>
      </c>
      <c r="AQ5" s="152">
        <v>320.05</v>
      </c>
      <c r="AR5" s="153">
        <v>14736</v>
      </c>
      <c r="AS5" s="152">
        <v>788.5</v>
      </c>
      <c r="AT5" s="153">
        <v>49203</v>
      </c>
      <c r="AU5" s="152">
        <v>340.23</v>
      </c>
      <c r="AV5" s="153">
        <v>16405</v>
      </c>
      <c r="AW5" s="152">
        <v>254</v>
      </c>
      <c r="AX5" s="153">
        <v>19789</v>
      </c>
    </row>
    <row r="6" spans="2:50" s="23" customFormat="1" ht="14.25">
      <c r="B6" s="123" t="s">
        <v>109</v>
      </c>
      <c r="C6" s="152">
        <v>269.44</v>
      </c>
      <c r="D6" s="154">
        <v>36485</v>
      </c>
      <c r="E6" s="152">
        <v>274.01</v>
      </c>
      <c r="F6" s="154">
        <v>35923</v>
      </c>
      <c r="G6" s="152">
        <v>688.85</v>
      </c>
      <c r="H6" s="154">
        <v>65855</v>
      </c>
      <c r="I6" s="152">
        <v>550.74</v>
      </c>
      <c r="J6" s="154">
        <v>51427</v>
      </c>
      <c r="K6" s="152">
        <v>2352</v>
      </c>
      <c r="L6" s="154">
        <v>215842</v>
      </c>
      <c r="M6" s="152">
        <v>1500.5</v>
      </c>
      <c r="N6" s="154">
        <v>122378</v>
      </c>
      <c r="O6" s="152">
        <v>1427.8</v>
      </c>
      <c r="P6" s="154">
        <v>113105</v>
      </c>
      <c r="Q6" s="152">
        <v>440.5</v>
      </c>
      <c r="R6" s="154">
        <v>58585</v>
      </c>
      <c r="S6" s="152">
        <v>672.4</v>
      </c>
      <c r="T6" s="154">
        <v>93822</v>
      </c>
      <c r="U6" s="152">
        <v>558</v>
      </c>
      <c r="V6" s="154">
        <v>60814</v>
      </c>
      <c r="W6" s="152">
        <v>465.8</v>
      </c>
      <c r="X6" s="154">
        <v>43875</v>
      </c>
      <c r="Y6" s="152">
        <v>601.8</v>
      </c>
      <c r="Z6" s="154">
        <v>71780</v>
      </c>
      <c r="AA6" s="152">
        <v>561.7</v>
      </c>
      <c r="AB6" s="154">
        <v>90987</v>
      </c>
      <c r="AC6" s="152">
        <v>395.87</v>
      </c>
      <c r="AD6" s="154">
        <v>64324</v>
      </c>
      <c r="AE6" s="152">
        <v>941.1</v>
      </c>
      <c r="AF6" s="154">
        <v>77740</v>
      </c>
      <c r="AG6" s="152">
        <v>324.8</v>
      </c>
      <c r="AH6" s="154">
        <v>18465</v>
      </c>
      <c r="AI6" s="152">
        <v>468.2</v>
      </c>
      <c r="AJ6" s="154">
        <v>54896</v>
      </c>
      <c r="AK6" s="152">
        <v>844.3</v>
      </c>
      <c r="AL6" s="154">
        <v>82783</v>
      </c>
      <c r="AM6" s="152">
        <v>968.86</v>
      </c>
      <c r="AN6" s="154">
        <v>65982</v>
      </c>
      <c r="AO6" s="152">
        <v>23.4</v>
      </c>
      <c r="AP6" s="154">
        <v>828</v>
      </c>
      <c r="AQ6" s="152">
        <v>260.7</v>
      </c>
      <c r="AR6" s="154">
        <v>11198</v>
      </c>
      <c r="AS6" s="152">
        <v>229.8</v>
      </c>
      <c r="AT6" s="154">
        <v>46978</v>
      </c>
      <c r="AU6" s="152">
        <v>254.4</v>
      </c>
      <c r="AV6" s="154">
        <v>12524</v>
      </c>
      <c r="AW6" s="152">
        <v>286</v>
      </c>
      <c r="AX6" s="154">
        <v>15717</v>
      </c>
    </row>
    <row r="7" spans="2:50" s="23" customFormat="1" ht="15" thickBot="1">
      <c r="B7" s="124" t="s">
        <v>110</v>
      </c>
      <c r="C7" s="152">
        <v>362.075</v>
      </c>
      <c r="D7" s="154">
        <v>31060</v>
      </c>
      <c r="E7" s="152">
        <v>289.8</v>
      </c>
      <c r="F7" s="154">
        <v>34451</v>
      </c>
      <c r="G7" s="152">
        <v>582.05</v>
      </c>
      <c r="H7" s="154">
        <v>57952</v>
      </c>
      <c r="I7" s="152">
        <v>556.7</v>
      </c>
      <c r="J7" s="154">
        <v>53458</v>
      </c>
      <c r="K7" s="152">
        <v>2100.4</v>
      </c>
      <c r="L7" s="154">
        <v>187645</v>
      </c>
      <c r="M7" s="152">
        <v>1709.3</v>
      </c>
      <c r="N7" s="154">
        <v>122873</v>
      </c>
      <c r="O7" s="152">
        <v>1744.7</v>
      </c>
      <c r="P7" s="154">
        <v>171298</v>
      </c>
      <c r="Q7" s="152">
        <v>0</v>
      </c>
      <c r="R7" s="154">
        <v>0</v>
      </c>
      <c r="S7" s="152">
        <v>736.81</v>
      </c>
      <c r="T7" s="154">
        <v>91426</v>
      </c>
      <c r="U7" s="152">
        <v>497.6</v>
      </c>
      <c r="V7" s="154">
        <v>45614</v>
      </c>
      <c r="W7" s="152">
        <v>541.5</v>
      </c>
      <c r="X7" s="154">
        <v>55902</v>
      </c>
      <c r="Y7" s="152">
        <v>521.5</v>
      </c>
      <c r="Z7" s="154">
        <v>64456</v>
      </c>
      <c r="AA7" s="152">
        <v>735.1</v>
      </c>
      <c r="AB7" s="154">
        <v>96225</v>
      </c>
      <c r="AC7" s="152">
        <v>541.93</v>
      </c>
      <c r="AD7" s="154">
        <v>81120</v>
      </c>
      <c r="AE7" s="152">
        <v>692.1</v>
      </c>
      <c r="AF7" s="154">
        <v>66441</v>
      </c>
      <c r="AG7" s="152">
        <v>248.2</v>
      </c>
      <c r="AH7" s="154">
        <v>13880</v>
      </c>
      <c r="AI7" s="152">
        <v>440.2</v>
      </c>
      <c r="AJ7" s="154">
        <v>47214</v>
      </c>
      <c r="AK7" s="152">
        <v>681.6</v>
      </c>
      <c r="AL7" s="154">
        <v>77752</v>
      </c>
      <c r="AM7" s="152">
        <v>665.5</v>
      </c>
      <c r="AN7" s="154">
        <v>70213</v>
      </c>
      <c r="AO7" s="152">
        <v>97.7</v>
      </c>
      <c r="AP7" s="154">
        <v>10040</v>
      </c>
      <c r="AQ7" s="152">
        <v>230.7</v>
      </c>
      <c r="AR7" s="154">
        <v>16112</v>
      </c>
      <c r="AS7" s="152">
        <v>280.5</v>
      </c>
      <c r="AT7" s="154">
        <v>43768</v>
      </c>
      <c r="AU7" s="152">
        <v>265.55</v>
      </c>
      <c r="AV7" s="154">
        <v>21450</v>
      </c>
      <c r="AW7" s="152">
        <v>317.7</v>
      </c>
      <c r="AX7" s="154">
        <v>19483</v>
      </c>
    </row>
    <row r="8" spans="2:50" s="93" customFormat="1" ht="29.25" thickBot="1">
      <c r="B8" s="86" t="s">
        <v>111</v>
      </c>
      <c r="C8" s="87">
        <f aca="true" t="shared" si="0" ref="C8:AN8">SUM(C5:C7)</f>
        <v>927.0150000000001</v>
      </c>
      <c r="D8" s="88">
        <f t="shared" si="0"/>
        <v>98846</v>
      </c>
      <c r="E8" s="87">
        <f t="shared" si="0"/>
        <v>849.51</v>
      </c>
      <c r="F8" s="88">
        <f t="shared" si="0"/>
        <v>102845</v>
      </c>
      <c r="G8" s="87">
        <f t="shared" si="0"/>
        <v>2264.31</v>
      </c>
      <c r="H8" s="88">
        <f t="shared" si="0"/>
        <v>184898</v>
      </c>
      <c r="I8" s="87">
        <f t="shared" si="0"/>
        <v>1520.44</v>
      </c>
      <c r="J8" s="88">
        <f t="shared" si="0"/>
        <v>162988</v>
      </c>
      <c r="K8" s="87">
        <f t="shared" si="0"/>
        <v>6820.299999999999</v>
      </c>
      <c r="L8" s="88">
        <f t="shared" si="0"/>
        <v>611565</v>
      </c>
      <c r="M8" s="87">
        <f t="shared" si="0"/>
        <v>4687.2</v>
      </c>
      <c r="N8" s="88">
        <f t="shared" si="0"/>
        <v>366137</v>
      </c>
      <c r="O8" s="87">
        <f t="shared" si="0"/>
        <v>4016.6000000000004</v>
      </c>
      <c r="P8" s="88">
        <f t="shared" si="0"/>
        <v>349178</v>
      </c>
      <c r="Q8" s="87">
        <f t="shared" si="0"/>
        <v>1120.3</v>
      </c>
      <c r="R8" s="88">
        <f t="shared" si="0"/>
        <v>106284</v>
      </c>
      <c r="S8" s="87">
        <f t="shared" si="0"/>
        <v>1731.46</v>
      </c>
      <c r="T8" s="88">
        <f t="shared" si="0"/>
        <v>266430</v>
      </c>
      <c r="U8" s="87">
        <f t="shared" si="0"/>
        <v>1566.88</v>
      </c>
      <c r="V8" s="88">
        <f t="shared" si="0"/>
        <v>160523</v>
      </c>
      <c r="W8" s="89">
        <f t="shared" si="0"/>
        <v>1577.73</v>
      </c>
      <c r="X8" s="90">
        <f t="shared" si="0"/>
        <v>178635</v>
      </c>
      <c r="Y8" s="91">
        <f t="shared" si="0"/>
        <v>1556.37</v>
      </c>
      <c r="Z8" s="92">
        <f t="shared" si="0"/>
        <v>195533</v>
      </c>
      <c r="AA8" s="91">
        <f t="shared" si="0"/>
        <v>1792.04</v>
      </c>
      <c r="AB8" s="92">
        <f t="shared" si="0"/>
        <v>271133</v>
      </c>
      <c r="AC8" s="91">
        <f t="shared" si="0"/>
        <v>1398.3400000000001</v>
      </c>
      <c r="AD8" s="92">
        <f t="shared" si="0"/>
        <v>217471</v>
      </c>
      <c r="AE8" s="91">
        <f>SUM(AE5:AE7)</f>
        <v>2493</v>
      </c>
      <c r="AF8" s="90">
        <f t="shared" si="0"/>
        <v>224777</v>
      </c>
      <c r="AG8" s="91">
        <f t="shared" si="0"/>
        <v>844.9000000000001</v>
      </c>
      <c r="AH8" s="90">
        <f t="shared" si="0"/>
        <v>49996</v>
      </c>
      <c r="AI8" s="91">
        <f t="shared" si="0"/>
        <v>1167.3</v>
      </c>
      <c r="AJ8" s="92">
        <f t="shared" si="0"/>
        <v>159520</v>
      </c>
      <c r="AK8" s="91">
        <f t="shared" si="0"/>
        <v>2437.7999999999997</v>
      </c>
      <c r="AL8" s="92">
        <f t="shared" si="0"/>
        <v>232650</v>
      </c>
      <c r="AM8" s="91">
        <f t="shared" si="0"/>
        <v>2424.39</v>
      </c>
      <c r="AN8" s="92">
        <f t="shared" si="0"/>
        <v>202117</v>
      </c>
      <c r="AO8" s="125">
        <f aca="true" t="shared" si="1" ref="AO8:AT8">SUM(AO5:AO7)</f>
        <v>365.7</v>
      </c>
      <c r="AP8" s="92">
        <f t="shared" si="1"/>
        <v>23447</v>
      </c>
      <c r="AQ8" s="125">
        <f t="shared" si="1"/>
        <v>811.45</v>
      </c>
      <c r="AR8" s="92">
        <f t="shared" si="1"/>
        <v>42046</v>
      </c>
      <c r="AS8" s="125">
        <f t="shared" si="1"/>
        <v>1298.8</v>
      </c>
      <c r="AT8" s="92">
        <f t="shared" si="1"/>
        <v>139949</v>
      </c>
      <c r="AU8" s="125">
        <f>SUM(AU5:AU7)</f>
        <v>860.1800000000001</v>
      </c>
      <c r="AV8" s="92">
        <f>SUM(AV5:AV7)</f>
        <v>50379</v>
      </c>
      <c r="AW8" s="125">
        <f>SUM(AW5:AW7)</f>
        <v>857.7</v>
      </c>
      <c r="AX8" s="92">
        <f>SUM(AX5:AX7)</f>
        <v>54989</v>
      </c>
    </row>
    <row r="10" spans="2:7" ht="15" customHeight="1">
      <c r="B10" s="23"/>
      <c r="C10" s="23"/>
      <c r="D10" s="23"/>
      <c r="E10" s="23"/>
      <c r="F10" s="23"/>
      <c r="G10" s="23"/>
    </row>
    <row r="11" spans="2:51" ht="15" thickBot="1">
      <c r="B11" s="210" t="s">
        <v>68</v>
      </c>
      <c r="C11" s="210"/>
      <c r="D11" s="210"/>
      <c r="E11" s="210"/>
      <c r="F11" s="210"/>
      <c r="G11" s="210"/>
      <c r="AG11" s="43"/>
      <c r="AY11" s="72"/>
    </row>
    <row r="12" spans="2:26" ht="29.25" thickBot="1">
      <c r="B12" s="13"/>
      <c r="C12" s="17" t="s">
        <v>15</v>
      </c>
      <c r="D12" s="17" t="s">
        <v>16</v>
      </c>
      <c r="E12" s="17" t="s">
        <v>17</v>
      </c>
      <c r="F12" s="17" t="s">
        <v>18</v>
      </c>
      <c r="G12" s="17" t="s">
        <v>19</v>
      </c>
      <c r="H12" s="17" t="s">
        <v>20</v>
      </c>
      <c r="I12" s="18" t="s">
        <v>21</v>
      </c>
      <c r="J12" s="17" t="s">
        <v>22</v>
      </c>
      <c r="K12" s="17" t="s">
        <v>23</v>
      </c>
      <c r="L12" s="17" t="s">
        <v>24</v>
      </c>
      <c r="M12" s="17" t="s">
        <v>77</v>
      </c>
      <c r="N12" s="17" t="s">
        <v>78</v>
      </c>
      <c r="O12" s="62" t="s">
        <v>93</v>
      </c>
      <c r="P12" s="62" t="s">
        <v>91</v>
      </c>
      <c r="Q12" s="62" t="s">
        <v>89</v>
      </c>
      <c r="R12" s="17" t="s">
        <v>92</v>
      </c>
      <c r="S12" s="105" t="s">
        <v>96</v>
      </c>
      <c r="T12" s="106" t="s">
        <v>97</v>
      </c>
      <c r="U12" s="107" t="s">
        <v>98</v>
      </c>
      <c r="V12" s="107" t="s">
        <v>100</v>
      </c>
      <c r="W12" s="107" t="s">
        <v>102</v>
      </c>
      <c r="X12" s="179" t="s">
        <v>103</v>
      </c>
      <c r="Y12" s="107" t="s">
        <v>106</v>
      </c>
      <c r="Z12" s="179" t="s">
        <v>107</v>
      </c>
    </row>
    <row r="13" spans="2:26" ht="15.75" thickBot="1">
      <c r="B13" s="8"/>
      <c r="C13" s="14" t="s">
        <v>28</v>
      </c>
      <c r="D13" s="14" t="s">
        <v>28</v>
      </c>
      <c r="E13" s="14" t="s">
        <v>28</v>
      </c>
      <c r="F13" s="14" t="s">
        <v>28</v>
      </c>
      <c r="G13" s="14" t="s">
        <v>28</v>
      </c>
      <c r="H13" s="14" t="s">
        <v>28</v>
      </c>
      <c r="I13" s="14" t="s">
        <v>28</v>
      </c>
      <c r="J13" s="14" t="s">
        <v>28</v>
      </c>
      <c r="K13" s="14" t="s">
        <v>28</v>
      </c>
      <c r="L13" s="14" t="s">
        <v>28</v>
      </c>
      <c r="M13" s="51" t="s">
        <v>28</v>
      </c>
      <c r="N13" s="14" t="s">
        <v>28</v>
      </c>
      <c r="O13" s="63" t="s">
        <v>28</v>
      </c>
      <c r="P13" s="63" t="s">
        <v>28</v>
      </c>
      <c r="Q13" s="63" t="s">
        <v>28</v>
      </c>
      <c r="R13" s="117" t="s">
        <v>28</v>
      </c>
      <c r="S13" s="110" t="s">
        <v>28</v>
      </c>
      <c r="T13" s="111" t="s">
        <v>28</v>
      </c>
      <c r="U13" s="112" t="s">
        <v>28</v>
      </c>
      <c r="V13" s="112" t="s">
        <v>28</v>
      </c>
      <c r="W13" s="112" t="s">
        <v>28</v>
      </c>
      <c r="X13" s="112" t="s">
        <v>28</v>
      </c>
      <c r="Y13" s="112" t="s">
        <v>28</v>
      </c>
      <c r="Z13" s="112" t="s">
        <v>28</v>
      </c>
    </row>
    <row r="14" spans="2:26" ht="15">
      <c r="B14" s="122" t="s">
        <v>108</v>
      </c>
      <c r="C14" s="15">
        <f>D5*'Default Data'!$B5*'Default Data'!$D$18/1000</f>
        <v>59.01417827679759</v>
      </c>
      <c r="D14" s="15">
        <f>F5*'Default Data'!$B5*'Default Data'!$D$18/1000</f>
        <v>61.22006909766125</v>
      </c>
      <c r="E14" s="15">
        <f>H5*'Default Data'!$B5*'Default Data'!$D$18/1000</f>
        <v>115.17955225417212</v>
      </c>
      <c r="F14" s="15">
        <f>J5*'Default Data'!$B5*'Default Data'!$D$18/1000</f>
        <v>109.54604646550496</v>
      </c>
      <c r="G14" s="15">
        <f>L5*'Default Data'!$B5*'Default Data'!$D$18/1000</f>
        <v>392.30542754159575</v>
      </c>
      <c r="H14" s="15">
        <f>N5*'Default Data'!$B5*'Default Data'!$D$18/1000</f>
        <v>227.91565621446452</v>
      </c>
      <c r="I14" s="15">
        <f>P5*'Default Data'!$B5*'Default Data'!$D$18/1000</f>
        <v>122.12528027473769</v>
      </c>
      <c r="J14" s="15">
        <f>R5*'Default Data'!$B5*'Default Data'!$D$18/1000</f>
        <v>89.93058655074816</v>
      </c>
      <c r="K14" s="15">
        <f>T5*'Default Data'!$B5*'Default Data'!$D$18/1000</f>
        <v>153.05865693961798</v>
      </c>
      <c r="L14" s="15">
        <f>V5*'Default Data'!$B5*'Default Data'!$D$18/1000</f>
        <v>101.98945637146947</v>
      </c>
      <c r="M14" s="50">
        <f>X5*'Default Data'!$B5*'Default Data'!$D$18/1000</f>
        <v>148.67704132621017</v>
      </c>
      <c r="N14" s="16">
        <f>Z5*'Default Data'!$B5*'Default Data'!$D$18/1000</f>
        <v>111.79718632884786</v>
      </c>
      <c r="O14" s="52">
        <f>AD5*'Default Data'!$B5*'Default Data'!$D$18/1000</f>
        <v>135.79803261055238</v>
      </c>
      <c r="P14" s="52">
        <f>AB5*'Default Data'!$B5*'Default Data'!$D$18/1000</f>
        <v>158.2227039125629</v>
      </c>
      <c r="Q14" s="15">
        <f>AF5*'Default Data'!$B5*'Default Data'!$D$18/1000</f>
        <v>151.95382615241618</v>
      </c>
      <c r="R14" s="15">
        <f>AH5*'Default Data'!$B5*'Default Data'!$D$18/1000</f>
        <v>33.27878536672166</v>
      </c>
      <c r="S14" s="108">
        <f>AJ5*'Default Data'!$B5*'Default Data'!$D$18/1000</f>
        <v>108.23948036391648</v>
      </c>
      <c r="T14" s="50">
        <f>AL5*'Default Data'!$B5*'Default Data'!$D$18/1000</f>
        <v>135.96394576630965</v>
      </c>
      <c r="U14" s="109">
        <f>AN5*'Default Data'!$B5*'Default Data'!$D$18/1000</f>
        <v>124.28780742989204</v>
      </c>
      <c r="V14" s="109">
        <f>AP5*'Default Data'!$B5*'Default Data'!$D$18/1000</f>
        <v>23.716154389439215</v>
      </c>
      <c r="W14" s="109">
        <f>AR5*'Default Data'!$B5*'Default Data'!$D$18/1000</f>
        <v>27.782912082262207</v>
      </c>
      <c r="X14" s="109">
        <f>AT5*'Default Data'!$B5*'Default Data'!$D$18/1000</f>
        <v>92.76619321278145</v>
      </c>
      <c r="Y14" s="109">
        <f>AV5*'Default Data'!$B5*'Default Data'!$D$18/1000</f>
        <v>30.929605911340357</v>
      </c>
      <c r="Z14" s="109">
        <f>AX5*'Default Data'!$B5*'Default Data'!$D$18/1000</f>
        <v>37.30972090091523</v>
      </c>
    </row>
    <row r="15" spans="2:26" ht="15">
      <c r="B15" s="123" t="s">
        <v>109</v>
      </c>
      <c r="C15" s="16">
        <f>D6*'Default Data'!$B6*'Default Data'!$D$18/1000</f>
        <v>69.8206051336426</v>
      </c>
      <c r="D15" s="16">
        <f>F6*'Default Data'!$B6*'Default Data'!$D$18/1000</f>
        <v>68.74511712253921</v>
      </c>
      <c r="E15" s="16">
        <f>H6*'Default Data'!$B6*'Default Data'!$D$18/1000</f>
        <v>126.02537895233749</v>
      </c>
      <c r="F15" s="16">
        <f>J6*'Default Data'!$B6*'Default Data'!$D$18/1000</f>
        <v>98.41480773490031</v>
      </c>
      <c r="G15" s="16">
        <f>L6*'Default Data'!$B6*'Default Data'!$D$18/1000</f>
        <v>413.05246137469334</v>
      </c>
      <c r="H15" s="16">
        <f>N6*'Default Data'!$B6*'Default Data'!$D$18/1000</f>
        <v>234.19229861710053</v>
      </c>
      <c r="I15" s="16">
        <f>P6*'Default Data'!$B6*'Default Data'!$D$18/1000</f>
        <v>216.44674643389462</v>
      </c>
      <c r="J15" s="16">
        <f>R6*'Default Data'!$B6*'Default Data'!$D$18/1000</f>
        <v>112.11292727845559</v>
      </c>
      <c r="K15" s="16">
        <f>T6*'Default Data'!$B6*'Default Data'!$D$18/1000</f>
        <v>179.54526010274404</v>
      </c>
      <c r="L15" s="16">
        <f>V6*'Default Data'!$B6*'Default Data'!$D$18/1000</f>
        <v>116.378519407903</v>
      </c>
      <c r="M15" s="50">
        <f>X6*'Default Data'!$B6*'Default Data'!$D$18/1000</f>
        <v>83.96269837573165</v>
      </c>
      <c r="N15" s="16">
        <f>Z6*'Default Data'!$B6*'Default Data'!$D$18/1000</f>
        <v>137.36393138256452</v>
      </c>
      <c r="O15" s="49">
        <f>AD6*'Default Data'!$B6*'Default Data'!$D$18/1000</f>
        <v>123.09553527796153</v>
      </c>
      <c r="P15" s="49">
        <f>AB6*'Default Data'!$B6*'Default Data'!$D$18/1000</f>
        <v>174.1199780538506</v>
      </c>
      <c r="Q15" s="16">
        <f>AF6*'Default Data'!$B6*'Default Data'!$D$18/1000</f>
        <v>148.76946260351858</v>
      </c>
      <c r="R15" s="16">
        <f>AH6*'Default Data'!$B6*'Default Data'!$D$18/1000</f>
        <v>35.33609630787202</v>
      </c>
      <c r="S15" s="104">
        <f>AJ6*'Default Data'!$B6*'Default Data'!$D$18/1000</f>
        <v>105.0533627358214</v>
      </c>
      <c r="T15" s="49">
        <f>AL6*'Default Data'!$B6*'Default Data'!$D$18/1000</f>
        <v>158.4201495074232</v>
      </c>
      <c r="U15" s="19">
        <f>AN6*'Default Data'!$B6*'Default Data'!$D$18/1000</f>
        <v>126.26841627869004</v>
      </c>
      <c r="V15" s="109">
        <f>AP6*'Default Data'!$B6*'Default Data'!$D$18/1000</f>
        <v>1.584526820629192</v>
      </c>
      <c r="W15" s="109">
        <f>AR6*'Default Data'!$B6*'Default Data'!$D$18/1000</f>
        <v>21.42938567319528</v>
      </c>
      <c r="X15" s="109">
        <f>AT6*'Default Data'!$B6*'Default Data'!$D$18/1000</f>
        <v>89.900846593621</v>
      </c>
      <c r="Y15" s="109">
        <f>AV6*'Default Data'!$B6*'Default Data'!$D$18/1000</f>
        <v>23.96692500188406</v>
      </c>
      <c r="Z15" s="109">
        <f>AX6*'Default Data'!$B6*'Default Data'!$D$18/1000</f>
        <v>30.077304395928756</v>
      </c>
    </row>
    <row r="16" spans="2:26" ht="15.75" thickBot="1">
      <c r="B16" s="124" t="s">
        <v>110</v>
      </c>
      <c r="C16" s="16">
        <f>D7*'Default Data'!$B7*'Default Data'!$D$18/1000</f>
        <v>59.148294323539005</v>
      </c>
      <c r="D16" s="16">
        <f>F7*'Default Data'!$B7*'Default Data'!$D$18/1000</f>
        <v>65.60585601224219</v>
      </c>
      <c r="E16" s="16">
        <f>H7*'Default Data'!$B7*'Default Data'!$D$18/1000</f>
        <v>110.35936743843313</v>
      </c>
      <c r="F16" s="16">
        <f>J7*'Default Data'!$B7*'Default Data'!$D$18/1000</f>
        <v>101.8013367014729</v>
      </c>
      <c r="G16" s="16">
        <f>L7*'Default Data'!$B7*'Default Data'!$D$18/1000</f>
        <v>357.336821904072</v>
      </c>
      <c r="H16" s="16">
        <f>N7*'Default Data'!$B7*'Default Data'!$D$18/1000</f>
        <v>233.98996678738598</v>
      </c>
      <c r="I16" s="16">
        <f>P7*'Default Data'!$B7*'Default Data'!$D$18/1000</f>
        <v>326.2068422741013</v>
      </c>
      <c r="J16" s="16">
        <f>R7*'Default Data'!$B7*'Default Data'!$D$18/1000</f>
        <v>0</v>
      </c>
      <c r="K16" s="16">
        <f>T7*'Default Data'!$B7*'Default Data'!$D$18/1000</f>
        <v>174.10469918943588</v>
      </c>
      <c r="L16" s="16">
        <f>V7*'Default Data'!$B7*'Default Data'!$D$18/1000</f>
        <v>86.86382154777554</v>
      </c>
      <c r="M16" s="50">
        <f>X7*'Default Data'!$B7*'Default Data'!$D$18/1000</f>
        <v>106.45550384013129</v>
      </c>
      <c r="N16" s="16">
        <f>Z7*'Default Data'!$B7*'Default Data'!$D$18/1000</f>
        <v>122.74508882543563</v>
      </c>
      <c r="O16" s="49">
        <f>AD7*'Default Data'!$B7*'Default Data'!$D$18/1000</f>
        <v>154.4787390703633</v>
      </c>
      <c r="P16" s="49">
        <f>AB7*'Default Data'!$B7*'Default Data'!$D$18/1000</f>
        <v>183.24354865687513</v>
      </c>
      <c r="Q16" s="16">
        <f>AF7*'Default Data'!$B7*'Default Data'!$D$18/1000</f>
        <v>126.5251713828157</v>
      </c>
      <c r="R16" s="16">
        <f>AH7*'Default Data'!$B7*'Default Data'!$D$18/1000</f>
        <v>26.43201304606315</v>
      </c>
      <c r="S16" s="113">
        <f>AJ7*'Default Data'!$B7*'Default Data'!$D$18/1000</f>
        <v>89.91073947815745</v>
      </c>
      <c r="T16" s="114">
        <f>AL7*'Default Data'!$B7*'Default Data'!$D$18/1000</f>
        <v>148.06497682690937</v>
      </c>
      <c r="U16" s="115">
        <f>AN7*'Default Data'!$B7*'Default Data'!$D$18/1000</f>
        <v>133.70828040369108</v>
      </c>
      <c r="V16" s="109">
        <f>AP7*'Default Data'!$B7*'Default Data'!$D$18/1000</f>
        <v>19.119410013146545</v>
      </c>
      <c r="W16" s="109">
        <f>AR7*'Default Data'!$B7*'Default Data'!$D$18/1000</f>
        <v>30.68246355894593</v>
      </c>
      <c r="X16" s="109">
        <f>AT7*'Default Data'!$B7*'Default Data'!$D$18/1000</f>
        <v>83.34843998559741</v>
      </c>
      <c r="Y16" s="109">
        <f>AV7*'Default Data'!$B7*'Default Data'!$D$18/1000</f>
        <v>40.8477435041826</v>
      </c>
      <c r="Z16" s="109">
        <f>AX7*'Default Data'!$B7*'Default Data'!$D$18/1000</f>
        <v>37.10193877351933</v>
      </c>
    </row>
    <row r="17" spans="2:26" ht="15.75" thickBot="1">
      <c r="B17" s="11" t="s">
        <v>112</v>
      </c>
      <c r="C17" s="21">
        <f aca="true" t="shared" si="2" ref="C17:R17">SUM(C14:C16)</f>
        <v>187.9830777339792</v>
      </c>
      <c r="D17" s="21">
        <f t="shared" si="2"/>
        <v>195.57104223244264</v>
      </c>
      <c r="E17" s="21">
        <f t="shared" si="2"/>
        <v>351.56429864494277</v>
      </c>
      <c r="F17" s="21">
        <f t="shared" si="2"/>
        <v>309.76219090187817</v>
      </c>
      <c r="G17" s="21">
        <f t="shared" si="2"/>
        <v>1162.694710820361</v>
      </c>
      <c r="H17" s="21">
        <f t="shared" si="2"/>
        <v>696.097921618951</v>
      </c>
      <c r="I17" s="21">
        <f t="shared" si="2"/>
        <v>664.7788689827336</v>
      </c>
      <c r="J17" s="21">
        <f t="shared" si="2"/>
        <v>202.04351382920373</v>
      </c>
      <c r="K17" s="21">
        <f t="shared" si="2"/>
        <v>506.7086162317979</v>
      </c>
      <c r="L17" s="21">
        <f t="shared" si="2"/>
        <v>305.231797327148</v>
      </c>
      <c r="M17" s="21">
        <f t="shared" si="2"/>
        <v>339.09524354207315</v>
      </c>
      <c r="N17" s="21">
        <f t="shared" si="2"/>
        <v>371.906206536848</v>
      </c>
      <c r="O17" s="64">
        <f t="shared" si="2"/>
        <v>413.37230695887723</v>
      </c>
      <c r="P17" s="64">
        <f t="shared" si="2"/>
        <v>515.5862306232887</v>
      </c>
      <c r="Q17" s="64">
        <f t="shared" si="2"/>
        <v>427.24846013875043</v>
      </c>
      <c r="R17" s="21">
        <f t="shared" si="2"/>
        <v>95.04689472065682</v>
      </c>
      <c r="S17" s="116">
        <f aca="true" t="shared" si="3" ref="S17:X17">SUM(S14:S16)</f>
        <v>303.2035825778953</v>
      </c>
      <c r="T17" s="64">
        <f t="shared" si="3"/>
        <v>442.4490721006422</v>
      </c>
      <c r="U17" s="22">
        <f t="shared" si="3"/>
        <v>384.26450411227313</v>
      </c>
      <c r="V17" s="22">
        <f t="shared" si="3"/>
        <v>44.42009122321495</v>
      </c>
      <c r="W17" s="22">
        <f t="shared" si="3"/>
        <v>79.89476131440341</v>
      </c>
      <c r="X17" s="22">
        <f t="shared" si="3"/>
        <v>266.01547979199984</v>
      </c>
      <c r="Y17" s="22">
        <f>SUM(Y14:Y16)</f>
        <v>95.74427441740701</v>
      </c>
      <c r="Z17" s="22">
        <f>SUM(Z14:Z16)</f>
        <v>104.48896407036332</v>
      </c>
    </row>
    <row r="18" spans="2:26" ht="15.75" thickBot="1">
      <c r="B18" s="20" t="s">
        <v>30</v>
      </c>
      <c r="C18" s="203">
        <f>SUM(C17:Z17)</f>
        <v>8465.172110452131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</row>
    <row r="21" spans="2:7" ht="15.75" thickBot="1">
      <c r="B21" s="210" t="s">
        <v>33</v>
      </c>
      <c r="C21" s="210"/>
      <c r="D21" s="210"/>
      <c r="E21" s="210"/>
      <c r="F21" s="210"/>
      <c r="G21" s="210"/>
    </row>
    <row r="22" spans="2:26" ht="45.75" thickBot="1">
      <c r="B22" s="13"/>
      <c r="C22" s="17" t="s">
        <v>15</v>
      </c>
      <c r="D22" s="17" t="s">
        <v>16</v>
      </c>
      <c r="E22" s="17" t="s">
        <v>17</v>
      </c>
      <c r="F22" s="17" t="s">
        <v>18</v>
      </c>
      <c r="G22" s="17" t="s">
        <v>19</v>
      </c>
      <c r="H22" s="17" t="s">
        <v>20</v>
      </c>
      <c r="I22" s="18" t="s">
        <v>21</v>
      </c>
      <c r="J22" s="17" t="s">
        <v>22</v>
      </c>
      <c r="K22" s="17" t="s">
        <v>23</v>
      </c>
      <c r="L22" s="17" t="s">
        <v>24</v>
      </c>
      <c r="M22" s="62" t="s">
        <v>69</v>
      </c>
      <c r="N22" s="17" t="s">
        <v>70</v>
      </c>
      <c r="O22" s="17" t="s">
        <v>80</v>
      </c>
      <c r="P22" s="17" t="s">
        <v>79</v>
      </c>
      <c r="Q22" s="17" t="s">
        <v>90</v>
      </c>
      <c r="R22" s="17" t="s">
        <v>81</v>
      </c>
      <c r="S22" s="105" t="s">
        <v>96</v>
      </c>
      <c r="T22" s="106" t="s">
        <v>97</v>
      </c>
      <c r="U22" s="107" t="s">
        <v>98</v>
      </c>
      <c r="V22" s="107" t="s">
        <v>100</v>
      </c>
      <c r="W22" s="107" t="s">
        <v>102</v>
      </c>
      <c r="X22" s="179" t="s">
        <v>103</v>
      </c>
      <c r="Y22" s="107" t="s">
        <v>106</v>
      </c>
      <c r="Z22" s="179" t="s">
        <v>107</v>
      </c>
    </row>
    <row r="23" spans="2:26" ht="15.75" thickBot="1">
      <c r="B23" s="8"/>
      <c r="C23" s="14" t="s">
        <v>28</v>
      </c>
      <c r="D23" s="14" t="s">
        <v>28</v>
      </c>
      <c r="E23" s="14" t="s">
        <v>28</v>
      </c>
      <c r="F23" s="14" t="s">
        <v>28</v>
      </c>
      <c r="G23" s="14" t="s">
        <v>28</v>
      </c>
      <c r="H23" s="14" t="s">
        <v>28</v>
      </c>
      <c r="I23" s="14" t="s">
        <v>28</v>
      </c>
      <c r="J23" s="14" t="s">
        <v>28</v>
      </c>
      <c r="K23" s="14" t="s">
        <v>28</v>
      </c>
      <c r="L23" s="14" t="s">
        <v>28</v>
      </c>
      <c r="M23" s="51" t="s">
        <v>28</v>
      </c>
      <c r="N23" s="14" t="s">
        <v>28</v>
      </c>
      <c r="O23" s="14" t="s">
        <v>28</v>
      </c>
      <c r="P23" s="14" t="s">
        <v>28</v>
      </c>
      <c r="Q23" s="14" t="s">
        <v>28</v>
      </c>
      <c r="R23" s="14" t="s">
        <v>28</v>
      </c>
      <c r="S23" s="110" t="s">
        <v>28</v>
      </c>
      <c r="T23" s="111" t="s">
        <v>28</v>
      </c>
      <c r="U23" s="112" t="s">
        <v>28</v>
      </c>
      <c r="V23" s="112" t="s">
        <v>28</v>
      </c>
      <c r="W23" s="112" t="s">
        <v>28</v>
      </c>
      <c r="X23" s="112" t="s">
        <v>28</v>
      </c>
      <c r="Y23" s="112" t="s">
        <v>28</v>
      </c>
      <c r="Z23" s="112" t="s">
        <v>28</v>
      </c>
    </row>
    <row r="24" spans="2:26" ht="15">
      <c r="B24" s="122" t="s">
        <v>108</v>
      </c>
      <c r="C24" s="52">
        <f>C5*'Default Data'!$C$26*'Default Data'!$B5*'Default Data'!$D$18/1000</f>
        <v>216.55597836888617</v>
      </c>
      <c r="D24" s="52">
        <f>E5*'Default Data'!$C$27*'Default Data'!$B5*'Default Data'!$D$18/1000</f>
        <v>209.37408805411434</v>
      </c>
      <c r="E24" s="52">
        <f>G5*'Default Data'!$C$28*'Default Data'!$B5*'Default Data'!$D$18/1000</f>
        <v>698.6111471214548</v>
      </c>
      <c r="F24" s="52">
        <f>I5*'Default Data'!$C$29*'Default Data'!$B5*'Default Data'!$D$18/1000</f>
        <v>290.4404060369443</v>
      </c>
      <c r="G24" s="52">
        <f>K5*'Default Data'!$C$30*'Default Data'!$B5*'Default Data'!$D$18/1000</f>
        <v>4158.12693497183</v>
      </c>
      <c r="H24" s="52">
        <f>M5*'Default Data'!$C$31*'Default Data'!$B5*'Default Data'!$D$18/1000</f>
        <v>2399.6700338187366</v>
      </c>
      <c r="I24" s="52">
        <f>O5*'Default Data'!$C$32*'Default Data'!$B5*'Default Data'!$D$18/1000</f>
        <v>1371.0311869137643</v>
      </c>
      <c r="J24" s="52">
        <f>Q5*'Default Data'!$C$33*'Default Data'!$B5*'Default Data'!$D$18/1000</f>
        <v>1288.4720276044732</v>
      </c>
      <c r="K24" s="52">
        <f>S5*'Default Data'!$C$34*'Default Data'!$B5*'Default Data'!$D$18/1000</f>
        <v>421.8915139666563</v>
      </c>
      <c r="L24" s="52">
        <f>U5*'Default Data'!$C$35*'Default Data'!$B5*'Default Data'!$D$18/1000</f>
        <v>367.6526028898218</v>
      </c>
      <c r="M24" s="52">
        <f>W5*'Default Data'!$C$36*'Default Data'!$B5*'Default Data'!$D$18/1000</f>
        <v>410.1863445987347</v>
      </c>
      <c r="N24" s="52">
        <f>Y5*'Default Data'!$C$37*'Default Data'!$B5*'Default Data'!$D$18/1000</f>
        <v>311.4131449176482</v>
      </c>
      <c r="O24" s="52">
        <f>AC5*'Default Data'!$C$38*'Default Data'!$B5*'Default Data'!$D$18/1000</f>
        <v>602.9415604102527</v>
      </c>
      <c r="P24" s="52">
        <f>AA5*'Default Data'!$C$39*'Default Data'!$B5*'Default Data'!$D$18/1000</f>
        <v>356.11851638076075</v>
      </c>
      <c r="Q24" s="52">
        <f>AE5*'Default Data'!$C$40*'Default Data'!$B5*'Default Data'!$D$18/1000</f>
        <v>1105.5540177307553</v>
      </c>
      <c r="R24" s="15">
        <f>AG5*'Default Data'!$C$41*'Default Data'!$B5*'Default Data'!$D$18/1000</f>
        <v>123.03214650109274</v>
      </c>
      <c r="S24" s="108">
        <f>AI5*'Default Data'!$C$42*'Default Data'!$B5*'Default Data'!$D$18/1000</f>
        <v>182.07026906286893</v>
      </c>
      <c r="T24" s="50">
        <f>AK5*'Default Data'!$C$43*'Default Data'!$B5*'Default Data'!$D$18/1000</f>
        <v>1172.5456021966452</v>
      </c>
      <c r="U24" s="109">
        <f>AM5*'Default Data'!$C$44*'Default Data'!$B5*'Default Data'!$D$18/1000</f>
        <v>1015.8418709325757</v>
      </c>
      <c r="V24" s="115">
        <f>AO5*'Default Data'!$C$45*'Default Data'!$B5*'Default Data'!$D$18/1000</f>
        <v>314.51327371126155</v>
      </c>
      <c r="W24" s="115">
        <f>AQ5*'Default Data'!$C$46*'Default Data'!$B5*'Default Data'!$D$18/1000</f>
        <v>144.81956045485373</v>
      </c>
      <c r="X24" s="115">
        <f>AS5*'Default Data'!$C$47*'Default Data'!$B5*'Default Data'!$D$18/1000</f>
        <v>1280.7227708583143</v>
      </c>
      <c r="Y24" s="115">
        <f>AU5*'Default Data'!$C$48*'Default Data'!$B5*'Default Data'!$D$18/1000</f>
        <v>297.9589775084134</v>
      </c>
      <c r="Z24" s="115">
        <f>AW5*'Default Data'!$C$49*'Default Data'!$B5*'Default Data'!$D$18/1000</f>
        <v>222.44240745124472</v>
      </c>
    </row>
    <row r="25" spans="2:26" ht="15">
      <c r="B25" s="123" t="s">
        <v>109</v>
      </c>
      <c r="C25" s="49">
        <f>C6*'Default Data'!$C$26*'Default Data'!$B6*'Default Data'!$D$18/1000</f>
        <v>200.4222200194602</v>
      </c>
      <c r="D25" s="49">
        <f>E6*'Default Data'!$C$27*'Default Data'!$B6*'Default Data'!$D$18/1000</f>
        <v>203.8216022399506</v>
      </c>
      <c r="E25" s="49">
        <f>G6*'Default Data'!$C$28*'Default Data'!$B6*'Default Data'!$D$18/1000</f>
        <v>491.7028804898868</v>
      </c>
      <c r="F25" s="49">
        <f>I6*'Default Data'!$C$29*'Default Data'!$B6*'Default Data'!$D$18/1000</f>
        <v>393.11961152790917</v>
      </c>
      <c r="G25" s="49">
        <f>K6*'Default Data'!$C$30*'Default Data'!$B6*'Default Data'!$D$18/1000</f>
        <v>4192.207869911155</v>
      </c>
      <c r="H25" s="49">
        <f>M6*'Default Data'!$C$31*'Default Data'!$B6*'Default Data'!$D$18/1000</f>
        <v>2473.7769551764</v>
      </c>
      <c r="I25" s="49">
        <f>O6*'Default Data'!$C$32*'Default Data'!$B6*'Default Data'!$D$18/1000</f>
        <v>2353.9211840059074</v>
      </c>
      <c r="J25" s="49">
        <f>Q6*'Default Data'!$C$33*'Default Data'!$B6*'Default Data'!$D$18/1000</f>
        <v>847.4436956871267</v>
      </c>
      <c r="K25" s="49">
        <f>S6*'Default Data'!$C$34*'Default Data'!$B6*'Default Data'!$D$18/1000</f>
        <v>893.5249314761813</v>
      </c>
      <c r="L25" s="49">
        <f>U6*'Default Data'!$C$35*'Default Data'!$B6*'Default Data'!$D$18/1000</f>
        <v>407.2716176310258</v>
      </c>
      <c r="M25" s="49">
        <f>W6*'Default Data'!$C$36*'Default Data'!$B6*'Default Data'!$D$18/1000</f>
        <v>339.9769166532829</v>
      </c>
      <c r="N25" s="49">
        <f>Y6*'Default Data'!$C$37*'Default Data'!$B6*'Default Data'!$D$18/1000</f>
        <v>439.24024998270846</v>
      </c>
      <c r="O25" s="49">
        <f>AC6*'Default Data'!$C$38*'Default Data'!$B6*'Default Data'!$D$18/1000</f>
        <v>526.0554946809575</v>
      </c>
      <c r="P25" s="49">
        <f>AA6*'Default Data'!$C$39*'Default Data'!$B6*'Default Data'!$D$18/1000</f>
        <v>409.972164199547</v>
      </c>
      <c r="Q25" s="49">
        <f>AE6*'Default Data'!$C$40*'Default Data'!$B6*'Default Data'!$D$18/1000</f>
        <v>1228.2574470891286</v>
      </c>
      <c r="R25" s="16">
        <f>AG6*'Default Data'!$C$41*'Default Data'!$B6*'Default Data'!$D$18/1000</f>
        <v>149.17516270735118</v>
      </c>
      <c r="S25" s="104">
        <f>AI6*'Default Data'!$C$42*'Default Data'!$B6*'Default Data'!$D$18/1000</f>
        <v>334.20234977914646</v>
      </c>
      <c r="T25" s="49">
        <f>AK6*'Default Data'!$C$43*'Default Data'!$B6*'Default Data'!$D$18/1000</f>
        <v>1101.9209038118704</v>
      </c>
      <c r="U25" s="19">
        <f>AM6*'Default Data'!$C$44*'Default Data'!$B6*'Default Data'!$D$18/1000</f>
        <v>1264.4878442107886</v>
      </c>
      <c r="V25" s="115">
        <f>AO6*'Default Data'!$C$45*'Default Data'!$B6*'Default Data'!$D$18/1000</f>
        <v>30.54003215586612</v>
      </c>
      <c r="W25" s="115">
        <f>AQ6*'Default Data'!$C$46*'Default Data'!$B6*'Default Data'!$D$18/1000</f>
        <v>119.73511366319721</v>
      </c>
      <c r="X25" s="115">
        <f>AS6*'Default Data'!$C$47*'Default Data'!$B6*'Default Data'!$D$18/1000</f>
        <v>378.8563440849962</v>
      </c>
      <c r="Y25" s="115">
        <f>AU6*'Default Data'!$C$48*'Default Data'!$B6*'Default Data'!$D$18/1000</f>
        <v>226.13723787628848</v>
      </c>
      <c r="Z25" s="115">
        <f>AW6*'Default Data'!$C$49*'Default Data'!$B6*'Default Data'!$D$18/1000</f>
        <v>254.22661176343755</v>
      </c>
    </row>
    <row r="26" spans="2:26" ht="15.75" thickBot="1">
      <c r="B26" s="124" t="s">
        <v>110</v>
      </c>
      <c r="C26" s="49">
        <f>C7*'Default Data'!$C$26*'Default Data'!$B7*'Default Data'!$D$18/1000</f>
        <v>268.01176194265446</v>
      </c>
      <c r="D26" s="49">
        <f>E7*'Default Data'!$C$27*'Default Data'!$B7*'Default Data'!$D$18/1000</f>
        <v>214.51303904158323</v>
      </c>
      <c r="E26" s="49">
        <f>G7*'Default Data'!$C$28*'Default Data'!$B7*'Default Data'!$D$18/1000</f>
        <v>413.43753178393183</v>
      </c>
      <c r="F26" s="49">
        <f>I7*'Default Data'!$C$29*'Default Data'!$B7*'Default Data'!$D$18/1000</f>
        <v>395.43110376104266</v>
      </c>
      <c r="G26" s="49">
        <f>K7*'Default Data'!$C$30*'Default Data'!$B7*'Default Data'!$D$18/1000</f>
        <v>3725.4523853095966</v>
      </c>
      <c r="H26" s="49">
        <f>M7*'Default Data'!$C$31*'Default Data'!$B7*'Default Data'!$D$18/1000</f>
        <v>2804.234630658227</v>
      </c>
      <c r="I26" s="49">
        <f>O7*'Default Data'!$C$32*'Default Data'!$B7*'Default Data'!$D$18/1000</f>
        <v>2862.310981167384</v>
      </c>
      <c r="J26" s="49">
        <f>Q7*'Default Data'!$C$33*'Default Data'!$B7*'Default Data'!$D$18/1000</f>
        <v>0</v>
      </c>
      <c r="K26" s="49">
        <f>S7*'Default Data'!$C$34*'Default Data'!$B7*'Default Data'!$D$18/1000</f>
        <v>974.3298265235605</v>
      </c>
      <c r="L26" s="49">
        <f>U7*'Default Data'!$C$35*'Default Data'!$B7*'Default Data'!$D$18/1000</f>
        <v>361.4113890794235</v>
      </c>
      <c r="M26" s="49">
        <f>W7*'Default Data'!$C$36*'Default Data'!$B7*'Default Data'!$D$18/1000</f>
        <v>393.29635688606874</v>
      </c>
      <c r="N26" s="49">
        <f>Y7*'Default Data'!$C$37*'Default Data'!$B7*'Default Data'!$D$18/1000</f>
        <v>378.77017565297297</v>
      </c>
      <c r="O26" s="49">
        <f>AC7*'Default Data'!$C$38*'Default Data'!$B7*'Default Data'!$D$18/1000</f>
        <v>716.6278455611531</v>
      </c>
      <c r="P26" s="49">
        <f>AA7*'Default Data'!$C$39*'Default Data'!$B7*'Default Data'!$D$18/1000</f>
        <v>533.9097912224362</v>
      </c>
      <c r="Q26" s="49">
        <f>AE7*'Default Data'!$C$40*'Default Data'!$B7*'Default Data'!$D$18/1000</f>
        <v>898.8640222118853</v>
      </c>
      <c r="R26" s="16">
        <f>AG7*'Default Data'!$C$41*'Default Data'!$B7*'Default Data'!$D$18/1000</f>
        <v>113.43675454811886</v>
      </c>
      <c r="S26" s="113">
        <f>AI7*'Default Data'!$C$42*'Default Data'!$B7*'Default Data'!$D$18/1000</f>
        <v>312.67966925742945</v>
      </c>
      <c r="T26" s="114">
        <f>AK7*'Default Data'!$C$43*'Default Data'!$B7*'Default Data'!$D$18/1000</f>
        <v>885.2271601497198</v>
      </c>
      <c r="U26" s="115">
        <f>AM7*'Default Data'!$C$44*'Default Data'!$B7*'Default Data'!$D$18/1000</f>
        <v>864.3173049877327</v>
      </c>
      <c r="V26" s="115">
        <f>AO7*'Default Data'!$C$45*'Default Data'!$B7*'Default Data'!$D$18/1000</f>
        <v>126.88775461653117</v>
      </c>
      <c r="W26" s="115">
        <f>AQ7*'Default Data'!$C$46*'Default Data'!$B7*'Default Data'!$D$18/1000</f>
        <v>105.43859498086633</v>
      </c>
      <c r="X26" s="115">
        <f>AS7*'Default Data'!$C$47*'Default Data'!$B7*'Default Data'!$D$18/1000</f>
        <v>460.18125191577406</v>
      </c>
      <c r="Y26" s="115">
        <f>AU7*'Default Data'!$C$48*'Default Data'!$B7*'Default Data'!$D$18/1000</f>
        <v>234.89447293987547</v>
      </c>
      <c r="Z26" s="115">
        <f>AW7*'Default Data'!$C$49*'Default Data'!$B7*'Default Data'!$D$18/1000</f>
        <v>281.0241915006531</v>
      </c>
    </row>
    <row r="27" spans="2:26" ht="15.75" thickBot="1">
      <c r="B27" s="11" t="s">
        <v>112</v>
      </c>
      <c r="C27" s="64">
        <f aca="true" t="shared" si="4" ref="C27:U27">SUM(C24:C26)</f>
        <v>684.9899603310009</v>
      </c>
      <c r="D27" s="64">
        <f t="shared" si="4"/>
        <v>627.7087293356482</v>
      </c>
      <c r="E27" s="64">
        <f t="shared" si="4"/>
        <v>1603.7515593952735</v>
      </c>
      <c r="F27" s="64">
        <f t="shared" si="4"/>
        <v>1078.991121325896</v>
      </c>
      <c r="G27" s="64">
        <f t="shared" si="4"/>
        <v>12075.787190192583</v>
      </c>
      <c r="H27" s="64">
        <f t="shared" si="4"/>
        <v>7677.681619653364</v>
      </c>
      <c r="I27" s="64">
        <f t="shared" si="4"/>
        <v>6587.263352087056</v>
      </c>
      <c r="J27" s="64">
        <f t="shared" si="4"/>
        <v>2135.9157232916</v>
      </c>
      <c r="K27" s="64">
        <f t="shared" si="4"/>
        <v>2289.746271966398</v>
      </c>
      <c r="L27" s="64">
        <f t="shared" si="4"/>
        <v>1136.335609600271</v>
      </c>
      <c r="M27" s="64">
        <f t="shared" si="4"/>
        <v>1143.4596181380864</v>
      </c>
      <c r="N27" s="64">
        <f t="shared" si="4"/>
        <v>1129.4235705533297</v>
      </c>
      <c r="O27" s="64">
        <f t="shared" si="4"/>
        <v>1845.6249006523635</v>
      </c>
      <c r="P27" s="64">
        <f t="shared" si="4"/>
        <v>1300.000471802744</v>
      </c>
      <c r="Q27" s="64">
        <f t="shared" si="4"/>
        <v>3232.675487031769</v>
      </c>
      <c r="R27" s="21">
        <f t="shared" si="4"/>
        <v>385.6440637565628</v>
      </c>
      <c r="S27" s="116">
        <f t="shared" si="4"/>
        <v>828.9522880994448</v>
      </c>
      <c r="T27" s="64">
        <f t="shared" si="4"/>
        <v>3159.693666158235</v>
      </c>
      <c r="U27" s="22">
        <f t="shared" si="4"/>
        <v>3144.647020131097</v>
      </c>
      <c r="V27" s="22">
        <f>SUM(V24:V26)</f>
        <v>471.9410604836588</v>
      </c>
      <c r="W27" s="22">
        <f>SUM(W24:W26)</f>
        <v>369.99326909891727</v>
      </c>
      <c r="X27" s="22">
        <f>SUM(X24:X26)</f>
        <v>2119.7603668590846</v>
      </c>
      <c r="Y27" s="22">
        <f>SUM(Y24:Y26)</f>
        <v>758.9906883245774</v>
      </c>
      <c r="Z27" s="22">
        <f>SUM(Z24:Z26)</f>
        <v>757.6932107153355</v>
      </c>
    </row>
    <row r="28" spans="2:26" ht="15.75" thickBot="1">
      <c r="B28" s="20" t="s">
        <v>30</v>
      </c>
      <c r="C28" s="203">
        <f>SUM(C27:Z27)</f>
        <v>56546.67081898428</v>
      </c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</row>
    <row r="29" ht="15.75" thickBot="1"/>
    <row r="30" spans="2:26" ht="15.75" thickBot="1">
      <c r="B30" s="208" t="s">
        <v>35</v>
      </c>
      <c r="C30" s="209"/>
      <c r="D30" s="213">
        <f>C28-C18</f>
        <v>48081.49870853215</v>
      </c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</row>
  </sheetData>
  <sheetProtection/>
  <mergeCells count="31">
    <mergeCell ref="B2:G2"/>
    <mergeCell ref="C3:D3"/>
    <mergeCell ref="E3:F3"/>
    <mergeCell ref="G3:H3"/>
    <mergeCell ref="M3:N3"/>
    <mergeCell ref="W3:X3"/>
    <mergeCell ref="Q3:R3"/>
    <mergeCell ref="AI3:AJ3"/>
    <mergeCell ref="AK3:AL3"/>
    <mergeCell ref="D30:Z30"/>
    <mergeCell ref="AO3:AP3"/>
    <mergeCell ref="AM3:AN3"/>
    <mergeCell ref="AE3:AF3"/>
    <mergeCell ref="Y3:Z3"/>
    <mergeCell ref="B30:C30"/>
    <mergeCell ref="B21:G21"/>
    <mergeCell ref="O3:P3"/>
    <mergeCell ref="K3:L3"/>
    <mergeCell ref="B11:G11"/>
    <mergeCell ref="S3:T3"/>
    <mergeCell ref="I3:J3"/>
    <mergeCell ref="AU3:AV3"/>
    <mergeCell ref="AW3:AX3"/>
    <mergeCell ref="C18:Z18"/>
    <mergeCell ref="C28:Z28"/>
    <mergeCell ref="AS3:AT3"/>
    <mergeCell ref="AQ3:AR3"/>
    <mergeCell ref="AG3:AH3"/>
    <mergeCell ref="U3:V3"/>
    <mergeCell ref="AA3:AB3"/>
    <mergeCell ref="AC3:AD3"/>
  </mergeCells>
  <printOptions/>
  <pageMargins left="0.7" right="0.7" top="0.75" bottom="0.75" header="0.3" footer="0.3"/>
  <pageSetup horizontalDpi="600" verticalDpi="600" orientation="portrait" paperSize="9" r:id="rId6"/>
  <legacyDrawing r:id="rId5"/>
  <oleObjects>
    <oleObject progId="Equation.3" shapeId="405934" r:id="rId1"/>
    <oleObject progId="Equation.3" shapeId="405933" r:id="rId2"/>
    <oleObject progId="Word.Document.8" shapeId="405932" r:id="rId3"/>
    <oleObject progId="Word.Document.8" shapeId="405931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23:S32"/>
  <sheetViews>
    <sheetView zoomScalePageLayoutView="0" workbookViewId="0" topLeftCell="A1">
      <selection activeCell="B28" sqref="B28:B30"/>
    </sheetView>
  </sheetViews>
  <sheetFormatPr defaultColWidth="9.140625" defaultRowHeight="15"/>
  <cols>
    <col min="1" max="1" width="3.00390625" style="25" customWidth="1"/>
    <col min="2" max="2" width="7.28125" style="25" bestFit="1" customWidth="1"/>
    <col min="3" max="3" width="7.7109375" style="25" hidden="1" customWidth="1"/>
    <col min="4" max="4" width="19.7109375" style="25" hidden="1" customWidth="1"/>
    <col min="5" max="5" width="16.00390625" style="25" bestFit="1" customWidth="1"/>
    <col min="6" max="6" width="13.8515625" style="25" bestFit="1" customWidth="1"/>
    <col min="7" max="7" width="19.28125" style="25" bestFit="1" customWidth="1"/>
    <col min="8" max="8" width="29.00390625" style="25" bestFit="1" customWidth="1"/>
    <col min="9" max="9" width="19.28125" style="25" bestFit="1" customWidth="1"/>
    <col min="10" max="10" width="17.8515625" style="25" bestFit="1" customWidth="1"/>
    <col min="11" max="11" width="21.00390625" style="25" bestFit="1" customWidth="1"/>
    <col min="12" max="16384" width="9.140625" style="25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spans="2:17" ht="14.25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2:17" ht="14.25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2:17" ht="15" thickBot="1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2:19" ht="14.25">
      <c r="B26" s="24" t="s">
        <v>36</v>
      </c>
      <c r="C26" s="24" t="s">
        <v>36</v>
      </c>
      <c r="D26" s="24"/>
      <c r="E26" s="24" t="s">
        <v>37</v>
      </c>
      <c r="F26" s="24" t="s">
        <v>38</v>
      </c>
      <c r="G26" s="24" t="s">
        <v>39</v>
      </c>
      <c r="H26" s="24" t="s">
        <v>40</v>
      </c>
      <c r="I26" s="24" t="s">
        <v>33</v>
      </c>
      <c r="J26" s="24" t="s">
        <v>27</v>
      </c>
      <c r="K26" s="37" t="s">
        <v>35</v>
      </c>
      <c r="L26" s="27"/>
      <c r="M26" s="27"/>
      <c r="N26" s="26"/>
      <c r="O26" s="26"/>
      <c r="P26" s="26"/>
      <c r="Q26" s="26"/>
      <c r="R26" s="26"/>
      <c r="S26" s="26"/>
    </row>
    <row r="27" spans="2:19" ht="15" thickBot="1">
      <c r="B27" s="38"/>
      <c r="C27" s="38"/>
      <c r="D27" s="38"/>
      <c r="E27" s="38" t="s">
        <v>41</v>
      </c>
      <c r="F27" s="38" t="s">
        <v>44</v>
      </c>
      <c r="G27" s="38" t="s">
        <v>44</v>
      </c>
      <c r="H27" s="38" t="s">
        <v>42</v>
      </c>
      <c r="I27" s="38" t="s">
        <v>44</v>
      </c>
      <c r="J27" s="38" t="s">
        <v>44</v>
      </c>
      <c r="K27" s="39" t="s">
        <v>44</v>
      </c>
      <c r="L27" s="27"/>
      <c r="M27" s="27"/>
      <c r="N27" s="26"/>
      <c r="O27" s="26"/>
      <c r="P27" s="26"/>
      <c r="Q27" s="26"/>
      <c r="R27" s="26"/>
      <c r="S27" s="26"/>
    </row>
    <row r="28" spans="2:19" ht="14.25">
      <c r="B28" s="122" t="s">
        <v>108</v>
      </c>
      <c r="C28" s="28">
        <v>1</v>
      </c>
      <c r="D28" s="28"/>
      <c r="E28" s="163">
        <v>9917.67</v>
      </c>
      <c r="F28" s="129">
        <f>E28*'Default Data'!$E$54/'Default Data'!$E$53*'Default Data'!$D$19</f>
        <v>5032.399838239803</v>
      </c>
      <c r="G28" s="126">
        <f>E28*'Default Data'!$E$55*0.896</f>
        <v>0.24881450496</v>
      </c>
      <c r="H28" s="165">
        <v>14.768</v>
      </c>
      <c r="I28" s="129">
        <f>F28+G28</f>
        <v>5032.648652744763</v>
      </c>
      <c r="J28" s="129">
        <f>H28*'Default Data'!$D$20</f>
        <v>16.09712</v>
      </c>
      <c r="K28" s="127">
        <f>I28-J28</f>
        <v>5016.551532744763</v>
      </c>
      <c r="L28" s="29"/>
      <c r="M28" s="29"/>
      <c r="N28" s="26"/>
      <c r="O28" s="26"/>
      <c r="P28" s="26"/>
      <c r="Q28" s="26"/>
      <c r="R28" s="26"/>
      <c r="S28" s="26"/>
    </row>
    <row r="29" spans="2:19" ht="14.25">
      <c r="B29" s="123" t="s">
        <v>109</v>
      </c>
      <c r="C29" s="35">
        <v>8</v>
      </c>
      <c r="D29" s="35"/>
      <c r="E29" s="164">
        <v>9744.11</v>
      </c>
      <c r="F29" s="130">
        <f>E29*'Default Data'!$E$54/'Default Data'!$E$53*'Default Data'!$D$19</f>
        <v>4944.332447822002</v>
      </c>
      <c r="G29" s="126">
        <f>E29*'Default Data'!$E$55*0.896</f>
        <v>0.24446023168</v>
      </c>
      <c r="H29" s="165">
        <v>14.31</v>
      </c>
      <c r="I29" s="130">
        <f>F29+G29</f>
        <v>4944.576908053682</v>
      </c>
      <c r="J29" s="130">
        <f>H29*'Default Data'!$D$20</f>
        <v>15.597900000000001</v>
      </c>
      <c r="K29" s="128">
        <f>I29-J29</f>
        <v>4928.979008053682</v>
      </c>
      <c r="L29" s="29"/>
      <c r="M29" s="29"/>
      <c r="N29" s="26"/>
      <c r="O29" s="26"/>
      <c r="P29" s="26"/>
      <c r="Q29" s="26"/>
      <c r="R29" s="26"/>
      <c r="S29" s="26"/>
    </row>
    <row r="30" spans="2:19" ht="15" thickBot="1">
      <c r="B30" s="124" t="s">
        <v>110</v>
      </c>
      <c r="C30" s="35">
        <v>9</v>
      </c>
      <c r="D30" s="35"/>
      <c r="E30" s="164">
        <v>10011.97</v>
      </c>
      <c r="F30" s="130">
        <f>E30*'Default Data'!$E$54/'Default Data'!$E$53*'Default Data'!$D$19</f>
        <v>5080.249313443757</v>
      </c>
      <c r="G30" s="126">
        <f>E30*'Default Data'!$E$55*0.896</f>
        <v>0.25118030335999997</v>
      </c>
      <c r="H30" s="165">
        <v>14.233</v>
      </c>
      <c r="I30" s="130">
        <f>F30+G30</f>
        <v>5080.500493747118</v>
      </c>
      <c r="J30" s="130">
        <f>H30*'Default Data'!$D$20</f>
        <v>15.513970000000002</v>
      </c>
      <c r="K30" s="128">
        <f>I30-J30</f>
        <v>5064.986523747118</v>
      </c>
      <c r="L30" s="29"/>
      <c r="M30" s="29"/>
      <c r="N30" s="26"/>
      <c r="O30" s="26"/>
      <c r="P30" s="26"/>
      <c r="Q30" s="26"/>
      <c r="R30" s="26"/>
      <c r="S30" s="26"/>
    </row>
    <row r="31" spans="2:19" ht="15" thickBot="1">
      <c r="B31" s="11" t="s">
        <v>43</v>
      </c>
      <c r="C31" s="36" t="s">
        <v>43</v>
      </c>
      <c r="D31" s="148"/>
      <c r="E31" s="149">
        <f aca="true" t="shared" si="0" ref="E31:J31">SUM(E28:E30)</f>
        <v>29673.75</v>
      </c>
      <c r="F31" s="149">
        <f t="shared" si="0"/>
        <v>15056.981599505561</v>
      </c>
      <c r="G31" s="150">
        <f t="shared" si="0"/>
        <v>0.74445504</v>
      </c>
      <c r="H31" s="158">
        <f t="shared" si="0"/>
        <v>43.31100000000001</v>
      </c>
      <c r="I31" s="149">
        <f t="shared" si="0"/>
        <v>15057.726054545561</v>
      </c>
      <c r="J31" s="149">
        <f t="shared" si="0"/>
        <v>47.20899</v>
      </c>
      <c r="K31" s="151">
        <f>I31-J31</f>
        <v>15010.517064545562</v>
      </c>
      <c r="L31" s="30"/>
      <c r="M31" s="30"/>
      <c r="N31" s="26"/>
      <c r="O31" s="26"/>
      <c r="P31" s="26"/>
      <c r="Q31" s="26"/>
      <c r="R31" s="26"/>
      <c r="S31" s="26"/>
    </row>
    <row r="32" spans="2:17" ht="13.5">
      <c r="B32" s="26"/>
      <c r="C32" s="26"/>
      <c r="D32" s="26"/>
      <c r="E32" s="26"/>
      <c r="F32" s="31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</sheetData>
  <sheetProtection/>
  <printOptions/>
  <pageMargins left="0.75" right="0.75" top="1" bottom="1" header="0.5" footer="0.5"/>
  <pageSetup horizontalDpi="600" verticalDpi="600" orientation="landscape" paperSize="9" r:id="rId6"/>
  <legacyDrawing r:id="rId5"/>
  <oleObjects>
    <oleObject progId="Equation.3" shapeId="405930" r:id="rId1"/>
    <oleObject progId="Word.Document.8" shapeId="405929" r:id="rId2"/>
    <oleObject progId="Equation.3" shapeId="405928" r:id="rId3"/>
    <oleObject progId="Word.Document.8" shapeId="405927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19:H23"/>
  <sheetViews>
    <sheetView zoomScalePageLayoutView="0" workbookViewId="0" topLeftCell="A10">
      <selection activeCell="B20" sqref="B20:B22"/>
    </sheetView>
  </sheetViews>
  <sheetFormatPr defaultColWidth="9.140625" defaultRowHeight="15"/>
  <cols>
    <col min="2" max="2" width="11.421875" style="0" customWidth="1"/>
    <col min="3" max="3" width="15.28125" style="0" customWidth="1"/>
    <col min="4" max="4" width="29.7109375" style="0" bestFit="1" customWidth="1"/>
    <col min="5" max="5" width="27.28125" style="0" bestFit="1" customWidth="1"/>
    <col min="6" max="6" width="18.7109375" style="0" bestFit="1" customWidth="1"/>
    <col min="7" max="7" width="17.421875" style="0" bestFit="1" customWidth="1"/>
    <col min="8" max="8" width="10.421875" style="0" customWidth="1"/>
  </cols>
  <sheetData>
    <row r="18" ht="15" thickBot="1"/>
    <row r="19" spans="2:8" ht="29.25" thickBot="1">
      <c r="B19" s="56" t="s">
        <v>36</v>
      </c>
      <c r="C19" s="71" t="s">
        <v>75</v>
      </c>
      <c r="D19" s="71" t="s">
        <v>71</v>
      </c>
      <c r="E19" s="71" t="s">
        <v>72</v>
      </c>
      <c r="F19" s="53" t="s">
        <v>73</v>
      </c>
      <c r="G19" s="53" t="s">
        <v>74</v>
      </c>
      <c r="H19" s="53" t="s">
        <v>58</v>
      </c>
    </row>
    <row r="20" spans="2:8" ht="15">
      <c r="B20" s="122" t="s">
        <v>108</v>
      </c>
      <c r="C20" s="166">
        <v>10917.79</v>
      </c>
      <c r="D20" s="169">
        <v>6714.016</v>
      </c>
      <c r="E20" s="169">
        <v>1227.78</v>
      </c>
      <c r="F20" s="131">
        <f>C20*'Default Data'!$E$60*'Default Data'!$D$20</f>
        <v>12257.402833000002</v>
      </c>
      <c r="G20" s="132">
        <f>(D20+E20)*'Default Data'!$D$20</f>
        <v>8656.557639999999</v>
      </c>
      <c r="H20" s="54">
        <f>F20-G20</f>
        <v>3600.845193000003</v>
      </c>
    </row>
    <row r="21" spans="2:8" ht="15.75" thickBot="1">
      <c r="B21" s="123" t="s">
        <v>109</v>
      </c>
      <c r="C21" s="167">
        <v>10746.081</v>
      </c>
      <c r="D21" s="170">
        <v>6657.457</v>
      </c>
      <c r="E21" s="170">
        <v>1319.379</v>
      </c>
      <c r="F21" s="133">
        <f>C21*'Default Data'!$E$60*'Default Data'!$D$20</f>
        <v>12064.625138700001</v>
      </c>
      <c r="G21" s="134">
        <f>(D21+E21)*'Default Data'!$D$20</f>
        <v>8694.751240000001</v>
      </c>
      <c r="H21" s="55">
        <f>F21-G21</f>
        <v>3369.8738986999997</v>
      </c>
    </row>
    <row r="22" spans="2:8" ht="15.75" thickBot="1">
      <c r="B22" s="124" t="s">
        <v>110</v>
      </c>
      <c r="C22" s="168">
        <v>10758.152</v>
      </c>
      <c r="D22" s="169">
        <v>6625.876</v>
      </c>
      <c r="E22" s="169">
        <v>1334.83</v>
      </c>
      <c r="F22" s="135">
        <f>C22*'Default Data'!$E$60*'Default Data'!$D$20</f>
        <v>12078.177250400002</v>
      </c>
      <c r="G22" s="136">
        <f>(D22+E22)*'Default Data'!$D$20</f>
        <v>8677.16954</v>
      </c>
      <c r="H22" s="55">
        <f>F22-G22</f>
        <v>3401.007710400001</v>
      </c>
    </row>
    <row r="23" spans="2:8" ht="15" thickBot="1">
      <c r="B23" s="145" t="s">
        <v>43</v>
      </c>
      <c r="C23" s="159">
        <f aca="true" t="shared" si="0" ref="C23:H23">SUM(C20:C22)</f>
        <v>32422.023</v>
      </c>
      <c r="D23" s="160">
        <f t="shared" si="0"/>
        <v>19997.349000000002</v>
      </c>
      <c r="E23" s="160">
        <f t="shared" si="0"/>
        <v>3881.9889999999996</v>
      </c>
      <c r="F23" s="146">
        <f t="shared" si="0"/>
        <v>36400.205222100005</v>
      </c>
      <c r="G23" s="146">
        <f t="shared" si="0"/>
        <v>26028.47842</v>
      </c>
      <c r="H23" s="147">
        <f t="shared" si="0"/>
        <v>10371.726802100004</v>
      </c>
    </row>
  </sheetData>
  <sheetProtection/>
  <printOptions/>
  <pageMargins left="0.7" right="0.7" top="0.75" bottom="0.75" header="0.3" footer="0.3"/>
  <pageSetup horizontalDpi="600" verticalDpi="600" orientation="portrait" r:id="rId6"/>
  <legacyDrawing r:id="rId5"/>
  <oleObjects>
    <oleObject progId="Equation.3" shapeId="405926" r:id="rId1"/>
    <oleObject progId="Word.Document.8" shapeId="405925" r:id="rId2"/>
    <oleObject progId="Equation.3" shapeId="405924" r:id="rId3"/>
    <oleObject progId="Word.Document.8" shapeId="405923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B19:G23"/>
  <sheetViews>
    <sheetView zoomScalePageLayoutView="0" workbookViewId="0" topLeftCell="A10">
      <selection activeCell="B20" sqref="B20:B22"/>
    </sheetView>
  </sheetViews>
  <sheetFormatPr defaultColWidth="9.140625" defaultRowHeight="15"/>
  <cols>
    <col min="2" max="2" width="12.57421875" style="0" customWidth="1"/>
    <col min="3" max="3" width="17.421875" style="0" bestFit="1" customWidth="1"/>
    <col min="4" max="4" width="29.421875" style="0" bestFit="1" customWidth="1"/>
    <col min="5" max="5" width="25.00390625" style="0" bestFit="1" customWidth="1"/>
    <col min="6" max="6" width="23.7109375" style="0" bestFit="1" customWidth="1"/>
    <col min="7" max="7" width="11.7109375" style="0" customWidth="1"/>
  </cols>
  <sheetData>
    <row r="18" ht="15" thickBot="1"/>
    <row r="19" spans="2:7" ht="15" thickBot="1">
      <c r="B19" s="44" t="s">
        <v>36</v>
      </c>
      <c r="C19" s="118" t="s">
        <v>59</v>
      </c>
      <c r="D19" s="56" t="s">
        <v>60</v>
      </c>
      <c r="E19" s="119" t="s">
        <v>56</v>
      </c>
      <c r="F19" s="45" t="s">
        <v>57</v>
      </c>
      <c r="G19" s="46" t="s">
        <v>58</v>
      </c>
    </row>
    <row r="20" spans="2:7" ht="15.75" thickBot="1">
      <c r="B20" s="122" t="s">
        <v>108</v>
      </c>
      <c r="C20" s="171">
        <v>402.92</v>
      </c>
      <c r="D20" s="173">
        <v>180.022</v>
      </c>
      <c r="E20" s="138">
        <f>C20*'Default Data'!$E$64*'Default Data'!$D$20</f>
        <v>5270.1936000000005</v>
      </c>
      <c r="F20" s="138">
        <f>D20*'Default Data'!$D$20</f>
        <v>196.22398</v>
      </c>
      <c r="G20" s="141">
        <f>E20-F20</f>
        <v>5073.969620000001</v>
      </c>
    </row>
    <row r="21" spans="2:7" ht="15.75" thickBot="1">
      <c r="B21" s="123" t="s">
        <v>109</v>
      </c>
      <c r="C21" s="172">
        <v>382.58</v>
      </c>
      <c r="D21" s="174">
        <v>182.683</v>
      </c>
      <c r="E21" s="139">
        <f>C21*'Default Data'!$E$64*'Default Data'!$D$20</f>
        <v>5004.1464000000005</v>
      </c>
      <c r="F21" s="139">
        <f>D21*'Default Data'!$D$20</f>
        <v>199.12447</v>
      </c>
      <c r="G21" s="142">
        <f>E21-F21</f>
        <v>4805.021930000001</v>
      </c>
    </row>
    <row r="22" spans="2:7" ht="15.75" thickBot="1">
      <c r="B22" s="124" t="s">
        <v>110</v>
      </c>
      <c r="C22" s="172">
        <v>388.25</v>
      </c>
      <c r="D22" s="174">
        <v>175.937</v>
      </c>
      <c r="E22" s="140">
        <f>C22*'Default Data'!$E$64*'Default Data'!$D$20</f>
        <v>5078.31</v>
      </c>
      <c r="F22" s="140">
        <f>D22*'Default Data'!$D$20</f>
        <v>191.77133000000003</v>
      </c>
      <c r="G22" s="142">
        <f>E22-F22</f>
        <v>4886.53867</v>
      </c>
    </row>
    <row r="23" spans="2:7" ht="15" thickBot="1">
      <c r="B23" s="137" t="s">
        <v>99</v>
      </c>
      <c r="C23" s="161">
        <f>SUM(C20:C22)</f>
        <v>1173.75</v>
      </c>
      <c r="D23" s="162">
        <f>SUM(D20:D22)</f>
        <v>538.642</v>
      </c>
      <c r="E23" s="143">
        <f>SUM(E20:E22)</f>
        <v>15352.650000000001</v>
      </c>
      <c r="F23" s="143">
        <f>SUM(F20:F22)</f>
        <v>587.11978</v>
      </c>
      <c r="G23" s="144">
        <f>SUM(G20:G22)</f>
        <v>14765.530220000002</v>
      </c>
    </row>
  </sheetData>
  <sheetProtection/>
  <printOptions/>
  <pageMargins left="0.7" right="0.7" top="0.75" bottom="0.75" header="0.3" footer="0.3"/>
  <pageSetup horizontalDpi="600" verticalDpi="600" orientation="portrait" r:id="rId6"/>
  <legacyDrawing r:id="rId5"/>
  <oleObjects>
    <oleObject progId="Equation.3" shapeId="405922" r:id="rId1"/>
    <oleObject progId="Word.Document.8" shapeId="405921" r:id="rId2"/>
    <oleObject progId="Equation.3" shapeId="405920" r:id="rId3"/>
    <oleObject progId="Word.Document.8" shapeId="405919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B3:D24"/>
  <sheetViews>
    <sheetView zoomScalePageLayoutView="0" workbookViewId="0" topLeftCell="A16">
      <selection activeCell="H11" sqref="H11"/>
    </sheetView>
  </sheetViews>
  <sheetFormatPr defaultColWidth="9.140625" defaultRowHeight="15"/>
  <cols>
    <col min="2" max="2" width="18.28125" style="0" bestFit="1" customWidth="1"/>
    <col min="3" max="3" width="10.57421875" style="0" bestFit="1" customWidth="1"/>
  </cols>
  <sheetData>
    <row r="2" ht="15" thickBot="1"/>
    <row r="3" spans="2:4" ht="14.25">
      <c r="B3" s="13" t="s">
        <v>33</v>
      </c>
      <c r="C3" s="4"/>
      <c r="D3" s="57"/>
    </row>
    <row r="4" spans="2:4" ht="14.25">
      <c r="B4" s="6" t="s">
        <v>64</v>
      </c>
      <c r="C4" s="2" t="s">
        <v>28</v>
      </c>
      <c r="D4" s="58">
        <f>'Furnaces (SP1)'!C28</f>
        <v>56546.67081898428</v>
      </c>
    </row>
    <row r="5" spans="2:4" ht="14.25">
      <c r="B5" s="6" t="s">
        <v>65</v>
      </c>
      <c r="C5" s="2" t="s">
        <v>28</v>
      </c>
      <c r="D5" s="58">
        <f>'Vacuumator  (SP2)'!I31</f>
        <v>15057.726054545561</v>
      </c>
    </row>
    <row r="6" spans="2:4" ht="14.25">
      <c r="B6" s="6" t="s">
        <v>66</v>
      </c>
      <c r="C6" s="2" t="s">
        <v>28</v>
      </c>
      <c r="D6" s="58">
        <f>'Ladle Furnace (SP3)'!F23</f>
        <v>36400.205222100005</v>
      </c>
    </row>
    <row r="7" spans="2:4" ht="15" thickBot="1">
      <c r="B7" s="9" t="s">
        <v>67</v>
      </c>
      <c r="C7" s="10" t="s">
        <v>28</v>
      </c>
      <c r="D7" s="59">
        <f>'Press (SP4) '!E23</f>
        <v>15352.650000000001</v>
      </c>
    </row>
    <row r="8" spans="2:4" ht="15" thickBot="1">
      <c r="B8" s="11" t="s">
        <v>43</v>
      </c>
      <c r="C8" s="12" t="s">
        <v>28</v>
      </c>
      <c r="D8" s="60">
        <f>SUM(D4:D7)</f>
        <v>123357.25209562984</v>
      </c>
    </row>
    <row r="9" ht="15" thickBot="1"/>
    <row r="10" spans="2:4" ht="14.25">
      <c r="B10" s="13" t="s">
        <v>27</v>
      </c>
      <c r="C10" s="4"/>
      <c r="D10" s="57"/>
    </row>
    <row r="11" spans="2:4" ht="14.25">
      <c r="B11" s="6" t="s">
        <v>64</v>
      </c>
      <c r="C11" s="2" t="s">
        <v>28</v>
      </c>
      <c r="D11" s="58">
        <f>'Furnaces (SP1)'!C18</f>
        <v>8465.172110452131</v>
      </c>
    </row>
    <row r="12" spans="2:4" ht="14.25">
      <c r="B12" s="6" t="s">
        <v>65</v>
      </c>
      <c r="C12" s="2" t="s">
        <v>28</v>
      </c>
      <c r="D12" s="58">
        <f>'Vacuumator  (SP2)'!J31</f>
        <v>47.20899</v>
      </c>
    </row>
    <row r="13" spans="2:4" ht="14.25">
      <c r="B13" s="6" t="s">
        <v>66</v>
      </c>
      <c r="C13" s="2" t="s">
        <v>28</v>
      </c>
      <c r="D13" s="58">
        <f>'Ladle Furnace (SP3)'!G23</f>
        <v>26028.47842</v>
      </c>
    </row>
    <row r="14" spans="2:4" ht="15" thickBot="1">
      <c r="B14" s="9" t="s">
        <v>67</v>
      </c>
      <c r="C14" s="10" t="s">
        <v>28</v>
      </c>
      <c r="D14" s="59">
        <f>'Press (SP4) '!F23</f>
        <v>587.11978</v>
      </c>
    </row>
    <row r="15" spans="2:4" ht="15" thickBot="1">
      <c r="B15" s="11" t="s">
        <v>43</v>
      </c>
      <c r="C15" s="12" t="s">
        <v>28</v>
      </c>
      <c r="D15" s="60">
        <f>SUM(D11:D14)</f>
        <v>35127.97930045213</v>
      </c>
    </row>
    <row r="16" ht="15" thickBot="1"/>
    <row r="17" spans="2:4" ht="14.25">
      <c r="B17" s="13" t="s">
        <v>34</v>
      </c>
      <c r="C17" s="4"/>
      <c r="D17" s="57"/>
    </row>
    <row r="18" spans="2:4" ht="14.25">
      <c r="B18" s="6" t="s">
        <v>64</v>
      </c>
      <c r="C18" s="2" t="s">
        <v>28</v>
      </c>
      <c r="D18" s="58">
        <f>D4-D11</f>
        <v>48081.49870853215</v>
      </c>
    </row>
    <row r="19" spans="2:4" ht="14.25">
      <c r="B19" s="6" t="s">
        <v>65</v>
      </c>
      <c r="C19" s="2" t="s">
        <v>28</v>
      </c>
      <c r="D19" s="58">
        <f>D5-D12</f>
        <v>15010.517064545562</v>
      </c>
    </row>
    <row r="20" spans="2:4" ht="14.25">
      <c r="B20" s="6" t="s">
        <v>66</v>
      </c>
      <c r="C20" s="2" t="s">
        <v>28</v>
      </c>
      <c r="D20" s="58">
        <f>D6-D13</f>
        <v>10371.726802100005</v>
      </c>
    </row>
    <row r="21" spans="2:4" ht="15" thickBot="1">
      <c r="B21" s="9" t="s">
        <v>67</v>
      </c>
      <c r="C21" s="10" t="s">
        <v>28</v>
      </c>
      <c r="D21" s="58">
        <f>D7-D14</f>
        <v>14765.53022</v>
      </c>
    </row>
    <row r="22" spans="2:4" ht="15" thickBot="1">
      <c r="B22" s="11" t="s">
        <v>43</v>
      </c>
      <c r="C22" s="12" t="s">
        <v>28</v>
      </c>
      <c r="D22" s="60">
        <f>SUM(D18:D21)</f>
        <v>88229.27279517772</v>
      </c>
    </row>
    <row r="24" spans="2:3" ht="14.25">
      <c r="B24" s="72"/>
      <c r="C24" s="7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Anna</cp:lastModifiedBy>
  <cp:lastPrinted>2009-12-22T12:12:40Z</cp:lastPrinted>
  <dcterms:created xsi:type="dcterms:W3CDTF">2009-04-14T07:18:06Z</dcterms:created>
  <dcterms:modified xsi:type="dcterms:W3CDTF">2011-07-19T07:46:25Z</dcterms:modified>
  <cp:category/>
  <cp:version/>
  <cp:contentType/>
  <cp:contentStatus/>
</cp:coreProperties>
</file>