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91" yWindow="1950" windowWidth="19200" windowHeight="3120" tabRatio="816" activeTab="0"/>
  </bookViews>
  <sheets>
    <sheet name="Title" sheetId="1" r:id="rId1"/>
    <sheet name="Default Data" sheetId="2" r:id="rId2"/>
    <sheet name="Furnaces (SP1 )" sheetId="3" r:id="rId3"/>
    <sheet name="Vacuumator  (SP2)" sheetId="4" r:id="rId4"/>
    <sheet name="Ladle Furnace (SP3)" sheetId="5" r:id="rId5"/>
    <sheet name="Press (SP4) " sheetId="6" r:id="rId6"/>
    <sheet name="ER 4Q2011" sheetId="7" r:id="rId7"/>
  </sheets>
  <definedNames>
    <definedName name="OLE_LINK20" localSheetId="1">'Default Data'!$F$31</definedName>
  </definedNames>
  <calcPr fullCalcOnLoad="1"/>
</workbook>
</file>

<file path=xl/sharedStrings.xml><?xml version="1.0" encoding="utf-8"?>
<sst xmlns="http://schemas.openxmlformats.org/spreadsheetml/2006/main" count="186" uniqueCount="100">
  <si>
    <t>tCO2/GJ</t>
  </si>
  <si>
    <t>tCO2/MWh</t>
  </si>
  <si>
    <t>Transformers conversion factors</t>
  </si>
  <si>
    <t>EAF 50</t>
  </si>
  <si>
    <t>current transformer factor</t>
  </si>
  <si>
    <t>voltage transformer factor</t>
  </si>
  <si>
    <t>overall conversion factor</t>
  </si>
  <si>
    <t>EAF 100 #3</t>
  </si>
  <si>
    <t>EAF 100 #5</t>
  </si>
  <si>
    <t>LF</t>
  </si>
  <si>
    <t>Emission factors</t>
  </si>
  <si>
    <t>electricity</t>
  </si>
  <si>
    <t>thermal #10, TS</t>
  </si>
  <si>
    <t>heating #10, FPS</t>
  </si>
  <si>
    <t>thermal #30, FPS</t>
  </si>
  <si>
    <t>thermal #18, FPS</t>
  </si>
  <si>
    <t>tonnes</t>
  </si>
  <si>
    <t>Project emissions</t>
  </si>
  <si>
    <t>tCO2</t>
  </si>
  <si>
    <t>Natural Gas consumpton and semi-products production</t>
  </si>
  <si>
    <t>Furnace</t>
  </si>
  <si>
    <t>Baseline emissions</t>
  </si>
  <si>
    <t>Emission reductions</t>
  </si>
  <si>
    <t>Emission Reductions</t>
  </si>
  <si>
    <t>Month</t>
  </si>
  <si>
    <t xml:space="preserve">Vacuumed steel </t>
  </si>
  <si>
    <t>Total</t>
  </si>
  <si>
    <t>Baseline factors for the SP2</t>
  </si>
  <si>
    <t>efficiency of the coal boilers</t>
  </si>
  <si>
    <t>%</t>
  </si>
  <si>
    <t>specific electricity consumption</t>
  </si>
  <si>
    <t>specific heat consumption</t>
  </si>
  <si>
    <t>Baseline factors for the SP3</t>
  </si>
  <si>
    <t>installed capacity of the press’ serving motors before reconstruction</t>
  </si>
  <si>
    <t>MW</t>
  </si>
  <si>
    <t>Baseline factors for the SP4</t>
  </si>
  <si>
    <t>SP1</t>
  </si>
  <si>
    <t>SP2</t>
  </si>
  <si>
    <t>SP3</t>
  </si>
  <si>
    <t>SP4</t>
  </si>
  <si>
    <t xml:space="preserve">Project emissions </t>
  </si>
  <si>
    <t>thermal #19, FPS</t>
  </si>
  <si>
    <t>thermal #20, FPS</t>
  </si>
  <si>
    <t>thermal #32, FPS</t>
  </si>
  <si>
    <t>thermal #37, FPS</t>
  </si>
  <si>
    <t>heating #33, FPS</t>
  </si>
  <si>
    <t>heating #34, FPS</t>
  </si>
  <si>
    <t>heating #35, FPS</t>
  </si>
  <si>
    <t xml:space="preserve">Total           </t>
  </si>
  <si>
    <t>heating #36, FPS</t>
  </si>
  <si>
    <t>thermal #38, FPS</t>
  </si>
  <si>
    <t>thermal #17, TS</t>
  </si>
  <si>
    <t>thermal #18, TS</t>
  </si>
  <si>
    <t>thermal #01, TS</t>
  </si>
  <si>
    <t>thermal #02, TS</t>
  </si>
  <si>
    <t>heating #09, FPS</t>
  </si>
  <si>
    <t>heating #08, FPS</t>
  </si>
  <si>
    <t>heating #07, FPS</t>
  </si>
  <si>
    <t>thermal #04, TS</t>
  </si>
  <si>
    <t>conversion factor kcal to GJ</t>
  </si>
  <si>
    <t>m3</t>
  </si>
  <si>
    <t>Grand total</t>
  </si>
  <si>
    <t xml:space="preserve">Baseline emissions </t>
  </si>
  <si>
    <t>thermal #09, TS</t>
  </si>
  <si>
    <t>natural gas</t>
  </si>
  <si>
    <t>Baseline emissions form heat consumption</t>
  </si>
  <si>
    <t>Baseline emissions form electricity
 consumption</t>
  </si>
  <si>
    <t>Project electricity consumption</t>
  </si>
  <si>
    <t>thermal #01, FPS</t>
  </si>
  <si>
    <t>thermal #31, FPS</t>
  </si>
  <si>
    <t>Baseline specific NG consumption for the SP1</t>
  </si>
  <si>
    <t>Natural gas LCV (GJ/1000m3)</t>
  </si>
  <si>
    <t xml:space="preserve"> </t>
  </si>
  <si>
    <t>Letter “Kramatorsk administration of gas distribution and supplying with gas”</t>
  </si>
  <si>
    <t>Letter “Kramatorskteploenergo”</t>
  </si>
  <si>
    <t>GJ/t</t>
  </si>
  <si>
    <t>MWh/t</t>
  </si>
  <si>
    <t>m3/t</t>
  </si>
  <si>
    <t xml:space="preserve">p.47 </t>
  </si>
  <si>
    <t>http://physics.nist.gov/cuu/pdf/sp811.pdf</t>
  </si>
  <si>
    <t>coal (anthracite)</t>
  </si>
  <si>
    <t>2006 IPCC Guidelines for National Greenhouse Gas Inventories, Volume 2: Energy, Chapter 1: Introduction, Table 1.4 p. 1.23</t>
  </si>
  <si>
    <t>Order of National Environment Investment Agency # 75 dated 12.05.2011</t>
  </si>
  <si>
    <t>2006 IPCC Guidelines for National Greenhouse Gas Inventories, Volume 2: Energy, Chapter 1: Introduction, Table 1.4 p. 1.24</t>
  </si>
  <si>
    <t>January</t>
  </si>
  <si>
    <t>February</t>
  </si>
  <si>
    <t xml:space="preserve">March </t>
  </si>
  <si>
    <t xml:space="preserve">April </t>
  </si>
  <si>
    <t xml:space="preserve">May </t>
  </si>
  <si>
    <t>June</t>
  </si>
  <si>
    <t>heating #06, FPS</t>
  </si>
  <si>
    <t>thermal #39, FPS</t>
  </si>
  <si>
    <t>6 month</t>
  </si>
  <si>
    <t>MWh</t>
  </si>
  <si>
    <t>Electrosteel</t>
  </si>
  <si>
    <t>Electricity consumption at EAFs</t>
  </si>
  <si>
    <t>Electricity consumption at LF</t>
  </si>
  <si>
    <t>Working hours</t>
  </si>
  <si>
    <t>h</t>
  </si>
  <si>
    <t>Electricity consumption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</si>
</sst>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$-419]mmmm;@"/>
    <numFmt numFmtId="173" formatCode="0.0"/>
    <numFmt numFmtId="174" formatCode="#,##0.000"/>
    <numFmt numFmtId="175" formatCode="0.000"/>
    <numFmt numFmtId="176" formatCode="0.0000"/>
    <numFmt numFmtId="177" formatCode="0.0000000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mmm/yyyy"/>
    <numFmt numFmtId="184" formatCode="0.000000"/>
    <numFmt numFmtId="185" formatCode="0.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>
        <color indexed="63"/>
      </left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/>
    </border>
  </borders>
  <cellStyleXfs count="66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2" fontId="3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172" fontId="0" fillId="0" borderId="0">
      <alignment/>
      <protection/>
    </xf>
    <xf numFmtId="0" fontId="3" fillId="0" borderId="0">
      <alignment/>
      <protection/>
    </xf>
    <xf numFmtId="172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6">
    <xf numFmtId="172" fontId="0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10" xfId="0" applyBorder="1" applyAlignment="1">
      <alignment/>
    </xf>
    <xf numFmtId="172" fontId="0" fillId="0" borderId="11" xfId="0" applyBorder="1" applyAlignment="1">
      <alignment/>
    </xf>
    <xf numFmtId="172" fontId="0" fillId="0" borderId="12" xfId="0" applyBorder="1" applyAlignment="1">
      <alignment/>
    </xf>
    <xf numFmtId="172" fontId="0" fillId="0" borderId="13" xfId="0" applyBorder="1" applyAlignment="1">
      <alignment/>
    </xf>
    <xf numFmtId="172" fontId="0" fillId="0" borderId="14" xfId="0" applyBorder="1" applyAlignment="1">
      <alignment/>
    </xf>
    <xf numFmtId="172" fontId="0" fillId="0" borderId="15" xfId="0" applyBorder="1" applyAlignment="1">
      <alignment/>
    </xf>
    <xf numFmtId="172" fontId="0" fillId="0" borderId="16" xfId="0" applyBorder="1" applyAlignment="1">
      <alignment/>
    </xf>
    <xf numFmtId="172" fontId="2" fillId="0" borderId="17" xfId="0" applyFont="1" applyBorder="1" applyAlignment="1">
      <alignment/>
    </xf>
    <xf numFmtId="172" fontId="2" fillId="0" borderId="18" xfId="0" applyFont="1" applyBorder="1" applyAlignment="1">
      <alignment/>
    </xf>
    <xf numFmtId="172" fontId="2" fillId="0" borderId="11" xfId="0" applyFont="1" applyBorder="1" applyAlignment="1">
      <alignment/>
    </xf>
    <xf numFmtId="172" fontId="0" fillId="0" borderId="0" xfId="0" applyFill="1" applyAlignment="1">
      <alignment/>
    </xf>
    <xf numFmtId="172" fontId="3" fillId="0" borderId="0" xfId="33" applyFill="1">
      <alignment/>
      <protection/>
    </xf>
    <xf numFmtId="172" fontId="4" fillId="0" borderId="0" xfId="33" applyFont="1" applyFill="1">
      <alignment/>
      <protection/>
    </xf>
    <xf numFmtId="172" fontId="5" fillId="0" borderId="0" xfId="33" applyFont="1" applyFill="1" applyBorder="1">
      <alignment/>
      <protection/>
    </xf>
    <xf numFmtId="1" fontId="5" fillId="0" borderId="0" xfId="33" applyNumberFormat="1" applyFont="1" applyFill="1" applyBorder="1">
      <alignment/>
      <protection/>
    </xf>
    <xf numFmtId="1" fontId="6" fillId="0" borderId="0" xfId="33" applyNumberFormat="1" applyFont="1" applyFill="1" applyBorder="1">
      <alignment/>
      <protection/>
    </xf>
    <xf numFmtId="1" fontId="6" fillId="0" borderId="0" xfId="33" applyNumberFormat="1" applyFont="1" applyFill="1">
      <alignment/>
      <protection/>
    </xf>
    <xf numFmtId="172" fontId="0" fillId="0" borderId="19" xfId="0" applyBorder="1" applyAlignment="1">
      <alignment/>
    </xf>
    <xf numFmtId="172" fontId="0" fillId="0" borderId="20" xfId="0" applyBorder="1" applyAlignment="1">
      <alignment/>
    </xf>
    <xf numFmtId="172" fontId="5" fillId="0" borderId="10" xfId="33" applyFont="1" applyFill="1" applyBorder="1">
      <alignment/>
      <protection/>
    </xf>
    <xf numFmtId="172" fontId="0" fillId="0" borderId="17" xfId="0" applyBorder="1" applyAlignment="1">
      <alignment horizontal="center"/>
    </xf>
    <xf numFmtId="172" fontId="0" fillId="0" borderId="21" xfId="0" applyBorder="1" applyAlignment="1">
      <alignment horizontal="center" vertical="center"/>
    </xf>
    <xf numFmtId="172" fontId="0" fillId="33" borderId="22" xfId="0" applyFill="1" applyBorder="1" applyAlignment="1">
      <alignment/>
    </xf>
    <xf numFmtId="3" fontId="0" fillId="33" borderId="23" xfId="0" applyNumberFormat="1" applyFill="1" applyBorder="1" applyAlignment="1">
      <alignment/>
    </xf>
    <xf numFmtId="3" fontId="0" fillId="33" borderId="24" xfId="0" applyNumberForma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172" fontId="0" fillId="0" borderId="0" xfId="0" applyBorder="1" applyAlignment="1">
      <alignment/>
    </xf>
    <xf numFmtId="172" fontId="0" fillId="0" borderId="14" xfId="0" applyBorder="1" applyAlignment="1">
      <alignment horizontal="left" vertical="center"/>
    </xf>
    <xf numFmtId="172" fontId="0" fillId="0" borderId="21" xfId="0" applyBorder="1" applyAlignment="1">
      <alignment horizontal="left" vertical="center"/>
    </xf>
    <xf numFmtId="172" fontId="0" fillId="0" borderId="0" xfId="0" applyAlignment="1">
      <alignment horizontal="left" vertical="center"/>
    </xf>
    <xf numFmtId="172" fontId="0" fillId="0" borderId="12" xfId="0" applyBorder="1" applyAlignment="1">
      <alignment horizontal="center" vertical="center"/>
    </xf>
    <xf numFmtId="172" fontId="0" fillId="0" borderId="10" xfId="0" applyBorder="1" applyAlignment="1">
      <alignment horizontal="center" vertical="center"/>
    </xf>
    <xf numFmtId="172" fontId="0" fillId="0" borderId="18" xfId="0" applyBorder="1" applyAlignment="1">
      <alignment horizontal="center" vertical="center"/>
    </xf>
    <xf numFmtId="2" fontId="0" fillId="0" borderId="0" xfId="0" applyNumberFormat="1" applyAlignment="1">
      <alignment/>
    </xf>
    <xf numFmtId="172" fontId="0" fillId="0" borderId="13" xfId="0" applyFill="1" applyBorder="1" applyAlignment="1">
      <alignment vertical="justify" wrapText="1"/>
    </xf>
    <xf numFmtId="175" fontId="0" fillId="0" borderId="25" xfId="0" applyNumberFormat="1" applyBorder="1" applyAlignment="1">
      <alignment/>
    </xf>
    <xf numFmtId="0" fontId="0" fillId="0" borderId="0" xfId="0" applyNumberFormat="1" applyAlignment="1">
      <alignment horizontal="right" vertical="center"/>
    </xf>
    <xf numFmtId="172" fontId="0" fillId="0" borderId="0" xfId="0" applyFill="1" applyBorder="1" applyAlignment="1">
      <alignment vertical="justify" wrapText="1"/>
    </xf>
    <xf numFmtId="3" fontId="35" fillId="34" borderId="23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173" fontId="0" fillId="0" borderId="23" xfId="0" applyNumberFormat="1" applyFill="1" applyBorder="1" applyAlignment="1">
      <alignment/>
    </xf>
    <xf numFmtId="1" fontId="3" fillId="0" borderId="0" xfId="33" applyNumberFormat="1" applyFill="1">
      <alignment/>
      <protection/>
    </xf>
    <xf numFmtId="175" fontId="0" fillId="0" borderId="23" xfId="0" applyNumberFormat="1" applyFill="1" applyBorder="1" applyAlignment="1">
      <alignment/>
    </xf>
    <xf numFmtId="177" fontId="0" fillId="0" borderId="26" xfId="0" applyNumberFormat="1" applyFill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6" xfId="0" applyNumberFormat="1" applyFill="1" applyBorder="1" applyAlignment="1">
      <alignment/>
    </xf>
    <xf numFmtId="172" fontId="2" fillId="0" borderId="27" xfId="0" applyFont="1" applyBorder="1" applyAlignment="1">
      <alignment/>
    </xf>
    <xf numFmtId="172" fontId="6" fillId="0" borderId="20" xfId="33" applyFont="1" applyFill="1" applyBorder="1" applyAlignment="1">
      <alignment horizontal="right"/>
      <protection/>
    </xf>
    <xf numFmtId="172" fontId="5" fillId="0" borderId="12" xfId="33" applyFont="1" applyFill="1" applyBorder="1">
      <alignment/>
      <protection/>
    </xf>
    <xf numFmtId="3" fontId="0" fillId="0" borderId="12" xfId="0" applyNumberFormat="1" applyFont="1" applyBorder="1" applyAlignment="1">
      <alignment/>
    </xf>
    <xf numFmtId="3" fontId="35" fillId="34" borderId="22" xfId="0" applyNumberFormat="1" applyFont="1" applyFill="1" applyBorder="1" applyAlignment="1">
      <alignment/>
    </xf>
    <xf numFmtId="172" fontId="5" fillId="0" borderId="21" xfId="33" applyFont="1" applyFill="1" applyBorder="1">
      <alignment/>
      <protection/>
    </xf>
    <xf numFmtId="3" fontId="0" fillId="0" borderId="21" xfId="0" applyNumberFormat="1" applyFont="1" applyBorder="1" applyAlignment="1">
      <alignment/>
    </xf>
    <xf numFmtId="3" fontId="35" fillId="34" borderId="26" xfId="0" applyNumberFormat="1" applyFont="1" applyFill="1" applyBorder="1" applyAlignment="1">
      <alignment/>
    </xf>
    <xf numFmtId="10" fontId="0" fillId="35" borderId="22" xfId="0" applyNumberFormat="1" applyFill="1" applyBorder="1" applyAlignment="1">
      <alignment/>
    </xf>
    <xf numFmtId="1" fontId="0" fillId="0" borderId="0" xfId="0" applyNumberFormat="1" applyAlignment="1">
      <alignment/>
    </xf>
    <xf numFmtId="1" fontId="35" fillId="33" borderId="28" xfId="0" applyNumberFormat="1" applyFont="1" applyFill="1" applyBorder="1" applyAlignment="1">
      <alignment/>
    </xf>
    <xf numFmtId="172" fontId="2" fillId="0" borderId="29" xfId="0" applyFont="1" applyBorder="1" applyAlignment="1">
      <alignment horizontal="center"/>
    </xf>
    <xf numFmtId="172" fontId="35" fillId="0" borderId="28" xfId="0" applyFont="1" applyBorder="1" applyAlignment="1">
      <alignment/>
    </xf>
    <xf numFmtId="0" fontId="35" fillId="0" borderId="30" xfId="0" applyNumberFormat="1" applyFont="1" applyBorder="1" applyAlignment="1">
      <alignment/>
    </xf>
    <xf numFmtId="172" fontId="35" fillId="0" borderId="30" xfId="0" applyFont="1" applyBorder="1" applyAlignment="1">
      <alignment/>
    </xf>
    <xf numFmtId="172" fontId="2" fillId="0" borderId="31" xfId="0" applyFont="1" applyBorder="1" applyAlignment="1">
      <alignment horizontal="center"/>
    </xf>
    <xf numFmtId="172" fontId="35" fillId="0" borderId="32" xfId="0" applyFont="1" applyFill="1" applyBorder="1" applyAlignment="1">
      <alignment vertical="justify" wrapText="1"/>
    </xf>
    <xf numFmtId="172" fontId="35" fillId="0" borderId="0" xfId="0" applyFont="1" applyAlignment="1">
      <alignment/>
    </xf>
    <xf numFmtId="0" fontId="35" fillId="0" borderId="33" xfId="0" applyNumberFormat="1" applyFont="1" applyBorder="1" applyAlignment="1">
      <alignment/>
    </xf>
    <xf numFmtId="0" fontId="35" fillId="0" borderId="33" xfId="0" applyNumberFormat="1" applyFont="1" applyFill="1" applyBorder="1" applyAlignment="1">
      <alignment horizontal="center" vertical="center"/>
    </xf>
    <xf numFmtId="172" fontId="35" fillId="0" borderId="0" xfId="0" applyFont="1" applyFill="1" applyAlignment="1">
      <alignment/>
    </xf>
    <xf numFmtId="173" fontId="0" fillId="0" borderId="34" xfId="0" applyNumberFormat="1" applyBorder="1" applyAlignment="1">
      <alignment/>
    </xf>
    <xf numFmtId="172" fontId="35" fillId="0" borderId="35" xfId="0" applyFont="1" applyFill="1" applyBorder="1" applyAlignment="1">
      <alignment vertical="justify" wrapText="1"/>
    </xf>
    <xf numFmtId="2" fontId="35" fillId="0" borderId="30" xfId="0" applyNumberFormat="1" applyFont="1" applyBorder="1" applyAlignment="1">
      <alignment/>
    </xf>
    <xf numFmtId="0" fontId="25" fillId="0" borderId="12" xfId="55" applyFont="1" applyFill="1" applyBorder="1">
      <alignment/>
      <protection/>
    </xf>
    <xf numFmtId="0" fontId="25" fillId="0" borderId="22" xfId="55" applyFont="1" applyFill="1" applyBorder="1">
      <alignment/>
      <protection/>
    </xf>
    <xf numFmtId="0" fontId="25" fillId="0" borderId="10" xfId="55" applyFont="1" applyFill="1" applyBorder="1">
      <alignment/>
      <protection/>
    </xf>
    <xf numFmtId="1" fontId="25" fillId="0" borderId="10" xfId="55" applyNumberFormat="1" applyFont="1" applyFill="1" applyBorder="1" applyAlignment="1">
      <alignment horizontal="right" wrapText="1"/>
      <protection/>
    </xf>
    <xf numFmtId="0" fontId="25" fillId="0" borderId="23" xfId="55" applyFont="1" applyFill="1" applyBorder="1">
      <alignment/>
      <protection/>
    </xf>
    <xf numFmtId="2" fontId="25" fillId="0" borderId="13" xfId="55" applyNumberFormat="1" applyFont="1" applyFill="1" applyBorder="1">
      <alignment/>
      <protection/>
    </xf>
    <xf numFmtId="2" fontId="25" fillId="0" borderId="10" xfId="55" applyNumberFormat="1" applyFont="1" applyFill="1" applyBorder="1">
      <alignment/>
      <protection/>
    </xf>
    <xf numFmtId="0" fontId="25" fillId="0" borderId="21" xfId="55" applyFont="1" applyFill="1" applyBorder="1">
      <alignment/>
      <protection/>
    </xf>
    <xf numFmtId="0" fontId="25" fillId="0" borderId="26" xfId="55" applyFont="1" applyFill="1" applyBorder="1">
      <alignment/>
      <protection/>
    </xf>
    <xf numFmtId="172" fontId="0" fillId="0" borderId="36" xfId="0" applyFill="1" applyBorder="1" applyAlignment="1">
      <alignment vertical="justify" wrapText="1"/>
    </xf>
    <xf numFmtId="172" fontId="0" fillId="0" borderId="37" xfId="0" applyFill="1" applyBorder="1" applyAlignment="1">
      <alignment vertical="justify" wrapText="1"/>
    </xf>
    <xf numFmtId="172" fontId="0" fillId="0" borderId="38" xfId="0" applyFill="1" applyBorder="1" applyAlignment="1">
      <alignment vertical="justify" wrapText="1"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34" xfId="0" applyNumberFormat="1" applyBorder="1" applyAlignment="1">
      <alignment/>
    </xf>
    <xf numFmtId="1" fontId="35" fillId="0" borderId="39" xfId="0" applyNumberFormat="1" applyFont="1" applyBorder="1" applyAlignment="1">
      <alignment/>
    </xf>
    <xf numFmtId="172" fontId="35" fillId="33" borderId="30" xfId="0" applyFont="1" applyFill="1" applyBorder="1" applyAlignment="1">
      <alignment/>
    </xf>
    <xf numFmtId="1" fontId="0" fillId="0" borderId="0" xfId="0" applyNumberFormat="1" applyAlignment="1">
      <alignment horizontal="right"/>
    </xf>
    <xf numFmtId="175" fontId="25" fillId="36" borderId="12" xfId="0" applyNumberFormat="1" applyFont="1" applyFill="1" applyBorder="1" applyAlignment="1">
      <alignment/>
    </xf>
    <xf numFmtId="175" fontId="25" fillId="35" borderId="12" xfId="0" applyNumberFormat="1" applyFont="1" applyFill="1" applyBorder="1" applyAlignment="1">
      <alignment/>
    </xf>
    <xf numFmtId="175" fontId="25" fillId="35" borderId="12" xfId="0" applyNumberFormat="1" applyFont="1" applyFill="1" applyBorder="1" applyAlignment="1">
      <alignment horizontal="right"/>
    </xf>
    <xf numFmtId="175" fontId="25" fillId="35" borderId="10" xfId="0" applyNumberFormat="1" applyFont="1" applyFill="1" applyBorder="1" applyAlignment="1">
      <alignment horizontal="right"/>
    </xf>
    <xf numFmtId="175" fontId="25" fillId="35" borderId="21" xfId="0" applyNumberFormat="1" applyFont="1" applyFill="1" applyBorder="1" applyAlignment="1">
      <alignment horizontal="right"/>
    </xf>
    <xf numFmtId="175" fontId="25" fillId="35" borderId="10" xfId="0" applyNumberFormat="1" applyFont="1" applyFill="1" applyBorder="1" applyAlignment="1">
      <alignment/>
    </xf>
    <xf numFmtId="175" fontId="25" fillId="35" borderId="21" xfId="0" applyNumberFormat="1" applyFont="1" applyFill="1" applyBorder="1" applyAlignment="1">
      <alignment/>
    </xf>
    <xf numFmtId="172" fontId="35" fillId="0" borderId="0" xfId="0" applyFont="1" applyAlignment="1">
      <alignment horizontal="left" vertical="center"/>
    </xf>
    <xf numFmtId="0" fontId="45" fillId="0" borderId="0" xfId="0" applyNumberFormat="1" applyFont="1" applyBorder="1" applyAlignment="1">
      <alignment vertical="center" wrapText="1"/>
    </xf>
    <xf numFmtId="0" fontId="0" fillId="0" borderId="0" xfId="0" applyNumberFormat="1" applyBorder="1" applyAlignment="1">
      <alignment/>
    </xf>
    <xf numFmtId="172" fontId="0" fillId="0" borderId="14" xfId="0" applyFill="1" applyBorder="1" applyAlignment="1">
      <alignment vertical="justify" wrapText="1"/>
    </xf>
    <xf numFmtId="172" fontId="0" fillId="0" borderId="11" xfId="0" applyFill="1" applyBorder="1" applyAlignment="1">
      <alignment vertical="justify" wrapText="1"/>
    </xf>
    <xf numFmtId="172" fontId="35" fillId="0" borderId="29" xfId="0" applyFont="1" applyBorder="1" applyAlignment="1">
      <alignment/>
    </xf>
    <xf numFmtId="2" fontId="35" fillId="0" borderId="40" xfId="0" applyNumberFormat="1" applyFont="1" applyBorder="1" applyAlignment="1">
      <alignment/>
    </xf>
    <xf numFmtId="1" fontId="35" fillId="0" borderId="40" xfId="0" applyNumberFormat="1" applyFont="1" applyBorder="1" applyAlignment="1">
      <alignment/>
    </xf>
    <xf numFmtId="176" fontId="0" fillId="0" borderId="23" xfId="0" applyNumberFormat="1" applyFill="1" applyBorder="1" applyAlignment="1">
      <alignment/>
    </xf>
    <xf numFmtId="2" fontId="25" fillId="0" borderId="11" xfId="55" applyNumberFormat="1" applyFont="1" applyFill="1" applyBorder="1">
      <alignment/>
      <protection/>
    </xf>
    <xf numFmtId="2" fontId="25" fillId="0" borderId="14" xfId="55" applyNumberFormat="1" applyFont="1" applyFill="1" applyBorder="1">
      <alignment/>
      <protection/>
    </xf>
    <xf numFmtId="2" fontId="25" fillId="0" borderId="12" xfId="55" applyNumberFormat="1" applyFont="1" applyFill="1" applyBorder="1">
      <alignment/>
      <protection/>
    </xf>
    <xf numFmtId="2" fontId="25" fillId="0" borderId="21" xfId="55" applyNumberFormat="1" applyFont="1" applyFill="1" applyBorder="1">
      <alignment/>
      <protection/>
    </xf>
    <xf numFmtId="174" fontId="0" fillId="0" borderId="12" xfId="0" applyNumberFormat="1" applyFont="1" applyFill="1" applyBorder="1" applyAlignment="1">
      <alignment/>
    </xf>
    <xf numFmtId="175" fontId="25" fillId="36" borderId="10" xfId="0" applyNumberFormat="1" applyFont="1" applyFill="1" applyBorder="1" applyAlignment="1">
      <alignment/>
    </xf>
    <xf numFmtId="175" fontId="25" fillId="36" borderId="21" xfId="0" applyNumberFormat="1" applyFont="1" applyFill="1" applyBorder="1" applyAlignment="1">
      <alignment/>
    </xf>
    <xf numFmtId="172" fontId="0" fillId="0" borderId="12" xfId="0" applyFill="1" applyBorder="1" applyAlignment="1">
      <alignment/>
    </xf>
    <xf numFmtId="172" fontId="0" fillId="0" borderId="22" xfId="0" applyFill="1" applyBorder="1" applyAlignment="1">
      <alignment/>
    </xf>
    <xf numFmtId="174" fontId="0" fillId="0" borderId="10" xfId="0" applyNumberFormat="1" applyFont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0" fillId="0" borderId="12" xfId="0" applyNumberFormat="1" applyFont="1" applyBorder="1" applyAlignment="1">
      <alignment/>
    </xf>
    <xf numFmtId="174" fontId="0" fillId="0" borderId="21" xfId="0" applyNumberFormat="1" applyFont="1" applyBorder="1" applyAlignment="1">
      <alignment/>
    </xf>
    <xf numFmtId="174" fontId="0" fillId="0" borderId="21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21" xfId="0" applyNumberFormat="1" applyBorder="1" applyAlignment="1">
      <alignment/>
    </xf>
    <xf numFmtId="2" fontId="25" fillId="36" borderId="10" xfId="0" applyNumberFormat="1" applyFont="1" applyFill="1" applyBorder="1" applyAlignment="1">
      <alignment/>
    </xf>
    <xf numFmtId="172" fontId="0" fillId="0" borderId="11" xfId="0" applyFill="1" applyBorder="1" applyAlignment="1">
      <alignment/>
    </xf>
    <xf numFmtId="2" fontId="25" fillId="36" borderId="12" xfId="0" applyNumberFormat="1" applyFont="1" applyFill="1" applyBorder="1" applyAlignment="1">
      <alignment/>
    </xf>
    <xf numFmtId="172" fontId="0" fillId="0" borderId="13" xfId="0" applyFill="1" applyBorder="1" applyAlignment="1">
      <alignment/>
    </xf>
    <xf numFmtId="172" fontId="0" fillId="0" borderId="14" xfId="0" applyFill="1" applyBorder="1" applyAlignment="1">
      <alignment/>
    </xf>
    <xf numFmtId="2" fontId="25" fillId="36" borderId="21" xfId="0" applyNumberFormat="1" applyFont="1" applyFill="1" applyBorder="1" applyAlignment="1">
      <alignment/>
    </xf>
    <xf numFmtId="172" fontId="46" fillId="0" borderId="0" xfId="0" applyFont="1" applyAlignment="1">
      <alignment wrapText="1"/>
    </xf>
    <xf numFmtId="172" fontId="25" fillId="0" borderId="0" xfId="0" applyFont="1" applyAlignment="1">
      <alignment/>
    </xf>
    <xf numFmtId="184" fontId="0" fillId="0" borderId="0" xfId="0" applyNumberFormat="1" applyAlignment="1">
      <alignment/>
    </xf>
    <xf numFmtId="172" fontId="31" fillId="0" borderId="0" xfId="43" applyAlignment="1">
      <alignment/>
    </xf>
    <xf numFmtId="185" fontId="0" fillId="0" borderId="25" xfId="0" applyNumberFormat="1" applyBorder="1" applyAlignment="1">
      <alignment/>
    </xf>
    <xf numFmtId="172" fontId="35" fillId="0" borderId="41" xfId="0" applyFont="1" applyBorder="1" applyAlignment="1">
      <alignment/>
    </xf>
    <xf numFmtId="0" fontId="35" fillId="0" borderId="42" xfId="0" applyNumberFormat="1" applyFont="1" applyFill="1" applyBorder="1" applyAlignment="1">
      <alignment horizontal="left" vertical="center"/>
    </xf>
    <xf numFmtId="172" fontId="1" fillId="0" borderId="29" xfId="0" applyFont="1" applyBorder="1" applyAlignment="1">
      <alignment horizontal="justify" vertical="justify" wrapText="1"/>
    </xf>
    <xf numFmtId="172" fontId="0" fillId="36" borderId="11" xfId="0" applyFill="1" applyBorder="1" applyAlignment="1">
      <alignment/>
    </xf>
    <xf numFmtId="2" fontId="0" fillId="35" borderId="22" xfId="0" applyNumberFormat="1" applyFill="1" applyBorder="1" applyAlignment="1">
      <alignment/>
    </xf>
    <xf numFmtId="172" fontId="0" fillId="36" borderId="13" xfId="0" applyFill="1" applyBorder="1" applyAlignment="1">
      <alignment/>
    </xf>
    <xf numFmtId="2" fontId="0" fillId="35" borderId="23" xfId="0" applyNumberFormat="1" applyFill="1" applyBorder="1" applyAlignment="1">
      <alignment/>
    </xf>
    <xf numFmtId="172" fontId="0" fillId="36" borderId="14" xfId="0" applyFill="1" applyBorder="1" applyAlignment="1">
      <alignment/>
    </xf>
    <xf numFmtId="172" fontId="2" fillId="0" borderId="43" xfId="0" applyFont="1" applyBorder="1" applyAlignment="1">
      <alignment horizontal="center"/>
    </xf>
    <xf numFmtId="172" fontId="2" fillId="0" borderId="44" xfId="0" applyFont="1" applyBorder="1" applyAlignment="1">
      <alignment horizontal="center"/>
    </xf>
    <xf numFmtId="172" fontId="35" fillId="0" borderId="45" xfId="0" applyFont="1" applyFill="1" applyBorder="1" applyAlignment="1">
      <alignment vertical="justify" wrapText="1"/>
    </xf>
    <xf numFmtId="172" fontId="0" fillId="0" borderId="46" xfId="0" applyFill="1" applyBorder="1" applyAlignment="1">
      <alignment vertical="justify" wrapText="1"/>
    </xf>
    <xf numFmtId="172" fontId="35" fillId="0" borderId="42" xfId="0" applyFont="1" applyBorder="1" applyAlignment="1">
      <alignment/>
    </xf>
    <xf numFmtId="1" fontId="0" fillId="0" borderId="47" xfId="0" applyNumberFormat="1" applyBorder="1" applyAlignment="1">
      <alignment/>
    </xf>
    <xf numFmtId="1" fontId="0" fillId="0" borderId="48" xfId="0" applyNumberFormat="1" applyBorder="1" applyAlignment="1">
      <alignment/>
    </xf>
    <xf numFmtId="1" fontId="0" fillId="0" borderId="49" xfId="0" applyNumberFormat="1" applyBorder="1" applyAlignment="1">
      <alignment/>
    </xf>
    <xf numFmtId="172" fontId="0" fillId="0" borderId="32" xfId="0" applyFill="1" applyBorder="1" applyAlignment="1">
      <alignment vertical="justify" wrapText="1"/>
    </xf>
    <xf numFmtId="2" fontId="25" fillId="0" borderId="10" xfId="55" applyNumberFormat="1" applyFont="1" applyFill="1" applyBorder="1" applyAlignment="1">
      <alignment horizontal="right"/>
      <protection/>
    </xf>
    <xf numFmtId="2" fontId="25" fillId="0" borderId="10" xfId="55" applyNumberFormat="1" applyFont="1" applyFill="1" applyBorder="1" applyAlignment="1">
      <alignment horizontal="right" vertical="center" wrapText="1"/>
      <protection/>
    </xf>
    <xf numFmtId="1" fontId="25" fillId="0" borderId="10" xfId="55" applyNumberFormat="1" applyFont="1" applyFill="1" applyBorder="1" applyAlignment="1">
      <alignment horizontal="right" vertical="center" wrapText="1"/>
      <protection/>
    </xf>
    <xf numFmtId="1" fontId="0" fillId="0" borderId="10" xfId="0" applyNumberFormat="1" applyFill="1" applyBorder="1" applyAlignment="1">
      <alignment/>
    </xf>
    <xf numFmtId="1" fontId="0" fillId="0" borderId="23" xfId="0" applyNumberFormat="1" applyFill="1" applyBorder="1" applyAlignment="1">
      <alignment/>
    </xf>
    <xf numFmtId="1" fontId="0" fillId="0" borderId="21" xfId="0" applyNumberFormat="1" applyFill="1" applyBorder="1" applyAlignment="1">
      <alignment/>
    </xf>
    <xf numFmtId="1" fontId="0" fillId="0" borderId="26" xfId="0" applyNumberFormat="1" applyFill="1" applyBorder="1" applyAlignment="1">
      <alignment/>
    </xf>
    <xf numFmtId="172" fontId="35" fillId="0" borderId="40" xfId="0" applyFont="1" applyFill="1" applyBorder="1" applyAlignment="1">
      <alignment vertical="justify" wrapText="1"/>
    </xf>
    <xf numFmtId="1" fontId="25" fillId="0" borderId="22" xfId="55" applyNumberFormat="1" applyFont="1" applyFill="1" applyBorder="1">
      <alignment/>
      <protection/>
    </xf>
    <xf numFmtId="1" fontId="25" fillId="0" borderId="23" xfId="55" applyNumberFormat="1" applyFont="1" applyFill="1" applyBorder="1">
      <alignment/>
      <protection/>
    </xf>
    <xf numFmtId="2" fontId="25" fillId="0" borderId="21" xfId="55" applyNumberFormat="1" applyFont="1" applyFill="1" applyBorder="1" applyAlignment="1">
      <alignment horizontal="right" vertical="center" wrapText="1"/>
      <protection/>
    </xf>
    <xf numFmtId="1" fontId="25" fillId="0" borderId="21" xfId="55" applyNumberFormat="1" applyFont="1" applyFill="1" applyBorder="1" applyAlignment="1">
      <alignment horizontal="right" vertical="center" wrapText="1"/>
      <protection/>
    </xf>
    <xf numFmtId="1" fontId="25" fillId="0" borderId="26" xfId="55" applyNumberFormat="1" applyFont="1" applyFill="1" applyBorder="1">
      <alignment/>
      <protection/>
    </xf>
    <xf numFmtId="2" fontId="25" fillId="0" borderId="50" xfId="55" applyNumberFormat="1" applyFont="1" applyFill="1" applyBorder="1">
      <alignment/>
      <protection/>
    </xf>
    <xf numFmtId="2" fontId="25" fillId="0" borderId="51" xfId="55" applyNumberFormat="1" applyFont="1" applyFill="1" applyBorder="1">
      <alignment/>
      <protection/>
    </xf>
    <xf numFmtId="2" fontId="25" fillId="0" borderId="52" xfId="55" applyNumberFormat="1" applyFont="1" applyFill="1" applyBorder="1">
      <alignment/>
      <protection/>
    </xf>
    <xf numFmtId="1" fontId="0" fillId="0" borderId="53" xfId="0" applyNumberFormat="1" applyBorder="1" applyAlignment="1">
      <alignment/>
    </xf>
    <xf numFmtId="1" fontId="0" fillId="0" borderId="54" xfId="0" applyNumberFormat="1" applyBorder="1" applyAlignment="1">
      <alignment/>
    </xf>
    <xf numFmtId="1" fontId="0" fillId="0" borderId="55" xfId="0" applyNumberFormat="1" applyBorder="1" applyAlignment="1">
      <alignment/>
    </xf>
    <xf numFmtId="1" fontId="0" fillId="0" borderId="56" xfId="0" applyNumberFormat="1" applyBorder="1" applyAlignment="1">
      <alignment/>
    </xf>
    <xf numFmtId="1" fontId="0" fillId="0" borderId="57" xfId="0" applyNumberFormat="1" applyBorder="1" applyAlignment="1">
      <alignment/>
    </xf>
    <xf numFmtId="1" fontId="0" fillId="0" borderId="58" xfId="0" applyNumberForma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72" fontId="6" fillId="0" borderId="20" xfId="33" applyFont="1" applyFill="1" applyBorder="1">
      <alignment/>
      <protection/>
    </xf>
    <xf numFmtId="175" fontId="2" fillId="0" borderId="20" xfId="0" applyNumberFormat="1" applyFont="1" applyBorder="1" applyAlignment="1">
      <alignment/>
    </xf>
    <xf numFmtId="175" fontId="2" fillId="0" borderId="59" xfId="0" applyNumberFormat="1" applyFont="1" applyBorder="1" applyAlignment="1">
      <alignment/>
    </xf>
    <xf numFmtId="172" fontId="2" fillId="0" borderId="43" xfId="0" applyFont="1" applyBorder="1" applyAlignment="1">
      <alignment horizontal="left" vertical="top" wrapText="1"/>
    </xf>
    <xf numFmtId="172" fontId="2" fillId="0" borderId="29" xfId="0" applyFont="1" applyBorder="1" applyAlignment="1">
      <alignment horizontal="left" vertical="top" wrapText="1"/>
    </xf>
    <xf numFmtId="172" fontId="2" fillId="0" borderId="17" xfId="0" applyFont="1" applyBorder="1" applyAlignment="1">
      <alignment horizontal="center"/>
    </xf>
    <xf numFmtId="172" fontId="2" fillId="0" borderId="30" xfId="0" applyFont="1" applyBorder="1" applyAlignment="1">
      <alignment horizontal="center"/>
    </xf>
    <xf numFmtId="3" fontId="35" fillId="34" borderId="22" xfId="0" applyNumberFormat="1" applyFont="1" applyFill="1" applyBorder="1" applyAlignment="1">
      <alignment/>
    </xf>
    <xf numFmtId="3" fontId="35" fillId="34" borderId="23" xfId="0" applyNumberFormat="1" applyFont="1" applyFill="1" applyBorder="1" applyAlignment="1">
      <alignment/>
    </xf>
    <xf numFmtId="3" fontId="35" fillId="34" borderId="26" xfId="0" applyNumberFormat="1" applyFont="1" applyFill="1" applyBorder="1" applyAlignment="1">
      <alignment/>
    </xf>
    <xf numFmtId="172" fontId="2" fillId="0" borderId="30" xfId="0" applyFont="1" applyBorder="1" applyAlignment="1">
      <alignment horizontal="center" vertical="center"/>
    </xf>
    <xf numFmtId="172" fontId="2" fillId="0" borderId="28" xfId="0" applyFont="1" applyBorder="1" applyAlignment="1">
      <alignment horizontal="left" vertical="top" wrapText="1"/>
    </xf>
    <xf numFmtId="172" fontId="2" fillId="0" borderId="17" xfId="0" applyFont="1" applyBorder="1" applyAlignment="1">
      <alignment horizontal="left" vertical="top" wrapText="1"/>
    </xf>
    <xf numFmtId="172" fontId="2" fillId="0" borderId="30" xfId="0" applyFont="1" applyBorder="1" applyAlignment="1">
      <alignment horizontal="left" vertical="top" wrapText="1"/>
    </xf>
    <xf numFmtId="172" fontId="35" fillId="0" borderId="17" xfId="0" applyFont="1" applyBorder="1" applyAlignment="1">
      <alignment/>
    </xf>
    <xf numFmtId="174" fontId="35" fillId="0" borderId="18" xfId="0" applyNumberFormat="1" applyFont="1" applyFill="1" applyBorder="1" applyAlignment="1">
      <alignment/>
    </xf>
    <xf numFmtId="3" fontId="35" fillId="0" borderId="18" xfId="0" applyNumberFormat="1" applyFont="1" applyFill="1" applyBorder="1" applyAlignment="1">
      <alignment/>
    </xf>
    <xf numFmtId="3" fontId="35" fillId="0" borderId="25" xfId="0" applyNumberFormat="1" applyFont="1" applyFill="1" applyBorder="1" applyAlignment="1">
      <alignment/>
    </xf>
    <xf numFmtId="172" fontId="2" fillId="0" borderId="60" xfId="0" applyFont="1" applyBorder="1" applyAlignment="1">
      <alignment horizontal="left" vertical="top" wrapText="1"/>
    </xf>
    <xf numFmtId="172" fontId="35" fillId="0" borderId="27" xfId="0" applyFont="1" applyBorder="1" applyAlignment="1">
      <alignment wrapText="1"/>
    </xf>
    <xf numFmtId="4" fontId="35" fillId="0" borderId="20" xfId="0" applyNumberFormat="1" applyFont="1" applyFill="1" applyBorder="1" applyAlignment="1">
      <alignment/>
    </xf>
    <xf numFmtId="3" fontId="35" fillId="0" borderId="20" xfId="0" applyNumberFormat="1" applyFont="1" applyFill="1" applyBorder="1" applyAlignment="1">
      <alignment/>
    </xf>
    <xf numFmtId="3" fontId="35" fillId="0" borderId="59" xfId="0" applyNumberFormat="1" applyFont="1" applyFill="1" applyBorder="1" applyAlignment="1">
      <alignment/>
    </xf>
    <xf numFmtId="2" fontId="0" fillId="35" borderId="26" xfId="0" applyNumberFormat="1" applyFill="1" applyBorder="1" applyAlignment="1">
      <alignment/>
    </xf>
    <xf numFmtId="173" fontId="0" fillId="0" borderId="26" xfId="0" applyNumberFormat="1" applyFill="1" applyBorder="1" applyAlignment="1">
      <alignment/>
    </xf>
    <xf numFmtId="172" fontId="2" fillId="0" borderId="0" xfId="0" applyFont="1" applyFill="1" applyBorder="1" applyAlignment="1">
      <alignment horizontal="left" vertical="center" wrapText="1"/>
    </xf>
    <xf numFmtId="172" fontId="0" fillId="0" borderId="17" xfId="0" applyBorder="1" applyAlignment="1">
      <alignment horizontal="left" vertical="center"/>
    </xf>
    <xf numFmtId="172" fontId="0" fillId="0" borderId="18" xfId="0" applyBorder="1" applyAlignment="1">
      <alignment horizontal="left" vertical="center"/>
    </xf>
    <xf numFmtId="172" fontId="0" fillId="0" borderId="11" xfId="0" applyBorder="1" applyAlignment="1">
      <alignment horizontal="left" vertical="center" wrapText="1"/>
    </xf>
    <xf numFmtId="172" fontId="0" fillId="0" borderId="12" xfId="0" applyBorder="1" applyAlignment="1">
      <alignment horizontal="left" vertical="center" wrapText="1"/>
    </xf>
    <xf numFmtId="172" fontId="0" fillId="0" borderId="14" xfId="0" applyBorder="1" applyAlignment="1">
      <alignment horizontal="left" vertical="center" wrapText="1"/>
    </xf>
    <xf numFmtId="172" fontId="0" fillId="0" borderId="21" xfId="0" applyBorder="1" applyAlignment="1">
      <alignment horizontal="left" vertical="center" wrapText="1"/>
    </xf>
    <xf numFmtId="172" fontId="0" fillId="0" borderId="61" xfId="0" applyBorder="1" applyAlignment="1">
      <alignment horizontal="center" vertical="center"/>
    </xf>
    <xf numFmtId="172" fontId="0" fillId="0" borderId="20" xfId="0" applyBorder="1" applyAlignment="1">
      <alignment horizontal="center" vertical="center"/>
    </xf>
    <xf numFmtId="1" fontId="0" fillId="0" borderId="44" xfId="0" applyNumberFormat="1" applyBorder="1" applyAlignment="1">
      <alignment horizontal="right"/>
    </xf>
    <xf numFmtId="1" fontId="0" fillId="0" borderId="59" xfId="0" applyNumberFormat="1" applyBorder="1" applyAlignment="1">
      <alignment horizontal="right"/>
    </xf>
    <xf numFmtId="172" fontId="2" fillId="0" borderId="0" xfId="0" applyFont="1" applyFill="1" applyAlignment="1">
      <alignment horizontal="center"/>
    </xf>
    <xf numFmtId="172" fontId="0" fillId="0" borderId="11" xfId="0" applyBorder="1" applyAlignment="1">
      <alignment horizontal="left" vertical="center"/>
    </xf>
    <xf numFmtId="172" fontId="0" fillId="0" borderId="12" xfId="0" applyBorder="1" applyAlignment="1">
      <alignment horizontal="left" vertical="center"/>
    </xf>
    <xf numFmtId="172" fontId="0" fillId="0" borderId="13" xfId="0" applyBorder="1" applyAlignment="1">
      <alignment horizontal="left" vertical="center"/>
    </xf>
    <xf numFmtId="172" fontId="0" fillId="0" borderId="10" xfId="0" applyBorder="1" applyAlignment="1">
      <alignment horizontal="left" vertical="center"/>
    </xf>
    <xf numFmtId="172" fontId="2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hysics.nist.gov/cuu/pdf/sp811.pd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.57421875" style="0" customWidth="1"/>
    <col min="2" max="2" width="9.140625" style="0" hidden="1" customWidth="1"/>
  </cols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8" shapeId="40593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M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140625" style="0" customWidth="1"/>
    <col min="2" max="2" width="16.28125" style="0" customWidth="1"/>
    <col min="3" max="3" width="24.421875" style="0" customWidth="1"/>
    <col min="4" max="4" width="24.7109375" style="0" bestFit="1" customWidth="1"/>
    <col min="5" max="5" width="12.8515625" style="0" customWidth="1"/>
    <col min="6" max="6" width="6.140625" style="0" customWidth="1"/>
    <col min="7" max="7" width="7.28125" style="0" customWidth="1"/>
    <col min="8" max="8" width="5.28125" style="0" customWidth="1"/>
    <col min="9" max="9" width="5.7109375" style="0" customWidth="1"/>
    <col min="10" max="10" width="5.57421875" style="0" customWidth="1"/>
    <col min="11" max="11" width="12.00390625" style="0" bestFit="1" customWidth="1"/>
  </cols>
  <sheetData>
    <row r="1" ht="15.75" thickBot="1"/>
    <row r="2" spans="2:5" ht="30.75" thickBot="1">
      <c r="B2" s="141" t="s">
        <v>71</v>
      </c>
      <c r="C2" s="28"/>
      <c r="D2" s="28"/>
      <c r="E2" s="28"/>
    </row>
    <row r="3" spans="1:7" ht="52.5" thickBot="1">
      <c r="A3" s="142" t="s">
        <v>84</v>
      </c>
      <c r="B3" s="143">
        <f>ROUND(((8048+8061+8078)/3)*1000*E3,2)</f>
        <v>33.76</v>
      </c>
      <c r="C3" s="134" t="s">
        <v>73</v>
      </c>
      <c r="D3" s="22" t="s">
        <v>59</v>
      </c>
      <c r="E3" s="138">
        <f>4.1868/1000000</f>
        <v>4.1867999999999995E-06</v>
      </c>
      <c r="F3" t="s">
        <v>78</v>
      </c>
      <c r="G3" s="137" t="s">
        <v>79</v>
      </c>
    </row>
    <row r="4" spans="1:5" ht="15">
      <c r="A4" s="144" t="s">
        <v>85</v>
      </c>
      <c r="B4" s="145">
        <f>ROUND(((8064+8065)/2)*1000*E3,2)</f>
        <v>33.76</v>
      </c>
      <c r="E4" s="136"/>
    </row>
    <row r="5" spans="1:5" ht="15">
      <c r="A5" s="144" t="s">
        <v>86</v>
      </c>
      <c r="B5" s="145">
        <f>ROUND(((8061+8075+8073)/3)*1000*$E$3,2)</f>
        <v>33.79</v>
      </c>
      <c r="E5" s="136"/>
    </row>
    <row r="6" spans="1:5" ht="15">
      <c r="A6" s="144" t="s">
        <v>87</v>
      </c>
      <c r="B6" s="145">
        <f>ROUND(((8068+8076+8077)/3)*1000*$E$3,2)</f>
        <v>33.8</v>
      </c>
      <c r="E6" s="136"/>
    </row>
    <row r="7" spans="1:5" ht="15">
      <c r="A7" s="144" t="s">
        <v>88</v>
      </c>
      <c r="B7" s="145">
        <f>ROUND(((8068+8102+8282)/3)*1000*$E$3,2)</f>
        <v>34.13</v>
      </c>
      <c r="E7" s="136"/>
    </row>
    <row r="8" spans="1:5" ht="15.75" thickBot="1">
      <c r="A8" s="146" t="s">
        <v>89</v>
      </c>
      <c r="B8" s="207">
        <f>ROUND(((8140+8168+8095)/3)*1000*$E$3,2)</f>
        <v>34.06</v>
      </c>
      <c r="E8" s="136"/>
    </row>
    <row r="9" ht="15">
      <c r="A9" s="1"/>
    </row>
    <row r="10" spans="2:6" ht="15.75" thickBot="1">
      <c r="B10" s="220" t="s">
        <v>2</v>
      </c>
      <c r="C10" s="220"/>
      <c r="D10" s="220"/>
      <c r="E10" s="220"/>
      <c r="F10" s="12"/>
    </row>
    <row r="11" spans="2:6" ht="15">
      <c r="B11" s="129"/>
      <c r="C11" s="118" t="s">
        <v>4</v>
      </c>
      <c r="D11" s="118" t="s">
        <v>5</v>
      </c>
      <c r="E11" s="119" t="s">
        <v>6</v>
      </c>
      <c r="F11" s="12"/>
    </row>
    <row r="12" spans="2:6" ht="15">
      <c r="B12" s="131" t="s">
        <v>3</v>
      </c>
      <c r="C12" s="159">
        <f>600/5</f>
        <v>120</v>
      </c>
      <c r="D12" s="159">
        <f>35000/100</f>
        <v>350</v>
      </c>
      <c r="E12" s="160">
        <f>C12*D12</f>
        <v>42000</v>
      </c>
      <c r="F12" s="12"/>
    </row>
    <row r="13" spans="2:6" ht="15">
      <c r="B13" s="131" t="s">
        <v>7</v>
      </c>
      <c r="C13" s="159">
        <f>600/5</f>
        <v>120</v>
      </c>
      <c r="D13" s="159">
        <f>35000/100</f>
        <v>350</v>
      </c>
      <c r="E13" s="160">
        <f>C13*D13</f>
        <v>42000</v>
      </c>
      <c r="F13" s="12"/>
    </row>
    <row r="14" spans="2:6" ht="15">
      <c r="B14" s="131" t="s">
        <v>8</v>
      </c>
      <c r="C14" s="159">
        <f>1000/5</f>
        <v>200</v>
      </c>
      <c r="D14" s="159">
        <f>35000/100</f>
        <v>350</v>
      </c>
      <c r="E14" s="160">
        <f>C14*D14</f>
        <v>70000</v>
      </c>
      <c r="F14" s="12"/>
    </row>
    <row r="15" spans="2:6" ht="15.75" thickBot="1">
      <c r="B15" s="132" t="s">
        <v>9</v>
      </c>
      <c r="C15" s="161">
        <f>500/5</f>
        <v>100</v>
      </c>
      <c r="D15" s="161">
        <f>35000/100</f>
        <v>350</v>
      </c>
      <c r="E15" s="162">
        <f>C15*D15</f>
        <v>35000</v>
      </c>
      <c r="F15" s="12"/>
    </row>
    <row r="17" spans="2:4" ht="15.75" thickBot="1">
      <c r="B17" s="225" t="s">
        <v>10</v>
      </c>
      <c r="C17" s="225"/>
      <c r="D17" s="225"/>
    </row>
    <row r="18" spans="2:5" ht="15">
      <c r="B18" s="3" t="s">
        <v>64</v>
      </c>
      <c r="C18" s="4" t="s">
        <v>0</v>
      </c>
      <c r="D18" s="47">
        <v>0.0561</v>
      </c>
      <c r="E18" t="s">
        <v>83</v>
      </c>
    </row>
    <row r="19" spans="2:5" ht="15">
      <c r="B19" s="19" t="s">
        <v>80</v>
      </c>
      <c r="C19" s="2" t="s">
        <v>0</v>
      </c>
      <c r="D19" s="110">
        <v>0.0983</v>
      </c>
      <c r="E19" t="s">
        <v>81</v>
      </c>
    </row>
    <row r="20" spans="2:5" ht="15.75" thickBot="1">
      <c r="B20" s="6" t="s">
        <v>11</v>
      </c>
      <c r="C20" s="20" t="s">
        <v>1</v>
      </c>
      <c r="D20" s="48">
        <v>1.09</v>
      </c>
      <c r="E20" s="135" t="s">
        <v>82</v>
      </c>
    </row>
    <row r="22" ht="15">
      <c r="E22" s="135"/>
    </row>
    <row r="23" spans="2:4" ht="15.75" thickBot="1">
      <c r="B23" s="209" t="s">
        <v>70</v>
      </c>
      <c r="C23" s="209"/>
      <c r="D23" s="209"/>
    </row>
    <row r="24" spans="2:10" ht="15.75" thickBot="1">
      <c r="B24" s="147" t="s">
        <v>20</v>
      </c>
      <c r="C24" s="148" t="s">
        <v>77</v>
      </c>
      <c r="G24" s="102"/>
      <c r="H24" s="102"/>
      <c r="I24" s="102"/>
      <c r="J24" s="102"/>
    </row>
    <row r="25" spans="2:10" ht="15">
      <c r="B25" s="106" t="s">
        <v>90</v>
      </c>
      <c r="C25" s="43">
        <v>711.3</v>
      </c>
      <c r="G25" s="102"/>
      <c r="H25" s="102"/>
      <c r="I25" s="102"/>
      <c r="J25" s="102"/>
    </row>
    <row r="26" spans="2:13" ht="15">
      <c r="B26" s="36" t="s">
        <v>57</v>
      </c>
      <c r="C26" s="43">
        <v>1005.3</v>
      </c>
      <c r="F26" s="58"/>
      <c r="G26" s="38"/>
      <c r="H26" s="103"/>
      <c r="I26" s="42"/>
      <c r="J26" s="42"/>
      <c r="K26" s="42"/>
      <c r="L26" s="42"/>
      <c r="M26" s="42"/>
    </row>
    <row r="27" spans="2:13" ht="15">
      <c r="B27" s="36" t="s">
        <v>56</v>
      </c>
      <c r="C27" s="43">
        <v>861.5</v>
      </c>
      <c r="F27" s="58"/>
      <c r="G27" s="38"/>
      <c r="H27" s="103"/>
      <c r="I27" s="42"/>
      <c r="J27" s="42"/>
      <c r="K27" s="42"/>
      <c r="L27" s="42"/>
      <c r="M27" s="42"/>
    </row>
    <row r="28" spans="2:13" ht="15">
      <c r="B28" s="36" t="s">
        <v>55</v>
      </c>
      <c r="C28" s="43">
        <v>861.5</v>
      </c>
      <c r="F28" s="58"/>
      <c r="G28" s="38"/>
      <c r="H28" s="103"/>
      <c r="I28" s="42"/>
      <c r="J28" s="42"/>
      <c r="K28" s="42"/>
      <c r="L28" s="42"/>
      <c r="M28" s="42"/>
    </row>
    <row r="29" spans="2:13" ht="15">
      <c r="B29" s="36" t="s">
        <v>13</v>
      </c>
      <c r="C29" s="43">
        <v>931.4</v>
      </c>
      <c r="F29" s="58"/>
      <c r="G29" s="38"/>
      <c r="H29" s="103"/>
      <c r="I29" s="42"/>
      <c r="J29" s="42"/>
      <c r="K29" s="42"/>
      <c r="L29" s="42"/>
      <c r="M29" s="42"/>
    </row>
    <row r="30" spans="2:13" ht="15.75" customHeight="1">
      <c r="B30" s="36" t="s">
        <v>45</v>
      </c>
      <c r="C30" s="43">
        <v>682</v>
      </c>
      <c r="F30" s="58"/>
      <c r="G30" s="38"/>
      <c r="H30" s="104"/>
      <c r="I30" s="42"/>
      <c r="J30" s="42"/>
      <c r="K30" s="42"/>
      <c r="L30" s="42"/>
      <c r="M30" s="42"/>
    </row>
    <row r="31" spans="2:13" ht="15">
      <c r="B31" s="36" t="s">
        <v>46</v>
      </c>
      <c r="C31" s="43">
        <v>682</v>
      </c>
      <c r="D31" s="12"/>
      <c r="F31" s="58"/>
      <c r="G31" s="38"/>
      <c r="H31" s="42"/>
      <c r="I31" s="42"/>
      <c r="J31" s="42"/>
      <c r="K31" s="42"/>
      <c r="L31" s="42"/>
      <c r="M31" s="42"/>
    </row>
    <row r="32" spans="2:13" ht="15">
      <c r="B32" s="36" t="s">
        <v>47</v>
      </c>
      <c r="C32" s="43">
        <v>682</v>
      </c>
      <c r="D32" s="12"/>
      <c r="F32" s="58"/>
      <c r="G32" s="38"/>
      <c r="H32" s="42"/>
      <c r="I32" s="42"/>
      <c r="J32" s="42"/>
      <c r="K32" s="42"/>
      <c r="L32" s="42"/>
      <c r="M32" s="42"/>
    </row>
    <row r="33" spans="2:13" ht="15" customHeight="1">
      <c r="B33" s="36" t="s">
        <v>49</v>
      </c>
      <c r="C33" s="43">
        <v>682</v>
      </c>
      <c r="D33" s="12"/>
      <c r="F33" s="58"/>
      <c r="G33" s="38"/>
      <c r="H33" s="42"/>
      <c r="I33" s="42"/>
      <c r="J33" s="42"/>
      <c r="K33" s="42"/>
      <c r="L33" s="42"/>
      <c r="M33" s="42"/>
    </row>
    <row r="34" spans="2:13" ht="15" customHeight="1">
      <c r="B34" s="36" t="s">
        <v>68</v>
      </c>
      <c r="C34" s="43">
        <v>694.4</v>
      </c>
      <c r="F34" s="58"/>
      <c r="G34" s="38"/>
      <c r="H34" s="42"/>
      <c r="I34" s="42"/>
      <c r="J34" s="42"/>
      <c r="K34" s="42"/>
      <c r="L34" s="42"/>
      <c r="M34" s="42"/>
    </row>
    <row r="35" spans="2:13" ht="15" customHeight="1">
      <c r="B35" s="36" t="s">
        <v>53</v>
      </c>
      <c r="C35" s="43">
        <v>373</v>
      </c>
      <c r="F35" s="58"/>
      <c r="G35" s="38"/>
      <c r="H35" s="42"/>
      <c r="I35" s="42"/>
      <c r="J35" s="42"/>
      <c r="K35" s="42"/>
      <c r="L35" s="42"/>
      <c r="M35" s="42"/>
    </row>
    <row r="36" spans="2:13" ht="15" customHeight="1">
      <c r="B36" s="36" t="s">
        <v>54</v>
      </c>
      <c r="C36" s="43">
        <v>373</v>
      </c>
      <c r="F36" s="58"/>
      <c r="G36" s="38"/>
      <c r="H36" s="42"/>
      <c r="I36" s="42"/>
      <c r="J36" s="42"/>
      <c r="K36" s="42"/>
      <c r="L36" s="42"/>
      <c r="M36" s="42"/>
    </row>
    <row r="37" spans="2:13" ht="15.75" customHeight="1">
      <c r="B37" s="36" t="s">
        <v>58</v>
      </c>
      <c r="C37" s="43">
        <v>373</v>
      </c>
      <c r="F37" s="58"/>
      <c r="G37" s="38"/>
      <c r="H37" s="42"/>
      <c r="I37" s="42"/>
      <c r="J37" s="42"/>
      <c r="K37" s="42"/>
      <c r="L37" s="42"/>
      <c r="M37" s="42"/>
    </row>
    <row r="38" spans="2:13" ht="15" customHeight="1">
      <c r="B38" s="36" t="s">
        <v>63</v>
      </c>
      <c r="C38" s="43">
        <v>388.7</v>
      </c>
      <c r="F38" s="58"/>
      <c r="G38" s="38"/>
      <c r="H38" s="42"/>
      <c r="I38" s="42"/>
      <c r="J38" s="42"/>
      <c r="K38" s="42"/>
      <c r="L38" s="42"/>
      <c r="M38" s="42"/>
    </row>
    <row r="39" spans="2:13" ht="15" customHeight="1">
      <c r="B39" s="36" t="s">
        <v>12</v>
      </c>
      <c r="C39" s="43">
        <v>388.7</v>
      </c>
      <c r="F39" s="58"/>
      <c r="G39" s="38"/>
      <c r="H39" s="42"/>
      <c r="I39" s="42"/>
      <c r="J39" s="42"/>
      <c r="K39" s="42"/>
      <c r="L39" s="42"/>
      <c r="M39" s="42"/>
    </row>
    <row r="40" spans="2:13" ht="15" customHeight="1">
      <c r="B40" s="36" t="s">
        <v>51</v>
      </c>
      <c r="C40" s="43">
        <v>464.5</v>
      </c>
      <c r="F40" s="58"/>
      <c r="G40" s="38"/>
      <c r="H40" s="42"/>
      <c r="I40" s="42"/>
      <c r="J40" s="42"/>
      <c r="K40" s="42"/>
      <c r="L40" s="42"/>
      <c r="M40" s="42"/>
    </row>
    <row r="41" spans="2:13" ht="15" customHeight="1">
      <c r="B41" s="36" t="s">
        <v>15</v>
      </c>
      <c r="C41" s="43">
        <v>381.4</v>
      </c>
      <c r="F41" s="58"/>
      <c r="G41" s="38"/>
      <c r="H41" s="42"/>
      <c r="I41" s="42"/>
      <c r="J41" s="42"/>
      <c r="K41" s="42"/>
      <c r="L41" s="42"/>
      <c r="M41" s="42"/>
    </row>
    <row r="42" spans="2:13" ht="14.25" customHeight="1">
      <c r="B42" s="36" t="s">
        <v>52</v>
      </c>
      <c r="C42" s="43">
        <v>464.5</v>
      </c>
      <c r="F42" s="58"/>
      <c r="G42" s="38"/>
      <c r="H42" s="42"/>
      <c r="I42" s="42"/>
      <c r="J42" s="42"/>
      <c r="K42" s="42"/>
      <c r="L42" s="42"/>
      <c r="M42" s="42"/>
    </row>
    <row r="43" spans="2:13" ht="15" customHeight="1">
      <c r="B43" s="36" t="s">
        <v>41</v>
      </c>
      <c r="C43" s="43">
        <v>381.4</v>
      </c>
      <c r="E43" s="42"/>
      <c r="F43" s="58"/>
      <c r="G43" s="38"/>
      <c r="H43" s="42"/>
      <c r="I43" s="42"/>
      <c r="J43" s="42"/>
      <c r="K43" s="42"/>
      <c r="L43" s="42"/>
      <c r="M43" s="42"/>
    </row>
    <row r="44" spans="2:13" ht="15" customHeight="1">
      <c r="B44" s="36" t="s">
        <v>42</v>
      </c>
      <c r="C44" s="43">
        <v>381.4</v>
      </c>
      <c r="F44" s="58"/>
      <c r="G44" s="38"/>
      <c r="H44" s="42"/>
      <c r="I44" s="42"/>
      <c r="J44" s="42"/>
      <c r="K44" s="42"/>
      <c r="L44" s="42"/>
      <c r="M44" s="42"/>
    </row>
    <row r="45" spans="2:13" ht="15" customHeight="1">
      <c r="B45" s="36" t="s">
        <v>14</v>
      </c>
      <c r="C45" s="43">
        <v>694.4</v>
      </c>
      <c r="F45" s="58"/>
      <c r="G45" s="38"/>
      <c r="H45" s="42"/>
      <c r="I45" s="42"/>
      <c r="J45" s="42"/>
      <c r="K45" s="42"/>
      <c r="L45" s="42"/>
      <c r="M45" s="42"/>
    </row>
    <row r="46" spans="2:13" ht="15" customHeight="1">
      <c r="B46" s="36" t="s">
        <v>69</v>
      </c>
      <c r="C46" s="43">
        <v>694.4</v>
      </c>
      <c r="F46" s="58"/>
      <c r="G46" s="38"/>
      <c r="H46" s="42"/>
      <c r="I46" s="42"/>
      <c r="J46" s="42"/>
      <c r="K46" s="42"/>
      <c r="L46" s="42"/>
      <c r="M46" s="42"/>
    </row>
    <row r="47" spans="2:13" ht="15" customHeight="1">
      <c r="B47" s="36" t="s">
        <v>43</v>
      </c>
      <c r="C47" s="43">
        <v>381.4</v>
      </c>
      <c r="F47" s="58"/>
      <c r="G47" s="38"/>
      <c r="H47" s="42"/>
      <c r="I47" s="42"/>
      <c r="J47" s="42"/>
      <c r="K47" s="42"/>
      <c r="L47" s="42"/>
      <c r="M47" s="42"/>
    </row>
    <row r="48" spans="2:13" ht="15">
      <c r="B48" s="36" t="s">
        <v>44</v>
      </c>
      <c r="C48" s="43">
        <v>240</v>
      </c>
      <c r="F48" s="58"/>
      <c r="G48" s="38"/>
      <c r="H48" s="42"/>
      <c r="I48" s="42"/>
      <c r="J48" s="42"/>
      <c r="K48" s="42"/>
      <c r="L48" s="42"/>
      <c r="M48" s="42"/>
    </row>
    <row r="49" spans="2:13" ht="15">
      <c r="B49" s="36" t="s">
        <v>50</v>
      </c>
      <c r="C49" s="43">
        <v>240</v>
      </c>
      <c r="F49" s="58"/>
      <c r="G49" s="38"/>
      <c r="H49" s="42"/>
      <c r="I49" s="42"/>
      <c r="J49" s="42"/>
      <c r="K49" s="42"/>
      <c r="L49" s="42"/>
      <c r="M49" s="42"/>
    </row>
    <row r="50" spans="2:13" ht="15.75" thickBot="1">
      <c r="B50" s="105" t="s">
        <v>91</v>
      </c>
      <c r="C50" s="208">
        <v>186.1</v>
      </c>
      <c r="F50" s="58"/>
      <c r="G50" s="38"/>
      <c r="H50" s="42"/>
      <c r="I50" s="42"/>
      <c r="J50" s="42"/>
      <c r="K50" s="42"/>
      <c r="L50" s="42"/>
      <c r="M50" s="42"/>
    </row>
    <row r="51" spans="2:13" ht="15">
      <c r="B51" s="39"/>
      <c r="F51" s="58"/>
      <c r="H51" s="42"/>
      <c r="I51" s="42"/>
      <c r="J51" s="42"/>
      <c r="K51" s="42"/>
      <c r="L51" s="42"/>
      <c r="M51" s="42"/>
    </row>
    <row r="52" spans="2:6" ht="15.75" thickBot="1">
      <c r="B52" s="209" t="s">
        <v>27</v>
      </c>
      <c r="C52" s="209"/>
      <c r="D52" s="209"/>
      <c r="F52" s="58"/>
    </row>
    <row r="53" spans="2:6" ht="15">
      <c r="B53" s="221" t="s">
        <v>28</v>
      </c>
      <c r="C53" s="222"/>
      <c r="D53" s="32" t="s">
        <v>29</v>
      </c>
      <c r="E53" s="57">
        <f>(82%+80.9%)/2</f>
        <v>0.8145</v>
      </c>
      <c r="F53" t="s">
        <v>74</v>
      </c>
    </row>
    <row r="54" spans="2:5" ht="15">
      <c r="B54" s="223" t="s">
        <v>31</v>
      </c>
      <c r="C54" s="224"/>
      <c r="D54" s="33" t="s">
        <v>75</v>
      </c>
      <c r="E54" s="45">
        <f>1.16*3.6</f>
        <v>4.176</v>
      </c>
    </row>
    <row r="55" spans="2:5" ht="15.75" thickBot="1">
      <c r="B55" s="29" t="s">
        <v>30</v>
      </c>
      <c r="C55" s="30"/>
      <c r="D55" s="23" t="s">
        <v>76</v>
      </c>
      <c r="E55" s="46">
        <v>2.8E-05</v>
      </c>
    </row>
    <row r="56" spans="2:4" ht="15">
      <c r="B56" s="31"/>
      <c r="C56" s="31"/>
      <c r="D56" s="31"/>
    </row>
    <row r="57" spans="2:4" ht="15">
      <c r="B57" s="31"/>
      <c r="C57" s="31"/>
      <c r="D57" s="31"/>
    </row>
    <row r="58" spans="2:5" ht="15" customHeight="1" thickBot="1">
      <c r="B58" s="209" t="s">
        <v>32</v>
      </c>
      <c r="C58" s="209"/>
      <c r="D58" s="209"/>
      <c r="E58" s="12"/>
    </row>
    <row r="59" spans="2:5" ht="15.75" thickBot="1">
      <c r="B59" s="210" t="s">
        <v>30</v>
      </c>
      <c r="C59" s="211"/>
      <c r="D59" s="34" t="s">
        <v>76</v>
      </c>
      <c r="E59" s="37">
        <f>1.03</f>
        <v>1.03</v>
      </c>
    </row>
    <row r="60" spans="2:4" ht="15">
      <c r="B60" s="31"/>
      <c r="C60" s="31"/>
      <c r="D60" s="31"/>
    </row>
    <row r="61" spans="2:4" ht="15.75" thickBot="1">
      <c r="B61" s="209" t="s">
        <v>35</v>
      </c>
      <c r="C61" s="209"/>
      <c r="D61" s="209"/>
    </row>
    <row r="62" spans="2:5" ht="15">
      <c r="B62" s="212" t="s">
        <v>33</v>
      </c>
      <c r="C62" s="213"/>
      <c r="D62" s="216" t="s">
        <v>34</v>
      </c>
      <c r="E62" s="218">
        <v>12</v>
      </c>
    </row>
    <row r="63" spans="2:5" ht="15" customHeight="1" thickBot="1">
      <c r="B63" s="214"/>
      <c r="C63" s="215"/>
      <c r="D63" s="217"/>
      <c r="E63" s="219"/>
    </row>
    <row r="67" ht="15" customHeight="1"/>
  </sheetData>
  <sheetProtection/>
  <mergeCells count="12">
    <mergeCell ref="B52:D52"/>
    <mergeCell ref="B17:D17"/>
    <mergeCell ref="B23:D23"/>
    <mergeCell ref="B59:C59"/>
    <mergeCell ref="B62:C63"/>
    <mergeCell ref="D62:D63"/>
    <mergeCell ref="E62:E63"/>
    <mergeCell ref="B10:E10"/>
    <mergeCell ref="B53:C53"/>
    <mergeCell ref="B54:C54"/>
    <mergeCell ref="B61:D61"/>
    <mergeCell ref="B58:D58"/>
  </mergeCells>
  <hyperlinks>
    <hyperlink ref="G3" r:id="rId1" display="http://physics.nist.gov/cuu/pdf/sp811.pdf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421875" style="0" customWidth="1"/>
    <col min="2" max="2" width="15.8515625" style="0" customWidth="1"/>
    <col min="3" max="3" width="9.140625" style="0" customWidth="1"/>
    <col min="4" max="5" width="8.57421875" style="0" customWidth="1"/>
    <col min="6" max="7" width="8.8515625" style="0" customWidth="1"/>
    <col min="8" max="14" width="8.421875" style="0" customWidth="1"/>
    <col min="15" max="15" width="9.28125" style="0" customWidth="1"/>
    <col min="16" max="16" width="9.57421875" style="0" customWidth="1"/>
    <col min="17" max="17" width="9.140625" style="0" customWidth="1"/>
    <col min="18" max="18" width="15.421875" style="0" customWidth="1"/>
    <col min="19" max="19" width="7.421875" style="0" customWidth="1"/>
    <col min="20" max="20" width="9.140625" style="0" customWidth="1"/>
    <col min="21" max="21" width="6.8515625" style="0" customWidth="1"/>
    <col min="22" max="22" width="5.8515625" style="0" customWidth="1"/>
    <col min="23" max="23" width="6.140625" style="0" customWidth="1"/>
    <col min="24" max="24" width="7.00390625" style="0" customWidth="1"/>
    <col min="25" max="25" width="6.7109375" style="0" customWidth="1"/>
    <col min="27" max="27" width="15.57421875" style="0" customWidth="1"/>
    <col min="28" max="28" width="7.7109375" style="0" customWidth="1"/>
    <col min="29" max="29" width="8.8515625" style="0" customWidth="1"/>
    <col min="30" max="30" width="7.00390625" style="0" customWidth="1"/>
    <col min="31" max="31" width="6.8515625" style="0" customWidth="1"/>
    <col min="32" max="32" width="7.00390625" style="0" customWidth="1"/>
    <col min="33" max="33" width="7.28125" style="0" customWidth="1"/>
    <col min="34" max="34" width="6.8515625" style="0" customWidth="1"/>
    <col min="37" max="37" width="9.140625" style="0" customWidth="1"/>
  </cols>
  <sheetData>
    <row r="1" spans="2:37" ht="15.75" thickBot="1">
      <c r="B1" s="66" t="s">
        <v>19</v>
      </c>
      <c r="R1" s="69" t="s">
        <v>40</v>
      </c>
      <c r="AA1" s="69" t="s">
        <v>62</v>
      </c>
      <c r="AJ1" s="66" t="s">
        <v>23</v>
      </c>
      <c r="AK1" s="66"/>
    </row>
    <row r="2" spans="2:37" ht="15.75" thickBot="1">
      <c r="B2" s="64" t="s">
        <v>20</v>
      </c>
      <c r="C2" s="68" t="str">
        <f>'Default Data'!A3</f>
        <v>January</v>
      </c>
      <c r="D2" s="139"/>
      <c r="E2" s="140" t="str">
        <f>'Default Data'!A4</f>
        <v>February</v>
      </c>
      <c r="F2" s="61"/>
      <c r="G2" s="67" t="str">
        <f>'Default Data'!A5</f>
        <v>March </v>
      </c>
      <c r="H2" s="61"/>
      <c r="I2" s="67" t="str">
        <f>'Default Data'!A6</f>
        <v>April </v>
      </c>
      <c r="J2" s="151"/>
      <c r="K2" s="67" t="str">
        <f>'Default Data'!A7</f>
        <v>May </v>
      </c>
      <c r="L2" s="151"/>
      <c r="M2" s="67" t="str">
        <f>'Default Data'!A8</f>
        <v>June</v>
      </c>
      <c r="N2" s="151"/>
      <c r="O2" s="67" t="s">
        <v>92</v>
      </c>
      <c r="P2" s="61"/>
      <c r="R2" s="60" t="s">
        <v>20</v>
      </c>
      <c r="S2" s="63" t="str">
        <f>'Default Data'!A3</f>
        <v>January</v>
      </c>
      <c r="T2" s="63" t="str">
        <f>'Default Data'!A4</f>
        <v>February</v>
      </c>
      <c r="U2" s="63" t="str">
        <f>'Default Data'!A5</f>
        <v>March </v>
      </c>
      <c r="V2" s="63" t="str">
        <f>'Default Data'!A6</f>
        <v>April </v>
      </c>
      <c r="W2" s="63" t="str">
        <f>AF2</f>
        <v>May </v>
      </c>
      <c r="X2" s="63" t="str">
        <f>'Default Data'!A8</f>
        <v>June</v>
      </c>
      <c r="Y2" s="63" t="s">
        <v>26</v>
      </c>
      <c r="AA2" s="60" t="s">
        <v>20</v>
      </c>
      <c r="AB2" s="72" t="str">
        <f>'Default Data'!A3</f>
        <v>January</v>
      </c>
      <c r="AC2" s="62" t="str">
        <f>'Default Data'!A4</f>
        <v>February</v>
      </c>
      <c r="AD2" s="62" t="str">
        <f>'Default Data'!A5</f>
        <v>March </v>
      </c>
      <c r="AE2" s="63" t="str">
        <f>'Default Data'!A6</f>
        <v>April </v>
      </c>
      <c r="AF2" s="63" t="str">
        <f>'Default Data'!A7</f>
        <v>May </v>
      </c>
      <c r="AG2" s="63" t="str">
        <f>'Default Data'!A8</f>
        <v>June</v>
      </c>
      <c r="AH2" s="62" t="s">
        <v>26</v>
      </c>
      <c r="AJ2" s="93" t="s">
        <v>26</v>
      </c>
      <c r="AK2" s="59">
        <f>AH30-Y30</f>
        <v>109792</v>
      </c>
    </row>
    <row r="3" spans="1:34" ht="15.75" thickBot="1">
      <c r="A3" s="94"/>
      <c r="B3" s="149"/>
      <c r="C3" s="107" t="s">
        <v>16</v>
      </c>
      <c r="D3" s="107" t="s">
        <v>60</v>
      </c>
      <c r="E3" s="107" t="str">
        <f>C3</f>
        <v>tonnes</v>
      </c>
      <c r="F3" s="107" t="str">
        <f>D3</f>
        <v>m3</v>
      </c>
      <c r="G3" s="107" t="str">
        <f>E3</f>
        <v>tonnes</v>
      </c>
      <c r="H3" s="107" t="str">
        <f>F3</f>
        <v>m3</v>
      </c>
      <c r="I3" s="107" t="s">
        <v>16</v>
      </c>
      <c r="J3" s="107" t="s">
        <v>60</v>
      </c>
      <c r="K3" s="107" t="s">
        <v>16</v>
      </c>
      <c r="L3" s="107" t="s">
        <v>60</v>
      </c>
      <c r="M3" s="107" t="s">
        <v>16</v>
      </c>
      <c r="N3" s="107" t="s">
        <v>60</v>
      </c>
      <c r="O3" s="107" t="str">
        <f>G3</f>
        <v>tonnes</v>
      </c>
      <c r="P3" s="107" t="str">
        <f>H3</f>
        <v>m3</v>
      </c>
      <c r="R3" s="71"/>
      <c r="S3" s="60" t="s">
        <v>18</v>
      </c>
      <c r="T3" s="60" t="s">
        <v>18</v>
      </c>
      <c r="U3" s="60" t="s">
        <v>18</v>
      </c>
      <c r="V3" s="60" t="s">
        <v>18</v>
      </c>
      <c r="W3" s="60" t="s">
        <v>18</v>
      </c>
      <c r="X3" s="60" t="s">
        <v>18</v>
      </c>
      <c r="Y3" s="60" t="s">
        <v>18</v>
      </c>
      <c r="AA3" s="71"/>
      <c r="AB3" s="60" t="s">
        <v>18</v>
      </c>
      <c r="AC3" s="60" t="s">
        <v>18</v>
      </c>
      <c r="AD3" s="60" t="s">
        <v>18</v>
      </c>
      <c r="AE3" s="60" t="s">
        <v>18</v>
      </c>
      <c r="AF3" s="60" t="s">
        <v>18</v>
      </c>
      <c r="AG3" s="60" t="s">
        <v>18</v>
      </c>
      <c r="AH3" s="60" t="s">
        <v>18</v>
      </c>
    </row>
    <row r="4" spans="1:34" ht="15">
      <c r="A4" s="94"/>
      <c r="B4" s="82" t="str">
        <f>'Default Data'!B25</f>
        <v>heating #06, FPS</v>
      </c>
      <c r="C4" s="111">
        <v>368.5</v>
      </c>
      <c r="D4" s="73">
        <v>33834</v>
      </c>
      <c r="E4" s="113">
        <v>751.3</v>
      </c>
      <c r="F4" s="73">
        <v>79838</v>
      </c>
      <c r="G4" s="113">
        <v>1045.7</v>
      </c>
      <c r="H4" s="73">
        <v>144068</v>
      </c>
      <c r="I4" s="113">
        <v>1785.7</v>
      </c>
      <c r="J4" s="73">
        <v>169546</v>
      </c>
      <c r="K4" s="113">
        <v>1095.3</v>
      </c>
      <c r="L4" s="73">
        <v>126985</v>
      </c>
      <c r="M4" s="113">
        <v>810.1</v>
      </c>
      <c r="N4" s="74">
        <v>114637</v>
      </c>
      <c r="O4" s="169">
        <f>C4+E4+G4+I4+K4+M4</f>
        <v>5856.6</v>
      </c>
      <c r="P4" s="164">
        <f>D4+F4+H4+J4+L4+N4</f>
        <v>668908</v>
      </c>
      <c r="R4" s="82" t="str">
        <f>'Default Data'!B25</f>
        <v>heating #06, FPS</v>
      </c>
      <c r="S4" s="85">
        <f>ROUND(D4*'Default Data'!$B$3*'Default Data'!$D$18/1000,0)</f>
        <v>64</v>
      </c>
      <c r="T4" s="86">
        <f>ROUND(F4*'Default Data'!$B$4*'Default Data'!$D$18/1000,0)</f>
        <v>151</v>
      </c>
      <c r="U4" s="86">
        <f>ROUND(H4*'Default Data'!$B$5*'Default Data'!$D$18/1000,0)</f>
        <v>273</v>
      </c>
      <c r="V4" s="86">
        <f>ROUND(J4*'Default Data'!$B$6*'Default Data'!$D$18/1000,0)</f>
        <v>321</v>
      </c>
      <c r="W4" s="86">
        <f>ROUND(L4*'Default Data'!$B$7*'Default Data'!$D$18/1000,0)</f>
        <v>243</v>
      </c>
      <c r="X4" s="152">
        <f>ROUND(N4*'Default Data'!$B$8*'Default Data'!$D$18/1000,0)</f>
        <v>219</v>
      </c>
      <c r="Y4" s="175">
        <f>SUM(S4:X4)</f>
        <v>1271</v>
      </c>
      <c r="AA4" s="82" t="str">
        <f>'Default Data'!B25</f>
        <v>heating #06, FPS</v>
      </c>
      <c r="AB4" s="85">
        <f>ROUND('Default Data'!C25*'Furnaces (SP1 )'!C4*'Default Data'!$B$3*'Default Data'!$D$18/1000,0)</f>
        <v>496</v>
      </c>
      <c r="AC4" s="86">
        <f>ROUND('Default Data'!C25*'Furnaces (SP1 )'!E4*'Default Data'!$B$4*'Default Data'!$D$18/1000,0)</f>
        <v>1012</v>
      </c>
      <c r="AD4" s="86">
        <f>ROUND('Default Data'!C25*G4*'Default Data'!$B$5*'Default Data'!$D$18/1000,0)</f>
        <v>1410</v>
      </c>
      <c r="AE4" s="179">
        <f>ROUND('Default Data'!C25*I4*'Default Data'!$B$6*'Default Data'!$D$18/1000,0)</f>
        <v>2408</v>
      </c>
      <c r="AF4" s="179">
        <f>ROUND('Default Data'!C25*K4*'Default Data'!$B$7*'Default Data'!$D$18/1000,0)</f>
        <v>1492</v>
      </c>
      <c r="AG4" s="181">
        <f>ROUND('Default Data'!C25*M4*'Default Data'!$B$8*'Default Data'!$D$18/1000,0)</f>
        <v>1101</v>
      </c>
      <c r="AH4" s="172">
        <f>SUM(AB4:AG4)</f>
        <v>7919</v>
      </c>
    </row>
    <row r="5" spans="1:34" ht="15">
      <c r="A5" s="58"/>
      <c r="B5" s="150" t="str">
        <f>'Default Data'!B26</f>
        <v>heating #07, FPS</v>
      </c>
      <c r="C5" s="78">
        <v>1717.3</v>
      </c>
      <c r="D5" s="75">
        <v>174046</v>
      </c>
      <c r="E5" s="79">
        <v>1419.7</v>
      </c>
      <c r="F5" s="75">
        <v>117596</v>
      </c>
      <c r="G5" s="79">
        <v>1801.7</v>
      </c>
      <c r="H5" s="76">
        <v>150732</v>
      </c>
      <c r="I5" s="79">
        <v>415</v>
      </c>
      <c r="J5" s="75">
        <v>103017</v>
      </c>
      <c r="K5" s="79">
        <v>415</v>
      </c>
      <c r="L5" s="75">
        <v>120591</v>
      </c>
      <c r="M5" s="79">
        <v>1502.9</v>
      </c>
      <c r="N5" s="77">
        <v>180682</v>
      </c>
      <c r="O5" s="170">
        <f>C5+E5+G5+I5+K5+M5</f>
        <v>7271.6</v>
      </c>
      <c r="P5" s="165">
        <f>D5+F5+H5+J5+L5+N5</f>
        <v>846664</v>
      </c>
      <c r="R5" s="83" t="str">
        <f>'Default Data'!B26</f>
        <v>heating #07, FPS</v>
      </c>
      <c r="S5" s="87">
        <f>ROUND(D5*'Default Data'!$B$3*'Default Data'!$D$18/1000,0)</f>
        <v>330</v>
      </c>
      <c r="T5" s="88">
        <f>ROUND(F5*'Default Data'!$B$4*'Default Data'!$D$18/1000,0)</f>
        <v>223</v>
      </c>
      <c r="U5" s="88">
        <f>ROUND(H5*'Default Data'!$B$5*'Default Data'!$D$18/1000,0)</f>
        <v>286</v>
      </c>
      <c r="V5" s="88">
        <f>ROUND(J5*'Default Data'!$B$6*'Default Data'!$D$18/1000,0)</f>
        <v>195</v>
      </c>
      <c r="W5" s="88">
        <f>ROUND(L5*'Default Data'!$B$7*'Default Data'!$D$18/1000,0)</f>
        <v>231</v>
      </c>
      <c r="X5" s="153">
        <f>ROUND(N5*'Default Data'!$B$8*'Default Data'!$D$18/1000,0)</f>
        <v>345</v>
      </c>
      <c r="Y5" s="176">
        <f aca="true" t="shared" si="0" ref="Y5:Y29">SUM(S5:X5)</f>
        <v>1610</v>
      </c>
      <c r="AA5" s="83" t="str">
        <f>'Default Data'!B26</f>
        <v>heating #07, FPS</v>
      </c>
      <c r="AB5" s="87">
        <f>ROUND('Default Data'!C26*'Furnaces (SP1 )'!C5*'Default Data'!$B$3*'Default Data'!$D$18/1000,0)</f>
        <v>3270</v>
      </c>
      <c r="AC5" s="88">
        <f>ROUND('Default Data'!C26*'Furnaces (SP1 )'!E5*'Default Data'!$B$4*'Default Data'!$D$18/1000,0)</f>
        <v>2703</v>
      </c>
      <c r="AD5" s="88">
        <f>ROUND('Default Data'!C26*G5*'Default Data'!$B$5*'Default Data'!$D$18/1000,0)</f>
        <v>3433</v>
      </c>
      <c r="AE5" s="178">
        <f>ROUND('Default Data'!C26*I5*'Default Data'!$B$6*'Default Data'!$D$18/1000,0)</f>
        <v>791</v>
      </c>
      <c r="AF5" s="178">
        <f>ROUND('Default Data'!C26*K5*'Default Data'!$B$7*'Default Data'!$D$18/1000,0)</f>
        <v>799</v>
      </c>
      <c r="AG5" s="182">
        <f>ROUND('Default Data'!C26*M5*'Default Data'!$B$8*'Default Data'!$D$18/1000,0)</f>
        <v>2887</v>
      </c>
      <c r="AH5" s="173">
        <f aca="true" t="shared" si="1" ref="AH5:AH28">SUM(AB5:AG5)</f>
        <v>13883</v>
      </c>
    </row>
    <row r="6" spans="1:34" ht="15">
      <c r="A6" s="58"/>
      <c r="B6" s="150" t="str">
        <f>'Default Data'!B27</f>
        <v>heating #08, FPS</v>
      </c>
      <c r="C6" s="78">
        <v>1729.5</v>
      </c>
      <c r="D6" s="75">
        <v>127352</v>
      </c>
      <c r="E6" s="79">
        <v>1812.4</v>
      </c>
      <c r="F6" s="75">
        <v>148487</v>
      </c>
      <c r="G6" s="79">
        <v>2707.4</v>
      </c>
      <c r="H6" s="76">
        <v>177940</v>
      </c>
      <c r="I6" s="79">
        <v>2196.41</v>
      </c>
      <c r="J6" s="75">
        <v>162358</v>
      </c>
      <c r="K6" s="79">
        <v>2143.4</v>
      </c>
      <c r="L6" s="75">
        <v>193771</v>
      </c>
      <c r="M6" s="79">
        <v>533.6</v>
      </c>
      <c r="N6" s="77">
        <v>59372</v>
      </c>
      <c r="O6" s="170">
        <f aca="true" t="shared" si="2" ref="O6:O29">C6+E6+G6+I6+K6+M6</f>
        <v>11122.71</v>
      </c>
      <c r="P6" s="165">
        <f aca="true" t="shared" si="3" ref="P6:P29">D6+F6+H6+J6+L6+N6</f>
        <v>869280</v>
      </c>
      <c r="R6" s="83" t="str">
        <f>'Default Data'!B27</f>
        <v>heating #08, FPS</v>
      </c>
      <c r="S6" s="87">
        <f>ROUND(D6*'Default Data'!$B$3*'Default Data'!$D$18/1000,0)</f>
        <v>241</v>
      </c>
      <c r="T6" s="88">
        <f>ROUND(F6*'Default Data'!$B$4*'Default Data'!$D$18/1000,0)</f>
        <v>281</v>
      </c>
      <c r="U6" s="88">
        <f>ROUND(H6*'Default Data'!$B$5*'Default Data'!$D$18/1000,0)</f>
        <v>337</v>
      </c>
      <c r="V6" s="88">
        <f>ROUND(J6*'Default Data'!$B$6*'Default Data'!$D$18/1000,0)</f>
        <v>308</v>
      </c>
      <c r="W6" s="88">
        <f>ROUND(L6*'Default Data'!$B$7*'Default Data'!$D$18/1000,0)</f>
        <v>371</v>
      </c>
      <c r="X6" s="153">
        <f>ROUND(N6*'Default Data'!$B$8*'Default Data'!$D$18/1000,0)</f>
        <v>113</v>
      </c>
      <c r="Y6" s="176">
        <f t="shared" si="0"/>
        <v>1651</v>
      </c>
      <c r="AA6" s="83" t="str">
        <f>'Default Data'!B27</f>
        <v>heating #08, FPS</v>
      </c>
      <c r="AB6" s="87">
        <f>ROUND('Default Data'!C27*'Furnaces (SP1 )'!C6*'Default Data'!$B$3*'Default Data'!$D$18/1000,0)</f>
        <v>2822</v>
      </c>
      <c r="AC6" s="88">
        <f>ROUND('Default Data'!C27*'Furnaces (SP1 )'!E6*'Default Data'!$B$4*'Default Data'!$D$18/1000,0)</f>
        <v>2957</v>
      </c>
      <c r="AD6" s="88">
        <f>ROUND('Default Data'!C27*G6*'Default Data'!$B$5*'Default Data'!$D$18/1000,0)</f>
        <v>4421</v>
      </c>
      <c r="AE6" s="178">
        <f>ROUND('Default Data'!C27*I6*'Default Data'!$B$6*'Default Data'!$D$18/1000,0)</f>
        <v>3588</v>
      </c>
      <c r="AF6" s="178">
        <f>ROUND('Default Data'!C27*K6*'Default Data'!$B$7*'Default Data'!$D$18/1000,0)</f>
        <v>3536</v>
      </c>
      <c r="AG6" s="182">
        <f>ROUND('Default Data'!C27*M6*'Default Data'!$B$8*'Default Data'!$D$18/1000,0)</f>
        <v>878</v>
      </c>
      <c r="AH6" s="173">
        <f t="shared" si="1"/>
        <v>18202</v>
      </c>
    </row>
    <row r="7" spans="1:34" ht="15">
      <c r="A7" s="58"/>
      <c r="B7" s="150" t="str">
        <f>'Default Data'!B28</f>
        <v>heating #09, FPS</v>
      </c>
      <c r="C7" s="78">
        <v>1996.4</v>
      </c>
      <c r="D7" s="75">
        <v>186927</v>
      </c>
      <c r="E7" s="79">
        <v>1788.5</v>
      </c>
      <c r="F7" s="75">
        <v>147989</v>
      </c>
      <c r="G7" s="79">
        <v>2412.8</v>
      </c>
      <c r="H7" s="76">
        <v>227365</v>
      </c>
      <c r="I7" s="79">
        <v>2362.4</v>
      </c>
      <c r="J7" s="75">
        <v>211765</v>
      </c>
      <c r="K7" s="79">
        <v>2014.5</v>
      </c>
      <c r="L7" s="75">
        <v>216005</v>
      </c>
      <c r="M7" s="79">
        <v>486.6</v>
      </c>
      <c r="N7" s="77">
        <v>48388</v>
      </c>
      <c r="O7" s="170">
        <f t="shared" si="2"/>
        <v>11061.2</v>
      </c>
      <c r="P7" s="165">
        <f t="shared" si="3"/>
        <v>1038439</v>
      </c>
      <c r="R7" s="83" t="str">
        <f>'Default Data'!B28</f>
        <v>heating #09, FPS</v>
      </c>
      <c r="S7" s="87">
        <f>ROUND(D7*'Default Data'!$B$3*'Default Data'!$D$18/1000,0)</f>
        <v>354</v>
      </c>
      <c r="T7" s="88">
        <f>ROUND(F7*'Default Data'!$B$4*'Default Data'!$D$18/1000,0)</f>
        <v>280</v>
      </c>
      <c r="U7" s="88">
        <f>ROUND(H7*'Default Data'!$B$5*'Default Data'!$D$18/1000,0)</f>
        <v>431</v>
      </c>
      <c r="V7" s="88">
        <f>ROUND(J7*'Default Data'!$B$6*'Default Data'!$D$18/1000,0)</f>
        <v>402</v>
      </c>
      <c r="W7" s="88">
        <f>ROUND(L7*'Default Data'!$B$7*'Default Data'!$D$18/1000,0)</f>
        <v>414</v>
      </c>
      <c r="X7" s="153">
        <f>ROUND(N7*'Default Data'!$B$8*'Default Data'!$D$18/1000,0)</f>
        <v>92</v>
      </c>
      <c r="Y7" s="176">
        <f t="shared" si="0"/>
        <v>1973</v>
      </c>
      <c r="AA7" s="83" t="str">
        <f>'Default Data'!B28</f>
        <v>heating #09, FPS</v>
      </c>
      <c r="AB7" s="87">
        <f>ROUND('Default Data'!C28*'Furnaces (SP1 )'!C7*'Default Data'!$B$3*'Default Data'!$D$18/1000,0)</f>
        <v>3257</v>
      </c>
      <c r="AC7" s="88">
        <f>ROUND('Default Data'!C28*'Furnaces (SP1 )'!E7*'Default Data'!$B$4*'Default Data'!$D$18/1000,0)</f>
        <v>2918</v>
      </c>
      <c r="AD7" s="88">
        <f>ROUND('Default Data'!C28*G7*'Default Data'!$B$5*'Default Data'!$D$18/1000,0)</f>
        <v>3940</v>
      </c>
      <c r="AE7" s="178">
        <f>ROUND('Default Data'!C28*I7*'Default Data'!$B$6*'Default Data'!$D$18/1000,0)</f>
        <v>3859</v>
      </c>
      <c r="AF7" s="178">
        <f>ROUND('Default Data'!C28*K7*'Default Data'!$B$7*'Default Data'!$D$18/1000,0)</f>
        <v>3323</v>
      </c>
      <c r="AG7" s="182">
        <f>ROUND('Default Data'!C28*M7*'Default Data'!$B$8*'Default Data'!$D$18/1000,0)</f>
        <v>801</v>
      </c>
      <c r="AH7" s="173">
        <f t="shared" si="1"/>
        <v>18098</v>
      </c>
    </row>
    <row r="8" spans="1:34" ht="15">
      <c r="A8" s="58"/>
      <c r="B8" s="150" t="str">
        <f>'Default Data'!B29</f>
        <v>heating #10, FPS</v>
      </c>
      <c r="C8" s="78">
        <v>1329.3</v>
      </c>
      <c r="D8" s="75">
        <v>157354</v>
      </c>
      <c r="E8" s="79">
        <v>1613.7</v>
      </c>
      <c r="F8" s="75">
        <v>107771</v>
      </c>
      <c r="G8" s="156">
        <v>2187.04</v>
      </c>
      <c r="H8" s="76">
        <v>149597</v>
      </c>
      <c r="I8" s="79">
        <v>1136.9</v>
      </c>
      <c r="J8" s="75">
        <v>81703</v>
      </c>
      <c r="K8" s="79">
        <v>1968.5</v>
      </c>
      <c r="L8" s="75">
        <v>199528</v>
      </c>
      <c r="M8" s="79">
        <v>716.7</v>
      </c>
      <c r="N8" s="77">
        <v>69026</v>
      </c>
      <c r="O8" s="170">
        <f t="shared" si="2"/>
        <v>8952.140000000001</v>
      </c>
      <c r="P8" s="165">
        <f t="shared" si="3"/>
        <v>764979</v>
      </c>
      <c r="R8" s="83" t="str">
        <f>'Default Data'!B29</f>
        <v>heating #10, FPS</v>
      </c>
      <c r="S8" s="87">
        <f>ROUND(D8*'Default Data'!$B$3*'Default Data'!$D$18/1000,0)</f>
        <v>298</v>
      </c>
      <c r="T8" s="88">
        <f>ROUND(F8*'Default Data'!$B$4*'Default Data'!$D$18/1000,0)</f>
        <v>204</v>
      </c>
      <c r="U8" s="88">
        <f>ROUND(H8*'Default Data'!$B$5*'Default Data'!$D$18/1000,0)</f>
        <v>284</v>
      </c>
      <c r="V8" s="88">
        <f>ROUND(J8*'Default Data'!$B$6*'Default Data'!$D$18/1000,0)</f>
        <v>155</v>
      </c>
      <c r="W8" s="88">
        <f>ROUND(L8*'Default Data'!$B$7*'Default Data'!$D$18/1000,0)</f>
        <v>382</v>
      </c>
      <c r="X8" s="153">
        <f>ROUND(N8*'Default Data'!$B$8*'Default Data'!$D$18/1000,0)</f>
        <v>132</v>
      </c>
      <c r="Y8" s="176">
        <f t="shared" si="0"/>
        <v>1455</v>
      </c>
      <c r="AA8" s="83" t="str">
        <f>'Default Data'!B29</f>
        <v>heating #10, FPS</v>
      </c>
      <c r="AB8" s="87">
        <f>ROUND('Default Data'!C29*'Furnaces (SP1 )'!C8*'Default Data'!$B$3*'Default Data'!$D$18/1000,0)</f>
        <v>2345</v>
      </c>
      <c r="AC8" s="88">
        <f>ROUND('Default Data'!C29*'Furnaces (SP1 )'!E8*'Default Data'!$B$4*'Default Data'!$D$18/1000,0)</f>
        <v>2847</v>
      </c>
      <c r="AD8" s="88">
        <f>ROUND('Default Data'!C29*G8*'Default Data'!$B$5*'Default Data'!$D$18/1000,0)</f>
        <v>3861</v>
      </c>
      <c r="AE8" s="178">
        <f>ROUND('Default Data'!C29*I8*'Default Data'!$B$6*'Default Data'!$D$18/1000,0)</f>
        <v>2008</v>
      </c>
      <c r="AF8" s="178">
        <f>ROUND('Default Data'!C29*K8*'Default Data'!$B$7*'Default Data'!$D$18/1000,0)</f>
        <v>3511</v>
      </c>
      <c r="AG8" s="182">
        <f>ROUND('Default Data'!C29*M8*'Default Data'!$B$8*'Default Data'!$D$18/1000,0)</f>
        <v>1276</v>
      </c>
      <c r="AH8" s="173">
        <f t="shared" si="1"/>
        <v>15848</v>
      </c>
    </row>
    <row r="9" spans="1:34" ht="15">
      <c r="A9" s="58"/>
      <c r="B9" s="150" t="str">
        <f>'Default Data'!B30</f>
        <v>heating #33, FPS</v>
      </c>
      <c r="C9" s="78">
        <v>721.3</v>
      </c>
      <c r="D9" s="75">
        <v>69046</v>
      </c>
      <c r="E9" s="79">
        <v>554.6</v>
      </c>
      <c r="F9" s="75">
        <v>43083</v>
      </c>
      <c r="G9" s="79">
        <v>521.8</v>
      </c>
      <c r="H9" s="75">
        <v>54194</v>
      </c>
      <c r="I9" s="79">
        <v>777.1</v>
      </c>
      <c r="J9" s="75">
        <v>76037</v>
      </c>
      <c r="K9" s="79">
        <v>959.5</v>
      </c>
      <c r="L9" s="75">
        <v>91096</v>
      </c>
      <c r="M9" s="79">
        <v>585</v>
      </c>
      <c r="N9" s="77">
        <v>76518</v>
      </c>
      <c r="O9" s="170">
        <f t="shared" si="2"/>
        <v>4119.3</v>
      </c>
      <c r="P9" s="165">
        <f t="shared" si="3"/>
        <v>409974</v>
      </c>
      <c r="R9" s="83" t="str">
        <f>'Default Data'!B30</f>
        <v>heating #33, FPS</v>
      </c>
      <c r="S9" s="87">
        <f>ROUND(D9*'Default Data'!$B$3*'Default Data'!$D$18/1000,0)</f>
        <v>131</v>
      </c>
      <c r="T9" s="88">
        <f>ROUND(F9*'Default Data'!$B$4*'Default Data'!$D$18/1000,0)</f>
        <v>82</v>
      </c>
      <c r="U9" s="88">
        <f>ROUND(H9*'Default Data'!$B$5*'Default Data'!$D$18/1000,0)</f>
        <v>103</v>
      </c>
      <c r="V9" s="88">
        <f>ROUND(J9*'Default Data'!$B$6*'Default Data'!$D$18/1000,0)</f>
        <v>144</v>
      </c>
      <c r="W9" s="88">
        <f>ROUND(L9*'Default Data'!$B$7*'Default Data'!$D$18/1000,0)</f>
        <v>174</v>
      </c>
      <c r="X9" s="153">
        <f>ROUND(N9*'Default Data'!$B$8*'Default Data'!$D$18/1000,0)</f>
        <v>146</v>
      </c>
      <c r="Y9" s="176">
        <f t="shared" si="0"/>
        <v>780</v>
      </c>
      <c r="AA9" s="83" t="str">
        <f>'Default Data'!B30</f>
        <v>heating #33, FPS</v>
      </c>
      <c r="AB9" s="87">
        <f>ROUND('Default Data'!C30*'Furnaces (SP1 )'!C9*'Default Data'!$B$3*'Default Data'!$D$18/1000,0)</f>
        <v>932</v>
      </c>
      <c r="AC9" s="88">
        <f>ROUND('Default Data'!C30*'Furnaces (SP1 )'!E9*'Default Data'!$B$4*'Default Data'!$D$18/1000,0)</f>
        <v>716</v>
      </c>
      <c r="AD9" s="88">
        <f>ROUND('Default Data'!C30*G9*'Default Data'!$B$5*'Default Data'!$D$18/1000,0)</f>
        <v>675</v>
      </c>
      <c r="AE9" s="178">
        <f>ROUND('Default Data'!C30*I9*'Default Data'!$B$6*'Default Data'!$D$18/1000,0)</f>
        <v>1005</v>
      </c>
      <c r="AF9" s="178">
        <f>ROUND('Default Data'!C30*K9*'Default Data'!$B$7*'Default Data'!$D$18/1000,0)</f>
        <v>1253</v>
      </c>
      <c r="AG9" s="182">
        <f>ROUND('Default Data'!C30*M9*'Default Data'!$B$8*'Default Data'!$D$18/1000,0)</f>
        <v>762</v>
      </c>
      <c r="AH9" s="173">
        <f t="shared" si="1"/>
        <v>5343</v>
      </c>
    </row>
    <row r="10" spans="1:34" ht="15">
      <c r="A10" s="58"/>
      <c r="B10" s="150" t="str">
        <f>'Default Data'!B31</f>
        <v>heating #34, FPS</v>
      </c>
      <c r="C10" s="78">
        <v>646.5</v>
      </c>
      <c r="D10" s="75">
        <v>55873</v>
      </c>
      <c r="E10" s="79">
        <v>683.7</v>
      </c>
      <c r="F10" s="75">
        <v>60260</v>
      </c>
      <c r="G10" s="79">
        <v>563.2</v>
      </c>
      <c r="H10" s="75">
        <v>62861</v>
      </c>
      <c r="I10" s="79">
        <v>856.3</v>
      </c>
      <c r="J10" s="75">
        <v>61114</v>
      </c>
      <c r="K10" s="79">
        <v>1186.24</v>
      </c>
      <c r="L10" s="75">
        <v>64901</v>
      </c>
      <c r="M10" s="79">
        <v>813.64</v>
      </c>
      <c r="N10" s="77">
        <v>78422</v>
      </c>
      <c r="O10" s="170">
        <f t="shared" si="2"/>
        <v>4749.58</v>
      </c>
      <c r="P10" s="165">
        <f t="shared" si="3"/>
        <v>383431</v>
      </c>
      <c r="R10" s="83" t="str">
        <f>'Default Data'!B31</f>
        <v>heating #34, FPS</v>
      </c>
      <c r="S10" s="87">
        <f>ROUND(D10*'Default Data'!$B$3*'Default Data'!$D$18/1000,0)</f>
        <v>106</v>
      </c>
      <c r="T10" s="88">
        <f>ROUND(F10*'Default Data'!$B$4*'Default Data'!$D$18/1000,0)</f>
        <v>114</v>
      </c>
      <c r="U10" s="88">
        <f>ROUND(H10*'Default Data'!$B$5*'Default Data'!$D$18/1000,0)</f>
        <v>119</v>
      </c>
      <c r="V10" s="88">
        <f>ROUND(J10*'Default Data'!$B$6*'Default Data'!$D$18/1000,0)</f>
        <v>116</v>
      </c>
      <c r="W10" s="88">
        <f>ROUND(L10*'Default Data'!$B$7*'Default Data'!$D$18/1000,0)</f>
        <v>124</v>
      </c>
      <c r="X10" s="153">
        <f>ROUND(N10*'Default Data'!$B$8*'Default Data'!$D$18/1000,0)</f>
        <v>150</v>
      </c>
      <c r="Y10" s="176">
        <f t="shared" si="0"/>
        <v>729</v>
      </c>
      <c r="AA10" s="83" t="str">
        <f>'Default Data'!B31</f>
        <v>heating #34, FPS</v>
      </c>
      <c r="AB10" s="87">
        <f>ROUND('Default Data'!C31*'Furnaces (SP1 )'!C10*'Default Data'!$B$3*'Default Data'!$D$18/1000,0)</f>
        <v>835</v>
      </c>
      <c r="AC10" s="88">
        <f>ROUND('Default Data'!C31*'Furnaces (SP1 )'!E10*'Default Data'!$B$4*'Default Data'!$D$18/1000,0)</f>
        <v>883</v>
      </c>
      <c r="AD10" s="88">
        <f>ROUND('Default Data'!C31*G10*'Default Data'!$B$5*'Default Data'!$D$18/1000,0)</f>
        <v>728</v>
      </c>
      <c r="AE10" s="178">
        <f>ROUND('Default Data'!C31*I10*'Default Data'!$B$6*'Default Data'!$D$18/1000,0)</f>
        <v>1107</v>
      </c>
      <c r="AF10" s="178">
        <f>ROUND('Default Data'!C31*K10*'Default Data'!$B$7*'Default Data'!$D$18/1000,0)</f>
        <v>1549</v>
      </c>
      <c r="AG10" s="182">
        <f>ROUND('Default Data'!C31*M10*'Default Data'!$B$8*'Default Data'!$D$18/1000,0)</f>
        <v>1060</v>
      </c>
      <c r="AH10" s="173">
        <f t="shared" si="1"/>
        <v>6162</v>
      </c>
    </row>
    <row r="11" spans="1:34" ht="15">
      <c r="A11" s="58"/>
      <c r="B11" s="150" t="str">
        <f>'Default Data'!B32</f>
        <v>heating #35, FPS</v>
      </c>
      <c r="C11" s="78">
        <v>468</v>
      </c>
      <c r="D11" s="75">
        <v>49232</v>
      </c>
      <c r="E11" s="79">
        <v>486.5</v>
      </c>
      <c r="F11" s="75">
        <v>59844</v>
      </c>
      <c r="G11" s="157">
        <v>517.15</v>
      </c>
      <c r="H11" s="158">
        <v>49545</v>
      </c>
      <c r="I11" s="79">
        <v>523</v>
      </c>
      <c r="J11" s="75">
        <v>62048</v>
      </c>
      <c r="K11" s="79">
        <v>732.3</v>
      </c>
      <c r="L11" s="75">
        <v>73634</v>
      </c>
      <c r="M11" s="79">
        <v>1052.78</v>
      </c>
      <c r="N11" s="77">
        <v>80864</v>
      </c>
      <c r="O11" s="170">
        <f t="shared" si="2"/>
        <v>3779.7299999999996</v>
      </c>
      <c r="P11" s="165">
        <f t="shared" si="3"/>
        <v>375167</v>
      </c>
      <c r="R11" s="83" t="str">
        <f>'Default Data'!B32</f>
        <v>heating #35, FPS</v>
      </c>
      <c r="S11" s="87">
        <f>ROUND(D11*'Default Data'!$B$3*'Default Data'!$D$18/1000,0)</f>
        <v>93</v>
      </c>
      <c r="T11" s="88">
        <f>ROUND(F11*'Default Data'!$B$4*'Default Data'!$D$18/1000,0)</f>
        <v>113</v>
      </c>
      <c r="U11" s="88">
        <f>ROUND(H11*'Default Data'!$B$5*'Default Data'!$D$18/1000,0)</f>
        <v>94</v>
      </c>
      <c r="V11" s="88">
        <f>ROUND(J11*'Default Data'!$B$6*'Default Data'!$D$18/1000,0)</f>
        <v>118</v>
      </c>
      <c r="W11" s="88">
        <f>ROUND(L11*'Default Data'!$B$7*'Default Data'!$D$18/1000,0)</f>
        <v>141</v>
      </c>
      <c r="X11" s="153">
        <f>ROUND(N11*'Default Data'!$B$8*'Default Data'!$D$18/1000,0)</f>
        <v>155</v>
      </c>
      <c r="Y11" s="176">
        <f t="shared" si="0"/>
        <v>714</v>
      </c>
      <c r="AA11" s="83" t="str">
        <f>'Default Data'!B32</f>
        <v>heating #35, FPS</v>
      </c>
      <c r="AB11" s="87">
        <f>ROUND('Default Data'!C32*'Furnaces (SP1 )'!C11*'Default Data'!$B$3*'Default Data'!$D$18/1000,0)</f>
        <v>604</v>
      </c>
      <c r="AC11" s="88">
        <f>ROUND('Default Data'!C32*'Furnaces (SP1 )'!E11*'Default Data'!$B$4*'Default Data'!$D$18/1000,0)</f>
        <v>628</v>
      </c>
      <c r="AD11" s="88">
        <f>ROUND('Default Data'!C32*G11*'Default Data'!$B$5*'Default Data'!$D$18/1000,0)</f>
        <v>669</v>
      </c>
      <c r="AE11" s="178">
        <f>ROUND('Default Data'!C32*I11*'Default Data'!$B$6*'Default Data'!$D$18/1000,0)</f>
        <v>676</v>
      </c>
      <c r="AF11" s="178">
        <f>ROUND('Default Data'!C32*K11*'Default Data'!$B$7*'Default Data'!$D$18/1000,0)</f>
        <v>956</v>
      </c>
      <c r="AG11" s="182">
        <f>ROUND('Default Data'!C32*M11*'Default Data'!$B$8*'Default Data'!$D$18/1000,0)</f>
        <v>1372</v>
      </c>
      <c r="AH11" s="173">
        <f t="shared" si="1"/>
        <v>4905</v>
      </c>
    </row>
    <row r="12" spans="1:34" ht="15">
      <c r="A12" s="58"/>
      <c r="B12" s="150" t="str">
        <f>'Default Data'!B33</f>
        <v>heating #36, FPS</v>
      </c>
      <c r="C12" s="78">
        <v>581.8</v>
      </c>
      <c r="D12" s="75">
        <v>56215</v>
      </c>
      <c r="E12" s="79">
        <v>492.9</v>
      </c>
      <c r="F12" s="75">
        <v>41379</v>
      </c>
      <c r="G12" s="157">
        <v>506.9</v>
      </c>
      <c r="H12" s="158">
        <v>48914</v>
      </c>
      <c r="I12" s="79">
        <v>733.4</v>
      </c>
      <c r="J12" s="75">
        <v>63420</v>
      </c>
      <c r="K12" s="79">
        <v>505.6</v>
      </c>
      <c r="L12" s="75">
        <v>53684</v>
      </c>
      <c r="M12" s="79">
        <v>596.6</v>
      </c>
      <c r="N12" s="77">
        <v>49059</v>
      </c>
      <c r="O12" s="170">
        <f t="shared" si="2"/>
        <v>3417.2</v>
      </c>
      <c r="P12" s="165">
        <f t="shared" si="3"/>
        <v>312671</v>
      </c>
      <c r="R12" s="83" t="str">
        <f>'Default Data'!B33</f>
        <v>heating #36, FPS</v>
      </c>
      <c r="S12" s="87">
        <f>ROUND(D12*'Default Data'!$B$3*'Default Data'!$D$18/1000,0)</f>
        <v>106</v>
      </c>
      <c r="T12" s="88">
        <f>ROUND(F12*'Default Data'!$B$4*'Default Data'!$D$18/1000,0)</f>
        <v>78</v>
      </c>
      <c r="U12" s="88">
        <f>ROUND(H12*'Default Data'!$B$5*'Default Data'!$D$18/1000,0)</f>
        <v>93</v>
      </c>
      <c r="V12" s="88">
        <f>ROUND(J12*'Default Data'!$B$6*'Default Data'!$D$18/1000,0)</f>
        <v>120</v>
      </c>
      <c r="W12" s="88">
        <f>ROUND(L12*'Default Data'!$B$7*'Default Data'!$D$18/1000,0)</f>
        <v>103</v>
      </c>
      <c r="X12" s="153">
        <f>ROUND(N12*'Default Data'!$B$8*'Default Data'!$D$18/1000,0)</f>
        <v>94</v>
      </c>
      <c r="Y12" s="176">
        <f t="shared" si="0"/>
        <v>594</v>
      </c>
      <c r="AA12" s="83" t="str">
        <f>'Default Data'!B33</f>
        <v>heating #36, FPS</v>
      </c>
      <c r="AB12" s="87">
        <f>ROUND('Default Data'!C33*'Furnaces (SP1 )'!C12*'Default Data'!$B$3*'Default Data'!$D$18/1000,0)</f>
        <v>751</v>
      </c>
      <c r="AC12" s="88">
        <f>ROUND('Default Data'!C33*'Furnaces (SP1 )'!E12*'Default Data'!$B$4*'Default Data'!$D$18/1000,0)</f>
        <v>637</v>
      </c>
      <c r="AD12" s="88">
        <f>ROUND('Default Data'!C33*G12*'Default Data'!$B$5*'Default Data'!$D$18/1000,0)</f>
        <v>655</v>
      </c>
      <c r="AE12" s="178">
        <f>ROUND('Default Data'!C33*I12*'Default Data'!$B$6*'Default Data'!$D$18/1000,0)</f>
        <v>948</v>
      </c>
      <c r="AF12" s="178">
        <f>ROUND('Default Data'!C33*K12*'Default Data'!$B$7*'Default Data'!$D$18/1000,0)</f>
        <v>660</v>
      </c>
      <c r="AG12" s="182">
        <f>ROUND('Default Data'!C33*M12*'Default Data'!$B$8*'Default Data'!$D$18/1000,0)</f>
        <v>777</v>
      </c>
      <c r="AH12" s="173">
        <f t="shared" si="1"/>
        <v>4428</v>
      </c>
    </row>
    <row r="13" spans="1:34" ht="15" customHeight="1">
      <c r="A13" s="58"/>
      <c r="B13" s="150" t="str">
        <f>'Default Data'!B34</f>
        <v>thermal #01, FPS</v>
      </c>
      <c r="C13" s="78">
        <v>432</v>
      </c>
      <c r="D13" s="75">
        <v>51588</v>
      </c>
      <c r="E13" s="79">
        <v>176.3</v>
      </c>
      <c r="F13" s="75">
        <v>16039</v>
      </c>
      <c r="G13" s="79">
        <v>110</v>
      </c>
      <c r="H13" s="75">
        <v>26990</v>
      </c>
      <c r="I13" s="79">
        <v>469.2</v>
      </c>
      <c r="J13" s="75">
        <v>53375</v>
      </c>
      <c r="K13" s="79">
        <v>150</v>
      </c>
      <c r="L13" s="75">
        <v>42552</v>
      </c>
      <c r="M13" s="79">
        <v>544.85</v>
      </c>
      <c r="N13" s="77">
        <v>54063</v>
      </c>
      <c r="O13" s="170">
        <f t="shared" si="2"/>
        <v>1882.35</v>
      </c>
      <c r="P13" s="165">
        <f t="shared" si="3"/>
        <v>244607</v>
      </c>
      <c r="R13" s="83" t="str">
        <f>'Default Data'!B34</f>
        <v>thermal #01, FPS</v>
      </c>
      <c r="S13" s="87">
        <f>ROUND(D13*'Default Data'!$B$3*'Default Data'!$D$18/1000,0)</f>
        <v>98</v>
      </c>
      <c r="T13" s="88">
        <f>ROUND(F13*'Default Data'!$B$4*'Default Data'!$D$18/1000,0)</f>
        <v>30</v>
      </c>
      <c r="U13" s="88">
        <f>ROUND(H13*'Default Data'!$B$5*'Default Data'!$D$18/1000,0)</f>
        <v>51</v>
      </c>
      <c r="V13" s="88">
        <f>ROUND(J13*'Default Data'!$B$6*'Default Data'!$D$18/1000,0)</f>
        <v>101</v>
      </c>
      <c r="W13" s="88">
        <f>ROUND(L13*'Default Data'!$B$7*'Default Data'!$D$18/1000,0)</f>
        <v>81</v>
      </c>
      <c r="X13" s="153">
        <f>ROUND(N13*'Default Data'!$B$8*'Default Data'!$D$18/1000,0)</f>
        <v>103</v>
      </c>
      <c r="Y13" s="176">
        <f t="shared" si="0"/>
        <v>464</v>
      </c>
      <c r="AA13" s="83" t="str">
        <f>'Default Data'!B34</f>
        <v>thermal #01, FPS</v>
      </c>
      <c r="AB13" s="87">
        <f>ROUND('Default Data'!C34*'Furnaces (SP1 )'!C13*'Default Data'!$B$3*'Default Data'!$D$18/1000,0)</f>
        <v>568</v>
      </c>
      <c r="AC13" s="88">
        <f>ROUND('Default Data'!C34*'Furnaces (SP1 )'!E13*'Default Data'!$B$4*'Default Data'!$D$18/1000,0)</f>
        <v>232</v>
      </c>
      <c r="AD13" s="88">
        <f>ROUND('Default Data'!C34*G13*'Default Data'!$B$5*'Default Data'!$D$18/1000,0)</f>
        <v>145</v>
      </c>
      <c r="AE13" s="178">
        <f>ROUND('Default Data'!C34*I13*'Default Data'!$B$6*'Default Data'!$D$18/1000,0)</f>
        <v>618</v>
      </c>
      <c r="AF13" s="178">
        <f>ROUND('Default Data'!C34*K13*'Default Data'!$B$7*'Default Data'!$D$18/1000,0)</f>
        <v>199</v>
      </c>
      <c r="AG13" s="182">
        <f>ROUND('Default Data'!C34*M13*'Default Data'!$B$8*'Default Data'!$D$18/1000,0)</f>
        <v>723</v>
      </c>
      <c r="AH13" s="173">
        <f t="shared" si="1"/>
        <v>2485</v>
      </c>
    </row>
    <row r="14" spans="1:34" ht="15">
      <c r="A14" s="58"/>
      <c r="B14" s="150" t="str">
        <f>'Default Data'!B35</f>
        <v>thermal #01, TS</v>
      </c>
      <c r="C14" s="78">
        <v>291</v>
      </c>
      <c r="D14" s="75">
        <v>42180</v>
      </c>
      <c r="E14" s="79">
        <v>407.4</v>
      </c>
      <c r="F14" s="75">
        <v>47160</v>
      </c>
      <c r="G14" s="157">
        <v>377</v>
      </c>
      <c r="H14" s="158">
        <v>48341</v>
      </c>
      <c r="I14" s="79">
        <v>415.43</v>
      </c>
      <c r="J14" s="75">
        <v>42238</v>
      </c>
      <c r="K14" s="79">
        <v>298.56</v>
      </c>
      <c r="L14" s="75">
        <v>34917</v>
      </c>
      <c r="M14" s="79">
        <v>432</v>
      </c>
      <c r="N14" s="77">
        <v>56333</v>
      </c>
      <c r="O14" s="170">
        <f t="shared" si="2"/>
        <v>2221.3900000000003</v>
      </c>
      <c r="P14" s="165">
        <f t="shared" si="3"/>
        <v>271169</v>
      </c>
      <c r="R14" s="83" t="str">
        <f>'Default Data'!B35</f>
        <v>thermal #01, TS</v>
      </c>
      <c r="S14" s="87">
        <f>ROUND(D14*'Default Data'!$B$3*'Default Data'!$D$18/1000,0)</f>
        <v>80</v>
      </c>
      <c r="T14" s="88">
        <f>ROUND(F14*'Default Data'!$B$4*'Default Data'!$D$18/1000,0)</f>
        <v>89</v>
      </c>
      <c r="U14" s="88">
        <f>ROUND(H14*'Default Data'!$B$5*'Default Data'!$D$18/1000,0)</f>
        <v>92</v>
      </c>
      <c r="V14" s="88">
        <f>ROUND(J14*'Default Data'!$B$6*'Default Data'!$D$18/1000,0)</f>
        <v>80</v>
      </c>
      <c r="W14" s="88">
        <f>ROUND(L14*'Default Data'!$B$7*'Default Data'!$D$18/1000,0)</f>
        <v>67</v>
      </c>
      <c r="X14" s="153">
        <f>ROUND(N14*'Default Data'!$B$8*'Default Data'!$D$18/1000,0)</f>
        <v>108</v>
      </c>
      <c r="Y14" s="176">
        <f t="shared" si="0"/>
        <v>516</v>
      </c>
      <c r="AA14" s="83" t="str">
        <f>'Default Data'!B35</f>
        <v>thermal #01, TS</v>
      </c>
      <c r="AB14" s="87">
        <f>ROUND('Default Data'!C35*'Furnaces (SP1 )'!C14*'Default Data'!$B$3*'Default Data'!$D$18/1000,0)</f>
        <v>206</v>
      </c>
      <c r="AC14" s="88">
        <f>ROUND('Default Data'!C35*'Furnaces (SP1 )'!E14*'Default Data'!$B$4*'Default Data'!$D$18/1000,0)</f>
        <v>288</v>
      </c>
      <c r="AD14" s="88">
        <f>ROUND('Default Data'!C35*G14*'Default Data'!$B$5*'Default Data'!$D$18/1000,0)</f>
        <v>267</v>
      </c>
      <c r="AE14" s="178">
        <f>ROUND('Default Data'!C35*I14*'Default Data'!$B$6*'Default Data'!$D$18/1000,0)</f>
        <v>294</v>
      </c>
      <c r="AF14" s="178">
        <f>ROUND('Default Data'!C35*K14*'Default Data'!$B$7*'Default Data'!$D$18/1000,0)</f>
        <v>213</v>
      </c>
      <c r="AG14" s="182">
        <f>ROUND('Default Data'!C35*M14*'Default Data'!$B$8*'Default Data'!$D$18/1000,0)</f>
        <v>308</v>
      </c>
      <c r="AH14" s="173">
        <f t="shared" si="1"/>
        <v>1576</v>
      </c>
    </row>
    <row r="15" spans="1:34" ht="15">
      <c r="A15" s="58"/>
      <c r="B15" s="150" t="str">
        <f>'Default Data'!B36</f>
        <v>thermal #02, TS</v>
      </c>
      <c r="C15" s="78">
        <v>557.4</v>
      </c>
      <c r="D15" s="75">
        <v>78135</v>
      </c>
      <c r="E15" s="79">
        <v>356</v>
      </c>
      <c r="F15" s="75">
        <v>42656</v>
      </c>
      <c r="G15" s="157">
        <v>398.05</v>
      </c>
      <c r="H15" s="158">
        <v>70001</v>
      </c>
      <c r="I15" s="79">
        <v>284.39</v>
      </c>
      <c r="J15" s="75">
        <v>50465</v>
      </c>
      <c r="K15" s="79">
        <v>610.6</v>
      </c>
      <c r="L15" s="75">
        <v>71141</v>
      </c>
      <c r="M15" s="79">
        <v>517</v>
      </c>
      <c r="N15" s="77">
        <v>74915</v>
      </c>
      <c r="O15" s="170">
        <f t="shared" si="2"/>
        <v>2723.44</v>
      </c>
      <c r="P15" s="165">
        <f t="shared" si="3"/>
        <v>387313</v>
      </c>
      <c r="R15" s="83" t="str">
        <f>'Default Data'!B36</f>
        <v>thermal #02, TS</v>
      </c>
      <c r="S15" s="87">
        <f>ROUND(D15*'Default Data'!$B$3*'Default Data'!$D$18/1000,0)</f>
        <v>148</v>
      </c>
      <c r="T15" s="88">
        <f>ROUND(F15*'Default Data'!$B$4*'Default Data'!$D$18/1000,0)</f>
        <v>81</v>
      </c>
      <c r="U15" s="88">
        <f>ROUND(H15*'Default Data'!$B$5*'Default Data'!$D$18/1000,0)</f>
        <v>133</v>
      </c>
      <c r="V15" s="88">
        <f>ROUND(J15*'Default Data'!$B$6*'Default Data'!$D$18/1000,0)</f>
        <v>96</v>
      </c>
      <c r="W15" s="88">
        <f>ROUND(L15*'Default Data'!$B$7*'Default Data'!$D$18/1000,0)</f>
        <v>136</v>
      </c>
      <c r="X15" s="153">
        <f>ROUND(N15*'Default Data'!$B$8*'Default Data'!$D$18/1000,0)</f>
        <v>143</v>
      </c>
      <c r="Y15" s="176">
        <f t="shared" si="0"/>
        <v>737</v>
      </c>
      <c r="AA15" s="83" t="str">
        <f>'Default Data'!B36</f>
        <v>thermal #02, TS</v>
      </c>
      <c r="AB15" s="87">
        <f>ROUND('Default Data'!C36*'Furnaces (SP1 )'!C15*'Default Data'!$B$3*'Default Data'!$D$18/1000,0)</f>
        <v>394</v>
      </c>
      <c r="AC15" s="88">
        <f>ROUND('Default Data'!C36*'Furnaces (SP1 )'!E15*'Default Data'!$B$4*'Default Data'!$D$18/1000,0)</f>
        <v>251</v>
      </c>
      <c r="AD15" s="88">
        <f>ROUND('Default Data'!C36*G15*'Default Data'!$B$5*'Default Data'!$D$18/1000,0)</f>
        <v>281</v>
      </c>
      <c r="AE15" s="178">
        <f>ROUND('Default Data'!C36*I15*'Default Data'!$B$6*'Default Data'!$D$18/1000,0)</f>
        <v>201</v>
      </c>
      <c r="AF15" s="178">
        <f>ROUND('Default Data'!C36*K15*'Default Data'!$B$7*'Default Data'!$D$18/1000,0)</f>
        <v>436</v>
      </c>
      <c r="AG15" s="182">
        <f>ROUND('Default Data'!C36*M15*'Default Data'!$B$8*'Default Data'!$D$18/1000,0)</f>
        <v>368</v>
      </c>
      <c r="AH15" s="173">
        <f t="shared" si="1"/>
        <v>1931</v>
      </c>
    </row>
    <row r="16" spans="1:34" ht="15">
      <c r="A16" s="58"/>
      <c r="B16" s="150" t="str">
        <f>'Default Data'!B37</f>
        <v>thermal #04, TS</v>
      </c>
      <c r="C16" s="78">
        <v>728</v>
      </c>
      <c r="D16" s="75">
        <v>41391</v>
      </c>
      <c r="E16" s="79">
        <v>551.65</v>
      </c>
      <c r="F16" s="75">
        <v>46650</v>
      </c>
      <c r="G16" s="79">
        <v>349.35</v>
      </c>
      <c r="H16" s="75">
        <v>40537</v>
      </c>
      <c r="I16" s="79">
        <v>300.33</v>
      </c>
      <c r="J16" s="75">
        <v>28235</v>
      </c>
      <c r="K16" s="79">
        <v>371.64</v>
      </c>
      <c r="L16" s="75">
        <v>47394</v>
      </c>
      <c r="M16" s="79">
        <v>541</v>
      </c>
      <c r="N16" s="77">
        <v>52323</v>
      </c>
      <c r="O16" s="170">
        <f t="shared" si="2"/>
        <v>2841.97</v>
      </c>
      <c r="P16" s="165">
        <f t="shared" si="3"/>
        <v>256530</v>
      </c>
      <c r="R16" s="83" t="str">
        <f>'Default Data'!B37</f>
        <v>thermal #04, TS</v>
      </c>
      <c r="S16" s="87">
        <f>ROUND(D16*'Default Data'!$B$3*'Default Data'!$D$18/1000,0)</f>
        <v>78</v>
      </c>
      <c r="T16" s="88">
        <f>ROUND(F16*'Default Data'!$B$4*'Default Data'!$D$18/1000,0)</f>
        <v>88</v>
      </c>
      <c r="U16" s="88">
        <f>ROUND(H16*'Default Data'!$B$5*'Default Data'!$D$18/1000,0)</f>
        <v>77</v>
      </c>
      <c r="V16" s="88">
        <f>ROUND(J16*'Default Data'!$B$6*'Default Data'!$D$18/1000,0)</f>
        <v>54</v>
      </c>
      <c r="W16" s="88">
        <f>ROUND(L16*'Default Data'!$B$7*'Default Data'!$D$18/1000,0)</f>
        <v>91</v>
      </c>
      <c r="X16" s="153">
        <f>ROUND(N16*'Default Data'!$B$8*'Default Data'!$D$18/1000,0)</f>
        <v>100</v>
      </c>
      <c r="Y16" s="176">
        <f t="shared" si="0"/>
        <v>488</v>
      </c>
      <c r="AA16" s="83" t="str">
        <f>'Default Data'!B37</f>
        <v>thermal #04, TS</v>
      </c>
      <c r="AB16" s="87">
        <f>ROUND('Default Data'!C37*'Furnaces (SP1 )'!C16*'Default Data'!$B$3*'Default Data'!$D$18/1000,0)</f>
        <v>514</v>
      </c>
      <c r="AC16" s="88">
        <f>ROUND('Default Data'!C37*'Furnaces (SP1 )'!E16*'Default Data'!$B$4*'Default Data'!$D$18/1000,0)</f>
        <v>390</v>
      </c>
      <c r="AD16" s="88">
        <f>ROUND('Default Data'!C37*G16*'Default Data'!$B$5*'Default Data'!$D$18/1000,0)</f>
        <v>247</v>
      </c>
      <c r="AE16" s="178">
        <f>ROUND('Default Data'!C37*I16*'Default Data'!$B$6*'Default Data'!$D$18/1000,0)</f>
        <v>212</v>
      </c>
      <c r="AF16" s="178">
        <f>ROUND('Default Data'!C37*K16*'Default Data'!$B$7*'Default Data'!$D$18/1000,0)</f>
        <v>265</v>
      </c>
      <c r="AG16" s="182">
        <f>ROUND('Default Data'!C37*M16*'Default Data'!$B$8*'Default Data'!$D$18/1000,0)</f>
        <v>386</v>
      </c>
      <c r="AH16" s="173">
        <f t="shared" si="1"/>
        <v>2014</v>
      </c>
    </row>
    <row r="17" spans="1:34" ht="15">
      <c r="A17" s="58"/>
      <c r="B17" s="150" t="str">
        <f>'Default Data'!B38</f>
        <v>thermal #09, TS</v>
      </c>
      <c r="C17" s="78">
        <v>113.5</v>
      </c>
      <c r="D17" s="75">
        <v>32994</v>
      </c>
      <c r="E17" s="79">
        <v>343.5</v>
      </c>
      <c r="F17" s="75">
        <v>36840</v>
      </c>
      <c r="G17" s="157">
        <v>208.1</v>
      </c>
      <c r="H17" s="158">
        <v>44244</v>
      </c>
      <c r="I17" s="79">
        <v>279.45</v>
      </c>
      <c r="J17" s="75">
        <v>34928</v>
      </c>
      <c r="K17" s="79">
        <v>257.8</v>
      </c>
      <c r="L17" s="75">
        <v>30665</v>
      </c>
      <c r="M17" s="79">
        <v>226.35</v>
      </c>
      <c r="N17" s="77">
        <v>29556</v>
      </c>
      <c r="O17" s="170">
        <f t="shared" si="2"/>
        <v>1428.6999999999998</v>
      </c>
      <c r="P17" s="165">
        <f t="shared" si="3"/>
        <v>209227</v>
      </c>
      <c r="R17" s="83" t="str">
        <f>'Default Data'!B38</f>
        <v>thermal #09, TS</v>
      </c>
      <c r="S17" s="87">
        <f>ROUND(D17*'Default Data'!$B$3*'Default Data'!$D$18/1000,0)</f>
        <v>62</v>
      </c>
      <c r="T17" s="88">
        <f>ROUND(F17*'Default Data'!$B$4*'Default Data'!$D$18/1000,0)</f>
        <v>70</v>
      </c>
      <c r="U17" s="88">
        <f>ROUND(H17*'Default Data'!$B$5*'Default Data'!$D$18/1000,0)</f>
        <v>84</v>
      </c>
      <c r="V17" s="88">
        <f>ROUND(J17*'Default Data'!$B$6*'Default Data'!$D$18/1000,0)</f>
        <v>66</v>
      </c>
      <c r="W17" s="88">
        <f>ROUND(L17*'Default Data'!$B$7*'Default Data'!$D$18/1000,0)</f>
        <v>59</v>
      </c>
      <c r="X17" s="153">
        <f>ROUND(N17*'Default Data'!$B$8*'Default Data'!$D$18/1000,0)</f>
        <v>56</v>
      </c>
      <c r="Y17" s="176">
        <f t="shared" si="0"/>
        <v>397</v>
      </c>
      <c r="AA17" s="83" t="str">
        <f>'Default Data'!B38</f>
        <v>thermal #09, TS</v>
      </c>
      <c r="AB17" s="87">
        <f>ROUND('Default Data'!C38*'Furnaces (SP1 )'!C17*'Default Data'!$B$3*'Default Data'!$D$18/1000,0)</f>
        <v>84</v>
      </c>
      <c r="AC17" s="88">
        <f>ROUND('Default Data'!C38*'Furnaces (SP1 )'!E17*'Default Data'!$B$4*'Default Data'!$D$18/1000,0)</f>
        <v>253</v>
      </c>
      <c r="AD17" s="88">
        <f>ROUND('Default Data'!C38*G17*'Default Data'!$B$5*'Default Data'!$D$18/1000,0)</f>
        <v>153</v>
      </c>
      <c r="AE17" s="178">
        <f>ROUND('Default Data'!C38*I17*'Default Data'!$B$6*'Default Data'!$D$18/1000,0)</f>
        <v>206</v>
      </c>
      <c r="AF17" s="178">
        <f>ROUND('Default Data'!C38*K17*'Default Data'!$B$7*'Default Data'!$D$18/1000,0)</f>
        <v>192</v>
      </c>
      <c r="AG17" s="182">
        <f>ROUND('Default Data'!C38*M17*'Default Data'!$B$8*'Default Data'!$D$18/1000,0)</f>
        <v>168</v>
      </c>
      <c r="AH17" s="173">
        <f t="shared" si="1"/>
        <v>1056</v>
      </c>
    </row>
    <row r="18" spans="1:34" ht="15">
      <c r="A18" s="58"/>
      <c r="B18" s="150" t="str">
        <f>'Default Data'!B39</f>
        <v>thermal #10, TS</v>
      </c>
      <c r="C18" s="78">
        <v>351.38</v>
      </c>
      <c r="D18" s="75">
        <v>49334</v>
      </c>
      <c r="E18" s="79">
        <v>392.25</v>
      </c>
      <c r="F18" s="75">
        <v>43540</v>
      </c>
      <c r="G18" s="157">
        <v>146.8</v>
      </c>
      <c r="H18" s="158">
        <v>40494</v>
      </c>
      <c r="I18" s="79">
        <v>267.6</v>
      </c>
      <c r="J18" s="75">
        <v>31532</v>
      </c>
      <c r="K18" s="79">
        <v>215.5</v>
      </c>
      <c r="L18" s="75">
        <v>31505</v>
      </c>
      <c r="M18" s="79">
        <v>226.6</v>
      </c>
      <c r="N18" s="77">
        <v>30853</v>
      </c>
      <c r="O18" s="170">
        <f t="shared" si="2"/>
        <v>1600.13</v>
      </c>
      <c r="P18" s="165">
        <f t="shared" si="3"/>
        <v>227258</v>
      </c>
      <c r="R18" s="83" t="str">
        <f>'Default Data'!B39</f>
        <v>thermal #10, TS</v>
      </c>
      <c r="S18" s="87">
        <f>ROUND(D18*'Default Data'!$B$3*'Default Data'!$D$18/1000,0)</f>
        <v>93</v>
      </c>
      <c r="T18" s="88">
        <f>ROUND(F18*'Default Data'!$B$4*'Default Data'!$D$18/1000,0)</f>
        <v>82</v>
      </c>
      <c r="U18" s="88">
        <f>ROUND(H18*'Default Data'!$B$5*'Default Data'!$D$18/1000,0)</f>
        <v>77</v>
      </c>
      <c r="V18" s="88">
        <f>ROUND(J18*'Default Data'!$B$6*'Default Data'!$D$18/1000,0)</f>
        <v>60</v>
      </c>
      <c r="W18" s="88">
        <f>ROUND(L18*'Default Data'!$B$7*'Default Data'!$D$18/1000,0)</f>
        <v>60</v>
      </c>
      <c r="X18" s="153">
        <f>ROUND(N18*'Default Data'!$B$8*'Default Data'!$D$18/1000,0)</f>
        <v>59</v>
      </c>
      <c r="Y18" s="176">
        <f t="shared" si="0"/>
        <v>431</v>
      </c>
      <c r="AA18" s="83" t="str">
        <f>'Default Data'!B39</f>
        <v>thermal #10, TS</v>
      </c>
      <c r="AB18" s="87">
        <f>ROUND('Default Data'!C39*'Furnaces (SP1 )'!C18*'Default Data'!$B$3*'Default Data'!$D$18/1000,0)</f>
        <v>259</v>
      </c>
      <c r="AC18" s="88">
        <f>ROUND('Default Data'!C39*'Furnaces (SP1 )'!E18*'Default Data'!$B$4*'Default Data'!$D$18/1000,0)</f>
        <v>289</v>
      </c>
      <c r="AD18" s="88">
        <f>ROUND('Default Data'!C39*G18*'Default Data'!$B$5*'Default Data'!$D$18/1000,0)</f>
        <v>108</v>
      </c>
      <c r="AE18" s="178">
        <f>ROUND('Default Data'!C39*I18*'Default Data'!$B$6*'Default Data'!$D$18/1000,0)</f>
        <v>197</v>
      </c>
      <c r="AF18" s="178">
        <f>ROUND('Default Data'!C39*K18*'Default Data'!$B$7*'Default Data'!$D$18/1000,0)</f>
        <v>160</v>
      </c>
      <c r="AG18" s="182">
        <f>ROUND('Default Data'!C39*M18*'Default Data'!$B$8*'Default Data'!$D$18/1000,0)</f>
        <v>168</v>
      </c>
      <c r="AH18" s="173">
        <f t="shared" si="1"/>
        <v>1181</v>
      </c>
    </row>
    <row r="19" spans="1:34" ht="15">
      <c r="A19" s="58"/>
      <c r="B19" s="150" t="str">
        <f>'Default Data'!B40</f>
        <v>thermal #17, TS</v>
      </c>
      <c r="C19" s="78">
        <v>199</v>
      </c>
      <c r="D19" s="75">
        <v>14686</v>
      </c>
      <c r="E19" s="79">
        <v>399.52</v>
      </c>
      <c r="F19" s="75">
        <v>24763</v>
      </c>
      <c r="G19" s="79">
        <v>377.8</v>
      </c>
      <c r="H19" s="76">
        <v>20729</v>
      </c>
      <c r="I19" s="79">
        <v>227.1</v>
      </c>
      <c r="J19" s="75">
        <v>12756</v>
      </c>
      <c r="K19" s="79">
        <v>149</v>
      </c>
      <c r="L19" s="75">
        <v>14338</v>
      </c>
      <c r="M19" s="79">
        <v>160.9</v>
      </c>
      <c r="N19" s="77">
        <v>15048</v>
      </c>
      <c r="O19" s="170">
        <f t="shared" si="2"/>
        <v>1513.32</v>
      </c>
      <c r="P19" s="165">
        <f t="shared" si="3"/>
        <v>102320</v>
      </c>
      <c r="R19" s="83" t="str">
        <f>'Default Data'!B40</f>
        <v>thermal #17, TS</v>
      </c>
      <c r="S19" s="87">
        <f>ROUND(D19*'Default Data'!$B$3*'Default Data'!$D$18/1000,0)</f>
        <v>28</v>
      </c>
      <c r="T19" s="88">
        <f>ROUND(F19*'Default Data'!$B$4*'Default Data'!$D$18/1000,0)</f>
        <v>47</v>
      </c>
      <c r="U19" s="88">
        <f>ROUND(H19*'Default Data'!$B$5*'Default Data'!$D$18/1000,0)</f>
        <v>39</v>
      </c>
      <c r="V19" s="88">
        <f>ROUND(J19*'Default Data'!$B$6*'Default Data'!$D$18/1000,0)</f>
        <v>24</v>
      </c>
      <c r="W19" s="88">
        <f>ROUND(L19*'Default Data'!$B$7*'Default Data'!$D$18/1000,0)</f>
        <v>27</v>
      </c>
      <c r="X19" s="153">
        <f>ROUND(N19*'Default Data'!$B$8*'Default Data'!$D$18/1000,0)</f>
        <v>29</v>
      </c>
      <c r="Y19" s="176">
        <f t="shared" si="0"/>
        <v>194</v>
      </c>
      <c r="AA19" s="83" t="str">
        <f>'Default Data'!B40</f>
        <v>thermal #17, TS</v>
      </c>
      <c r="AB19" s="87">
        <f>ROUND('Default Data'!C40*'Furnaces (SP1 )'!C19*'Default Data'!$B$3*'Default Data'!$D$18/1000,0)</f>
        <v>175</v>
      </c>
      <c r="AC19" s="88">
        <f>ROUND('Default Data'!C40*'Furnaces (SP1 )'!E19*'Default Data'!$B$4*'Default Data'!$D$18/1000,0)</f>
        <v>351</v>
      </c>
      <c r="AD19" s="88">
        <f>ROUND('Default Data'!C40*G19*'Default Data'!$B$5*'Default Data'!$D$18/1000,0)</f>
        <v>333</v>
      </c>
      <c r="AE19" s="178">
        <f>ROUND('Default Data'!C40*I19*'Default Data'!$B$6*'Default Data'!$D$18/1000,0)</f>
        <v>200</v>
      </c>
      <c r="AF19" s="178">
        <f>ROUND('Default Data'!C40*K19*'Default Data'!$B$7*'Default Data'!$D$18/1000,0)</f>
        <v>133</v>
      </c>
      <c r="AG19" s="182">
        <f>ROUND('Default Data'!C40*M19*'Default Data'!$B$8*'Default Data'!$D$18/1000,0)</f>
        <v>143</v>
      </c>
      <c r="AH19" s="173">
        <f t="shared" si="1"/>
        <v>1335</v>
      </c>
    </row>
    <row r="20" spans="1:34" ht="15" customHeight="1">
      <c r="A20" s="58"/>
      <c r="B20" s="150" t="str">
        <f>'Default Data'!B41</f>
        <v>thermal #18, FPS</v>
      </c>
      <c r="C20" s="78">
        <v>744.3</v>
      </c>
      <c r="D20" s="75">
        <v>61833</v>
      </c>
      <c r="E20" s="79">
        <v>485.05</v>
      </c>
      <c r="F20" s="75">
        <v>58984</v>
      </c>
      <c r="G20" s="79">
        <v>195.95</v>
      </c>
      <c r="H20" s="76">
        <v>51573</v>
      </c>
      <c r="I20" s="79">
        <v>669.58</v>
      </c>
      <c r="J20" s="75">
        <v>57093</v>
      </c>
      <c r="K20" s="79">
        <v>540.8</v>
      </c>
      <c r="L20" s="75">
        <v>67203</v>
      </c>
      <c r="M20" s="79">
        <v>796.4</v>
      </c>
      <c r="N20" s="77">
        <v>66381</v>
      </c>
      <c r="O20" s="170">
        <f t="shared" si="2"/>
        <v>3432.0800000000004</v>
      </c>
      <c r="P20" s="165">
        <f t="shared" si="3"/>
        <v>363067</v>
      </c>
      <c r="R20" s="83" t="str">
        <f>'Default Data'!B41</f>
        <v>thermal #18, FPS</v>
      </c>
      <c r="S20" s="87">
        <f>ROUND(D20*'Default Data'!$B$3*'Default Data'!$D$18/1000,0)</f>
        <v>117</v>
      </c>
      <c r="T20" s="88">
        <f>ROUND(F20*'Default Data'!$B$4*'Default Data'!$D$18/1000,0)</f>
        <v>112</v>
      </c>
      <c r="U20" s="88">
        <f>ROUND(H20*'Default Data'!$B$5*'Default Data'!$D$18/1000,0)</f>
        <v>98</v>
      </c>
      <c r="V20" s="88">
        <f>ROUND(J20*'Default Data'!$B$6*'Default Data'!$D$18/1000,0)</f>
        <v>108</v>
      </c>
      <c r="W20" s="88">
        <f>ROUND(L20*'Default Data'!$B$7*'Default Data'!$D$18/1000,0)</f>
        <v>129</v>
      </c>
      <c r="X20" s="153">
        <f>ROUND(N20*'Default Data'!$B$8*'Default Data'!$D$18/1000,0)</f>
        <v>127</v>
      </c>
      <c r="Y20" s="176">
        <f t="shared" si="0"/>
        <v>691</v>
      </c>
      <c r="AA20" s="83" t="str">
        <f>'Default Data'!B41</f>
        <v>thermal #18, FPS</v>
      </c>
      <c r="AB20" s="87">
        <f>ROUND('Default Data'!C41*'Furnaces (SP1 )'!C20*'Default Data'!$B$3*'Default Data'!$D$18/1000,0)</f>
        <v>538</v>
      </c>
      <c r="AC20" s="88">
        <f>ROUND('Default Data'!C41*'Furnaces (SP1 )'!E20*'Default Data'!$B$4*'Default Data'!$D$18/1000,0)</f>
        <v>350</v>
      </c>
      <c r="AD20" s="88">
        <f>ROUND('Default Data'!C41*G20*'Default Data'!$B$5*'Default Data'!$D$18/1000,0)</f>
        <v>142</v>
      </c>
      <c r="AE20" s="178">
        <f>ROUND('Default Data'!C41*I20*'Default Data'!$B$6*'Default Data'!$D$18/1000,0)</f>
        <v>484</v>
      </c>
      <c r="AF20" s="178">
        <f>ROUND('Default Data'!C41*K20*'Default Data'!$B$7*'Default Data'!$D$18/1000,0)</f>
        <v>395</v>
      </c>
      <c r="AG20" s="182">
        <f>ROUND('Default Data'!C41*M20*'Default Data'!$B$8*'Default Data'!$D$18/1000,0)</f>
        <v>580</v>
      </c>
      <c r="AH20" s="173">
        <f t="shared" si="1"/>
        <v>2489</v>
      </c>
    </row>
    <row r="21" spans="1:34" ht="15">
      <c r="A21" s="58"/>
      <c r="B21" s="150" t="str">
        <f>'Default Data'!B42</f>
        <v>thermal #18, TS</v>
      </c>
      <c r="C21" s="78">
        <v>374</v>
      </c>
      <c r="D21" s="75">
        <v>23223</v>
      </c>
      <c r="E21" s="79">
        <v>352</v>
      </c>
      <c r="F21" s="75">
        <v>19892</v>
      </c>
      <c r="G21" s="79">
        <v>274.95</v>
      </c>
      <c r="H21" s="76">
        <v>21343</v>
      </c>
      <c r="I21" s="79">
        <v>296.4</v>
      </c>
      <c r="J21" s="75">
        <v>21277</v>
      </c>
      <c r="K21" s="79">
        <v>232</v>
      </c>
      <c r="L21" s="75">
        <v>18498</v>
      </c>
      <c r="M21" s="79">
        <v>216</v>
      </c>
      <c r="N21" s="77">
        <v>17121</v>
      </c>
      <c r="O21" s="170">
        <f t="shared" si="2"/>
        <v>1745.35</v>
      </c>
      <c r="P21" s="165">
        <f t="shared" si="3"/>
        <v>121354</v>
      </c>
      <c r="R21" s="83" t="str">
        <f>'Default Data'!B42</f>
        <v>thermal #18, TS</v>
      </c>
      <c r="S21" s="87">
        <f>ROUND(D21*'Default Data'!$B$3*'Default Data'!$D$18/1000,0)</f>
        <v>44</v>
      </c>
      <c r="T21" s="88">
        <f>ROUND(F21*'Default Data'!$B$4*'Default Data'!$D$18/1000,0)</f>
        <v>38</v>
      </c>
      <c r="U21" s="88">
        <f>ROUND(H21*'Default Data'!$B$5*'Default Data'!$D$18/1000,0)</f>
        <v>40</v>
      </c>
      <c r="V21" s="88">
        <f>ROUND(J21*'Default Data'!$B$6*'Default Data'!$D$18/1000,0)</f>
        <v>40</v>
      </c>
      <c r="W21" s="88">
        <f>ROUND(L21*'Default Data'!$B$7*'Default Data'!$D$18/1000,0)</f>
        <v>35</v>
      </c>
      <c r="X21" s="153">
        <f>ROUND(N21*'Default Data'!$B$8*'Default Data'!$D$18/1000,0)</f>
        <v>33</v>
      </c>
      <c r="Y21" s="176">
        <f t="shared" si="0"/>
        <v>230</v>
      </c>
      <c r="AA21" s="83" t="str">
        <f>'Default Data'!B42</f>
        <v>thermal #18, TS</v>
      </c>
      <c r="AB21" s="87">
        <f>ROUND('Default Data'!C42*'Furnaces (SP1 )'!C21*'Default Data'!$B$3*'Default Data'!$D$18/1000,0)</f>
        <v>329</v>
      </c>
      <c r="AC21" s="88">
        <f>ROUND('Default Data'!C42*'Furnaces (SP1 )'!E21*'Default Data'!$B$4*'Default Data'!$D$18/1000,0)</f>
        <v>310</v>
      </c>
      <c r="AD21" s="88">
        <f>ROUND('Default Data'!C42*G21*'Default Data'!$B$5*'Default Data'!$D$18/1000,0)</f>
        <v>242</v>
      </c>
      <c r="AE21" s="178">
        <f>ROUND('Default Data'!C42*I21*'Default Data'!$B$6*'Default Data'!$D$18/1000,0)</f>
        <v>261</v>
      </c>
      <c r="AF21" s="178">
        <f>ROUND('Default Data'!C42*K21*'Default Data'!$B$7*'Default Data'!$D$18/1000,0)</f>
        <v>206</v>
      </c>
      <c r="AG21" s="182">
        <f>ROUND('Default Data'!C42*M21*'Default Data'!$B$8*'Default Data'!$D$18/1000,0)</f>
        <v>192</v>
      </c>
      <c r="AH21" s="173">
        <f t="shared" si="1"/>
        <v>1540</v>
      </c>
    </row>
    <row r="22" spans="1:34" ht="15" customHeight="1">
      <c r="A22" s="58"/>
      <c r="B22" s="150" t="str">
        <f>'Default Data'!B43</f>
        <v>thermal #19, FPS</v>
      </c>
      <c r="C22" s="78">
        <v>865.8</v>
      </c>
      <c r="D22" s="75">
        <v>65148</v>
      </c>
      <c r="E22" s="79">
        <v>445.16</v>
      </c>
      <c r="F22" s="75">
        <v>51295</v>
      </c>
      <c r="G22" s="79">
        <v>474.9</v>
      </c>
      <c r="H22" s="76">
        <v>61194</v>
      </c>
      <c r="I22" s="79">
        <v>462.95</v>
      </c>
      <c r="J22" s="75">
        <v>43715</v>
      </c>
      <c r="K22" s="79">
        <v>439.82</v>
      </c>
      <c r="L22" s="75">
        <v>47620</v>
      </c>
      <c r="M22" s="79">
        <v>554.6</v>
      </c>
      <c r="N22" s="77">
        <v>52423</v>
      </c>
      <c r="O22" s="170">
        <f t="shared" si="2"/>
        <v>3243.23</v>
      </c>
      <c r="P22" s="165">
        <f t="shared" si="3"/>
        <v>321395</v>
      </c>
      <c r="R22" s="83" t="str">
        <f>'Default Data'!B43</f>
        <v>thermal #19, FPS</v>
      </c>
      <c r="S22" s="87">
        <f>ROUND(D22*'Default Data'!$B$3*'Default Data'!$D$18/1000,0)</f>
        <v>123</v>
      </c>
      <c r="T22" s="88">
        <f>ROUND(F22*'Default Data'!$B$4*'Default Data'!$D$18/1000,0)</f>
        <v>97</v>
      </c>
      <c r="U22" s="88">
        <f>ROUND(H22*'Default Data'!$B$5*'Default Data'!$D$18/1000,0)</f>
        <v>116</v>
      </c>
      <c r="V22" s="88">
        <f>ROUND(J22*'Default Data'!$B$6*'Default Data'!$D$18/1000,0)</f>
        <v>83</v>
      </c>
      <c r="W22" s="88">
        <f>ROUND(L22*'Default Data'!$B$7*'Default Data'!$D$18/1000,0)</f>
        <v>91</v>
      </c>
      <c r="X22" s="153">
        <f>ROUND(N22*'Default Data'!$B$8*'Default Data'!$D$18/1000,0)</f>
        <v>100</v>
      </c>
      <c r="Y22" s="176">
        <f t="shared" si="0"/>
        <v>610</v>
      </c>
      <c r="AA22" s="83" t="str">
        <f>'Default Data'!B43</f>
        <v>thermal #19, FPS</v>
      </c>
      <c r="AB22" s="87">
        <f>ROUND('Default Data'!C43*'Furnaces (SP1 )'!C22*'Default Data'!$B$3*'Default Data'!$D$18/1000,0)</f>
        <v>625</v>
      </c>
      <c r="AC22" s="88">
        <f>ROUND('Default Data'!C43*'Furnaces (SP1 )'!E22*'Default Data'!$B$4*'Default Data'!$D$18/1000,0)</f>
        <v>322</v>
      </c>
      <c r="AD22" s="88">
        <f>ROUND('Default Data'!C43*G22*'Default Data'!$B$5*'Default Data'!$D$18/1000,0)</f>
        <v>343</v>
      </c>
      <c r="AE22" s="178">
        <f>ROUND('Default Data'!C43*I22*'Default Data'!$B$6*'Default Data'!$D$18/1000,0)</f>
        <v>335</v>
      </c>
      <c r="AF22" s="178">
        <f>ROUND('Default Data'!C43*K22*'Default Data'!$B$7*'Default Data'!$D$18/1000,0)</f>
        <v>321</v>
      </c>
      <c r="AG22" s="182">
        <f>ROUND('Default Data'!C43*M22*'Default Data'!$B$8*'Default Data'!$D$18/1000,0)</f>
        <v>404</v>
      </c>
      <c r="AH22" s="173">
        <f t="shared" si="1"/>
        <v>2350</v>
      </c>
    </row>
    <row r="23" spans="1:34" ht="15" customHeight="1">
      <c r="A23" s="58"/>
      <c r="B23" s="150" t="str">
        <f>'Default Data'!B44</f>
        <v>thermal #20, FPS</v>
      </c>
      <c r="C23" s="78">
        <v>613</v>
      </c>
      <c r="D23" s="75">
        <v>84609</v>
      </c>
      <c r="E23" s="79">
        <v>579.9</v>
      </c>
      <c r="F23" s="75">
        <v>83073</v>
      </c>
      <c r="G23" s="79">
        <v>546</v>
      </c>
      <c r="H23" s="76">
        <v>45637</v>
      </c>
      <c r="I23" s="79">
        <v>754.1</v>
      </c>
      <c r="J23" s="75">
        <v>75555</v>
      </c>
      <c r="K23" s="79">
        <v>635.24</v>
      </c>
      <c r="L23" s="75">
        <v>62735</v>
      </c>
      <c r="M23" s="79">
        <v>652.9</v>
      </c>
      <c r="N23" s="77">
        <v>50831</v>
      </c>
      <c r="O23" s="170">
        <f t="shared" si="2"/>
        <v>3781.14</v>
      </c>
      <c r="P23" s="165">
        <f t="shared" si="3"/>
        <v>402440</v>
      </c>
      <c r="R23" s="83" t="str">
        <f>'Default Data'!B44</f>
        <v>thermal #20, FPS</v>
      </c>
      <c r="S23" s="87">
        <f>ROUND(D23*'Default Data'!$B$3*'Default Data'!$D$18/1000,0)</f>
        <v>160</v>
      </c>
      <c r="T23" s="88">
        <f>ROUND(F23*'Default Data'!$B$4*'Default Data'!$D$18/1000,0)</f>
        <v>157</v>
      </c>
      <c r="U23" s="88">
        <f>ROUND(H23*'Default Data'!$B$5*'Default Data'!$D$18/1000,0)</f>
        <v>87</v>
      </c>
      <c r="V23" s="88">
        <f>ROUND(J23*'Default Data'!$B$6*'Default Data'!$D$18/1000,0)</f>
        <v>143</v>
      </c>
      <c r="W23" s="88">
        <f>ROUND(L23*'Default Data'!$B$7*'Default Data'!$D$18/1000,0)</f>
        <v>120</v>
      </c>
      <c r="X23" s="153">
        <f>ROUND(N23*'Default Data'!$B$8*'Default Data'!$D$18/1000,0)</f>
        <v>97</v>
      </c>
      <c r="Y23" s="176">
        <f t="shared" si="0"/>
        <v>764</v>
      </c>
      <c r="AA23" s="83" t="str">
        <f>'Default Data'!B44</f>
        <v>thermal #20, FPS</v>
      </c>
      <c r="AB23" s="87">
        <f>ROUND('Default Data'!C44*'Furnaces (SP1 )'!C23*'Default Data'!$B$3*'Default Data'!$D$18/1000,0)</f>
        <v>443</v>
      </c>
      <c r="AC23" s="88">
        <f>ROUND('Default Data'!C44*'Furnaces (SP1 )'!E23*'Default Data'!$B$4*'Default Data'!$D$18/1000,0)</f>
        <v>419</v>
      </c>
      <c r="AD23" s="88">
        <f>ROUND('Default Data'!C44*G23*'Default Data'!$B$5*'Default Data'!$D$18/1000,0)</f>
        <v>395</v>
      </c>
      <c r="AE23" s="178">
        <f>ROUND('Default Data'!C44*I23*'Default Data'!$B$6*'Default Data'!$D$18/1000,0)</f>
        <v>545</v>
      </c>
      <c r="AF23" s="178">
        <f>ROUND('Default Data'!C44*K23*'Default Data'!$B$7*'Default Data'!$D$18/1000,0)</f>
        <v>464</v>
      </c>
      <c r="AG23" s="182">
        <f>ROUND('Default Data'!C44*M23*'Default Data'!$B$8*'Default Data'!$D$18/1000,0)</f>
        <v>476</v>
      </c>
      <c r="AH23" s="173">
        <f t="shared" si="1"/>
        <v>2742</v>
      </c>
    </row>
    <row r="24" spans="1:34" ht="15" customHeight="1">
      <c r="A24" s="58"/>
      <c r="B24" s="150" t="str">
        <f>'Default Data'!B45</f>
        <v>thermal #30, FPS</v>
      </c>
      <c r="C24" s="78">
        <v>531.9</v>
      </c>
      <c r="D24" s="75">
        <v>91119</v>
      </c>
      <c r="E24" s="79">
        <v>856.5</v>
      </c>
      <c r="F24" s="75">
        <v>111416</v>
      </c>
      <c r="G24" s="79">
        <v>699.39</v>
      </c>
      <c r="H24" s="76">
        <v>92561</v>
      </c>
      <c r="I24" s="79">
        <v>384.4</v>
      </c>
      <c r="J24" s="75">
        <v>103456</v>
      </c>
      <c r="K24" s="79">
        <v>782.9</v>
      </c>
      <c r="L24" s="75">
        <v>108130</v>
      </c>
      <c r="M24" s="79">
        <v>910.1</v>
      </c>
      <c r="N24" s="77">
        <v>104184</v>
      </c>
      <c r="O24" s="170">
        <f t="shared" si="2"/>
        <v>4165.1900000000005</v>
      </c>
      <c r="P24" s="165">
        <f t="shared" si="3"/>
        <v>610866</v>
      </c>
      <c r="R24" s="83" t="str">
        <f>'Default Data'!B45</f>
        <v>thermal #30, FPS</v>
      </c>
      <c r="S24" s="87">
        <f>ROUND(D24*'Default Data'!$B$3*'Default Data'!$D$18/1000,0)</f>
        <v>173</v>
      </c>
      <c r="T24" s="88">
        <f>ROUND(F24*'Default Data'!$B$4*'Default Data'!$D$18/1000,0)</f>
        <v>211</v>
      </c>
      <c r="U24" s="88">
        <f>ROUND(H24*'Default Data'!$B$5*'Default Data'!$D$18/1000,0)</f>
        <v>175</v>
      </c>
      <c r="V24" s="88">
        <f>ROUND(J24*'Default Data'!$B$6*'Default Data'!$D$18/1000,0)</f>
        <v>196</v>
      </c>
      <c r="W24" s="88">
        <f>ROUND(L24*'Default Data'!$B$7*'Default Data'!$D$18/1000,0)</f>
        <v>207</v>
      </c>
      <c r="X24" s="153">
        <f>ROUND(N24*'Default Data'!$B$8*'Default Data'!$D$18/1000,0)</f>
        <v>199</v>
      </c>
      <c r="Y24" s="176">
        <f t="shared" si="0"/>
        <v>1161</v>
      </c>
      <c r="AA24" s="83" t="str">
        <f>'Default Data'!B45</f>
        <v>thermal #30, FPS</v>
      </c>
      <c r="AB24" s="87">
        <f>ROUND('Default Data'!C45*'Furnaces (SP1 )'!C24*'Default Data'!$B$3*'Default Data'!$D$18/1000,0)</f>
        <v>700</v>
      </c>
      <c r="AC24" s="88">
        <f>ROUND('Default Data'!C45*'Furnaces (SP1 )'!E24*'Default Data'!$B$4*'Default Data'!$D$18/1000,0)</f>
        <v>1126</v>
      </c>
      <c r="AD24" s="88">
        <f>ROUND('Default Data'!C45*G24*'Default Data'!$B$5*'Default Data'!$D$18/1000,0)</f>
        <v>921</v>
      </c>
      <c r="AE24" s="178">
        <f>ROUND('Default Data'!C45*I24*'Default Data'!$B$6*'Default Data'!$D$18/1000,0)</f>
        <v>506</v>
      </c>
      <c r="AF24" s="178">
        <f>ROUND('Default Data'!C45*K24*'Default Data'!$B$7*'Default Data'!$D$18/1000,0)</f>
        <v>1041</v>
      </c>
      <c r="AG24" s="182">
        <f>ROUND('Default Data'!C45*M24*'Default Data'!$B$8*'Default Data'!$D$18/1000,0)</f>
        <v>1208</v>
      </c>
      <c r="AH24" s="173">
        <f t="shared" si="1"/>
        <v>5502</v>
      </c>
    </row>
    <row r="25" spans="1:34" ht="15" customHeight="1">
      <c r="A25" s="58"/>
      <c r="B25" s="150" t="str">
        <f>'Default Data'!B46</f>
        <v>thermal #31, FPS</v>
      </c>
      <c r="C25" s="78">
        <v>678.9</v>
      </c>
      <c r="D25" s="75">
        <v>69019</v>
      </c>
      <c r="E25" s="79">
        <v>690</v>
      </c>
      <c r="F25" s="75">
        <v>70553</v>
      </c>
      <c r="G25" s="79">
        <v>383.8</v>
      </c>
      <c r="H25" s="76">
        <v>55987</v>
      </c>
      <c r="I25" s="79">
        <v>347</v>
      </c>
      <c r="J25" s="75">
        <v>72441</v>
      </c>
      <c r="K25" s="79">
        <v>696</v>
      </c>
      <c r="L25" s="75">
        <v>68767</v>
      </c>
      <c r="M25" s="79">
        <v>674.21</v>
      </c>
      <c r="N25" s="77">
        <v>64726</v>
      </c>
      <c r="O25" s="170">
        <f t="shared" si="2"/>
        <v>3469.91</v>
      </c>
      <c r="P25" s="165">
        <f t="shared" si="3"/>
        <v>401493</v>
      </c>
      <c r="R25" s="83" t="str">
        <f>'Default Data'!B46</f>
        <v>thermal #31, FPS</v>
      </c>
      <c r="S25" s="87">
        <f>ROUND(D25*'Default Data'!$B$3*'Default Data'!$D$18/1000,0)</f>
        <v>131</v>
      </c>
      <c r="T25" s="88">
        <f>ROUND(F25*'Default Data'!$B$4*'Default Data'!$D$18/1000,0)</f>
        <v>134</v>
      </c>
      <c r="U25" s="88">
        <f>ROUND(H25*'Default Data'!$B$5*'Default Data'!$D$18/1000,0)</f>
        <v>106</v>
      </c>
      <c r="V25" s="88">
        <f>ROUND(J25*'Default Data'!$B$6*'Default Data'!$D$18/1000,0)</f>
        <v>137</v>
      </c>
      <c r="W25" s="88">
        <f>ROUND(L25*'Default Data'!$B$7*'Default Data'!$D$18/1000,0)</f>
        <v>132</v>
      </c>
      <c r="X25" s="153">
        <f>ROUND(N25*'Default Data'!$B$8*'Default Data'!$D$18/1000,0)</f>
        <v>124</v>
      </c>
      <c r="Y25" s="176">
        <f t="shared" si="0"/>
        <v>764</v>
      </c>
      <c r="AA25" s="83" t="str">
        <f>'Default Data'!B46</f>
        <v>thermal #31, FPS</v>
      </c>
      <c r="AB25" s="87">
        <f>ROUND('Default Data'!C46*'Furnaces (SP1 )'!C25*'Default Data'!$B$3*'Default Data'!$D$18/1000,0)</f>
        <v>893</v>
      </c>
      <c r="AC25" s="88">
        <f>ROUND('Default Data'!C46*'Furnaces (SP1 )'!E25*'Default Data'!$B$4*'Default Data'!$D$18/1000,0)</f>
        <v>907</v>
      </c>
      <c r="AD25" s="88">
        <f>ROUND('Default Data'!C46*G25*'Default Data'!$B$5*'Default Data'!$D$18/1000,0)</f>
        <v>505</v>
      </c>
      <c r="AE25" s="178">
        <f>ROUND('Default Data'!C46*I25*'Default Data'!$B$6*'Default Data'!$D$18/1000,0)</f>
        <v>457</v>
      </c>
      <c r="AF25" s="178">
        <f>ROUND('Default Data'!C46*K25*'Default Data'!$B$7*'Default Data'!$D$18/1000,0)</f>
        <v>925</v>
      </c>
      <c r="AG25" s="182">
        <f>ROUND('Default Data'!C46*M25*'Default Data'!$B$8*'Default Data'!$D$18/1000,0)</f>
        <v>895</v>
      </c>
      <c r="AH25" s="173">
        <f t="shared" si="1"/>
        <v>4582</v>
      </c>
    </row>
    <row r="26" spans="1:34" ht="15" customHeight="1">
      <c r="A26" s="58"/>
      <c r="B26" s="150" t="str">
        <f>'Default Data'!B47</f>
        <v>thermal #32, FPS</v>
      </c>
      <c r="C26" s="78">
        <v>742.2</v>
      </c>
      <c r="D26" s="75">
        <v>84618</v>
      </c>
      <c r="E26" s="79">
        <v>602.4</v>
      </c>
      <c r="F26" s="75">
        <v>101231</v>
      </c>
      <c r="G26" s="79">
        <v>394.8</v>
      </c>
      <c r="H26" s="76">
        <v>94541</v>
      </c>
      <c r="I26" s="79">
        <v>322.68</v>
      </c>
      <c r="J26" s="75">
        <v>91226</v>
      </c>
      <c r="K26" s="79">
        <v>749.275</v>
      </c>
      <c r="L26" s="75">
        <v>70241</v>
      </c>
      <c r="M26" s="79">
        <v>702.85</v>
      </c>
      <c r="N26" s="77">
        <v>87963</v>
      </c>
      <c r="O26" s="170">
        <f t="shared" si="2"/>
        <v>3514.205</v>
      </c>
      <c r="P26" s="165">
        <f t="shared" si="3"/>
        <v>529820</v>
      </c>
      <c r="R26" s="83" t="str">
        <f>'Default Data'!B47</f>
        <v>thermal #32, FPS</v>
      </c>
      <c r="S26" s="87">
        <f>ROUND(D26*'Default Data'!$B$3*'Default Data'!$D$18/1000,0)</f>
        <v>160</v>
      </c>
      <c r="T26" s="88">
        <f>ROUND(F26*'Default Data'!$B$4*'Default Data'!$D$18/1000,0)</f>
        <v>192</v>
      </c>
      <c r="U26" s="88">
        <f>ROUND(H26*'Default Data'!$B$5*'Default Data'!$D$18/1000,0)</f>
        <v>179</v>
      </c>
      <c r="V26" s="88">
        <f>ROUND(J26*'Default Data'!$B$6*'Default Data'!$D$18/1000,0)</f>
        <v>173</v>
      </c>
      <c r="W26" s="88">
        <f>ROUND(L26*'Default Data'!$B$7*'Default Data'!$D$18/1000,0)</f>
        <v>134</v>
      </c>
      <c r="X26" s="153">
        <f>ROUND(N26*'Default Data'!$B$8*'Default Data'!$D$18/1000,0)</f>
        <v>168</v>
      </c>
      <c r="Y26" s="176">
        <f t="shared" si="0"/>
        <v>1006</v>
      </c>
      <c r="AA26" s="83" t="str">
        <f>'Default Data'!B47</f>
        <v>thermal #32, FPS</v>
      </c>
      <c r="AB26" s="87">
        <f>ROUND('Default Data'!C47*'Furnaces (SP1 )'!C26*'Default Data'!$B$3*'Default Data'!$D$18/1000,0)</f>
        <v>536</v>
      </c>
      <c r="AC26" s="88">
        <f>ROUND('Default Data'!C47*'Furnaces (SP1 )'!E26*'Default Data'!$B$4*'Default Data'!$D$18/1000,0)</f>
        <v>435</v>
      </c>
      <c r="AD26" s="88">
        <f>ROUND('Default Data'!C47*G26*'Default Data'!$B$5*'Default Data'!$D$18/1000,0)</f>
        <v>285</v>
      </c>
      <c r="AE26" s="178">
        <f>ROUND('Default Data'!C47*I26*'Default Data'!$B$6*'Default Data'!$D$18/1000,0)</f>
        <v>233</v>
      </c>
      <c r="AF26" s="178">
        <f>ROUND('Default Data'!C47*K26*'Default Data'!$B$7*'Default Data'!$D$18/1000,0)</f>
        <v>547</v>
      </c>
      <c r="AG26" s="182">
        <f>ROUND('Default Data'!C47*M26*'Default Data'!$B$8*'Default Data'!$D$18/1000,0)</f>
        <v>512</v>
      </c>
      <c r="AH26" s="173">
        <f t="shared" si="1"/>
        <v>2548</v>
      </c>
    </row>
    <row r="27" spans="1:34" ht="15" customHeight="1">
      <c r="A27" s="58"/>
      <c r="B27" s="150" t="str">
        <f>'Default Data'!B48</f>
        <v>thermal #37, FPS</v>
      </c>
      <c r="C27" s="78">
        <v>116.1</v>
      </c>
      <c r="D27" s="75">
        <v>21160</v>
      </c>
      <c r="E27" s="79">
        <v>214.3</v>
      </c>
      <c r="F27" s="75">
        <v>14527</v>
      </c>
      <c r="G27" s="157">
        <v>233.38</v>
      </c>
      <c r="H27" s="158">
        <v>20216</v>
      </c>
      <c r="I27" s="79">
        <v>253.55</v>
      </c>
      <c r="J27" s="75">
        <v>11203</v>
      </c>
      <c r="K27" s="79">
        <v>253.9</v>
      </c>
      <c r="L27" s="75">
        <v>18449</v>
      </c>
      <c r="M27" s="79">
        <v>285.15</v>
      </c>
      <c r="N27" s="77">
        <v>16783</v>
      </c>
      <c r="O27" s="170">
        <f t="shared" si="2"/>
        <v>1356.38</v>
      </c>
      <c r="P27" s="165">
        <f t="shared" si="3"/>
        <v>102338</v>
      </c>
      <c r="R27" s="83" t="str">
        <f>'Default Data'!B48</f>
        <v>thermal #37, FPS</v>
      </c>
      <c r="S27" s="87">
        <f>ROUND(D27*'Default Data'!$B$3*'Default Data'!$D$18/1000,0)</f>
        <v>40</v>
      </c>
      <c r="T27" s="88">
        <f>ROUND(F27*'Default Data'!$B$4*'Default Data'!$D$18/1000,0)</f>
        <v>28</v>
      </c>
      <c r="U27" s="88">
        <f>ROUND(H27*'Default Data'!$B$5*'Default Data'!$D$18/1000,0)</f>
        <v>38</v>
      </c>
      <c r="V27" s="88">
        <f>ROUND(J27*'Default Data'!$B$6*'Default Data'!$D$18/1000,0)</f>
        <v>21</v>
      </c>
      <c r="W27" s="88">
        <f>ROUND(L27*'Default Data'!$B$7*'Default Data'!$D$18/1000,0)</f>
        <v>35</v>
      </c>
      <c r="X27" s="153">
        <f>ROUND(N27*'Default Data'!$B$8*'Default Data'!$D$18/1000,0)</f>
        <v>32</v>
      </c>
      <c r="Y27" s="176">
        <f t="shared" si="0"/>
        <v>194</v>
      </c>
      <c r="AA27" s="83" t="str">
        <f>'Default Data'!B48</f>
        <v>thermal #37, FPS</v>
      </c>
      <c r="AB27" s="87">
        <f>ROUND('Default Data'!C48*'Furnaces (SP1 )'!C27*'Default Data'!$B$3*'Default Data'!$D$18/1000,0)</f>
        <v>53</v>
      </c>
      <c r="AC27" s="88">
        <f>ROUND('Default Data'!C48*'Furnaces (SP1 )'!E27*'Default Data'!$B$4*'Default Data'!$D$18/1000,0)</f>
        <v>97</v>
      </c>
      <c r="AD27" s="88">
        <f>ROUND('Default Data'!C48*G27*'Default Data'!$B$5*'Default Data'!$D$18/1000,0)</f>
        <v>106</v>
      </c>
      <c r="AE27" s="178">
        <f>ROUND('Default Data'!C48*I27*'Default Data'!$B$6*'Default Data'!$D$18/1000,0)</f>
        <v>115</v>
      </c>
      <c r="AF27" s="178">
        <f>ROUND('Default Data'!C48*K27*'Default Data'!$B$7*'Default Data'!$D$18/1000,0)</f>
        <v>117</v>
      </c>
      <c r="AG27" s="182">
        <f>ROUND('Default Data'!C48*M27*'Default Data'!$B$8*'Default Data'!$D$18/1000,0)</f>
        <v>131</v>
      </c>
      <c r="AH27" s="173">
        <f t="shared" si="1"/>
        <v>619</v>
      </c>
    </row>
    <row r="28" spans="1:34" ht="15" customHeight="1">
      <c r="A28" s="58"/>
      <c r="B28" s="150" t="str">
        <f>'Default Data'!B49</f>
        <v>thermal #38, FPS</v>
      </c>
      <c r="C28" s="78">
        <v>240.7</v>
      </c>
      <c r="D28" s="75">
        <v>14595</v>
      </c>
      <c r="E28" s="79">
        <v>180.65</v>
      </c>
      <c r="F28" s="75">
        <v>12416</v>
      </c>
      <c r="G28" s="157">
        <v>129.49</v>
      </c>
      <c r="H28" s="158">
        <v>16085</v>
      </c>
      <c r="I28" s="79">
        <v>137.2</v>
      </c>
      <c r="J28" s="75">
        <v>14181</v>
      </c>
      <c r="K28" s="79">
        <v>160.7</v>
      </c>
      <c r="L28" s="75">
        <v>14561</v>
      </c>
      <c r="M28" s="79">
        <v>194</v>
      </c>
      <c r="N28" s="77">
        <v>16034</v>
      </c>
      <c r="O28" s="170">
        <f t="shared" si="2"/>
        <v>1042.74</v>
      </c>
      <c r="P28" s="165">
        <f t="shared" si="3"/>
        <v>87872</v>
      </c>
      <c r="R28" s="83" t="str">
        <f>'Default Data'!B49</f>
        <v>thermal #38, FPS</v>
      </c>
      <c r="S28" s="87">
        <f>ROUND(D28*'Default Data'!$B$3*'Default Data'!$D$18/1000,0)</f>
        <v>28</v>
      </c>
      <c r="T28" s="88">
        <f>ROUND(F28*'Default Data'!$B$4*'Default Data'!$D$18/1000,0)</f>
        <v>24</v>
      </c>
      <c r="U28" s="88">
        <f>ROUND(H28*'Default Data'!$B$5*'Default Data'!$D$18/1000,0)</f>
        <v>30</v>
      </c>
      <c r="V28" s="88">
        <f>ROUND(J28*'Default Data'!$B$6*'Default Data'!$D$18/1000,0)</f>
        <v>27</v>
      </c>
      <c r="W28" s="88">
        <f>ROUND(L28*'Default Data'!$B$7*'Default Data'!$D$18/1000,0)</f>
        <v>28</v>
      </c>
      <c r="X28" s="153">
        <f>ROUND(N28*'Default Data'!$B$8*'Default Data'!$D$18/1000,0)</f>
        <v>31</v>
      </c>
      <c r="Y28" s="176">
        <f t="shared" si="0"/>
        <v>168</v>
      </c>
      <c r="AA28" s="83" t="str">
        <f>'Default Data'!B49</f>
        <v>thermal #38, FPS</v>
      </c>
      <c r="AB28" s="87">
        <f>ROUND('Default Data'!C49*'Furnaces (SP1 )'!C28*'Default Data'!$B$3*'Default Data'!$D$18/1000,0)</f>
        <v>109</v>
      </c>
      <c r="AC28" s="88">
        <f>ROUND('Default Data'!C49*'Furnaces (SP1 )'!E28*'Default Data'!$B$4*'Default Data'!$D$18/1000,0)</f>
        <v>82</v>
      </c>
      <c r="AD28" s="88">
        <f>ROUND('Default Data'!C49*G28*'Default Data'!$B$5*'Default Data'!$D$18/1000,0)</f>
        <v>59</v>
      </c>
      <c r="AE28" s="178">
        <f>ROUND('Default Data'!C49*I28*'Default Data'!$B$6*'Default Data'!$D$18/1000,0)</f>
        <v>62</v>
      </c>
      <c r="AF28" s="178">
        <f>ROUND('Default Data'!C49*K28*'Default Data'!$B$7*'Default Data'!$D$18/1000,0)</f>
        <v>74</v>
      </c>
      <c r="AG28" s="182">
        <f>ROUND('Default Data'!C49*M28*'Default Data'!$B$8*'Default Data'!$D$18/1000,0)</f>
        <v>89</v>
      </c>
      <c r="AH28" s="173">
        <f t="shared" si="1"/>
        <v>475</v>
      </c>
    </row>
    <row r="29" spans="1:34" ht="15" customHeight="1" thickBot="1">
      <c r="A29" s="58"/>
      <c r="B29" s="155" t="str">
        <f>'Default Data'!B50</f>
        <v>thermal #39, FPS</v>
      </c>
      <c r="C29" s="112">
        <v>100.98</v>
      </c>
      <c r="D29" s="80">
        <v>8426</v>
      </c>
      <c r="E29" s="114">
        <v>254.6</v>
      </c>
      <c r="F29" s="80">
        <v>9583</v>
      </c>
      <c r="G29" s="166">
        <v>93.89</v>
      </c>
      <c r="H29" s="167">
        <v>11303</v>
      </c>
      <c r="I29" s="114">
        <v>96.7</v>
      </c>
      <c r="J29" s="80">
        <v>9183</v>
      </c>
      <c r="K29" s="114">
        <v>149.9</v>
      </c>
      <c r="L29" s="80">
        <v>11301</v>
      </c>
      <c r="M29" s="114">
        <v>105.2</v>
      </c>
      <c r="N29" s="81">
        <v>9303</v>
      </c>
      <c r="O29" s="171">
        <f t="shared" si="2"/>
        <v>801.27</v>
      </c>
      <c r="P29" s="168">
        <f t="shared" si="3"/>
        <v>59099</v>
      </c>
      <c r="R29" s="84" t="str">
        <f>'Default Data'!B50</f>
        <v>thermal #39, FPS</v>
      </c>
      <c r="S29" s="89">
        <f>ROUND(D29*'Default Data'!$B$3*'Default Data'!$D$18/1000,0)</f>
        <v>16</v>
      </c>
      <c r="T29" s="90">
        <f>ROUND(F29*'Default Data'!$B$4*'Default Data'!$D$18/1000,0)</f>
        <v>18</v>
      </c>
      <c r="U29" s="90">
        <f>ROUND(H29*'Default Data'!$B$5*'Default Data'!$D$18/1000,0)</f>
        <v>21</v>
      </c>
      <c r="V29" s="90">
        <f>ROUND(J29*'Default Data'!$B$6*'Default Data'!$D$18/1000,0)</f>
        <v>17</v>
      </c>
      <c r="W29" s="90">
        <f>ROUND(L29*'Default Data'!$B$7*'Default Data'!$D$18/1000,0)</f>
        <v>22</v>
      </c>
      <c r="X29" s="154">
        <f>ROUND(N29*'Default Data'!$B$8*'Default Data'!$D$18/1000,0)</f>
        <v>18</v>
      </c>
      <c r="Y29" s="177">
        <f t="shared" si="0"/>
        <v>112</v>
      </c>
      <c r="AA29" s="84" t="str">
        <f>'Default Data'!B50</f>
        <v>thermal #39, FPS</v>
      </c>
      <c r="AB29" s="89">
        <f>ROUND('Default Data'!C50*'Furnaces (SP1 )'!C29*'Default Data'!$B$3*'Default Data'!$D$18/1000,0)</f>
        <v>36</v>
      </c>
      <c r="AC29" s="90">
        <f>ROUND('Default Data'!C50*'Furnaces (SP1 )'!E29*'Default Data'!$B$4*'Default Data'!$D$18/1000,0)</f>
        <v>90</v>
      </c>
      <c r="AD29" s="90">
        <f>ROUND('Default Data'!C50*G29*'Default Data'!$B$5*'Default Data'!$D$18/1000,0)</f>
        <v>33</v>
      </c>
      <c r="AE29" s="180">
        <f>ROUND('Default Data'!C50*I29*'Default Data'!$B$6*'Default Data'!$D$18/1000,0)</f>
        <v>34</v>
      </c>
      <c r="AF29" s="180">
        <f>ROUND('Default Data'!C50*K29*'Default Data'!$B$7*'Default Data'!$D$18/1000,0)</f>
        <v>53</v>
      </c>
      <c r="AG29" s="183">
        <f>ROUND('Default Data'!C50*M29*'Default Data'!$B$8*'Default Data'!$D$18/1000,0)</f>
        <v>37</v>
      </c>
      <c r="AH29" s="174">
        <f>SUM(AB29:AG29)</f>
        <v>283</v>
      </c>
    </row>
    <row r="30" spans="2:34" ht="15.75" thickBot="1">
      <c r="B30" s="163" t="s">
        <v>26</v>
      </c>
      <c r="C30" s="108">
        <f aca="true" t="shared" si="4" ref="C30:P30">SUM(C4:C29)</f>
        <v>17238.759999999995</v>
      </c>
      <c r="D30" s="109">
        <f t="shared" si="4"/>
        <v>1743937</v>
      </c>
      <c r="E30" s="108">
        <f t="shared" si="4"/>
        <v>16890.479999999996</v>
      </c>
      <c r="F30" s="109">
        <f t="shared" si="4"/>
        <v>1596865</v>
      </c>
      <c r="G30" s="108">
        <f t="shared" si="4"/>
        <v>17657.34</v>
      </c>
      <c r="H30" s="109">
        <f t="shared" si="4"/>
        <v>1826992</v>
      </c>
      <c r="I30" s="108">
        <f t="shared" si="4"/>
        <v>16754.270000000004</v>
      </c>
      <c r="J30" s="109">
        <f t="shared" si="4"/>
        <v>1743867</v>
      </c>
      <c r="K30" s="108">
        <f t="shared" si="4"/>
        <v>17713.975000000002</v>
      </c>
      <c r="L30" s="109">
        <f t="shared" si="4"/>
        <v>1900212</v>
      </c>
      <c r="M30" s="108">
        <f t="shared" si="4"/>
        <v>14838.030000000002</v>
      </c>
      <c r="N30" s="109">
        <f t="shared" si="4"/>
        <v>1555808</v>
      </c>
      <c r="O30" s="108">
        <f t="shared" si="4"/>
        <v>101092.85500000003</v>
      </c>
      <c r="P30" s="109">
        <f t="shared" si="4"/>
        <v>10367681</v>
      </c>
      <c r="R30" s="65" t="s">
        <v>61</v>
      </c>
      <c r="S30" s="70"/>
      <c r="T30" s="70"/>
      <c r="U30" s="70"/>
      <c r="V30" s="70"/>
      <c r="W30" s="70"/>
      <c r="X30" s="70"/>
      <c r="Y30" s="92">
        <f>SUM(Y4:Y29)</f>
        <v>19704</v>
      </c>
      <c r="AA30" s="65" t="s">
        <v>61</v>
      </c>
      <c r="AB30" s="91"/>
      <c r="AC30" s="91" t="s">
        <v>72</v>
      </c>
      <c r="AD30" s="91"/>
      <c r="AE30" s="91"/>
      <c r="AF30" s="91"/>
      <c r="AG30" s="91"/>
      <c r="AH30" s="92">
        <f>SUM(AH4:AH29)</f>
        <v>129496</v>
      </c>
    </row>
    <row r="32" spans="3:16" ht="15"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13" customWidth="1"/>
    <col min="2" max="2" width="11.140625" style="13" customWidth="1"/>
    <col min="3" max="3" width="7.7109375" style="13" hidden="1" customWidth="1"/>
    <col min="4" max="4" width="19.7109375" style="13" hidden="1" customWidth="1"/>
    <col min="5" max="5" width="11.421875" style="13" customWidth="1"/>
    <col min="6" max="6" width="12.57421875" style="13" customWidth="1"/>
    <col min="7" max="7" width="14.57421875" style="13" customWidth="1"/>
    <col min="8" max="8" width="12.7109375" style="13" customWidth="1"/>
    <col min="9" max="9" width="10.421875" style="13" customWidth="1"/>
    <col min="10" max="11" width="10.28125" style="13" customWidth="1"/>
    <col min="12" max="16384" width="9.140625" style="13" customWidth="1"/>
  </cols>
  <sheetData>
    <row r="1" spans="2:17" ht="15" thickBo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2:19" ht="66" customHeight="1" thickBot="1">
      <c r="B2" s="147" t="s">
        <v>24</v>
      </c>
      <c r="C2" s="147" t="s">
        <v>24</v>
      </c>
      <c r="D2" s="147"/>
      <c r="E2" s="187" t="s">
        <v>25</v>
      </c>
      <c r="F2" s="187" t="s">
        <v>65</v>
      </c>
      <c r="G2" s="187" t="s">
        <v>66</v>
      </c>
      <c r="H2" s="187" t="s">
        <v>67</v>
      </c>
      <c r="I2" s="187" t="s">
        <v>21</v>
      </c>
      <c r="J2" s="187" t="s">
        <v>17</v>
      </c>
      <c r="K2" s="188" t="s">
        <v>22</v>
      </c>
      <c r="L2" s="15"/>
      <c r="M2" s="15"/>
      <c r="N2" s="14"/>
      <c r="O2" s="14"/>
      <c r="P2" s="14"/>
      <c r="Q2" s="14"/>
      <c r="R2" s="14"/>
      <c r="S2" s="14"/>
    </row>
    <row r="3" spans="2:19" ht="15.75" thickBot="1">
      <c r="B3" s="189"/>
      <c r="C3" s="189"/>
      <c r="D3" s="189"/>
      <c r="E3" s="189" t="s">
        <v>16</v>
      </c>
      <c r="F3" s="189" t="s">
        <v>18</v>
      </c>
      <c r="G3" s="189" t="s">
        <v>18</v>
      </c>
      <c r="H3" s="189" t="s">
        <v>93</v>
      </c>
      <c r="I3" s="189" t="s">
        <v>18</v>
      </c>
      <c r="J3" s="189" t="s">
        <v>18</v>
      </c>
      <c r="K3" s="190" t="s">
        <v>18</v>
      </c>
      <c r="L3" s="15"/>
      <c r="M3" s="15"/>
      <c r="N3" s="14"/>
      <c r="O3" s="14"/>
      <c r="P3" s="14"/>
      <c r="Q3" s="14"/>
      <c r="R3" s="14"/>
      <c r="S3" s="14"/>
    </row>
    <row r="4" spans="2:19" ht="15">
      <c r="B4" s="129" t="str">
        <f>'Default Data'!$A$3</f>
        <v>January</v>
      </c>
      <c r="C4" s="51">
        <v>1</v>
      </c>
      <c r="D4" s="51"/>
      <c r="E4" s="95">
        <v>9232.836</v>
      </c>
      <c r="F4" s="122">
        <f>ROUND(E4*'Default Data'!$E$54/'Default Data'!$E$53*'Default Data'!$D$19,3)</f>
        <v>4653.268</v>
      </c>
      <c r="G4" s="115">
        <f>ROUND(E4*'Default Data'!$E$55*'Default Data'!$D$20,3)</f>
        <v>0.282</v>
      </c>
      <c r="H4" s="96">
        <v>13.318</v>
      </c>
      <c r="I4" s="52">
        <f aca="true" t="shared" si="0" ref="I4:I9">ROUND(F4+G4,0)</f>
        <v>4654</v>
      </c>
      <c r="J4" s="52">
        <f>ROUND(H4*'Default Data'!$D$20,0)</f>
        <v>15</v>
      </c>
      <c r="K4" s="53">
        <f aca="true" t="shared" si="1" ref="K4:K9">I4-J4</f>
        <v>4639</v>
      </c>
      <c r="L4" s="16"/>
      <c r="M4" s="16"/>
      <c r="N4" s="14"/>
      <c r="O4" s="14"/>
      <c r="P4" s="14"/>
      <c r="Q4" s="14"/>
      <c r="R4" s="14"/>
      <c r="S4" s="14"/>
    </row>
    <row r="5" spans="2:19" ht="15">
      <c r="B5" s="131" t="str">
        <f>'Default Data'!$A$4</f>
        <v>February</v>
      </c>
      <c r="C5" s="21">
        <v>8</v>
      </c>
      <c r="D5" s="21"/>
      <c r="E5" s="116">
        <v>8005.002</v>
      </c>
      <c r="F5" s="120">
        <f>ROUND(E5*'Default Data'!$E$54/'Default Data'!$E$53*'Default Data'!$D$19,3)</f>
        <v>4034.45</v>
      </c>
      <c r="G5" s="121">
        <f>ROUND(E5*'Default Data'!$E$55*'Default Data'!$D$20,3)</f>
        <v>0.244</v>
      </c>
      <c r="H5" s="100">
        <v>12.046</v>
      </c>
      <c r="I5" s="41">
        <f t="shared" si="0"/>
        <v>4035</v>
      </c>
      <c r="J5" s="41">
        <f>ROUND(H5*'Default Data'!$D$20,0)</f>
        <v>13</v>
      </c>
      <c r="K5" s="40">
        <f t="shared" si="1"/>
        <v>4022</v>
      </c>
      <c r="L5" s="16"/>
      <c r="M5" s="16"/>
      <c r="N5" s="14"/>
      <c r="O5" s="14"/>
      <c r="P5" s="14"/>
      <c r="Q5" s="14"/>
      <c r="R5" s="14"/>
      <c r="S5" s="14"/>
    </row>
    <row r="6" spans="2:19" ht="15">
      <c r="B6" s="131" t="str">
        <f>'Default Data'!$A5</f>
        <v>March </v>
      </c>
      <c r="C6" s="21">
        <v>9</v>
      </c>
      <c r="D6" s="21"/>
      <c r="E6" s="116">
        <v>10090.15</v>
      </c>
      <c r="F6" s="120">
        <f>ROUND(E6*'Default Data'!$E$54/'Default Data'!$E$53*'Default Data'!$D$19,3)</f>
        <v>5085.346</v>
      </c>
      <c r="G6" s="121">
        <f>ROUND(E6*'Default Data'!$E$55*'Default Data'!$D$20,3)</f>
        <v>0.308</v>
      </c>
      <c r="H6" s="100">
        <v>13.365</v>
      </c>
      <c r="I6" s="41">
        <f t="shared" si="0"/>
        <v>5086</v>
      </c>
      <c r="J6" s="41">
        <f>ROUND(H6*'Default Data'!$D$20,0)</f>
        <v>15</v>
      </c>
      <c r="K6" s="40">
        <f t="shared" si="1"/>
        <v>5071</v>
      </c>
      <c r="L6" s="16"/>
      <c r="M6" s="16"/>
      <c r="N6" s="14"/>
      <c r="O6" s="14"/>
      <c r="P6" s="14"/>
      <c r="Q6" s="14"/>
      <c r="R6" s="14"/>
      <c r="S6" s="14"/>
    </row>
    <row r="7" spans="2:19" ht="15">
      <c r="B7" s="131" t="str">
        <f>'Default Data'!$A6</f>
        <v>April </v>
      </c>
      <c r="C7" s="21"/>
      <c r="D7" s="21"/>
      <c r="E7" s="116">
        <v>9032.294</v>
      </c>
      <c r="F7" s="120">
        <f>ROUND(E7*'Default Data'!$E$54/'Default Data'!$E$53*'Default Data'!$D$19,3)</f>
        <v>4552.196</v>
      </c>
      <c r="G7" s="121">
        <f>ROUND(E7*'Default Data'!$E$55*'Default Data'!$D$20,3)</f>
        <v>0.276</v>
      </c>
      <c r="H7" s="100">
        <v>12.526</v>
      </c>
      <c r="I7" s="41">
        <f t="shared" si="0"/>
        <v>4552</v>
      </c>
      <c r="J7" s="41">
        <f>ROUND(H7*'Default Data'!$D$20,0)</f>
        <v>14</v>
      </c>
      <c r="K7" s="40">
        <f t="shared" si="1"/>
        <v>4538</v>
      </c>
      <c r="L7" s="16"/>
      <c r="M7" s="16"/>
      <c r="N7" s="14"/>
      <c r="O7" s="14"/>
      <c r="P7" s="14"/>
      <c r="Q7" s="14"/>
      <c r="R7" s="14"/>
      <c r="S7" s="14"/>
    </row>
    <row r="8" spans="2:19" ht="15">
      <c r="B8" s="131" t="str">
        <f>'Default Data'!$A7</f>
        <v>May </v>
      </c>
      <c r="C8" s="21"/>
      <c r="D8" s="21"/>
      <c r="E8" s="116">
        <v>8136.064</v>
      </c>
      <c r="F8" s="120">
        <f>ROUND(E8*'Default Data'!$E$54/'Default Data'!$E$53*'Default Data'!$D$19,3)</f>
        <v>4100.504</v>
      </c>
      <c r="G8" s="121">
        <f>ROUND(E8*'Default Data'!$E$55*'Default Data'!$D$20,3)</f>
        <v>0.248</v>
      </c>
      <c r="H8" s="100">
        <v>10.171</v>
      </c>
      <c r="I8" s="41">
        <f t="shared" si="0"/>
        <v>4101</v>
      </c>
      <c r="J8" s="41">
        <f>ROUND(H8*'Default Data'!$D$20,0)</f>
        <v>11</v>
      </c>
      <c r="K8" s="40">
        <f t="shared" si="1"/>
        <v>4090</v>
      </c>
      <c r="L8" s="16"/>
      <c r="M8" s="16"/>
      <c r="N8" s="14"/>
      <c r="O8" s="14"/>
      <c r="P8" s="14"/>
      <c r="Q8" s="14"/>
      <c r="R8" s="14"/>
      <c r="S8" s="14"/>
    </row>
    <row r="9" spans="2:19" ht="15.75" thickBot="1">
      <c r="B9" s="132" t="str">
        <f>'Default Data'!$A8</f>
        <v>June</v>
      </c>
      <c r="C9" s="54"/>
      <c r="D9" s="54"/>
      <c r="E9" s="117">
        <v>7015.298</v>
      </c>
      <c r="F9" s="123">
        <f>ROUND(E9*'Default Data'!$E$54/'Default Data'!$E$53*'Default Data'!$D$19,3)</f>
        <v>3535.648</v>
      </c>
      <c r="G9" s="124">
        <f>ROUND(E9*'Default Data'!$E$55*'Default Data'!$D$20,3)</f>
        <v>0.214</v>
      </c>
      <c r="H9" s="101">
        <v>10.69</v>
      </c>
      <c r="I9" s="55">
        <f t="shared" si="0"/>
        <v>3536</v>
      </c>
      <c r="J9" s="55">
        <f>ROUND(H9*'Default Data'!$D$20,0)</f>
        <v>12</v>
      </c>
      <c r="K9" s="56">
        <f t="shared" si="1"/>
        <v>3524</v>
      </c>
      <c r="L9" s="16"/>
      <c r="M9" s="16"/>
      <c r="N9" s="14"/>
      <c r="O9" s="14"/>
      <c r="P9" s="14"/>
      <c r="Q9" s="14"/>
      <c r="R9" s="14"/>
      <c r="S9" s="14"/>
    </row>
    <row r="10" spans="2:19" ht="15.75" thickBot="1">
      <c r="B10" s="49" t="s">
        <v>26</v>
      </c>
      <c r="C10" s="50" t="s">
        <v>26</v>
      </c>
      <c r="D10" s="184"/>
      <c r="E10" s="185">
        <f aca="true" t="shared" si="2" ref="E10:K10">SUM(E4:E9)</f>
        <v>51511.644</v>
      </c>
      <c r="F10" s="185">
        <f t="shared" si="2"/>
        <v>25961.412000000004</v>
      </c>
      <c r="G10" s="185">
        <f t="shared" si="2"/>
        <v>1.572</v>
      </c>
      <c r="H10" s="185">
        <f t="shared" si="2"/>
        <v>72.116</v>
      </c>
      <c r="I10" s="185">
        <f t="shared" si="2"/>
        <v>25964</v>
      </c>
      <c r="J10" s="185">
        <f t="shared" si="2"/>
        <v>80</v>
      </c>
      <c r="K10" s="186">
        <f t="shared" si="2"/>
        <v>25884</v>
      </c>
      <c r="L10" s="17"/>
      <c r="M10" s="17"/>
      <c r="N10" s="14"/>
      <c r="O10" s="14"/>
      <c r="P10" s="14"/>
      <c r="Q10" s="14"/>
      <c r="R10" s="14"/>
      <c r="S10" s="14"/>
    </row>
    <row r="11" spans="2:17" ht="14.25">
      <c r="B11" s="14"/>
      <c r="C11" s="14"/>
      <c r="D11" s="14"/>
      <c r="E11" s="14"/>
      <c r="F11" s="18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ht="12.75">
      <c r="F12" s="4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11.421875" style="0" customWidth="1"/>
    <col min="3" max="3" width="15.28125" style="0" customWidth="1"/>
    <col min="4" max="5" width="12.8515625" style="0" customWidth="1"/>
    <col min="6" max="6" width="10.57421875" style="0" customWidth="1"/>
    <col min="7" max="8" width="10.421875" style="0" customWidth="1"/>
  </cols>
  <sheetData>
    <row r="1" ht="15.75" thickBot="1"/>
    <row r="2" spans="2:8" ht="61.5" customHeight="1" thickBot="1">
      <c r="B2" s="194" t="s">
        <v>24</v>
      </c>
      <c r="C2" s="196" t="s">
        <v>94</v>
      </c>
      <c r="D2" s="196" t="s">
        <v>95</v>
      </c>
      <c r="E2" s="196" t="s">
        <v>96</v>
      </c>
      <c r="F2" s="196" t="s">
        <v>21</v>
      </c>
      <c r="G2" s="196" t="s">
        <v>17</v>
      </c>
      <c r="H2" s="197" t="s">
        <v>22</v>
      </c>
    </row>
    <row r="3" spans="2:8" ht="15" customHeight="1" thickBot="1">
      <c r="B3" s="194"/>
      <c r="C3" s="197" t="s">
        <v>16</v>
      </c>
      <c r="D3" s="197" t="s">
        <v>93</v>
      </c>
      <c r="E3" s="197" t="s">
        <v>93</v>
      </c>
      <c r="F3" s="197" t="s">
        <v>18</v>
      </c>
      <c r="G3" s="197" t="s">
        <v>18</v>
      </c>
      <c r="H3" s="195" t="s">
        <v>18</v>
      </c>
    </row>
    <row r="4" spans="2:8" ht="15">
      <c r="B4" s="129" t="str">
        <f>'Default Data'!$A$3</f>
        <v>January</v>
      </c>
      <c r="C4" s="95">
        <v>9862.667</v>
      </c>
      <c r="D4" s="97">
        <v>6109.459</v>
      </c>
      <c r="E4" s="97">
        <v>1262.602</v>
      </c>
      <c r="F4" s="126">
        <f>ROUND(C4*'Default Data'!$E$59*'Default Data'!$D$20,0)</f>
        <v>11073</v>
      </c>
      <c r="G4" s="126">
        <f>ROUND((D4+E4)*'Default Data'!$D$20,0)</f>
        <v>8036</v>
      </c>
      <c r="H4" s="191">
        <f aca="true" t="shared" si="0" ref="H4:H9">F4-G4</f>
        <v>3037</v>
      </c>
    </row>
    <row r="5" spans="2:8" ht="15">
      <c r="B5" s="131" t="str">
        <f>'Default Data'!$A$4</f>
        <v>February</v>
      </c>
      <c r="C5" s="116">
        <v>8310.71</v>
      </c>
      <c r="D5" s="98">
        <v>5377.661</v>
      </c>
      <c r="E5" s="98">
        <v>1121.045</v>
      </c>
      <c r="F5" s="125">
        <f>ROUND(C5*'Default Data'!$E$59*'Default Data'!$D$20,0)</f>
        <v>9330</v>
      </c>
      <c r="G5" s="125">
        <f>ROUND((D5+E5)*'Default Data'!$D$20,0)</f>
        <v>7084</v>
      </c>
      <c r="H5" s="192">
        <f t="shared" si="0"/>
        <v>2246</v>
      </c>
    </row>
    <row r="6" spans="2:8" ht="15">
      <c r="B6" s="131" t="str">
        <f>'Default Data'!$A5</f>
        <v>March </v>
      </c>
      <c r="C6" s="116">
        <v>10771.79</v>
      </c>
      <c r="D6" s="98">
        <v>6883.184</v>
      </c>
      <c r="E6" s="98">
        <v>1543.591</v>
      </c>
      <c r="F6" s="125">
        <f>ROUND(C6*'Default Data'!$E$59*'Default Data'!$D$20,0)</f>
        <v>12093</v>
      </c>
      <c r="G6" s="125">
        <f>ROUND((D6+E6)*'Default Data'!$D$20,0)</f>
        <v>9185</v>
      </c>
      <c r="H6" s="192">
        <f t="shared" si="0"/>
        <v>2908</v>
      </c>
    </row>
    <row r="7" spans="2:8" ht="15">
      <c r="B7" s="131" t="str">
        <f>'Default Data'!$A6</f>
        <v>April </v>
      </c>
      <c r="C7" s="116">
        <v>10107.988</v>
      </c>
      <c r="D7" s="98">
        <v>6375.005</v>
      </c>
      <c r="E7" s="98">
        <v>1383.215</v>
      </c>
      <c r="F7" s="125">
        <f>ROUND(C7*'Default Data'!$E$59*'Default Data'!$D$20,0)</f>
        <v>11348</v>
      </c>
      <c r="G7" s="125">
        <f>ROUND((D7+E7)*'Default Data'!$D$20,0)</f>
        <v>8456</v>
      </c>
      <c r="H7" s="192">
        <f t="shared" si="0"/>
        <v>2892</v>
      </c>
    </row>
    <row r="8" spans="2:8" ht="15">
      <c r="B8" s="131" t="str">
        <f>'Default Data'!$A7</f>
        <v>May </v>
      </c>
      <c r="C8" s="116">
        <v>9004.799</v>
      </c>
      <c r="D8" s="98">
        <v>5625.411</v>
      </c>
      <c r="E8" s="98">
        <v>1180.925</v>
      </c>
      <c r="F8" s="125">
        <f>ROUND(C8*'Default Data'!$E$59*'Default Data'!$D$20,0)</f>
        <v>10110</v>
      </c>
      <c r="G8" s="125">
        <f>ROUND((D8+E8)*'Default Data'!$D$20,0)</f>
        <v>7419</v>
      </c>
      <c r="H8" s="192">
        <f t="shared" si="0"/>
        <v>2691</v>
      </c>
    </row>
    <row r="9" spans="2:8" ht="15.75" thickBot="1">
      <c r="B9" s="132" t="str">
        <f>'Default Data'!$A8</f>
        <v>June</v>
      </c>
      <c r="C9" s="117">
        <v>7740.385</v>
      </c>
      <c r="D9" s="99">
        <v>4809.792</v>
      </c>
      <c r="E9" s="99">
        <v>1077.497</v>
      </c>
      <c r="F9" s="127">
        <f>ROUND(C9*'Default Data'!$E$59*'Default Data'!$D$20,0)</f>
        <v>8690</v>
      </c>
      <c r="G9" s="127">
        <f>ROUND((D9+E9)*'Default Data'!$D$20,0)</f>
        <v>6417</v>
      </c>
      <c r="H9" s="193">
        <f t="shared" si="0"/>
        <v>2273</v>
      </c>
    </row>
    <row r="10" spans="2:8" ht="15.75" thickBot="1">
      <c r="B10" s="198" t="s">
        <v>26</v>
      </c>
      <c r="C10" s="199">
        <f aca="true" t="shared" si="1" ref="C10:H10">SUM(C4:C9)</f>
        <v>55798.339</v>
      </c>
      <c r="D10" s="199">
        <f t="shared" si="1"/>
        <v>35180.512</v>
      </c>
      <c r="E10" s="199">
        <f t="shared" si="1"/>
        <v>7568.875</v>
      </c>
      <c r="F10" s="200">
        <f t="shared" si="1"/>
        <v>62644</v>
      </c>
      <c r="G10" s="200">
        <f t="shared" si="1"/>
        <v>46597</v>
      </c>
      <c r="H10" s="201">
        <f t="shared" si="1"/>
        <v>16047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12.57421875" style="0" customWidth="1"/>
    <col min="3" max="3" width="8.57421875" style="0" customWidth="1"/>
    <col min="4" max="4" width="13.140625" style="0" customWidth="1"/>
    <col min="5" max="5" width="10.57421875" style="0" customWidth="1"/>
    <col min="6" max="6" width="11.00390625" style="0" customWidth="1"/>
    <col min="7" max="7" width="11.28125" style="0" customWidth="1"/>
  </cols>
  <sheetData>
    <row r="1" ht="15.75" thickBot="1"/>
    <row r="2" spans="2:7" ht="30.75" thickBot="1">
      <c r="B2" s="197" t="s">
        <v>24</v>
      </c>
      <c r="C2" s="197" t="s">
        <v>97</v>
      </c>
      <c r="D2" s="197" t="s">
        <v>99</v>
      </c>
      <c r="E2" s="197" t="s">
        <v>21</v>
      </c>
      <c r="F2" s="197" t="s">
        <v>17</v>
      </c>
      <c r="G2" s="197" t="s">
        <v>22</v>
      </c>
    </row>
    <row r="3" spans="2:7" ht="15.75" thickBot="1">
      <c r="B3" s="194"/>
      <c r="C3" s="194" t="s">
        <v>98</v>
      </c>
      <c r="D3" s="194" t="s">
        <v>93</v>
      </c>
      <c r="E3" s="197" t="s">
        <v>18</v>
      </c>
      <c r="F3" s="197" t="s">
        <v>18</v>
      </c>
      <c r="G3" s="202" t="s">
        <v>18</v>
      </c>
    </row>
    <row r="4" spans="2:7" ht="15">
      <c r="B4" s="129" t="str">
        <f>'Default Data'!$A$3</f>
        <v>January</v>
      </c>
      <c r="C4" s="130">
        <v>297.75</v>
      </c>
      <c r="D4" s="96">
        <v>154.694</v>
      </c>
      <c r="E4" s="52">
        <f>ROUND(C4*'Default Data'!$E$62*'Default Data'!$D$20,0)</f>
        <v>3895</v>
      </c>
      <c r="F4" s="52">
        <f>ROUND(D4*'Default Data'!$D$20,0)</f>
        <v>169</v>
      </c>
      <c r="G4" s="53">
        <f aca="true" t="shared" si="0" ref="G4:G9">E4-F4</f>
        <v>3726</v>
      </c>
    </row>
    <row r="5" spans="2:7" ht="15">
      <c r="B5" s="131" t="str">
        <f>'Default Data'!$A$4</f>
        <v>February</v>
      </c>
      <c r="C5" s="128">
        <v>289</v>
      </c>
      <c r="D5" s="100">
        <v>168.647</v>
      </c>
      <c r="E5" s="41">
        <f>ROUND(C5*'Default Data'!$E$62*'Default Data'!$D$20,0)</f>
        <v>3780</v>
      </c>
      <c r="F5" s="41">
        <f>ROUND(D5*'Default Data'!$D$20,0)</f>
        <v>184</v>
      </c>
      <c r="G5" s="40">
        <f t="shared" si="0"/>
        <v>3596</v>
      </c>
    </row>
    <row r="6" spans="2:7" ht="15">
      <c r="B6" s="131" t="str">
        <f>'Default Data'!$A5</f>
        <v>March </v>
      </c>
      <c r="C6" s="128">
        <v>286.25</v>
      </c>
      <c r="D6" s="100">
        <v>184.537</v>
      </c>
      <c r="E6" s="41">
        <f>ROUND(C6*'Default Data'!$E$62*'Default Data'!$D$20,0)</f>
        <v>3744</v>
      </c>
      <c r="F6" s="41">
        <f>ROUND(D6*'Default Data'!$D$20,0)</f>
        <v>201</v>
      </c>
      <c r="G6" s="40">
        <f t="shared" si="0"/>
        <v>3543</v>
      </c>
    </row>
    <row r="7" spans="2:7" ht="15">
      <c r="B7" s="131" t="str">
        <f>'Default Data'!$A6</f>
        <v>April </v>
      </c>
      <c r="C7" s="128">
        <v>294.42</v>
      </c>
      <c r="D7" s="100">
        <v>174.799</v>
      </c>
      <c r="E7" s="41">
        <f>ROUND(C7*'Default Data'!$E$62*'Default Data'!$D$20,0)</f>
        <v>3851</v>
      </c>
      <c r="F7" s="41">
        <f>ROUND(D7*'Default Data'!$D$20,0)</f>
        <v>191</v>
      </c>
      <c r="G7" s="40">
        <f t="shared" si="0"/>
        <v>3660</v>
      </c>
    </row>
    <row r="8" spans="2:7" ht="15">
      <c r="B8" s="131" t="str">
        <f>'Default Data'!$A7</f>
        <v>May </v>
      </c>
      <c r="C8" s="128">
        <v>293.5</v>
      </c>
      <c r="D8" s="100">
        <v>158.293</v>
      </c>
      <c r="E8" s="41">
        <f>ROUND(C8*'Default Data'!$E$62*'Default Data'!$D$20,0)</f>
        <v>3839</v>
      </c>
      <c r="F8" s="41">
        <f>ROUND(D8*'Default Data'!$D$20,0)</f>
        <v>173</v>
      </c>
      <c r="G8" s="40">
        <f t="shared" si="0"/>
        <v>3666</v>
      </c>
    </row>
    <row r="9" spans="2:7" ht="15.75" thickBot="1">
      <c r="B9" s="132" t="str">
        <f>'Default Data'!$A8</f>
        <v>June</v>
      </c>
      <c r="C9" s="133">
        <v>185.05</v>
      </c>
      <c r="D9" s="101">
        <v>105.95</v>
      </c>
      <c r="E9" s="55">
        <f>ROUND(C9*'Default Data'!$E$62*'Default Data'!$D$20,0)</f>
        <v>2420</v>
      </c>
      <c r="F9" s="55">
        <f>ROUND(D9*'Default Data'!$D$20,0)</f>
        <v>115</v>
      </c>
      <c r="G9" s="56">
        <f t="shared" si="0"/>
        <v>2305</v>
      </c>
    </row>
    <row r="10" spans="2:7" ht="15.75" thickBot="1">
      <c r="B10" s="203" t="s">
        <v>48</v>
      </c>
      <c r="C10" s="204">
        <f>SUM(C4:C9)</f>
        <v>1645.97</v>
      </c>
      <c r="D10" s="204">
        <f>SUM(D4:D9)</f>
        <v>946.9200000000001</v>
      </c>
      <c r="E10" s="205">
        <f>SUM(E4:E9)</f>
        <v>21529</v>
      </c>
      <c r="F10" s="205">
        <f>SUM(F4:F9)</f>
        <v>1033</v>
      </c>
      <c r="G10" s="206">
        <f>SUM(G4:G9)</f>
        <v>20496</v>
      </c>
    </row>
    <row r="12" ht="15">
      <c r="D12" s="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3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3.7109375" style="0" customWidth="1"/>
    <col min="2" max="2" width="18.28125" style="0" bestFit="1" customWidth="1"/>
    <col min="3" max="3" width="10.57421875" style="0" bestFit="1" customWidth="1"/>
  </cols>
  <sheetData>
    <row r="1" ht="15.75" thickBot="1"/>
    <row r="2" spans="2:4" ht="15">
      <c r="B2" s="11" t="s">
        <v>21</v>
      </c>
      <c r="C2" s="4"/>
      <c r="D2" s="24"/>
    </row>
    <row r="3" spans="2:4" ht="15">
      <c r="B3" s="5" t="s">
        <v>36</v>
      </c>
      <c r="C3" s="2" t="s">
        <v>18</v>
      </c>
      <c r="D3" s="25">
        <f>'Furnaces (SP1 )'!AH30</f>
        <v>129496</v>
      </c>
    </row>
    <row r="4" spans="2:4" ht="15">
      <c r="B4" s="5" t="s">
        <v>37</v>
      </c>
      <c r="C4" s="2" t="s">
        <v>18</v>
      </c>
      <c r="D4" s="25">
        <f>'Vacuumator  (SP2)'!I10</f>
        <v>25964</v>
      </c>
    </row>
    <row r="5" spans="2:4" ht="15">
      <c r="B5" s="5" t="s">
        <v>38</v>
      </c>
      <c r="C5" s="2" t="s">
        <v>18</v>
      </c>
      <c r="D5" s="25">
        <f>'Ladle Furnace (SP3)'!F10</f>
        <v>62644</v>
      </c>
    </row>
    <row r="6" spans="2:4" ht="15.75" thickBot="1">
      <c r="B6" s="7" t="s">
        <v>39</v>
      </c>
      <c r="C6" s="8" t="s">
        <v>18</v>
      </c>
      <c r="D6" s="26">
        <f>'Press (SP4) '!E10</f>
        <v>21529</v>
      </c>
    </row>
    <row r="7" spans="2:4" ht="15.75" thickBot="1">
      <c r="B7" s="9" t="s">
        <v>26</v>
      </c>
      <c r="C7" s="10" t="s">
        <v>18</v>
      </c>
      <c r="D7" s="27">
        <f>SUM(D3:D6)</f>
        <v>239633</v>
      </c>
    </row>
    <row r="8" ht="15.75" thickBot="1"/>
    <row r="9" spans="2:4" ht="15">
      <c r="B9" s="11" t="s">
        <v>17</v>
      </c>
      <c r="C9" s="4"/>
      <c r="D9" s="24"/>
    </row>
    <row r="10" spans="2:4" ht="15">
      <c r="B10" s="5" t="s">
        <v>36</v>
      </c>
      <c r="C10" s="2" t="s">
        <v>18</v>
      </c>
      <c r="D10" s="25">
        <f>'Furnaces (SP1 )'!Y30</f>
        <v>19704</v>
      </c>
    </row>
    <row r="11" spans="2:4" ht="15">
      <c r="B11" s="5" t="s">
        <v>37</v>
      </c>
      <c r="C11" s="2" t="s">
        <v>18</v>
      </c>
      <c r="D11" s="25">
        <f>'Vacuumator  (SP2)'!J10</f>
        <v>80</v>
      </c>
    </row>
    <row r="12" spans="2:4" ht="15">
      <c r="B12" s="5" t="s">
        <v>38</v>
      </c>
      <c r="C12" s="2" t="s">
        <v>18</v>
      </c>
      <c r="D12" s="25">
        <f>'Ladle Furnace (SP3)'!G10</f>
        <v>46597</v>
      </c>
    </row>
    <row r="13" spans="2:4" ht="15.75" thickBot="1">
      <c r="B13" s="7" t="s">
        <v>39</v>
      </c>
      <c r="C13" s="8" t="s">
        <v>18</v>
      </c>
      <c r="D13" s="26">
        <f>'Press (SP4) '!F10</f>
        <v>1033</v>
      </c>
    </row>
    <row r="14" spans="2:4" ht="15.75" thickBot="1">
      <c r="B14" s="9" t="s">
        <v>26</v>
      </c>
      <c r="C14" s="10" t="s">
        <v>18</v>
      </c>
      <c r="D14" s="27">
        <f>SUM(D10:D13)</f>
        <v>67414</v>
      </c>
    </row>
    <row r="15" ht="15.75" thickBot="1"/>
    <row r="16" spans="2:4" ht="15">
      <c r="B16" s="11" t="s">
        <v>22</v>
      </c>
      <c r="C16" s="4"/>
      <c r="D16" s="24"/>
    </row>
    <row r="17" spans="2:4" ht="15">
      <c r="B17" s="5" t="s">
        <v>36</v>
      </c>
      <c r="C17" s="2" t="s">
        <v>18</v>
      </c>
      <c r="D17" s="25">
        <f>D3-D10</f>
        <v>109792</v>
      </c>
    </row>
    <row r="18" spans="2:4" ht="15">
      <c r="B18" s="5" t="s">
        <v>37</v>
      </c>
      <c r="C18" s="2" t="s">
        <v>18</v>
      </c>
      <c r="D18" s="25">
        <f>D4-D11</f>
        <v>25884</v>
      </c>
    </row>
    <row r="19" spans="2:4" ht="15">
      <c r="B19" s="5" t="s">
        <v>38</v>
      </c>
      <c r="C19" s="2" t="s">
        <v>18</v>
      </c>
      <c r="D19" s="25">
        <f>D5-D12</f>
        <v>16047</v>
      </c>
    </row>
    <row r="20" spans="2:4" ht="15.75" thickBot="1">
      <c r="B20" s="7" t="s">
        <v>39</v>
      </c>
      <c r="C20" s="8" t="s">
        <v>18</v>
      </c>
      <c r="D20" s="25">
        <f>D6-D13</f>
        <v>20496</v>
      </c>
    </row>
    <row r="21" spans="2:4" ht="15.75" thickBot="1">
      <c r="B21" s="9" t="s">
        <v>26</v>
      </c>
      <c r="C21" s="10" t="s">
        <v>18</v>
      </c>
      <c r="D21" s="27">
        <f>SUM(D17:D20)</f>
        <v>172219</v>
      </c>
    </row>
    <row r="23" spans="2:3" ht="15">
      <c r="B23" s="35"/>
      <c r="C23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2009-12-22T12:12:40Z</cp:lastPrinted>
  <dcterms:created xsi:type="dcterms:W3CDTF">2009-04-14T07:18:06Z</dcterms:created>
  <dcterms:modified xsi:type="dcterms:W3CDTF">2012-10-23T10:29:37Z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