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91" yWindow="1950" windowWidth="19200" windowHeight="3120" tabRatio="816" activeTab="6"/>
  </bookViews>
  <sheets>
    <sheet name="Title" sheetId="1" r:id="rId1"/>
    <sheet name="Default Data" sheetId="2" r:id="rId2"/>
    <sheet name="Furnaces (SP1 )" sheetId="3" r:id="rId3"/>
    <sheet name="Vacuumator  (SP2)" sheetId="4" r:id="rId4"/>
    <sheet name="Ladle Furnace (SP3)" sheetId="5" r:id="rId5"/>
    <sheet name="Press (SP4) " sheetId="6" r:id="rId6"/>
    <sheet name="ER 3Q2011" sheetId="7" r:id="rId7"/>
  </sheets>
  <definedNames>
    <definedName name="OLE_LINK20" localSheetId="1">'Default Data'!$F$29</definedName>
  </definedNames>
  <calcPr fullCalcOnLoad="1"/>
</workbook>
</file>

<file path=xl/sharedStrings.xml><?xml version="1.0" encoding="utf-8"?>
<sst xmlns="http://schemas.openxmlformats.org/spreadsheetml/2006/main" count="158" uniqueCount="101">
  <si>
    <t>tCO2/GJ</t>
  </si>
  <si>
    <t>tCO2/MWh</t>
  </si>
  <si>
    <t>Transformers conversion factors</t>
  </si>
  <si>
    <t>EAF 50</t>
  </si>
  <si>
    <t>current transformer factor</t>
  </si>
  <si>
    <t>voltage transformer factor</t>
  </si>
  <si>
    <t>overall conversion factor</t>
  </si>
  <si>
    <t>EAF 100 #3</t>
  </si>
  <si>
    <t>EAF 100 #5</t>
  </si>
  <si>
    <t>LF</t>
  </si>
  <si>
    <t>Emission factors</t>
  </si>
  <si>
    <t>electricity</t>
  </si>
  <si>
    <t>thermal #10, TS</t>
  </si>
  <si>
    <t>heating #10, FPS</t>
  </si>
  <si>
    <t>thermal #30, FPS</t>
  </si>
  <si>
    <t>thermal #18, FPS</t>
  </si>
  <si>
    <t>tonnes</t>
  </si>
  <si>
    <t>Project emissions</t>
  </si>
  <si>
    <t>tCO2</t>
  </si>
  <si>
    <t>Natural Gas consumpton and semi-products production</t>
  </si>
  <si>
    <t>Furnace</t>
  </si>
  <si>
    <t>Baseline emissions</t>
  </si>
  <si>
    <t>Emission reductions</t>
  </si>
  <si>
    <t>Emission Reductions</t>
  </si>
  <si>
    <t>Month</t>
  </si>
  <si>
    <t xml:space="preserve">Vacuumed steel </t>
  </si>
  <si>
    <t>Total</t>
  </si>
  <si>
    <t>[tCO2]</t>
  </si>
  <si>
    <t>Baseline factors for the SP2</t>
  </si>
  <si>
    <t>efficiency of the coal boilers</t>
  </si>
  <si>
    <t>%</t>
  </si>
  <si>
    <t>specific electricity consumption</t>
  </si>
  <si>
    <t>specific heat consumption</t>
  </si>
  <si>
    <t>Baseline factors for the SP3</t>
  </si>
  <si>
    <t>Baseline emissions, [tCO2]</t>
  </si>
  <si>
    <t>Project emissions, [tCO2]</t>
  </si>
  <si>
    <t>ER, [tCO2]</t>
  </si>
  <si>
    <t>working hours, [h]</t>
  </si>
  <si>
    <t>Electricity consumption, [MWh]</t>
  </si>
  <si>
    <t>installed capacity of the press’ serving motors before reconstruction</t>
  </si>
  <si>
    <t>MW</t>
  </si>
  <si>
    <t>Baseline factors for the SP4</t>
  </si>
  <si>
    <t>SP1</t>
  </si>
  <si>
    <t>SP2</t>
  </si>
  <si>
    <t>SP3</t>
  </si>
  <si>
    <t>SP4</t>
  </si>
  <si>
    <t xml:space="preserve">Project emissions </t>
  </si>
  <si>
    <t>thermal #19, FPS</t>
  </si>
  <si>
    <t>thermal #20, FPS</t>
  </si>
  <si>
    <t>Electricity consumption at EAFs, [MWh]</t>
  </si>
  <si>
    <t>Electricity consumption at LF,     [MWh]</t>
  </si>
  <si>
    <t>Baseline emissions,       [tCO2]</t>
  </si>
  <si>
    <t>Project emissions,       [tCO2]</t>
  </si>
  <si>
    <t>Electrosteel,       [tonnes]</t>
  </si>
  <si>
    <t>thermal #32, FPS</t>
  </si>
  <si>
    <t>thermal #37, FPS</t>
  </si>
  <si>
    <t>heating #33, FPS</t>
  </si>
  <si>
    <t>heating #34, FPS</t>
  </si>
  <si>
    <t>heating #35, FPS</t>
  </si>
  <si>
    <t xml:space="preserve">Total           </t>
  </si>
  <si>
    <t>heating #36, FPS</t>
  </si>
  <si>
    <t>thermal #38, FPS</t>
  </si>
  <si>
    <t>thermal #17, TS</t>
  </si>
  <si>
    <t>thermal #18, TS</t>
  </si>
  <si>
    <t>[tonnes]</t>
  </si>
  <si>
    <t>thermal #01, TS</t>
  </si>
  <si>
    <t>thermal #02, TS</t>
  </si>
  <si>
    <t>heating #09, FPS</t>
  </si>
  <si>
    <t>heating #08, FPS</t>
  </si>
  <si>
    <t>heating #07, FPS</t>
  </si>
  <si>
    <t>thermal #04, TS</t>
  </si>
  <si>
    <t>conversion factor kcal to GJ</t>
  </si>
  <si>
    <t>m3</t>
  </si>
  <si>
    <t>3 month</t>
  </si>
  <si>
    <t>[MWh]</t>
  </si>
  <si>
    <t>Grand total</t>
  </si>
  <si>
    <t xml:space="preserve">Baseline emissions </t>
  </si>
  <si>
    <t>thermal #09, TS</t>
  </si>
  <si>
    <t>natural gas</t>
  </si>
  <si>
    <t>July</t>
  </si>
  <si>
    <t>August</t>
  </si>
  <si>
    <t>September</t>
  </si>
  <si>
    <t>Baseline emissions form heat consumption</t>
  </si>
  <si>
    <t>Baseline emissions form electricity
 consumption</t>
  </si>
  <si>
    <t>Project electricity consumption</t>
  </si>
  <si>
    <t>thermal #01, FPS</t>
  </si>
  <si>
    <t>thermal #31, FPS</t>
  </si>
  <si>
    <t>Baseline specific NG consumption for the SP1</t>
  </si>
  <si>
    <t>Natural gas LCV (GJ/1000m3)</t>
  </si>
  <si>
    <t xml:space="preserve"> </t>
  </si>
  <si>
    <t>Letter “Kramatorsk administration of gas distribution and supplying with gas”</t>
  </si>
  <si>
    <t>Letter “Kramatorskteploenergo”</t>
  </si>
  <si>
    <t>GJ/t</t>
  </si>
  <si>
    <t>MWh/t</t>
  </si>
  <si>
    <t>m3/t</t>
  </si>
  <si>
    <t xml:space="preserve">p.47 </t>
  </si>
  <si>
    <t>http://physics.nist.gov/cuu/pdf/sp811.pdf</t>
  </si>
  <si>
    <t>coal (anthracite)</t>
  </si>
  <si>
    <t>2006 IPCC Guidelines for National Greenhouse Gas Inventories, Volume 2: Energy, Chapter 1: Introduction, Table 1.4 p. 1.23</t>
  </si>
  <si>
    <t>Order of National Environment Investment Agency # 75 dated 12.05.2011</t>
  </si>
  <si>
    <t>2006 IPCC Guidelines for National Greenhouse Gas Inventories, Volume 2: Energy, Chapter 1: Introduction, Table 1.4 p. 1.24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</si>
</sst>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19]mmmm;@"/>
    <numFmt numFmtId="173" formatCode="0.0"/>
    <numFmt numFmtId="174" formatCode="#,##0.000"/>
    <numFmt numFmtId="175" formatCode="0.000"/>
    <numFmt numFmtId="176" formatCode="0.0000"/>
    <numFmt numFmtId="177" formatCode="0.0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mm/yyyy"/>
    <numFmt numFmtId="184" formatCode="0.000000"/>
    <numFmt numFmtId="185" formatCode="0.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 style="medium"/>
    </border>
  </borders>
  <cellStyleXfs count="66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2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>
      <alignment/>
      <protection/>
    </xf>
    <xf numFmtId="0" fontId="3" fillId="0" borderId="0">
      <alignment/>
      <protection/>
    </xf>
    <xf numFmtId="172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2">
    <xf numFmtId="172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10" xfId="0" applyBorder="1" applyAlignment="1">
      <alignment/>
    </xf>
    <xf numFmtId="172" fontId="0" fillId="0" borderId="11" xfId="0" applyBorder="1" applyAlignment="1">
      <alignment/>
    </xf>
    <xf numFmtId="172" fontId="0" fillId="0" borderId="12" xfId="0" applyBorder="1" applyAlignment="1">
      <alignment/>
    </xf>
    <xf numFmtId="172" fontId="0" fillId="0" borderId="13" xfId="0" applyBorder="1" applyAlignment="1">
      <alignment/>
    </xf>
    <xf numFmtId="172" fontId="0" fillId="0" borderId="14" xfId="0" applyBorder="1" applyAlignment="1">
      <alignment/>
    </xf>
    <xf numFmtId="172" fontId="0" fillId="0" borderId="15" xfId="0" applyBorder="1" applyAlignment="1">
      <alignment/>
    </xf>
    <xf numFmtId="172" fontId="0" fillId="0" borderId="16" xfId="0" applyBorder="1" applyAlignment="1">
      <alignment/>
    </xf>
    <xf numFmtId="172" fontId="2" fillId="0" borderId="17" xfId="0" applyFont="1" applyBorder="1" applyAlignment="1">
      <alignment/>
    </xf>
    <xf numFmtId="172" fontId="2" fillId="0" borderId="18" xfId="0" applyFont="1" applyBorder="1" applyAlignment="1">
      <alignment/>
    </xf>
    <xf numFmtId="172" fontId="2" fillId="0" borderId="11" xfId="0" applyFont="1" applyBorder="1" applyAlignment="1">
      <alignment/>
    </xf>
    <xf numFmtId="172" fontId="0" fillId="0" borderId="0" xfId="0" applyFill="1" applyAlignment="1">
      <alignment/>
    </xf>
    <xf numFmtId="172" fontId="2" fillId="0" borderId="11" xfId="0" applyFont="1" applyBorder="1" applyAlignment="1">
      <alignment horizontal="center"/>
    </xf>
    <xf numFmtId="172" fontId="3" fillId="0" borderId="0" xfId="33" applyFill="1">
      <alignment/>
      <protection/>
    </xf>
    <xf numFmtId="172" fontId="4" fillId="0" borderId="0" xfId="33" applyFont="1" applyFill="1">
      <alignment/>
      <protection/>
    </xf>
    <xf numFmtId="172" fontId="5" fillId="0" borderId="0" xfId="33" applyFont="1" applyFill="1" applyBorder="1">
      <alignment/>
      <protection/>
    </xf>
    <xf numFmtId="1" fontId="5" fillId="0" borderId="0" xfId="33" applyNumberFormat="1" applyFont="1" applyFill="1" applyBorder="1">
      <alignment/>
      <protection/>
    </xf>
    <xf numFmtId="1" fontId="6" fillId="0" borderId="0" xfId="33" applyNumberFormat="1" applyFont="1" applyFill="1" applyBorder="1">
      <alignment/>
      <protection/>
    </xf>
    <xf numFmtId="1" fontId="6" fillId="0" borderId="0" xfId="33" applyNumberFormat="1" applyFont="1" applyFill="1">
      <alignment/>
      <protection/>
    </xf>
    <xf numFmtId="172" fontId="0" fillId="0" borderId="19" xfId="0" applyBorder="1" applyAlignment="1">
      <alignment/>
    </xf>
    <xf numFmtId="172" fontId="0" fillId="0" borderId="20" xfId="0" applyBorder="1" applyAlignment="1">
      <alignment/>
    </xf>
    <xf numFmtId="172" fontId="5" fillId="0" borderId="10" xfId="33" applyFont="1" applyFill="1" applyBorder="1">
      <alignment/>
      <protection/>
    </xf>
    <xf numFmtId="172" fontId="2" fillId="0" borderId="21" xfId="0" applyFont="1" applyBorder="1" applyAlignment="1">
      <alignment horizontal="center"/>
    </xf>
    <xf numFmtId="172" fontId="0" fillId="0" borderId="0" xfId="0" applyAlignment="1">
      <alignment/>
    </xf>
    <xf numFmtId="172" fontId="0" fillId="0" borderId="17" xfId="0" applyBorder="1" applyAlignment="1">
      <alignment horizontal="center"/>
    </xf>
    <xf numFmtId="172" fontId="0" fillId="0" borderId="22" xfId="0" applyBorder="1" applyAlignment="1">
      <alignment horizontal="center" vertical="center"/>
    </xf>
    <xf numFmtId="3" fontId="35" fillId="33" borderId="23" xfId="0" applyNumberFormat="1" applyFont="1" applyFill="1" applyBorder="1" applyAlignment="1">
      <alignment/>
    </xf>
    <xf numFmtId="172" fontId="0" fillId="34" borderId="24" xfId="0" applyFill="1" applyBorder="1" applyAlignment="1">
      <alignment/>
    </xf>
    <xf numFmtId="3" fontId="0" fillId="34" borderId="25" xfId="0" applyNumberFormat="1" applyFill="1" applyBorder="1" applyAlignment="1">
      <alignment/>
    </xf>
    <xf numFmtId="3" fontId="0" fillId="34" borderId="26" xfId="0" applyNumberFormat="1" applyFill="1" applyBorder="1" applyAlignment="1">
      <alignment/>
    </xf>
    <xf numFmtId="3" fontId="2" fillId="34" borderId="27" xfId="0" applyNumberFormat="1" applyFont="1" applyFill="1" applyBorder="1" applyAlignment="1">
      <alignment/>
    </xf>
    <xf numFmtId="172" fontId="0" fillId="0" borderId="0" xfId="0" applyBorder="1" applyAlignment="1">
      <alignment/>
    </xf>
    <xf numFmtId="172" fontId="0" fillId="0" borderId="14" xfId="0" applyBorder="1" applyAlignment="1">
      <alignment horizontal="left" vertical="center"/>
    </xf>
    <xf numFmtId="172" fontId="0" fillId="0" borderId="22" xfId="0" applyBorder="1" applyAlignment="1">
      <alignment horizontal="left" vertical="center"/>
    </xf>
    <xf numFmtId="172" fontId="0" fillId="0" borderId="0" xfId="0" applyAlignment="1">
      <alignment horizontal="left" vertical="center"/>
    </xf>
    <xf numFmtId="172" fontId="0" fillId="0" borderId="12" xfId="0" applyBorder="1" applyAlignment="1">
      <alignment horizontal="center" vertical="center"/>
    </xf>
    <xf numFmtId="172" fontId="0" fillId="0" borderId="10" xfId="0" applyBorder="1" applyAlignment="1">
      <alignment horizontal="center" vertical="center"/>
    </xf>
    <xf numFmtId="172" fontId="0" fillId="0" borderId="18" xfId="0" applyBorder="1" applyAlignment="1">
      <alignment horizontal="center" vertical="center"/>
    </xf>
    <xf numFmtId="2" fontId="0" fillId="0" borderId="0" xfId="0" applyNumberFormat="1" applyAlignment="1">
      <alignment/>
    </xf>
    <xf numFmtId="172" fontId="0" fillId="0" borderId="13" xfId="0" applyFill="1" applyBorder="1" applyAlignment="1">
      <alignment vertical="justify" wrapText="1"/>
    </xf>
    <xf numFmtId="175" fontId="0" fillId="0" borderId="27" xfId="0" applyNumberFormat="1" applyBorder="1" applyAlignment="1">
      <alignment/>
    </xf>
    <xf numFmtId="0" fontId="0" fillId="0" borderId="0" xfId="0" applyNumberFormat="1" applyAlignment="1">
      <alignment horizontal="right" vertical="center"/>
    </xf>
    <xf numFmtId="172" fontId="0" fillId="0" borderId="0" xfId="0" applyFill="1" applyBorder="1" applyAlignment="1">
      <alignment vertical="justify" wrapText="1"/>
    </xf>
    <xf numFmtId="172" fontId="2" fillId="0" borderId="17" xfId="0" applyFont="1" applyBorder="1" applyAlignment="1">
      <alignment horizontal="center"/>
    </xf>
    <xf numFmtId="172" fontId="2" fillId="0" borderId="27" xfId="0" applyFont="1" applyBorder="1" applyAlignment="1">
      <alignment horizontal="center"/>
    </xf>
    <xf numFmtId="172" fontId="2" fillId="0" borderId="28" xfId="0" applyFont="1" applyBorder="1" applyAlignment="1">
      <alignment horizontal="center" vertical="center"/>
    </xf>
    <xf numFmtId="172" fontId="0" fillId="0" borderId="21" xfId="0" applyFill="1" applyBorder="1" applyAlignment="1">
      <alignment/>
    </xf>
    <xf numFmtId="172" fontId="0" fillId="0" borderId="29" xfId="0" applyFill="1" applyBorder="1" applyAlignment="1">
      <alignment/>
    </xf>
    <xf numFmtId="172" fontId="0" fillId="0" borderId="30" xfId="0" applyFill="1" applyBorder="1" applyAlignment="1">
      <alignment/>
    </xf>
    <xf numFmtId="3" fontId="35" fillId="33" borderId="2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35" fillId="33" borderId="23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72" fontId="0" fillId="35" borderId="21" xfId="0" applyFill="1" applyBorder="1" applyAlignment="1">
      <alignment/>
    </xf>
    <xf numFmtId="172" fontId="0" fillId="35" borderId="29" xfId="0" applyFill="1" applyBorder="1" applyAlignment="1">
      <alignment/>
    </xf>
    <xf numFmtId="172" fontId="0" fillId="35" borderId="30" xfId="0" applyFill="1" applyBorder="1" applyAlignment="1">
      <alignment/>
    </xf>
    <xf numFmtId="173" fontId="0" fillId="0" borderId="25" xfId="0" applyNumberFormat="1" applyFill="1" applyBorder="1" applyAlignment="1">
      <alignment/>
    </xf>
    <xf numFmtId="173" fontId="0" fillId="0" borderId="24" xfId="0" applyNumberFormat="1" applyFill="1" applyBorder="1" applyAlignment="1">
      <alignment/>
    </xf>
    <xf numFmtId="1" fontId="3" fillId="0" borderId="0" xfId="33" applyNumberFormat="1" applyFill="1">
      <alignment/>
      <protection/>
    </xf>
    <xf numFmtId="172" fontId="2" fillId="0" borderId="31" xfId="0" applyFont="1" applyBorder="1" applyAlignment="1">
      <alignment horizontal="center" vertical="justify" wrapText="1"/>
    </xf>
    <xf numFmtId="2" fontId="0" fillId="36" borderId="32" xfId="0" applyNumberFormat="1" applyFill="1" applyBorder="1" applyAlignment="1">
      <alignment/>
    </xf>
    <xf numFmtId="2" fontId="0" fillId="36" borderId="29" xfId="0" applyNumberFormat="1" applyFill="1" applyBorder="1" applyAlignment="1">
      <alignment/>
    </xf>
    <xf numFmtId="2" fontId="0" fillId="36" borderId="30" xfId="0" applyNumberFormat="1" applyFill="1" applyBorder="1" applyAlignment="1">
      <alignment/>
    </xf>
    <xf numFmtId="175" fontId="0" fillId="0" borderId="25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33" xfId="0" applyNumberFormat="1" applyFill="1" applyBorder="1" applyAlignment="1">
      <alignment/>
    </xf>
    <xf numFmtId="172" fontId="5" fillId="0" borderId="34" xfId="33" applyFont="1" applyFill="1" applyBorder="1">
      <alignment/>
      <protection/>
    </xf>
    <xf numFmtId="172" fontId="2" fillId="0" borderId="19" xfId="0" applyFont="1" applyBorder="1" applyAlignment="1">
      <alignment horizontal="center"/>
    </xf>
    <xf numFmtId="3" fontId="2" fillId="0" borderId="35" xfId="0" applyNumberFormat="1" applyFont="1" applyBorder="1" applyAlignment="1">
      <alignment/>
    </xf>
    <xf numFmtId="172" fontId="2" fillId="0" borderId="36" xfId="0" applyFont="1" applyBorder="1" applyAlignment="1">
      <alignment horizontal="center"/>
    </xf>
    <xf numFmtId="172" fontId="2" fillId="0" borderId="37" xfId="0" applyFont="1" applyBorder="1" applyAlignment="1">
      <alignment/>
    </xf>
    <xf numFmtId="172" fontId="6" fillId="0" borderId="20" xfId="33" applyFont="1" applyFill="1" applyBorder="1" applyAlignment="1">
      <alignment horizontal="right"/>
      <protection/>
    </xf>
    <xf numFmtId="172" fontId="6" fillId="0" borderId="38" xfId="33" applyFont="1" applyFill="1" applyBorder="1">
      <alignment/>
      <protection/>
    </xf>
    <xf numFmtId="174" fontId="2" fillId="0" borderId="35" xfId="0" applyNumberFormat="1" applyFont="1" applyBorder="1" applyAlignment="1">
      <alignment/>
    </xf>
    <xf numFmtId="174" fontId="2" fillId="0" borderId="35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172" fontId="5" fillId="0" borderId="12" xfId="33" applyFont="1" applyFill="1" applyBorder="1">
      <alignment/>
      <protection/>
    </xf>
    <xf numFmtId="172" fontId="5" fillId="0" borderId="40" xfId="33" applyFont="1" applyFill="1" applyBorder="1">
      <alignment/>
      <protection/>
    </xf>
    <xf numFmtId="3" fontId="0" fillId="0" borderId="12" xfId="0" applyNumberFormat="1" applyFont="1" applyBorder="1" applyAlignment="1">
      <alignment/>
    </xf>
    <xf numFmtId="3" fontId="35" fillId="33" borderId="24" xfId="0" applyNumberFormat="1" applyFont="1" applyFill="1" applyBorder="1" applyAlignment="1">
      <alignment/>
    </xf>
    <xf numFmtId="172" fontId="5" fillId="0" borderId="22" xfId="33" applyFont="1" applyFill="1" applyBorder="1">
      <alignment/>
      <protection/>
    </xf>
    <xf numFmtId="172" fontId="5" fillId="0" borderId="41" xfId="33" applyFont="1" applyFill="1" applyBorder="1">
      <alignment/>
      <protection/>
    </xf>
    <xf numFmtId="3" fontId="0" fillId="0" borderId="22" xfId="0" applyNumberFormat="1" applyFont="1" applyBorder="1" applyAlignment="1">
      <alignment/>
    </xf>
    <xf numFmtId="3" fontId="35" fillId="33" borderId="33" xfId="0" applyNumberFormat="1" applyFont="1" applyFill="1" applyBorder="1" applyAlignment="1">
      <alignment/>
    </xf>
    <xf numFmtId="172" fontId="2" fillId="0" borderId="31" xfId="0" applyFont="1" applyBorder="1" applyAlignment="1">
      <alignment horizontal="center" vertical="center"/>
    </xf>
    <xf numFmtId="172" fontId="35" fillId="0" borderId="42" xfId="0" applyFont="1" applyBorder="1" applyAlignment="1">
      <alignment/>
    </xf>
    <xf numFmtId="3" fontId="35" fillId="0" borderId="35" xfId="0" applyNumberFormat="1" applyFont="1" applyBorder="1" applyAlignment="1">
      <alignment/>
    </xf>
    <xf numFmtId="3" fontId="35" fillId="33" borderId="39" xfId="0" applyNumberFormat="1" applyFont="1" applyFill="1" applyBorder="1" applyAlignment="1">
      <alignment/>
    </xf>
    <xf numFmtId="3" fontId="35" fillId="33" borderId="43" xfId="0" applyNumberFormat="1" applyFont="1" applyFill="1" applyBorder="1" applyAlignment="1">
      <alignment/>
    </xf>
    <xf numFmtId="3" fontId="35" fillId="33" borderId="44" xfId="0" applyNumberFormat="1" applyFont="1" applyFill="1" applyBorder="1" applyAlignment="1">
      <alignment/>
    </xf>
    <xf numFmtId="172" fontId="2" fillId="0" borderId="45" xfId="0" applyFont="1" applyBorder="1" applyAlignment="1">
      <alignment horizontal="center" vertical="center"/>
    </xf>
    <xf numFmtId="172" fontId="2" fillId="0" borderId="46" xfId="0" applyFont="1" applyBorder="1" applyAlignment="1">
      <alignment horizontal="center" vertical="center"/>
    </xf>
    <xf numFmtId="172" fontId="2" fillId="0" borderId="47" xfId="0" applyFont="1" applyBorder="1" applyAlignment="1">
      <alignment horizontal="center" vertical="center"/>
    </xf>
    <xf numFmtId="172" fontId="2" fillId="0" borderId="48" xfId="0" applyFont="1" applyBorder="1" applyAlignment="1">
      <alignment horizontal="center" vertical="center"/>
    </xf>
    <xf numFmtId="172" fontId="35" fillId="0" borderId="42" xfId="0" applyFont="1" applyBorder="1" applyAlignment="1">
      <alignment wrapText="1"/>
    </xf>
    <xf numFmtId="4" fontId="35" fillId="0" borderId="35" xfId="0" applyNumberFormat="1" applyFont="1" applyFill="1" applyBorder="1" applyAlignment="1">
      <alignment/>
    </xf>
    <xf numFmtId="3" fontId="35" fillId="0" borderId="35" xfId="0" applyNumberFormat="1" applyFont="1" applyBorder="1" applyAlignment="1">
      <alignment/>
    </xf>
    <xf numFmtId="3" fontId="35" fillId="33" borderId="39" xfId="0" applyNumberFormat="1" applyFont="1" applyFill="1" applyBorder="1" applyAlignment="1">
      <alignment/>
    </xf>
    <xf numFmtId="3" fontId="35" fillId="33" borderId="43" xfId="0" applyNumberFormat="1" applyFont="1" applyFill="1" applyBorder="1" applyAlignment="1">
      <alignment/>
    </xf>
    <xf numFmtId="3" fontId="35" fillId="33" borderId="44" xfId="0" applyNumberFormat="1" applyFont="1" applyFill="1" applyBorder="1" applyAlignment="1">
      <alignment/>
    </xf>
    <xf numFmtId="10" fontId="0" fillId="36" borderId="24" xfId="0" applyNumberFormat="1" applyFill="1" applyBorder="1" applyAlignment="1">
      <alignment/>
    </xf>
    <xf numFmtId="173" fontId="0" fillId="0" borderId="33" xfId="0" applyNumberFormat="1" applyFill="1" applyBorder="1" applyAlignment="1">
      <alignment/>
    </xf>
    <xf numFmtId="1" fontId="0" fillId="0" borderId="0" xfId="0" applyNumberFormat="1" applyAlignment="1">
      <alignment/>
    </xf>
    <xf numFmtId="1" fontId="35" fillId="34" borderId="49" xfId="0" applyNumberFormat="1" applyFont="1" applyFill="1" applyBorder="1" applyAlignment="1">
      <alignment/>
    </xf>
    <xf numFmtId="172" fontId="0" fillId="0" borderId="50" xfId="0" applyFill="1" applyBorder="1" applyAlignment="1">
      <alignment vertical="justify" wrapText="1"/>
    </xf>
    <xf numFmtId="172" fontId="2" fillId="0" borderId="31" xfId="0" applyFont="1" applyBorder="1" applyAlignment="1">
      <alignment horizontal="center"/>
    </xf>
    <xf numFmtId="172" fontId="35" fillId="0" borderId="49" xfId="0" applyFont="1" applyBorder="1" applyAlignment="1">
      <alignment/>
    </xf>
    <xf numFmtId="0" fontId="35" fillId="0" borderId="51" xfId="0" applyNumberFormat="1" applyFont="1" applyBorder="1" applyAlignment="1">
      <alignment/>
    </xf>
    <xf numFmtId="172" fontId="35" fillId="0" borderId="51" xfId="0" applyFont="1" applyBorder="1" applyAlignment="1">
      <alignment/>
    </xf>
    <xf numFmtId="172" fontId="2" fillId="0" borderId="52" xfId="0" applyFont="1" applyBorder="1" applyAlignment="1">
      <alignment horizontal="center"/>
    </xf>
    <xf numFmtId="172" fontId="35" fillId="0" borderId="42" xfId="0" applyFont="1" applyFill="1" applyBorder="1" applyAlignment="1">
      <alignment vertical="justify" wrapText="1"/>
    </xf>
    <xf numFmtId="172" fontId="35" fillId="0" borderId="0" xfId="0" applyFont="1" applyAlignment="1">
      <alignment/>
    </xf>
    <xf numFmtId="0" fontId="35" fillId="0" borderId="53" xfId="0" applyNumberFormat="1" applyFont="1" applyBorder="1" applyAlignment="1">
      <alignment/>
    </xf>
    <xf numFmtId="0" fontId="35" fillId="0" borderId="53" xfId="0" applyNumberFormat="1" applyFont="1" applyFill="1" applyBorder="1" applyAlignment="1">
      <alignment horizontal="center" vertical="center"/>
    </xf>
    <xf numFmtId="172" fontId="35" fillId="0" borderId="0" xfId="0" applyFont="1" applyFill="1" applyAlignment="1">
      <alignment/>
    </xf>
    <xf numFmtId="173" fontId="0" fillId="0" borderId="54" xfId="0" applyNumberFormat="1" applyBorder="1" applyAlignment="1">
      <alignment/>
    </xf>
    <xf numFmtId="172" fontId="35" fillId="0" borderId="36" xfId="0" applyFont="1" applyFill="1" applyBorder="1" applyAlignment="1">
      <alignment vertical="justify" wrapText="1"/>
    </xf>
    <xf numFmtId="172" fontId="35" fillId="0" borderId="51" xfId="0" applyFont="1" applyFill="1" applyBorder="1" applyAlignment="1">
      <alignment vertical="justify" wrapText="1"/>
    </xf>
    <xf numFmtId="2" fontId="35" fillId="0" borderId="51" xfId="0" applyNumberFormat="1" applyFont="1" applyBorder="1" applyAlignment="1">
      <alignment/>
    </xf>
    <xf numFmtId="0" fontId="25" fillId="0" borderId="12" xfId="55" applyFont="1" applyFill="1" applyBorder="1">
      <alignment/>
      <protection/>
    </xf>
    <xf numFmtId="0" fontId="25" fillId="0" borderId="24" xfId="55" applyFont="1" applyFill="1" applyBorder="1">
      <alignment/>
      <protection/>
    </xf>
    <xf numFmtId="0" fontId="25" fillId="0" borderId="10" xfId="55" applyFont="1" applyFill="1" applyBorder="1">
      <alignment/>
      <protection/>
    </xf>
    <xf numFmtId="1" fontId="25" fillId="0" borderId="10" xfId="55" applyNumberFormat="1" applyFont="1" applyFill="1" applyBorder="1" applyAlignment="1">
      <alignment horizontal="right" wrapText="1"/>
      <protection/>
    </xf>
    <xf numFmtId="0" fontId="25" fillId="0" borderId="25" xfId="55" applyFont="1" applyFill="1" applyBorder="1">
      <alignment/>
      <protection/>
    </xf>
    <xf numFmtId="2" fontId="25" fillId="0" borderId="13" xfId="55" applyNumberFormat="1" applyFont="1" applyFill="1" applyBorder="1">
      <alignment/>
      <protection/>
    </xf>
    <xf numFmtId="2" fontId="25" fillId="0" borderId="10" xfId="55" applyNumberFormat="1" applyFont="1" applyFill="1" applyBorder="1">
      <alignment/>
      <protection/>
    </xf>
    <xf numFmtId="0" fontId="25" fillId="0" borderId="22" xfId="55" applyFont="1" applyFill="1" applyBorder="1">
      <alignment/>
      <protection/>
    </xf>
    <xf numFmtId="0" fontId="25" fillId="0" borderId="33" xfId="55" applyFont="1" applyFill="1" applyBorder="1">
      <alignment/>
      <protection/>
    </xf>
    <xf numFmtId="172" fontId="0" fillId="0" borderId="55" xfId="0" applyFill="1" applyBorder="1" applyAlignment="1">
      <alignment vertical="justify" wrapText="1"/>
    </xf>
    <xf numFmtId="172" fontId="0" fillId="0" borderId="56" xfId="0" applyFill="1" applyBorder="1" applyAlignment="1">
      <alignment vertical="justify" wrapText="1"/>
    </xf>
    <xf numFmtId="172" fontId="0" fillId="0" borderId="57" xfId="0" applyFill="1" applyBorder="1" applyAlignment="1">
      <alignment vertical="justify" wrapText="1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35" fillId="0" borderId="39" xfId="0" applyNumberFormat="1" applyFont="1" applyBorder="1" applyAlignment="1">
      <alignment/>
    </xf>
    <xf numFmtId="172" fontId="35" fillId="34" borderId="51" xfId="0" applyFont="1" applyFill="1" applyBorder="1" applyAlignment="1">
      <alignment/>
    </xf>
    <xf numFmtId="1" fontId="0" fillId="0" borderId="0" xfId="0" applyNumberFormat="1" applyAlignment="1">
      <alignment horizontal="right"/>
    </xf>
    <xf numFmtId="172" fontId="1" fillId="0" borderId="51" xfId="0" applyFont="1" applyBorder="1" applyAlignment="1">
      <alignment horizontal="justify" vertical="justify" wrapText="1"/>
    </xf>
    <xf numFmtId="175" fontId="25" fillId="35" borderId="12" xfId="0" applyNumberFormat="1" applyFont="1" applyFill="1" applyBorder="1" applyAlignment="1">
      <alignment/>
    </xf>
    <xf numFmtId="175" fontId="25" fillId="36" borderId="12" xfId="0" applyNumberFormat="1" applyFont="1" applyFill="1" applyBorder="1" applyAlignment="1">
      <alignment/>
    </xf>
    <xf numFmtId="175" fontId="25" fillId="35" borderId="55" xfId="0" applyNumberFormat="1" applyFont="1" applyFill="1" applyBorder="1" applyAlignment="1">
      <alignment/>
    </xf>
    <xf numFmtId="175" fontId="25" fillId="36" borderId="12" xfId="0" applyNumberFormat="1" applyFont="1" applyFill="1" applyBorder="1" applyAlignment="1">
      <alignment horizontal="right"/>
    </xf>
    <xf numFmtId="175" fontId="25" fillId="35" borderId="58" xfId="0" applyNumberFormat="1" applyFont="1" applyFill="1" applyBorder="1" applyAlignment="1">
      <alignment/>
    </xf>
    <xf numFmtId="175" fontId="25" fillId="36" borderId="10" xfId="0" applyNumberFormat="1" applyFont="1" applyFill="1" applyBorder="1" applyAlignment="1">
      <alignment horizontal="right"/>
    </xf>
    <xf numFmtId="175" fontId="25" fillId="36" borderId="22" xfId="0" applyNumberFormat="1" applyFont="1" applyFill="1" applyBorder="1" applyAlignment="1">
      <alignment horizontal="right"/>
    </xf>
    <xf numFmtId="175" fontId="25" fillId="36" borderId="10" xfId="0" applyNumberFormat="1" applyFont="1" applyFill="1" applyBorder="1" applyAlignment="1">
      <alignment/>
    </xf>
    <xf numFmtId="175" fontId="25" fillId="36" borderId="22" xfId="0" applyNumberFormat="1" applyFont="1" applyFill="1" applyBorder="1" applyAlignment="1">
      <alignment/>
    </xf>
    <xf numFmtId="172" fontId="35" fillId="0" borderId="0" xfId="0" applyFont="1" applyAlignment="1">
      <alignment horizontal="left" vertical="center"/>
    </xf>
    <xf numFmtId="0" fontId="45" fillId="0" borderId="0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172" fontId="2" fillId="0" borderId="11" xfId="0" applyFont="1" applyBorder="1" applyAlignment="1">
      <alignment horizontal="left" vertical="top" wrapText="1"/>
    </xf>
    <xf numFmtId="172" fontId="0" fillId="0" borderId="14" xfId="0" applyFill="1" applyBorder="1" applyAlignment="1">
      <alignment vertical="justify" wrapText="1"/>
    </xf>
    <xf numFmtId="172" fontId="0" fillId="0" borderId="11" xfId="0" applyFill="1" applyBorder="1" applyAlignment="1">
      <alignment vertical="justify" wrapText="1"/>
    </xf>
    <xf numFmtId="172" fontId="35" fillId="0" borderId="31" xfId="0" applyFont="1" applyBorder="1" applyAlignment="1">
      <alignment/>
    </xf>
    <xf numFmtId="2" fontId="35" fillId="0" borderId="35" xfId="0" applyNumberFormat="1" applyFont="1" applyBorder="1" applyAlignment="1">
      <alignment/>
    </xf>
    <xf numFmtId="1" fontId="35" fillId="0" borderId="35" xfId="0" applyNumberFormat="1" applyFont="1" applyBorder="1" applyAlignment="1">
      <alignment/>
    </xf>
    <xf numFmtId="176" fontId="0" fillId="0" borderId="25" xfId="0" applyNumberFormat="1" applyFill="1" applyBorder="1" applyAlignment="1">
      <alignment/>
    </xf>
    <xf numFmtId="174" fontId="35" fillId="0" borderId="35" xfId="0" applyNumberFormat="1" applyFont="1" applyFill="1" applyBorder="1" applyAlignment="1">
      <alignment/>
    </xf>
    <xf numFmtId="175" fontId="35" fillId="0" borderId="35" xfId="0" applyNumberFormat="1" applyFont="1" applyFill="1" applyBorder="1" applyAlignment="1">
      <alignment/>
    </xf>
    <xf numFmtId="2" fontId="25" fillId="0" borderId="11" xfId="55" applyNumberFormat="1" applyFont="1" applyFill="1" applyBorder="1">
      <alignment/>
      <protection/>
    </xf>
    <xf numFmtId="2" fontId="25" fillId="0" borderId="14" xfId="55" applyNumberFormat="1" applyFont="1" applyFill="1" applyBorder="1">
      <alignment/>
      <protection/>
    </xf>
    <xf numFmtId="2" fontId="25" fillId="0" borderId="12" xfId="55" applyNumberFormat="1" applyFont="1" applyFill="1" applyBorder="1">
      <alignment/>
      <protection/>
    </xf>
    <xf numFmtId="2" fontId="25" fillId="0" borderId="22" xfId="55" applyNumberFormat="1" applyFont="1" applyFill="1" applyBorder="1">
      <alignment/>
      <protection/>
    </xf>
    <xf numFmtId="174" fontId="0" fillId="0" borderId="12" xfId="0" applyNumberFormat="1" applyFont="1" applyFill="1" applyBorder="1" applyAlignment="1">
      <alignment/>
    </xf>
    <xf numFmtId="175" fontId="25" fillId="35" borderId="42" xfId="0" applyNumberFormat="1" applyFont="1" applyFill="1" applyBorder="1" applyAlignment="1">
      <alignment/>
    </xf>
    <xf numFmtId="175" fontId="25" fillId="35" borderId="10" xfId="0" applyNumberFormat="1" applyFont="1" applyFill="1" applyBorder="1" applyAlignment="1">
      <alignment/>
    </xf>
    <xf numFmtId="175" fontId="25" fillId="35" borderId="22" xfId="0" applyNumberFormat="1" applyFont="1" applyFill="1" applyBorder="1" applyAlignment="1">
      <alignment/>
    </xf>
    <xf numFmtId="175" fontId="2" fillId="0" borderId="35" xfId="0" applyNumberFormat="1" applyFont="1" applyBorder="1" applyAlignment="1">
      <alignment/>
    </xf>
    <xf numFmtId="172" fontId="0" fillId="0" borderId="31" xfId="0" applyFill="1" applyBorder="1" applyAlignment="1">
      <alignment/>
    </xf>
    <xf numFmtId="172" fontId="0" fillId="0" borderId="59" xfId="0" applyFill="1" applyBorder="1" applyAlignment="1">
      <alignment/>
    </xf>
    <xf numFmtId="172" fontId="0" fillId="0" borderId="12" xfId="0" applyFill="1" applyBorder="1" applyAlignment="1">
      <alignment/>
    </xf>
    <xf numFmtId="172" fontId="0" fillId="0" borderId="24" xfId="0" applyFill="1" applyBorder="1" applyAlignment="1">
      <alignment/>
    </xf>
    <xf numFmtId="172" fontId="0" fillId="0" borderId="51" xfId="0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2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2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2" xfId="0" applyNumberFormat="1" applyBorder="1" applyAlignment="1">
      <alignment/>
    </xf>
    <xf numFmtId="2" fontId="25" fillId="35" borderId="10" xfId="0" applyNumberFormat="1" applyFont="1" applyFill="1" applyBorder="1" applyAlignment="1">
      <alignment/>
    </xf>
    <xf numFmtId="172" fontId="0" fillId="0" borderId="11" xfId="0" applyFill="1" applyBorder="1" applyAlignment="1">
      <alignment/>
    </xf>
    <xf numFmtId="2" fontId="25" fillId="35" borderId="12" xfId="0" applyNumberFormat="1" applyFont="1" applyFill="1" applyBorder="1" applyAlignment="1">
      <alignment/>
    </xf>
    <xf numFmtId="172" fontId="0" fillId="0" borderId="13" xfId="0" applyFill="1" applyBorder="1" applyAlignment="1">
      <alignment/>
    </xf>
    <xf numFmtId="172" fontId="0" fillId="0" borderId="14" xfId="0" applyFill="1" applyBorder="1" applyAlignment="1">
      <alignment/>
    </xf>
    <xf numFmtId="2" fontId="25" fillId="35" borderId="22" xfId="0" applyNumberFormat="1" applyFont="1" applyFill="1" applyBorder="1" applyAlignment="1">
      <alignment/>
    </xf>
    <xf numFmtId="172" fontId="46" fillId="0" borderId="0" xfId="0" applyFont="1" applyAlignment="1">
      <alignment wrapText="1"/>
    </xf>
    <xf numFmtId="172" fontId="25" fillId="0" borderId="0" xfId="0" applyFont="1" applyAlignment="1">
      <alignment/>
    </xf>
    <xf numFmtId="184" fontId="0" fillId="0" borderId="0" xfId="0" applyNumberFormat="1" applyAlignment="1">
      <alignment/>
    </xf>
    <xf numFmtId="172" fontId="31" fillId="0" borderId="0" xfId="43" applyAlignment="1">
      <alignment/>
    </xf>
    <xf numFmtId="185" fontId="0" fillId="0" borderId="27" xfId="0" applyNumberFormat="1" applyBorder="1" applyAlignment="1">
      <alignment/>
    </xf>
    <xf numFmtId="172" fontId="2" fillId="0" borderId="54" xfId="0" applyFont="1" applyBorder="1" applyAlignment="1">
      <alignment horizontal="center"/>
    </xf>
    <xf numFmtId="172" fontId="2" fillId="0" borderId="0" xfId="0" applyFont="1" applyBorder="1" applyAlignment="1">
      <alignment horizontal="center"/>
    </xf>
    <xf numFmtId="172" fontId="2" fillId="0" borderId="0" xfId="0" applyFont="1" applyAlignment="1">
      <alignment horizontal="center"/>
    </xf>
    <xf numFmtId="172" fontId="2" fillId="0" borderId="0" xfId="0" applyFont="1" applyFill="1" applyBorder="1" applyAlignment="1">
      <alignment horizontal="left" vertical="center" wrapText="1"/>
    </xf>
    <xf numFmtId="172" fontId="0" fillId="0" borderId="17" xfId="0" applyBorder="1" applyAlignment="1">
      <alignment horizontal="left" vertical="center"/>
    </xf>
    <xf numFmtId="172" fontId="0" fillId="0" borderId="18" xfId="0" applyBorder="1" applyAlignment="1">
      <alignment horizontal="left" vertical="center"/>
    </xf>
    <xf numFmtId="172" fontId="0" fillId="0" borderId="11" xfId="0" applyBorder="1" applyAlignment="1">
      <alignment horizontal="left" vertical="center" wrapText="1"/>
    </xf>
    <xf numFmtId="172" fontId="0" fillId="0" borderId="12" xfId="0" applyBorder="1" applyAlignment="1">
      <alignment horizontal="left" vertical="center" wrapText="1"/>
    </xf>
    <xf numFmtId="172" fontId="0" fillId="0" borderId="14" xfId="0" applyBorder="1" applyAlignment="1">
      <alignment horizontal="left" vertical="center" wrapText="1"/>
    </xf>
    <xf numFmtId="172" fontId="0" fillId="0" borderId="22" xfId="0" applyBorder="1" applyAlignment="1">
      <alignment horizontal="left" vertical="center" wrapText="1"/>
    </xf>
    <xf numFmtId="172" fontId="0" fillId="0" borderId="47" xfId="0" applyBorder="1" applyAlignment="1">
      <alignment horizontal="center" vertical="center"/>
    </xf>
    <xf numFmtId="172" fontId="0" fillId="0" borderId="20" xfId="0" applyBorder="1" applyAlignment="1">
      <alignment horizontal="center" vertical="center"/>
    </xf>
    <xf numFmtId="1" fontId="0" fillId="0" borderId="48" xfId="0" applyNumberFormat="1" applyBorder="1" applyAlignment="1">
      <alignment horizontal="right"/>
    </xf>
    <xf numFmtId="1" fontId="0" fillId="0" borderId="60" xfId="0" applyNumberFormat="1" applyBorder="1" applyAlignment="1">
      <alignment horizontal="right"/>
    </xf>
    <xf numFmtId="172" fontId="2" fillId="0" borderId="0" xfId="0" applyFont="1" applyFill="1" applyAlignment="1">
      <alignment horizontal="center"/>
    </xf>
    <xf numFmtId="172" fontId="0" fillId="0" borderId="11" xfId="0" applyBorder="1" applyAlignment="1">
      <alignment horizontal="left" vertical="center"/>
    </xf>
    <xf numFmtId="172" fontId="0" fillId="0" borderId="12" xfId="0" applyBorder="1" applyAlignment="1">
      <alignment horizontal="left" vertical="center"/>
    </xf>
    <xf numFmtId="172" fontId="0" fillId="0" borderId="13" xfId="0" applyBorder="1" applyAlignment="1">
      <alignment horizontal="left" vertical="center"/>
    </xf>
    <xf numFmtId="172" fontId="0" fillId="0" borderId="10" xfId="0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hysics.nist.gov/cuu/pdf/sp811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3"/>
  <sheetViews>
    <sheetView zoomScalePageLayoutView="0" workbookViewId="0" topLeftCell="A45">
      <selection activeCell="D47" sqref="D47"/>
    </sheetView>
  </sheetViews>
  <sheetFormatPr defaultColWidth="9.140625" defaultRowHeight="15"/>
  <sheetData>
    <row r="6" spans="3:12" ht="15"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3:12" ht="15"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3:12" ht="15"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3:12" ht="1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3:12" ht="1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3:12" ht="1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3:12" ht="15"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3:12" ht="15"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3:12" ht="15"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3:12" ht="15"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3:12" ht="15"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3:12" ht="15"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3:12" ht="15"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3:12" ht="15"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3:12" ht="15"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3:12" ht="15"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3:12" ht="15"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3:12" ht="15"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4059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37">
      <selection activeCell="H53" sqref="H53"/>
    </sheetView>
  </sheetViews>
  <sheetFormatPr defaultColWidth="9.140625" defaultRowHeight="15"/>
  <cols>
    <col min="1" max="1" width="11.140625" style="0" customWidth="1"/>
    <col min="2" max="2" width="16.28125" style="0" customWidth="1"/>
    <col min="3" max="3" width="24.421875" style="0" customWidth="1"/>
    <col min="4" max="4" width="24.7109375" style="0" bestFit="1" customWidth="1"/>
    <col min="5" max="5" width="12.8515625" style="0" customWidth="1"/>
    <col min="6" max="6" width="6.140625" style="0" customWidth="1"/>
    <col min="7" max="7" width="7.28125" style="0" customWidth="1"/>
    <col min="8" max="8" width="5.28125" style="0" customWidth="1"/>
    <col min="9" max="9" width="5.7109375" style="0" customWidth="1"/>
    <col min="10" max="10" width="5.57421875" style="0" customWidth="1"/>
    <col min="11" max="11" width="12.00390625" style="0" bestFit="1" customWidth="1"/>
  </cols>
  <sheetData>
    <row r="2" spans="5:7" ht="15">
      <c r="E2" s="53"/>
      <c r="F2" s="53"/>
      <c r="G2" s="53"/>
    </row>
    <row r="3" spans="2:5" ht="15.75" thickBot="1">
      <c r="B3" s="203"/>
      <c r="C3" s="204"/>
      <c r="D3" s="204"/>
      <c r="E3" s="204"/>
    </row>
    <row r="4" spans="2:5" ht="30.75" thickBot="1">
      <c r="B4" s="146" t="s">
        <v>88</v>
      </c>
      <c r="C4" s="32"/>
      <c r="D4" s="32"/>
      <c r="E4" s="32"/>
    </row>
    <row r="5" spans="1:7" ht="52.5" thickBot="1">
      <c r="A5" s="54" t="s">
        <v>79</v>
      </c>
      <c r="B5" s="61">
        <f>ROUND(((8080+8110+8068)/3)*1000*E5,2)</f>
        <v>33.85</v>
      </c>
      <c r="C5" s="198" t="s">
        <v>90</v>
      </c>
      <c r="D5" s="25" t="s">
        <v>71</v>
      </c>
      <c r="E5" s="202">
        <f>4.1868/1000000</f>
        <v>4.1867999999999995E-06</v>
      </c>
      <c r="F5" t="s">
        <v>95</v>
      </c>
      <c r="G5" s="201" t="s">
        <v>96</v>
      </c>
    </row>
    <row r="6" spans="1:5" ht="15">
      <c r="A6" s="55" t="s">
        <v>80</v>
      </c>
      <c r="B6" s="62">
        <f>ROUND(((8173+8120+8150)/3)*1000*E5,2)</f>
        <v>34.11</v>
      </c>
      <c r="E6" s="200"/>
    </row>
    <row r="7" spans="1:5" ht="15.75" thickBot="1">
      <c r="A7" s="56" t="s">
        <v>81</v>
      </c>
      <c r="B7" s="63">
        <f>ROUND(((8205+8186)/2)*1000*E5,2)</f>
        <v>34.31</v>
      </c>
      <c r="E7" s="200"/>
    </row>
    <row r="8" ht="15">
      <c r="A8" s="1"/>
    </row>
    <row r="9" spans="2:6" ht="15.75" thickBot="1">
      <c r="B9" s="217" t="s">
        <v>2</v>
      </c>
      <c r="C9" s="217"/>
      <c r="D9" s="217"/>
      <c r="E9" s="217"/>
      <c r="F9" s="12"/>
    </row>
    <row r="10" spans="2:6" ht="15.75" thickBot="1">
      <c r="B10" s="177"/>
      <c r="C10" s="178" t="s">
        <v>4</v>
      </c>
      <c r="D10" s="179" t="s">
        <v>5</v>
      </c>
      <c r="E10" s="180" t="s">
        <v>6</v>
      </c>
      <c r="F10" s="12"/>
    </row>
    <row r="11" spans="2:6" ht="15.75" thickBot="1">
      <c r="B11" s="181" t="s">
        <v>3</v>
      </c>
      <c r="C11" s="182">
        <f>600/5</f>
        <v>120</v>
      </c>
      <c r="D11" s="183">
        <f>35000/100</f>
        <v>350</v>
      </c>
      <c r="E11" s="183">
        <f>C11*D11</f>
        <v>42000</v>
      </c>
      <c r="F11" s="12"/>
    </row>
    <row r="12" spans="2:6" ht="15.75" thickBot="1">
      <c r="B12" s="181" t="s">
        <v>7</v>
      </c>
      <c r="C12" s="182">
        <f>600/5</f>
        <v>120</v>
      </c>
      <c r="D12" s="183">
        <f>35000/100</f>
        <v>350</v>
      </c>
      <c r="E12" s="183">
        <f>C12*D12</f>
        <v>42000</v>
      </c>
      <c r="F12" s="12"/>
    </row>
    <row r="13" spans="2:6" ht="15.75" thickBot="1">
      <c r="B13" s="181" t="s">
        <v>8</v>
      </c>
      <c r="C13" s="182">
        <f>1000/5</f>
        <v>200</v>
      </c>
      <c r="D13" s="183">
        <f>35000/100</f>
        <v>350</v>
      </c>
      <c r="E13" s="183">
        <f>C13*D13</f>
        <v>70000</v>
      </c>
      <c r="F13" s="12"/>
    </row>
    <row r="14" spans="2:6" ht="15.75" thickBot="1">
      <c r="B14" s="181" t="s">
        <v>9</v>
      </c>
      <c r="C14" s="182">
        <f>500/5</f>
        <v>100</v>
      </c>
      <c r="D14" s="183">
        <f>35000/100</f>
        <v>350</v>
      </c>
      <c r="E14" s="183">
        <f>C14*D14</f>
        <v>35000</v>
      </c>
      <c r="F14" s="12"/>
    </row>
    <row r="16" spans="2:4" ht="15.75" thickBot="1">
      <c r="B16" s="205" t="s">
        <v>10</v>
      </c>
      <c r="C16" s="205"/>
      <c r="D16" s="205"/>
    </row>
    <row r="17" spans="2:5" ht="15">
      <c r="B17" s="3" t="s">
        <v>78</v>
      </c>
      <c r="C17" s="4" t="s">
        <v>0</v>
      </c>
      <c r="D17" s="66">
        <v>0.0561</v>
      </c>
      <c r="E17" t="s">
        <v>100</v>
      </c>
    </row>
    <row r="18" spans="2:5" ht="15">
      <c r="B18" s="20" t="s">
        <v>97</v>
      </c>
      <c r="C18" s="2" t="s">
        <v>0</v>
      </c>
      <c r="D18" s="165">
        <v>0.0983</v>
      </c>
      <c r="E18" t="s">
        <v>98</v>
      </c>
    </row>
    <row r="19" spans="2:5" ht="15.75" thickBot="1">
      <c r="B19" s="6" t="s">
        <v>11</v>
      </c>
      <c r="C19" s="21" t="s">
        <v>1</v>
      </c>
      <c r="D19" s="67">
        <v>1.09</v>
      </c>
      <c r="E19" s="199" t="s">
        <v>99</v>
      </c>
    </row>
    <row r="21" ht="15">
      <c r="E21" s="199"/>
    </row>
    <row r="22" spans="2:4" ht="15.75" thickBot="1">
      <c r="B22" s="206" t="s">
        <v>87</v>
      </c>
      <c r="C22" s="206"/>
      <c r="D22" s="206"/>
    </row>
    <row r="23" spans="2:10" ht="15.75" thickBot="1">
      <c r="B23" s="44" t="s">
        <v>20</v>
      </c>
      <c r="C23" s="45" t="s">
        <v>94</v>
      </c>
      <c r="G23" s="156"/>
      <c r="H23" s="156"/>
      <c r="I23" s="156"/>
      <c r="J23" s="156"/>
    </row>
    <row r="24" spans="2:13" ht="15">
      <c r="B24" s="161" t="s">
        <v>69</v>
      </c>
      <c r="C24" s="58">
        <v>1005.3</v>
      </c>
      <c r="F24" s="104"/>
      <c r="G24" s="42"/>
      <c r="H24" s="157"/>
      <c r="I24" s="53"/>
      <c r="J24" s="53"/>
      <c r="K24" s="53"/>
      <c r="L24" s="53"/>
      <c r="M24" s="53"/>
    </row>
    <row r="25" spans="2:13" ht="15">
      <c r="B25" s="40" t="s">
        <v>68</v>
      </c>
      <c r="C25" s="57">
        <v>861.5</v>
      </c>
      <c r="F25" s="104"/>
      <c r="G25" s="42"/>
      <c r="H25" s="157"/>
      <c r="I25" s="53"/>
      <c r="J25" s="53"/>
      <c r="K25" s="53"/>
      <c r="L25" s="53"/>
      <c r="M25" s="53"/>
    </row>
    <row r="26" spans="2:13" ht="15">
      <c r="B26" s="40" t="s">
        <v>67</v>
      </c>
      <c r="C26" s="57">
        <v>861.5</v>
      </c>
      <c r="F26" s="104"/>
      <c r="G26" s="42"/>
      <c r="H26" s="157"/>
      <c r="I26" s="53"/>
      <c r="J26" s="53"/>
      <c r="K26" s="53"/>
      <c r="L26" s="53"/>
      <c r="M26" s="53"/>
    </row>
    <row r="27" spans="2:13" ht="15">
      <c r="B27" s="40" t="s">
        <v>13</v>
      </c>
      <c r="C27" s="57">
        <v>931.4</v>
      </c>
      <c r="F27" s="104"/>
      <c r="G27" s="42"/>
      <c r="H27" s="157"/>
      <c r="I27" s="53"/>
      <c r="J27" s="53"/>
      <c r="K27" s="53"/>
      <c r="L27" s="53"/>
      <c r="M27" s="53"/>
    </row>
    <row r="28" spans="2:13" ht="15.75" customHeight="1">
      <c r="B28" s="40" t="s">
        <v>56</v>
      </c>
      <c r="C28" s="57">
        <v>682</v>
      </c>
      <c r="F28" s="104"/>
      <c r="G28" s="42"/>
      <c r="H28" s="158"/>
      <c r="I28" s="53"/>
      <c r="J28" s="53"/>
      <c r="K28" s="53"/>
      <c r="L28" s="53"/>
      <c r="M28" s="53"/>
    </row>
    <row r="29" spans="2:13" ht="15">
      <c r="B29" s="40" t="s">
        <v>57</v>
      </c>
      <c r="C29" s="57">
        <v>682</v>
      </c>
      <c r="D29" s="12"/>
      <c r="F29" s="104"/>
      <c r="G29" s="42"/>
      <c r="H29" s="53"/>
      <c r="I29" s="53"/>
      <c r="J29" s="53"/>
      <c r="K29" s="53"/>
      <c r="L29" s="53"/>
      <c r="M29" s="53"/>
    </row>
    <row r="30" spans="2:13" ht="15">
      <c r="B30" s="40" t="s">
        <v>58</v>
      </c>
      <c r="C30" s="57">
        <v>682</v>
      </c>
      <c r="D30" s="12"/>
      <c r="F30" s="104"/>
      <c r="G30" s="42"/>
      <c r="H30" s="53"/>
      <c r="I30" s="53"/>
      <c r="J30" s="53"/>
      <c r="K30" s="53"/>
      <c r="L30" s="53"/>
      <c r="M30" s="53"/>
    </row>
    <row r="31" spans="2:13" ht="15" customHeight="1">
      <c r="B31" s="40" t="s">
        <v>60</v>
      </c>
      <c r="C31" s="57">
        <v>682</v>
      </c>
      <c r="D31" s="12"/>
      <c r="F31" s="104"/>
      <c r="G31" s="42"/>
      <c r="H31" s="53"/>
      <c r="I31" s="53"/>
      <c r="J31" s="53"/>
      <c r="K31" s="53"/>
      <c r="L31" s="53"/>
      <c r="M31" s="53"/>
    </row>
    <row r="32" spans="2:13" ht="15" customHeight="1">
      <c r="B32" s="40" t="s">
        <v>85</v>
      </c>
      <c r="C32" s="57">
        <v>694.4</v>
      </c>
      <c r="F32" s="104"/>
      <c r="G32" s="42"/>
      <c r="H32" s="53"/>
      <c r="I32" s="53"/>
      <c r="J32" s="53"/>
      <c r="K32" s="53"/>
      <c r="L32" s="53"/>
      <c r="M32" s="53"/>
    </row>
    <row r="33" spans="2:13" ht="15" customHeight="1">
      <c r="B33" s="40" t="s">
        <v>65</v>
      </c>
      <c r="C33" s="57">
        <v>373</v>
      </c>
      <c r="F33" s="104"/>
      <c r="G33" s="42"/>
      <c r="H33" s="53"/>
      <c r="I33" s="53"/>
      <c r="J33" s="53"/>
      <c r="K33" s="53"/>
      <c r="L33" s="53"/>
      <c r="M33" s="53"/>
    </row>
    <row r="34" spans="2:13" ht="15" customHeight="1">
      <c r="B34" s="40" t="s">
        <v>66</v>
      </c>
      <c r="C34" s="57">
        <v>373</v>
      </c>
      <c r="F34" s="104"/>
      <c r="G34" s="42"/>
      <c r="H34" s="53"/>
      <c r="I34" s="53"/>
      <c r="J34" s="53"/>
      <c r="K34" s="53"/>
      <c r="L34" s="53"/>
      <c r="M34" s="53"/>
    </row>
    <row r="35" spans="2:13" ht="15.75" customHeight="1">
      <c r="B35" s="40" t="s">
        <v>70</v>
      </c>
      <c r="C35" s="57">
        <v>373</v>
      </c>
      <c r="F35" s="104"/>
      <c r="G35" s="42"/>
      <c r="H35" s="53"/>
      <c r="I35" s="53"/>
      <c r="J35" s="53"/>
      <c r="K35" s="53"/>
      <c r="L35" s="53"/>
      <c r="M35" s="53"/>
    </row>
    <row r="36" spans="2:13" ht="15" customHeight="1">
      <c r="B36" s="40" t="s">
        <v>77</v>
      </c>
      <c r="C36" s="57">
        <v>388.7</v>
      </c>
      <c r="F36" s="104"/>
      <c r="G36" s="42"/>
      <c r="H36" s="53"/>
      <c r="I36" s="53"/>
      <c r="J36" s="53"/>
      <c r="K36" s="53"/>
      <c r="L36" s="53"/>
      <c r="M36" s="53"/>
    </row>
    <row r="37" spans="2:13" ht="15" customHeight="1">
      <c r="B37" s="40" t="s">
        <v>12</v>
      </c>
      <c r="C37" s="57">
        <v>388.7</v>
      </c>
      <c r="F37" s="104"/>
      <c r="G37" s="42"/>
      <c r="H37" s="53"/>
      <c r="I37" s="53"/>
      <c r="J37" s="53"/>
      <c r="K37" s="53"/>
      <c r="L37" s="53"/>
      <c r="M37" s="53"/>
    </row>
    <row r="38" spans="2:13" ht="15" customHeight="1">
      <c r="B38" s="40" t="s">
        <v>62</v>
      </c>
      <c r="C38" s="57">
        <v>464.5</v>
      </c>
      <c r="F38" s="104"/>
      <c r="G38" s="42"/>
      <c r="H38" s="53"/>
      <c r="I38" s="53"/>
      <c r="J38" s="53"/>
      <c r="K38" s="53"/>
      <c r="L38" s="53"/>
      <c r="M38" s="53"/>
    </row>
    <row r="39" spans="2:13" ht="15" customHeight="1">
      <c r="B39" s="40" t="s">
        <v>15</v>
      </c>
      <c r="C39" s="57">
        <v>381.4</v>
      </c>
      <c r="F39" s="104"/>
      <c r="G39" s="42"/>
      <c r="H39" s="53"/>
      <c r="I39" s="53"/>
      <c r="J39" s="53"/>
      <c r="K39" s="53"/>
      <c r="L39" s="53"/>
      <c r="M39" s="53"/>
    </row>
    <row r="40" spans="2:13" ht="14.25" customHeight="1">
      <c r="B40" s="40" t="s">
        <v>63</v>
      </c>
      <c r="C40" s="57">
        <v>464.5</v>
      </c>
      <c r="F40" s="104"/>
      <c r="G40" s="42"/>
      <c r="H40" s="53"/>
      <c r="I40" s="53"/>
      <c r="J40" s="53"/>
      <c r="K40" s="53"/>
      <c r="L40" s="53"/>
      <c r="M40" s="53"/>
    </row>
    <row r="41" spans="2:13" ht="15" customHeight="1">
      <c r="B41" s="40" t="s">
        <v>47</v>
      </c>
      <c r="C41" s="57">
        <v>381.4</v>
      </c>
      <c r="E41" s="53"/>
      <c r="F41" s="104"/>
      <c r="G41" s="42"/>
      <c r="H41" s="53"/>
      <c r="I41" s="53"/>
      <c r="J41" s="53"/>
      <c r="K41" s="53"/>
      <c r="L41" s="53"/>
      <c r="M41" s="53"/>
    </row>
    <row r="42" spans="2:13" ht="15" customHeight="1">
      <c r="B42" s="40" t="s">
        <v>48</v>
      </c>
      <c r="C42" s="57">
        <v>381.4</v>
      </c>
      <c r="F42" s="104"/>
      <c r="G42" s="42"/>
      <c r="H42" s="53"/>
      <c r="I42" s="53"/>
      <c r="J42" s="53"/>
      <c r="K42" s="53"/>
      <c r="L42" s="53"/>
      <c r="M42" s="53"/>
    </row>
    <row r="43" spans="2:13" ht="15" customHeight="1">
      <c r="B43" s="40" t="s">
        <v>14</v>
      </c>
      <c r="C43" s="57">
        <v>694.4</v>
      </c>
      <c r="F43" s="104"/>
      <c r="G43" s="42"/>
      <c r="H43" s="53"/>
      <c r="I43" s="53"/>
      <c r="J43" s="53"/>
      <c r="K43" s="53"/>
      <c r="L43" s="53"/>
      <c r="M43" s="53"/>
    </row>
    <row r="44" spans="2:13" ht="15" customHeight="1">
      <c r="B44" s="40" t="s">
        <v>86</v>
      </c>
      <c r="C44" s="57">
        <v>694.4</v>
      </c>
      <c r="F44" s="104"/>
      <c r="G44" s="42"/>
      <c r="H44" s="53"/>
      <c r="I44" s="53"/>
      <c r="J44" s="53"/>
      <c r="K44" s="53"/>
      <c r="L44" s="53"/>
      <c r="M44" s="53"/>
    </row>
    <row r="45" spans="2:13" ht="15" customHeight="1">
      <c r="B45" s="40" t="s">
        <v>54</v>
      </c>
      <c r="C45" s="57">
        <v>381.4</v>
      </c>
      <c r="F45" s="104"/>
      <c r="G45" s="42"/>
      <c r="H45" s="53"/>
      <c r="I45" s="53"/>
      <c r="J45" s="53"/>
      <c r="K45" s="53"/>
      <c r="L45" s="53"/>
      <c r="M45" s="53"/>
    </row>
    <row r="46" spans="2:13" ht="15">
      <c r="B46" s="40" t="s">
        <v>55</v>
      </c>
      <c r="C46" s="57">
        <v>240</v>
      </c>
      <c r="F46" s="104"/>
      <c r="G46" s="42"/>
      <c r="H46" s="53"/>
      <c r="I46" s="53"/>
      <c r="J46" s="53"/>
      <c r="K46" s="53"/>
      <c r="L46" s="53"/>
      <c r="M46" s="53"/>
    </row>
    <row r="47" spans="2:13" ht="15.75" thickBot="1">
      <c r="B47" s="160" t="s">
        <v>61</v>
      </c>
      <c r="C47" s="103">
        <v>240</v>
      </c>
      <c r="F47" s="104"/>
      <c r="G47" s="42"/>
      <c r="H47" s="53"/>
      <c r="I47" s="53"/>
      <c r="J47" s="53"/>
      <c r="K47" s="53"/>
      <c r="L47" s="53"/>
      <c r="M47" s="53"/>
    </row>
    <row r="48" spans="2:13" ht="15">
      <c r="B48" s="43"/>
      <c r="F48" s="104"/>
      <c r="H48" s="53"/>
      <c r="I48" s="53"/>
      <c r="J48" s="53"/>
      <c r="K48" s="53"/>
      <c r="L48" s="53"/>
      <c r="M48" s="53"/>
    </row>
    <row r="49" spans="2:6" ht="15.75" thickBot="1">
      <c r="B49" s="206" t="s">
        <v>28</v>
      </c>
      <c r="C49" s="206"/>
      <c r="D49" s="206"/>
      <c r="F49" s="104"/>
    </row>
    <row r="50" spans="2:6" ht="15">
      <c r="B50" s="218" t="s">
        <v>29</v>
      </c>
      <c r="C50" s="219"/>
      <c r="D50" s="36" t="s">
        <v>30</v>
      </c>
      <c r="E50" s="102">
        <v>0.812</v>
      </c>
      <c r="F50" t="s">
        <v>91</v>
      </c>
    </row>
    <row r="51" spans="2:5" ht="15">
      <c r="B51" s="220" t="s">
        <v>32</v>
      </c>
      <c r="C51" s="221"/>
      <c r="D51" s="37" t="s">
        <v>92</v>
      </c>
      <c r="E51" s="64">
        <f>1.16*3.6</f>
        <v>4.176</v>
      </c>
    </row>
    <row r="52" spans="2:5" ht="15.75" thickBot="1">
      <c r="B52" s="33" t="s">
        <v>31</v>
      </c>
      <c r="C52" s="34"/>
      <c r="D52" s="26" t="s">
        <v>93</v>
      </c>
      <c r="E52" s="65">
        <v>2.8E-05</v>
      </c>
    </row>
    <row r="53" spans="2:4" ht="15">
      <c r="B53" s="35"/>
      <c r="C53" s="35"/>
      <c r="D53" s="35"/>
    </row>
    <row r="54" spans="2:4" ht="15">
      <c r="B54" s="35"/>
      <c r="C54" s="35"/>
      <c r="D54" s="35"/>
    </row>
    <row r="55" spans="2:5" ht="15" customHeight="1" thickBot="1">
      <c r="B55" s="206" t="s">
        <v>33</v>
      </c>
      <c r="C55" s="206"/>
      <c r="D55" s="206"/>
      <c r="E55" s="12"/>
    </row>
    <row r="56" spans="2:5" ht="15.75" thickBot="1">
      <c r="B56" s="207" t="s">
        <v>31</v>
      </c>
      <c r="C56" s="208"/>
      <c r="D56" s="38" t="s">
        <v>93</v>
      </c>
      <c r="E56" s="41">
        <f>1.03</f>
        <v>1.03</v>
      </c>
    </row>
    <row r="57" spans="2:4" ht="15">
      <c r="B57" s="35"/>
      <c r="C57" s="35"/>
      <c r="D57" s="35"/>
    </row>
    <row r="58" spans="2:4" ht="15.75" thickBot="1">
      <c r="B58" s="206" t="s">
        <v>41</v>
      </c>
      <c r="C58" s="206"/>
      <c r="D58" s="206"/>
    </row>
    <row r="59" spans="2:5" ht="15">
      <c r="B59" s="209" t="s">
        <v>39</v>
      </c>
      <c r="C59" s="210"/>
      <c r="D59" s="213" t="s">
        <v>40</v>
      </c>
      <c r="E59" s="215">
        <v>12</v>
      </c>
    </row>
    <row r="60" spans="2:5" ht="15" customHeight="1" thickBot="1">
      <c r="B60" s="211"/>
      <c r="C60" s="212"/>
      <c r="D60" s="214"/>
      <c r="E60" s="216"/>
    </row>
    <row r="64" ht="15" customHeight="1"/>
  </sheetData>
  <sheetProtection/>
  <mergeCells count="13">
    <mergeCell ref="B58:D58"/>
    <mergeCell ref="B55:D55"/>
    <mergeCell ref="B49:D49"/>
    <mergeCell ref="B3:E3"/>
    <mergeCell ref="B16:D16"/>
    <mergeCell ref="B22:D22"/>
    <mergeCell ref="B56:C56"/>
    <mergeCell ref="B59:C60"/>
    <mergeCell ref="D59:D60"/>
    <mergeCell ref="E59:E60"/>
    <mergeCell ref="B9:E9"/>
    <mergeCell ref="B50:C50"/>
    <mergeCell ref="B51:C51"/>
  </mergeCells>
  <hyperlinks>
    <hyperlink ref="G5" r:id="rId1" display="http://physics.nist.gov/cuu/pdf/sp811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421875" style="0" customWidth="1"/>
    <col min="2" max="2" width="15.8515625" style="0" customWidth="1"/>
    <col min="3" max="3" width="9.140625" style="0" customWidth="1"/>
    <col min="4" max="5" width="8.57421875" style="0" customWidth="1"/>
    <col min="6" max="7" width="8.8515625" style="0" customWidth="1"/>
    <col min="8" max="8" width="8.421875" style="0" customWidth="1"/>
    <col min="9" max="9" width="9.28125" style="0" customWidth="1"/>
    <col min="10" max="10" width="8.421875" style="0" customWidth="1"/>
    <col min="12" max="12" width="15.421875" style="0" customWidth="1"/>
    <col min="13" max="13" width="6.421875" style="0" customWidth="1"/>
    <col min="14" max="14" width="6.8515625" style="0" customWidth="1"/>
    <col min="15" max="15" width="10.57421875" style="0" customWidth="1"/>
    <col min="16" max="16" width="6.7109375" style="0" customWidth="1"/>
    <col min="18" max="18" width="15.57421875" style="0" customWidth="1"/>
    <col min="19" max="19" width="6.7109375" style="0" customWidth="1"/>
    <col min="20" max="20" width="6.8515625" style="0" customWidth="1"/>
    <col min="21" max="21" width="10.8515625" style="0" customWidth="1"/>
    <col min="22" max="22" width="6.8515625" style="0" customWidth="1"/>
    <col min="25" max="25" width="9.140625" style="0" customWidth="1"/>
  </cols>
  <sheetData>
    <row r="1" spans="2:25" ht="15.75" thickBot="1">
      <c r="B1" s="113" t="s">
        <v>19</v>
      </c>
      <c r="L1" s="116" t="s">
        <v>46</v>
      </c>
      <c r="R1" s="116" t="s">
        <v>76</v>
      </c>
      <c r="X1" s="113" t="s">
        <v>23</v>
      </c>
      <c r="Y1" s="113"/>
    </row>
    <row r="2" spans="2:25" ht="15.75" thickBot="1">
      <c r="B2" s="111" t="s">
        <v>20</v>
      </c>
      <c r="C2" s="115" t="str">
        <f>'Default Data'!A5</f>
        <v>July</v>
      </c>
      <c r="D2" s="108"/>
      <c r="E2" s="115" t="str">
        <f>'Default Data'!A6</f>
        <v>August</v>
      </c>
      <c r="F2" s="108"/>
      <c r="G2" s="114" t="str">
        <f>'Default Data'!A7</f>
        <v>September</v>
      </c>
      <c r="H2" s="108"/>
      <c r="I2" s="114" t="s">
        <v>73</v>
      </c>
      <c r="J2" s="108"/>
      <c r="L2" s="107" t="s">
        <v>20</v>
      </c>
      <c r="M2" s="110" t="str">
        <f>'Default Data'!A5</f>
        <v>July</v>
      </c>
      <c r="N2" s="110" t="str">
        <f>'Default Data'!A6</f>
        <v>August</v>
      </c>
      <c r="O2" s="110" t="str">
        <f>'Default Data'!A7</f>
        <v>September</v>
      </c>
      <c r="P2" s="110" t="s">
        <v>26</v>
      </c>
      <c r="R2" s="107" t="s">
        <v>20</v>
      </c>
      <c r="S2" s="120" t="str">
        <f>'Default Data'!A5</f>
        <v>July</v>
      </c>
      <c r="T2" s="109" t="str">
        <f>'Default Data'!A6</f>
        <v>August</v>
      </c>
      <c r="U2" s="109" t="str">
        <f>'Default Data'!A7</f>
        <v>September</v>
      </c>
      <c r="V2" s="109" t="s">
        <v>26</v>
      </c>
      <c r="X2" s="144" t="s">
        <v>26</v>
      </c>
      <c r="Y2" s="105">
        <f>V28-P28</f>
        <v>51440</v>
      </c>
    </row>
    <row r="3" spans="1:22" ht="15.75" thickBot="1">
      <c r="A3" s="145"/>
      <c r="B3" s="112"/>
      <c r="C3" s="162" t="s">
        <v>16</v>
      </c>
      <c r="D3" s="162" t="s">
        <v>72</v>
      </c>
      <c r="E3" s="162" t="str">
        <f aca="true" t="shared" si="0" ref="E3:J3">C3</f>
        <v>tonnes</v>
      </c>
      <c r="F3" s="162" t="str">
        <f t="shared" si="0"/>
        <v>m3</v>
      </c>
      <c r="G3" s="162" t="str">
        <f t="shared" si="0"/>
        <v>tonnes</v>
      </c>
      <c r="H3" s="162" t="str">
        <f t="shared" si="0"/>
        <v>m3</v>
      </c>
      <c r="I3" s="162" t="str">
        <f t="shared" si="0"/>
        <v>tonnes</v>
      </c>
      <c r="J3" s="162" t="str">
        <f t="shared" si="0"/>
        <v>m3</v>
      </c>
      <c r="L3" s="118"/>
      <c r="M3" s="107" t="s">
        <v>27</v>
      </c>
      <c r="N3" s="107" t="s">
        <v>27</v>
      </c>
      <c r="O3" s="107" t="s">
        <v>27</v>
      </c>
      <c r="P3" s="107" t="s">
        <v>27</v>
      </c>
      <c r="R3" s="118"/>
      <c r="S3" s="107" t="s">
        <v>27</v>
      </c>
      <c r="T3" s="107" t="s">
        <v>27</v>
      </c>
      <c r="U3" s="107" t="s">
        <v>27</v>
      </c>
      <c r="V3" s="107" t="s">
        <v>27</v>
      </c>
    </row>
    <row r="4" spans="1:22" ht="15">
      <c r="A4" s="104"/>
      <c r="B4" s="106" t="str">
        <f>'Default Data'!B24</f>
        <v>heating #07, FPS</v>
      </c>
      <c r="C4" s="168">
        <v>962.5</v>
      </c>
      <c r="D4" s="121">
        <v>76748</v>
      </c>
      <c r="E4" s="170">
        <v>2080.2</v>
      </c>
      <c r="F4" s="121">
        <v>207698</v>
      </c>
      <c r="G4" s="170">
        <v>1667.6</v>
      </c>
      <c r="H4" s="121">
        <v>119885</v>
      </c>
      <c r="I4" s="170">
        <f>C4+E4+G4</f>
        <v>4710.299999999999</v>
      </c>
      <c r="J4" s="122">
        <f>D4+F4+H4</f>
        <v>404331</v>
      </c>
      <c r="L4" s="130" t="str">
        <f>'Default Data'!B24</f>
        <v>heating #07, FPS</v>
      </c>
      <c r="M4" s="133">
        <f>ROUND(D4*'Default Data'!$B$5*'Default Data'!$D$17/1000,0)</f>
        <v>146</v>
      </c>
      <c r="N4" s="134">
        <f>ROUND(F4*'Default Data'!$B$6*'Default Data'!$D$17/1000,0)</f>
        <v>397</v>
      </c>
      <c r="O4" s="134">
        <f>ROUND(H4*'Default Data'!$B$7*'Default Data'!$D$17/1000,0)</f>
        <v>231</v>
      </c>
      <c r="P4" s="135">
        <f>SUM(M4:O4)</f>
        <v>774</v>
      </c>
      <c r="R4" s="130" t="str">
        <f>'Default Data'!B24</f>
        <v>heating #07, FPS</v>
      </c>
      <c r="S4" s="133">
        <f>ROUND('Default Data'!C24*'Furnaces (SP1 )'!C4*'Default Data'!$B$5*'Default Data'!$D$17/1000,0)</f>
        <v>1837</v>
      </c>
      <c r="T4" s="134">
        <f>ROUND('Default Data'!C24*'Furnaces (SP1 )'!E4*'Default Data'!$B$6*'Default Data'!$D$17/1000,0)</f>
        <v>4002</v>
      </c>
      <c r="U4" s="134">
        <f>ROUND('Default Data'!C24*G4*'Default Data'!$B$7*'Default Data'!$D$17/1000,0)</f>
        <v>3227</v>
      </c>
      <c r="V4" s="135">
        <f>SUM(S4:U4)</f>
        <v>9066</v>
      </c>
    </row>
    <row r="5" spans="1:22" ht="15">
      <c r="A5" s="104"/>
      <c r="B5" s="106" t="str">
        <f>'Default Data'!B25</f>
        <v>heating #08, FPS</v>
      </c>
      <c r="C5" s="126">
        <v>1469.7</v>
      </c>
      <c r="D5" s="123">
        <v>113617</v>
      </c>
      <c r="E5" s="127">
        <v>2140.5</v>
      </c>
      <c r="F5" s="123">
        <v>180701</v>
      </c>
      <c r="G5" s="127">
        <v>2000.5</v>
      </c>
      <c r="H5" s="124">
        <v>167921</v>
      </c>
      <c r="I5" s="127">
        <f aca="true" t="shared" si="1" ref="I5:I27">C5+E5+G5</f>
        <v>5610.7</v>
      </c>
      <c r="J5" s="125">
        <f aca="true" t="shared" si="2" ref="J5:J26">D5+F5+H5</f>
        <v>462239</v>
      </c>
      <c r="L5" s="131" t="str">
        <f>'Default Data'!B25</f>
        <v>heating #08, FPS</v>
      </c>
      <c r="M5" s="136">
        <f>ROUND(D5*'Default Data'!$B$5*'Default Data'!$D$17/1000,0)</f>
        <v>216</v>
      </c>
      <c r="N5" s="137">
        <f>ROUND(F5*'Default Data'!$B$6*'Default Data'!$D$17/1000,0)</f>
        <v>346</v>
      </c>
      <c r="O5" s="137">
        <f>ROUND(H5*'Default Data'!$B$7*'Default Data'!$D$17/1000,0)</f>
        <v>323</v>
      </c>
      <c r="P5" s="138">
        <f aca="true" t="shared" si="3" ref="P5:P27">SUM(M5:O5)</f>
        <v>885</v>
      </c>
      <c r="R5" s="131" t="str">
        <f>'Default Data'!B25</f>
        <v>heating #08, FPS</v>
      </c>
      <c r="S5" s="136">
        <f>ROUND('Default Data'!C25*'Furnaces (SP1 )'!C5*'Default Data'!$B$5*'Default Data'!$D$17/1000,0)</f>
        <v>2404</v>
      </c>
      <c r="T5" s="137">
        <f>ROUND('Default Data'!C25*'Furnaces (SP1 )'!E5*'Default Data'!$B$6*'Default Data'!$D$17/1000,0)</f>
        <v>3529</v>
      </c>
      <c r="U5" s="137">
        <f>ROUND('Default Data'!C25*G5*'Default Data'!$B$7*'Default Data'!$D$17/1000,0)</f>
        <v>3317</v>
      </c>
      <c r="V5" s="138">
        <f>SUM(S5:U5)</f>
        <v>9250</v>
      </c>
    </row>
    <row r="6" spans="1:22" ht="15">
      <c r="A6" s="104"/>
      <c r="B6" s="106" t="str">
        <f>'Default Data'!B26</f>
        <v>heating #09, FPS</v>
      </c>
      <c r="C6" s="126">
        <v>1474.9</v>
      </c>
      <c r="D6" s="123">
        <v>112908</v>
      </c>
      <c r="E6" s="127">
        <v>1849.2</v>
      </c>
      <c r="F6" s="123">
        <v>125236</v>
      </c>
      <c r="G6" s="127">
        <v>0</v>
      </c>
      <c r="H6" s="124">
        <v>0</v>
      </c>
      <c r="I6" s="127">
        <f t="shared" si="1"/>
        <v>3324.1000000000004</v>
      </c>
      <c r="J6" s="125">
        <f t="shared" si="2"/>
        <v>238144</v>
      </c>
      <c r="L6" s="131" t="str">
        <f>'Default Data'!B26</f>
        <v>heating #09, FPS</v>
      </c>
      <c r="M6" s="136">
        <f>ROUND(D6*'Default Data'!$B$5*'Default Data'!$D$17/1000,0)</f>
        <v>214</v>
      </c>
      <c r="N6" s="137">
        <f>ROUND(F6*'Default Data'!$B$6*'Default Data'!$D$17/1000,0)</f>
        <v>240</v>
      </c>
      <c r="O6" s="137">
        <f>ROUND(H6*'Default Data'!$B$7*'Default Data'!$D$17/1000,0)</f>
        <v>0</v>
      </c>
      <c r="P6" s="138">
        <f t="shared" si="3"/>
        <v>454</v>
      </c>
      <c r="R6" s="131" t="str">
        <f>'Default Data'!B26</f>
        <v>heating #09, FPS</v>
      </c>
      <c r="S6" s="136">
        <f>ROUND('Default Data'!C26*'Furnaces (SP1 )'!C6*'Default Data'!$B$5*'Default Data'!$D$17/1000,0)</f>
        <v>2413</v>
      </c>
      <c r="T6" s="137">
        <f>ROUND('Default Data'!C26*'Furnaces (SP1 )'!E6*'Default Data'!$B$6*'Default Data'!$D$17/1000,0)</f>
        <v>3048</v>
      </c>
      <c r="U6" s="137">
        <f>ROUND('Default Data'!C26*G6*'Default Data'!$B$7*'Default Data'!$D$17/1000,0)</f>
        <v>0</v>
      </c>
      <c r="V6" s="138">
        <f>SUM(S6:U6)</f>
        <v>5461</v>
      </c>
    </row>
    <row r="7" spans="1:22" ht="15">
      <c r="A7" s="104"/>
      <c r="B7" s="106" t="str">
        <f>'Default Data'!B27</f>
        <v>heating #10, FPS</v>
      </c>
      <c r="C7" s="126">
        <v>2141.3</v>
      </c>
      <c r="D7" s="123">
        <v>205237</v>
      </c>
      <c r="E7" s="127">
        <v>1001.4</v>
      </c>
      <c r="F7" s="123">
        <v>146118</v>
      </c>
      <c r="G7" s="127">
        <v>2080.4</v>
      </c>
      <c r="H7" s="124">
        <v>183328</v>
      </c>
      <c r="I7" s="127">
        <f t="shared" si="1"/>
        <v>5223.1</v>
      </c>
      <c r="J7" s="125">
        <f t="shared" si="2"/>
        <v>534683</v>
      </c>
      <c r="L7" s="131" t="str">
        <f>'Default Data'!B27</f>
        <v>heating #10, FPS</v>
      </c>
      <c r="M7" s="136">
        <f>ROUND(D7*'Default Data'!$B$5*'Default Data'!$D$17/1000,0)</f>
        <v>390</v>
      </c>
      <c r="N7" s="137">
        <f>ROUND(F7*'Default Data'!$B$6*'Default Data'!$D$17/1000,0)</f>
        <v>280</v>
      </c>
      <c r="O7" s="137">
        <f>ROUND(H7*'Default Data'!$B$7*'Default Data'!$D$17/1000,0)</f>
        <v>353</v>
      </c>
      <c r="P7" s="138">
        <f t="shared" si="3"/>
        <v>1023</v>
      </c>
      <c r="R7" s="131" t="str">
        <f>'Default Data'!B27</f>
        <v>heating #10, FPS</v>
      </c>
      <c r="S7" s="136">
        <f>ROUND('Default Data'!C27*'Furnaces (SP1 )'!C7*'Default Data'!$B$5*'Default Data'!$D$17/1000,0)</f>
        <v>3787</v>
      </c>
      <c r="T7" s="137">
        <f>ROUND('Default Data'!C27*'Furnaces (SP1 )'!E7*'Default Data'!$B$6*'Default Data'!$D$17/1000,0)</f>
        <v>1785</v>
      </c>
      <c r="U7" s="137">
        <f>ROUND('Default Data'!C27*G7*'Default Data'!$B$7*'Default Data'!$D$17/1000,0)</f>
        <v>3730</v>
      </c>
      <c r="V7" s="138">
        <f>SUM(S7:U7)</f>
        <v>9302</v>
      </c>
    </row>
    <row r="8" spans="1:22" ht="15">
      <c r="A8" s="104"/>
      <c r="B8" s="106" t="str">
        <f>'Default Data'!B28</f>
        <v>heating #33, FPS</v>
      </c>
      <c r="C8" s="126">
        <v>357.52</v>
      </c>
      <c r="D8" s="123">
        <v>39750</v>
      </c>
      <c r="E8" s="127">
        <v>686.4</v>
      </c>
      <c r="F8" s="123">
        <v>73941</v>
      </c>
      <c r="G8" s="127">
        <v>420.3</v>
      </c>
      <c r="H8" s="124">
        <v>24852</v>
      </c>
      <c r="I8" s="127">
        <f t="shared" si="1"/>
        <v>1464.22</v>
      </c>
      <c r="J8" s="125">
        <f t="shared" si="2"/>
        <v>138543</v>
      </c>
      <c r="L8" s="131" t="str">
        <f>'Default Data'!B28</f>
        <v>heating #33, FPS</v>
      </c>
      <c r="M8" s="136">
        <f>ROUND(D8*'Default Data'!$B$5*'Default Data'!$D$17/1000,0)</f>
        <v>75</v>
      </c>
      <c r="N8" s="137">
        <f>ROUND(F8*'Default Data'!$B$6*'Default Data'!$D$17/1000,0)</f>
        <v>141</v>
      </c>
      <c r="O8" s="137">
        <f>ROUND(H8*'Default Data'!$B$7*'Default Data'!$D$17/1000,0)</f>
        <v>48</v>
      </c>
      <c r="P8" s="138">
        <f t="shared" si="3"/>
        <v>264</v>
      </c>
      <c r="R8" s="131" t="str">
        <f>'Default Data'!B28</f>
        <v>heating #33, FPS</v>
      </c>
      <c r="S8" s="136">
        <f>ROUND('Default Data'!C28*'Furnaces (SP1 )'!C8*'Default Data'!$B$5*'Default Data'!$D$17/1000,0)</f>
        <v>463</v>
      </c>
      <c r="T8" s="137">
        <f>ROUND('Default Data'!C28*'Furnaces (SP1 )'!E8*'Default Data'!$B$6*'Default Data'!$D$17/1000,0)</f>
        <v>896</v>
      </c>
      <c r="U8" s="137">
        <f>ROUND('Default Data'!C28*G8*'Default Data'!$B$7*'Default Data'!$D$17/1000,0)</f>
        <v>552</v>
      </c>
      <c r="V8" s="138">
        <f>SUM(S8:U8)</f>
        <v>1911</v>
      </c>
    </row>
    <row r="9" spans="1:22" ht="15">
      <c r="A9" s="104"/>
      <c r="B9" s="106" t="str">
        <f>'Default Data'!B29</f>
        <v>heating #34, FPS</v>
      </c>
      <c r="C9" s="126">
        <v>704.5</v>
      </c>
      <c r="D9" s="123">
        <v>70104</v>
      </c>
      <c r="E9" s="127">
        <v>493.7</v>
      </c>
      <c r="F9" s="123">
        <v>59561</v>
      </c>
      <c r="G9" s="127">
        <v>689.76</v>
      </c>
      <c r="H9" s="123">
        <v>55872</v>
      </c>
      <c r="I9" s="127">
        <f t="shared" si="1"/>
        <v>1887.96</v>
      </c>
      <c r="J9" s="125">
        <f t="shared" si="2"/>
        <v>185537</v>
      </c>
      <c r="L9" s="131" t="str">
        <f>'Default Data'!B29</f>
        <v>heating #34, FPS</v>
      </c>
      <c r="M9" s="136">
        <f>ROUND(D9*'Default Data'!$B$5*'Default Data'!$D$17/1000,0)</f>
        <v>133</v>
      </c>
      <c r="N9" s="137">
        <f>ROUND(F9*'Default Data'!$B$6*'Default Data'!$D$17/1000,0)</f>
        <v>114</v>
      </c>
      <c r="O9" s="137">
        <f>ROUND(H9*'Default Data'!$B$7*'Default Data'!$D$17/1000,0)</f>
        <v>108</v>
      </c>
      <c r="P9" s="138">
        <f t="shared" si="3"/>
        <v>355</v>
      </c>
      <c r="R9" s="131" t="str">
        <f>'Default Data'!B29</f>
        <v>heating #34, FPS</v>
      </c>
      <c r="S9" s="136">
        <f>ROUND('Default Data'!C29*'Furnaces (SP1 )'!C9*'Default Data'!$B$5*'Default Data'!$D$17/1000,0)</f>
        <v>912</v>
      </c>
      <c r="T9" s="137">
        <f>ROUND('Default Data'!C29*'Furnaces (SP1 )'!E9*'Default Data'!$B$6*'Default Data'!$D$17/1000,0)</f>
        <v>644</v>
      </c>
      <c r="U9" s="137">
        <f>ROUND('Default Data'!C29*G9*'Default Data'!$B$7*'Default Data'!$D$17/1000,0)</f>
        <v>905</v>
      </c>
      <c r="V9" s="138">
        <f aca="true" t="shared" si="4" ref="V9:V27">SUM(S9:U9)</f>
        <v>2461</v>
      </c>
    </row>
    <row r="10" spans="1:22" ht="15">
      <c r="A10" s="104"/>
      <c r="B10" s="106" t="str">
        <f>'Default Data'!B30</f>
        <v>heating #35, FPS</v>
      </c>
      <c r="C10" s="126">
        <v>938.9</v>
      </c>
      <c r="D10" s="123">
        <v>87341</v>
      </c>
      <c r="E10" s="127">
        <v>1059.7</v>
      </c>
      <c r="F10" s="123">
        <v>85055</v>
      </c>
      <c r="G10" s="127">
        <v>835.9</v>
      </c>
      <c r="H10" s="123">
        <v>58754</v>
      </c>
      <c r="I10" s="127">
        <f t="shared" si="1"/>
        <v>2834.5</v>
      </c>
      <c r="J10" s="125">
        <f t="shared" si="2"/>
        <v>231150</v>
      </c>
      <c r="L10" s="131" t="str">
        <f>'Default Data'!B30</f>
        <v>heating #35, FPS</v>
      </c>
      <c r="M10" s="136">
        <f>ROUND(D10*'Default Data'!$B$5*'Default Data'!$D$17/1000,0)</f>
        <v>166</v>
      </c>
      <c r="N10" s="137">
        <f>ROUND(F10*'Default Data'!$B$6*'Default Data'!$D$17/1000,0)</f>
        <v>163</v>
      </c>
      <c r="O10" s="137">
        <f>ROUND(H10*'Default Data'!$B$7*'Default Data'!$D$17/1000,0)</f>
        <v>113</v>
      </c>
      <c r="P10" s="138">
        <f t="shared" si="3"/>
        <v>442</v>
      </c>
      <c r="R10" s="131" t="str">
        <f>'Default Data'!B30</f>
        <v>heating #35, FPS</v>
      </c>
      <c r="S10" s="136">
        <f>ROUND('Default Data'!C30*'Furnaces (SP1 )'!C10*'Default Data'!$B$5*'Default Data'!$D$17/1000,0)</f>
        <v>1216</v>
      </c>
      <c r="T10" s="137">
        <f>ROUND('Default Data'!C30*'Furnaces (SP1 )'!E10*'Default Data'!$B$6*'Default Data'!$D$17/1000,0)</f>
        <v>1383</v>
      </c>
      <c r="U10" s="137">
        <f>ROUND('Default Data'!C30*G10*'Default Data'!$B$7*'Default Data'!$D$17/1000,0)</f>
        <v>1097</v>
      </c>
      <c r="V10" s="138">
        <f t="shared" si="4"/>
        <v>3696</v>
      </c>
    </row>
    <row r="11" spans="1:22" ht="15">
      <c r="A11" s="104"/>
      <c r="B11" s="106" t="str">
        <f>'Default Data'!B31</f>
        <v>heating #36, FPS</v>
      </c>
      <c r="C11" s="126">
        <v>971</v>
      </c>
      <c r="D11" s="123">
        <v>79157</v>
      </c>
      <c r="E11" s="127">
        <v>801.2</v>
      </c>
      <c r="F11" s="123">
        <v>71724</v>
      </c>
      <c r="G11" s="127">
        <v>449.8</v>
      </c>
      <c r="H11" s="123">
        <v>30352</v>
      </c>
      <c r="I11" s="127">
        <f t="shared" si="1"/>
        <v>2222</v>
      </c>
      <c r="J11" s="125">
        <f t="shared" si="2"/>
        <v>181233</v>
      </c>
      <c r="L11" s="131" t="str">
        <f>'Default Data'!B31</f>
        <v>heating #36, FPS</v>
      </c>
      <c r="M11" s="136">
        <f>ROUND(D11*'Default Data'!$B$5*'Default Data'!$D$17/1000,0)</f>
        <v>150</v>
      </c>
      <c r="N11" s="137">
        <f>ROUND(F11*'Default Data'!$B$6*'Default Data'!$D$17/1000,0)</f>
        <v>137</v>
      </c>
      <c r="O11" s="137">
        <f>ROUND(H11*'Default Data'!$B$7*'Default Data'!$D$17/1000,0)</f>
        <v>58</v>
      </c>
      <c r="P11" s="138">
        <f t="shared" si="3"/>
        <v>345</v>
      </c>
      <c r="R11" s="131" t="str">
        <f>'Default Data'!B31</f>
        <v>heating #36, FPS</v>
      </c>
      <c r="S11" s="136">
        <f>ROUND('Default Data'!C31*'Furnaces (SP1 )'!C11*'Default Data'!$B$5*'Default Data'!$D$17/1000,0)</f>
        <v>1258</v>
      </c>
      <c r="T11" s="137">
        <f>ROUND('Default Data'!C31*'Furnaces (SP1 )'!E11*'Default Data'!$B$6*'Default Data'!$D$17/1000,0)</f>
        <v>1046</v>
      </c>
      <c r="U11" s="137">
        <f>ROUND('Default Data'!C31*G11*'Default Data'!$B$7*'Default Data'!$D$17/1000,0)</f>
        <v>590</v>
      </c>
      <c r="V11" s="138">
        <f t="shared" si="4"/>
        <v>2894</v>
      </c>
    </row>
    <row r="12" spans="1:22" ht="15" customHeight="1">
      <c r="A12" s="104"/>
      <c r="B12" s="106" t="str">
        <f>'Default Data'!B32</f>
        <v>thermal #01, FPS</v>
      </c>
      <c r="C12" s="126">
        <v>393.2</v>
      </c>
      <c r="D12" s="123">
        <v>52921</v>
      </c>
      <c r="E12" s="127">
        <v>201.1</v>
      </c>
      <c r="F12" s="123">
        <v>19002</v>
      </c>
      <c r="G12" s="127">
        <v>90</v>
      </c>
      <c r="H12" s="123">
        <v>4346</v>
      </c>
      <c r="I12" s="127">
        <f t="shared" si="1"/>
        <v>684.3</v>
      </c>
      <c r="J12" s="125">
        <f t="shared" si="2"/>
        <v>76269</v>
      </c>
      <c r="L12" s="131" t="str">
        <f>'Default Data'!B32</f>
        <v>thermal #01, FPS</v>
      </c>
      <c r="M12" s="136">
        <f>ROUND(D12*'Default Data'!$B$5*'Default Data'!$D$17/1000,0)</f>
        <v>100</v>
      </c>
      <c r="N12" s="137">
        <f>ROUND(F12*'Default Data'!$B$6*'Default Data'!$D$17/1000,0)</f>
        <v>36</v>
      </c>
      <c r="O12" s="137">
        <f>ROUND(H12*'Default Data'!$B$7*'Default Data'!$D$17/1000,0)</f>
        <v>8</v>
      </c>
      <c r="P12" s="138">
        <f t="shared" si="3"/>
        <v>144</v>
      </c>
      <c r="R12" s="131" t="str">
        <f>'Default Data'!B32</f>
        <v>thermal #01, FPS</v>
      </c>
      <c r="S12" s="136">
        <f>ROUND('Default Data'!C32*'Furnaces (SP1 )'!C12*'Default Data'!$B$5*'Default Data'!$D$17/1000,0)</f>
        <v>518</v>
      </c>
      <c r="T12" s="137">
        <f>ROUND('Default Data'!C32*'Furnaces (SP1 )'!E12*'Default Data'!$B$6*'Default Data'!$D$17/1000,0)</f>
        <v>267</v>
      </c>
      <c r="U12" s="137">
        <f>ROUND('Default Data'!C32*G12*'Default Data'!$B$7*'Default Data'!$D$17/1000,0)</f>
        <v>120</v>
      </c>
      <c r="V12" s="138">
        <f t="shared" si="4"/>
        <v>905</v>
      </c>
    </row>
    <row r="13" spans="1:22" ht="15">
      <c r="A13" s="104"/>
      <c r="B13" s="106" t="str">
        <f>'Default Data'!B33</f>
        <v>thermal #01, TS</v>
      </c>
      <c r="C13" s="126">
        <v>757.32</v>
      </c>
      <c r="D13" s="123">
        <v>75312</v>
      </c>
      <c r="E13" s="127">
        <v>158.9</v>
      </c>
      <c r="F13" s="123">
        <v>27137</v>
      </c>
      <c r="G13" s="127">
        <v>402.72</v>
      </c>
      <c r="H13" s="123">
        <v>44918</v>
      </c>
      <c r="I13" s="127">
        <f t="shared" si="1"/>
        <v>1318.94</v>
      </c>
      <c r="J13" s="125">
        <f t="shared" si="2"/>
        <v>147367</v>
      </c>
      <c r="L13" s="131" t="str">
        <f>'Default Data'!B33</f>
        <v>thermal #01, TS</v>
      </c>
      <c r="M13" s="136">
        <f>ROUND(D13*'Default Data'!$B$5*'Default Data'!$D$17/1000,0)</f>
        <v>143</v>
      </c>
      <c r="N13" s="137">
        <f>ROUND(F13*'Default Data'!$B$6*'Default Data'!$D$17/1000,0)</f>
        <v>52</v>
      </c>
      <c r="O13" s="137">
        <f>ROUND(H13*'Default Data'!$B$7*'Default Data'!$D$17/1000,0)</f>
        <v>86</v>
      </c>
      <c r="P13" s="138">
        <f t="shared" si="3"/>
        <v>281</v>
      </c>
      <c r="R13" s="131" t="str">
        <f>'Default Data'!B33</f>
        <v>thermal #01, TS</v>
      </c>
      <c r="S13" s="136">
        <f>ROUND('Default Data'!C33*'Furnaces (SP1 )'!C13*'Default Data'!$B$5*'Default Data'!$D$17/1000,0)</f>
        <v>536</v>
      </c>
      <c r="T13" s="137">
        <f>ROUND('Default Data'!C33*'Furnaces (SP1 )'!E13*'Default Data'!$B$6*'Default Data'!$D$17/1000,0)</f>
        <v>113</v>
      </c>
      <c r="U13" s="137">
        <f>ROUND('Default Data'!C33*G13*'Default Data'!$B$7*'Default Data'!$D$17/1000,0)</f>
        <v>289</v>
      </c>
      <c r="V13" s="138">
        <f t="shared" si="4"/>
        <v>938</v>
      </c>
    </row>
    <row r="14" spans="1:22" ht="15">
      <c r="A14" s="104"/>
      <c r="B14" s="106" t="str">
        <f>'Default Data'!B34</f>
        <v>thermal #02, TS</v>
      </c>
      <c r="C14" s="126">
        <v>493.04</v>
      </c>
      <c r="D14" s="123">
        <v>68213</v>
      </c>
      <c r="E14" s="127">
        <v>502.34</v>
      </c>
      <c r="F14" s="123">
        <v>36611</v>
      </c>
      <c r="G14" s="127">
        <v>294.43</v>
      </c>
      <c r="H14" s="123">
        <v>53704</v>
      </c>
      <c r="I14" s="127">
        <f t="shared" si="1"/>
        <v>1289.81</v>
      </c>
      <c r="J14" s="125">
        <f t="shared" si="2"/>
        <v>158528</v>
      </c>
      <c r="L14" s="131" t="str">
        <f>'Default Data'!B34</f>
        <v>thermal #02, TS</v>
      </c>
      <c r="M14" s="136">
        <f>ROUND(D14*'Default Data'!$B$5*'Default Data'!$D$17/1000,0)</f>
        <v>130</v>
      </c>
      <c r="N14" s="137">
        <f>ROUND(F14*'Default Data'!$B$6*'Default Data'!$D$17/1000,0)</f>
        <v>70</v>
      </c>
      <c r="O14" s="137">
        <f>ROUND(H14*'Default Data'!$B$7*'Default Data'!$D$17/1000,0)</f>
        <v>103</v>
      </c>
      <c r="P14" s="138">
        <f t="shared" si="3"/>
        <v>303</v>
      </c>
      <c r="R14" s="131" t="str">
        <f>'Default Data'!B34</f>
        <v>thermal #02, TS</v>
      </c>
      <c r="S14" s="136">
        <f>ROUND('Default Data'!C34*'Furnaces (SP1 )'!C14*'Default Data'!$B$5*'Default Data'!$D$17/1000,0)</f>
        <v>349</v>
      </c>
      <c r="T14" s="137">
        <f>ROUND('Default Data'!C34*'Furnaces (SP1 )'!E14*'Default Data'!$B$6*'Default Data'!$D$17/1000,0)</f>
        <v>359</v>
      </c>
      <c r="U14" s="137">
        <f>ROUND('Default Data'!C34*G14*'Default Data'!$B$7*'Default Data'!$D$17/1000,0)</f>
        <v>211</v>
      </c>
      <c r="V14" s="138">
        <f t="shared" si="4"/>
        <v>919</v>
      </c>
    </row>
    <row r="15" spans="1:22" ht="15">
      <c r="A15" s="104"/>
      <c r="B15" s="106" t="str">
        <f>'Default Data'!B35</f>
        <v>thermal #04, TS</v>
      </c>
      <c r="C15" s="126">
        <v>386.45</v>
      </c>
      <c r="D15" s="123">
        <v>54718</v>
      </c>
      <c r="E15" s="127">
        <v>406.3</v>
      </c>
      <c r="F15" s="123">
        <v>43879</v>
      </c>
      <c r="G15" s="127">
        <v>507.94</v>
      </c>
      <c r="H15" s="123">
        <v>39559</v>
      </c>
      <c r="I15" s="127">
        <f t="shared" si="1"/>
        <v>1300.69</v>
      </c>
      <c r="J15" s="125">
        <f t="shared" si="2"/>
        <v>138156</v>
      </c>
      <c r="L15" s="131" t="str">
        <f>'Default Data'!B35</f>
        <v>thermal #04, TS</v>
      </c>
      <c r="M15" s="136">
        <f>ROUND(D15*'Default Data'!$B$5*'Default Data'!$D$17/1000,0)</f>
        <v>104</v>
      </c>
      <c r="N15" s="137">
        <f>ROUND(F15*'Default Data'!$B$6*'Default Data'!$D$17/1000,0)</f>
        <v>84</v>
      </c>
      <c r="O15" s="137">
        <f>ROUND(H15*'Default Data'!$B$7*'Default Data'!$D$17/1000,0)</f>
        <v>76</v>
      </c>
      <c r="P15" s="138">
        <f t="shared" si="3"/>
        <v>264</v>
      </c>
      <c r="R15" s="131" t="str">
        <f>'Default Data'!B35</f>
        <v>thermal #04, TS</v>
      </c>
      <c r="S15" s="136">
        <f>ROUND('Default Data'!C35*'Furnaces (SP1 )'!C15*'Default Data'!$B$5*'Default Data'!$D$17/1000,0)</f>
        <v>274</v>
      </c>
      <c r="T15" s="137">
        <f>ROUND('Default Data'!C35*'Furnaces (SP1 )'!E15*'Default Data'!$B$6*'Default Data'!$D$17/1000,0)</f>
        <v>290</v>
      </c>
      <c r="U15" s="137">
        <f>ROUND('Default Data'!C35*G15*'Default Data'!$B$7*'Default Data'!$D$17/1000,0)</f>
        <v>365</v>
      </c>
      <c r="V15" s="138">
        <f t="shared" si="4"/>
        <v>929</v>
      </c>
    </row>
    <row r="16" spans="1:22" ht="15">
      <c r="A16" s="104"/>
      <c r="B16" s="106" t="str">
        <f>'Default Data'!B36</f>
        <v>thermal #09, TS</v>
      </c>
      <c r="C16" s="126">
        <v>287.61</v>
      </c>
      <c r="D16" s="123">
        <v>25577</v>
      </c>
      <c r="E16" s="127">
        <v>258.84</v>
      </c>
      <c r="F16" s="123">
        <v>23517</v>
      </c>
      <c r="G16" s="127">
        <v>316.17</v>
      </c>
      <c r="H16" s="123">
        <v>40052</v>
      </c>
      <c r="I16" s="127">
        <f t="shared" si="1"/>
        <v>862.6200000000001</v>
      </c>
      <c r="J16" s="125">
        <f t="shared" si="2"/>
        <v>89146</v>
      </c>
      <c r="L16" s="131" t="str">
        <f>'Default Data'!B36</f>
        <v>thermal #09, TS</v>
      </c>
      <c r="M16" s="136">
        <f>ROUND(D16*'Default Data'!$B$5*'Default Data'!$D$17/1000,0)</f>
        <v>49</v>
      </c>
      <c r="N16" s="137">
        <f>ROUND(F16*'Default Data'!$B$6*'Default Data'!$D$17/1000,0)</f>
        <v>45</v>
      </c>
      <c r="O16" s="137">
        <f>ROUND(H16*'Default Data'!$B$7*'Default Data'!$D$17/1000,0)</f>
        <v>77</v>
      </c>
      <c r="P16" s="138">
        <f t="shared" si="3"/>
        <v>171</v>
      </c>
      <c r="R16" s="131" t="str">
        <f>'Default Data'!B36</f>
        <v>thermal #09, TS</v>
      </c>
      <c r="S16" s="136">
        <f>ROUND('Default Data'!C36*'Furnaces (SP1 )'!C16*'Default Data'!$B$5*'Default Data'!$D$17/1000,0)</f>
        <v>212</v>
      </c>
      <c r="T16" s="137">
        <f>ROUND('Default Data'!C36*'Furnaces (SP1 )'!E16*'Default Data'!$B$6*'Default Data'!$D$17/1000,0)</f>
        <v>193</v>
      </c>
      <c r="U16" s="137">
        <f>ROUND('Default Data'!C36*G16*'Default Data'!$B$7*'Default Data'!$D$17/1000,0)</f>
        <v>237</v>
      </c>
      <c r="V16" s="138">
        <f t="shared" si="4"/>
        <v>642</v>
      </c>
    </row>
    <row r="17" spans="1:22" ht="15">
      <c r="A17" s="104"/>
      <c r="B17" s="106" t="str">
        <f>'Default Data'!B37</f>
        <v>thermal #10, TS</v>
      </c>
      <c r="C17" s="126">
        <v>349</v>
      </c>
      <c r="D17" s="123">
        <v>34912</v>
      </c>
      <c r="E17" s="127">
        <v>131.1</v>
      </c>
      <c r="F17" s="123">
        <v>29916</v>
      </c>
      <c r="G17" s="127">
        <v>288.53</v>
      </c>
      <c r="H17" s="123">
        <v>42846</v>
      </c>
      <c r="I17" s="127">
        <f t="shared" si="1"/>
        <v>768.63</v>
      </c>
      <c r="J17" s="125">
        <f t="shared" si="2"/>
        <v>107674</v>
      </c>
      <c r="L17" s="131" t="str">
        <f>'Default Data'!B37</f>
        <v>thermal #10, TS</v>
      </c>
      <c r="M17" s="136">
        <f>ROUND(D17*'Default Data'!$B$5*'Default Data'!$D$17/1000,0)</f>
        <v>66</v>
      </c>
      <c r="N17" s="137">
        <f>ROUND(F17*'Default Data'!$B$6*'Default Data'!$D$17/1000,0)</f>
        <v>57</v>
      </c>
      <c r="O17" s="137">
        <f>ROUND(H17*'Default Data'!$B$7*'Default Data'!$D$17/1000,0)</f>
        <v>82</v>
      </c>
      <c r="P17" s="138">
        <f t="shared" si="3"/>
        <v>205</v>
      </c>
      <c r="R17" s="131" t="str">
        <f>'Default Data'!B37</f>
        <v>thermal #10, TS</v>
      </c>
      <c r="S17" s="136">
        <f>ROUND('Default Data'!C37*'Furnaces (SP1 )'!C17*'Default Data'!$B$5*'Default Data'!$D$17/1000,0)</f>
        <v>258</v>
      </c>
      <c r="T17" s="137">
        <f>ROUND('Default Data'!C37*'Furnaces (SP1 )'!E17*'Default Data'!$B$6*'Default Data'!$D$17/1000,0)</f>
        <v>98</v>
      </c>
      <c r="U17" s="137">
        <f>ROUND('Default Data'!C37*G17*'Default Data'!$B$7*'Default Data'!$D$17/1000,0)</f>
        <v>216</v>
      </c>
      <c r="V17" s="138">
        <f t="shared" si="4"/>
        <v>572</v>
      </c>
    </row>
    <row r="18" spans="1:22" ht="15">
      <c r="A18" s="104"/>
      <c r="B18" s="106" t="str">
        <f>'Default Data'!B38</f>
        <v>thermal #17, TS</v>
      </c>
      <c r="C18" s="126">
        <v>209.1</v>
      </c>
      <c r="D18" s="123">
        <v>14385</v>
      </c>
      <c r="E18" s="127">
        <v>155</v>
      </c>
      <c r="F18" s="123">
        <v>8937</v>
      </c>
      <c r="G18" s="127">
        <v>340</v>
      </c>
      <c r="H18" s="124">
        <v>19181</v>
      </c>
      <c r="I18" s="127">
        <f t="shared" si="1"/>
        <v>704.1</v>
      </c>
      <c r="J18" s="125">
        <f t="shared" si="2"/>
        <v>42503</v>
      </c>
      <c r="L18" s="131" t="str">
        <f>'Default Data'!B38</f>
        <v>thermal #17, TS</v>
      </c>
      <c r="M18" s="136">
        <f>ROUND(D18*'Default Data'!$B$5*'Default Data'!$D$17/1000,0)</f>
        <v>27</v>
      </c>
      <c r="N18" s="137">
        <f>ROUND(F18*'Default Data'!$B$6*'Default Data'!$D$17/1000,0)</f>
        <v>17</v>
      </c>
      <c r="O18" s="137">
        <f>ROUND(H18*'Default Data'!$B$7*'Default Data'!$D$17/1000,0)</f>
        <v>37</v>
      </c>
      <c r="P18" s="138">
        <f t="shared" si="3"/>
        <v>81</v>
      </c>
      <c r="R18" s="131" t="str">
        <f>'Default Data'!B38</f>
        <v>thermal #17, TS</v>
      </c>
      <c r="S18" s="136">
        <f>ROUND('Default Data'!C38*'Furnaces (SP1 )'!C18*'Default Data'!$B$5*'Default Data'!$D$17/1000,0)</f>
        <v>184</v>
      </c>
      <c r="T18" s="137">
        <f>ROUND('Default Data'!C38*'Furnaces (SP1 )'!E18*'Default Data'!$B$6*'Default Data'!$D$17/1000,0)</f>
        <v>138</v>
      </c>
      <c r="U18" s="137">
        <f>ROUND('Default Data'!C38*G18*'Default Data'!$B$7*'Default Data'!$D$17/1000,0)</f>
        <v>304</v>
      </c>
      <c r="V18" s="138">
        <f t="shared" si="4"/>
        <v>626</v>
      </c>
    </row>
    <row r="19" spans="1:22" ht="15" customHeight="1">
      <c r="A19" s="104"/>
      <c r="B19" s="106" t="str">
        <f>'Default Data'!B39</f>
        <v>thermal #18, FPS</v>
      </c>
      <c r="C19" s="126">
        <v>700.29</v>
      </c>
      <c r="D19" s="123">
        <v>59912</v>
      </c>
      <c r="E19" s="127">
        <v>763.5</v>
      </c>
      <c r="F19" s="123">
        <v>38252</v>
      </c>
      <c r="G19" s="127">
        <v>699.78</v>
      </c>
      <c r="H19" s="124">
        <v>54554</v>
      </c>
      <c r="I19" s="127">
        <f t="shared" si="1"/>
        <v>2163.5699999999997</v>
      </c>
      <c r="J19" s="125">
        <f t="shared" si="2"/>
        <v>152718</v>
      </c>
      <c r="L19" s="131" t="str">
        <f>'Default Data'!B39</f>
        <v>thermal #18, FPS</v>
      </c>
      <c r="M19" s="136">
        <f>ROUND(D19*'Default Data'!$B$5*'Default Data'!$D$17/1000,0)</f>
        <v>114</v>
      </c>
      <c r="N19" s="137">
        <f>ROUND(F19*'Default Data'!$B$6*'Default Data'!$D$17/1000,0)</f>
        <v>73</v>
      </c>
      <c r="O19" s="137">
        <f>ROUND(H19*'Default Data'!$B$7*'Default Data'!$D$17/1000,0)</f>
        <v>105</v>
      </c>
      <c r="P19" s="138">
        <f t="shared" si="3"/>
        <v>292</v>
      </c>
      <c r="R19" s="131" t="str">
        <f>'Default Data'!B39</f>
        <v>thermal #18, FPS</v>
      </c>
      <c r="S19" s="136">
        <f>ROUND('Default Data'!C39*'Furnaces (SP1 )'!C19*'Default Data'!$B$5*'Default Data'!$D$17/1000,0)</f>
        <v>507</v>
      </c>
      <c r="T19" s="137">
        <f>ROUND('Default Data'!C39*'Furnaces (SP1 )'!E19*'Default Data'!$B$6*'Default Data'!$D$17/1000,0)</f>
        <v>557</v>
      </c>
      <c r="U19" s="137">
        <f>ROUND('Default Data'!C39*G19*'Default Data'!$B$7*'Default Data'!$D$17/1000,0)</f>
        <v>514</v>
      </c>
      <c r="V19" s="138">
        <f t="shared" si="4"/>
        <v>1578</v>
      </c>
    </row>
    <row r="20" spans="1:22" ht="15">
      <c r="A20" s="104"/>
      <c r="B20" s="106" t="str">
        <f>'Default Data'!B40</f>
        <v>thermal #18, TS</v>
      </c>
      <c r="C20" s="126">
        <v>305.94</v>
      </c>
      <c r="D20" s="123">
        <v>24387</v>
      </c>
      <c r="E20" s="127">
        <v>109.8</v>
      </c>
      <c r="F20" s="123">
        <v>10988</v>
      </c>
      <c r="G20" s="127">
        <v>225.35</v>
      </c>
      <c r="H20" s="124">
        <v>18629</v>
      </c>
      <c r="I20" s="127">
        <f t="shared" si="1"/>
        <v>641.09</v>
      </c>
      <c r="J20" s="125">
        <f t="shared" si="2"/>
        <v>54004</v>
      </c>
      <c r="L20" s="131" t="str">
        <f>'Default Data'!B40</f>
        <v>thermal #18, TS</v>
      </c>
      <c r="M20" s="136">
        <f>ROUND(D20*'Default Data'!$B$5*'Default Data'!$D$17/1000,0)</f>
        <v>46</v>
      </c>
      <c r="N20" s="137">
        <f>ROUND(F20*'Default Data'!$B$6*'Default Data'!$D$17/1000,0)</f>
        <v>21</v>
      </c>
      <c r="O20" s="137">
        <f>ROUND(H20*'Default Data'!$B$7*'Default Data'!$D$17/1000,0)</f>
        <v>36</v>
      </c>
      <c r="P20" s="138">
        <f t="shared" si="3"/>
        <v>103</v>
      </c>
      <c r="R20" s="131" t="str">
        <f>'Default Data'!B40</f>
        <v>thermal #18, TS</v>
      </c>
      <c r="S20" s="136">
        <f>ROUND('Default Data'!C40*'Furnaces (SP1 )'!C20*'Default Data'!$B$5*'Default Data'!$D$17/1000,0)</f>
        <v>270</v>
      </c>
      <c r="T20" s="137">
        <f>ROUND('Default Data'!C40*'Furnaces (SP1 )'!E20*'Default Data'!$B$6*'Default Data'!$D$17/1000,0)</f>
        <v>98</v>
      </c>
      <c r="U20" s="137">
        <f>ROUND('Default Data'!C40*G20*'Default Data'!$B$7*'Default Data'!$D$17/1000,0)</f>
        <v>201</v>
      </c>
      <c r="V20" s="138">
        <f t="shared" si="4"/>
        <v>569</v>
      </c>
    </row>
    <row r="21" spans="1:22" ht="15" customHeight="1">
      <c r="A21" s="104"/>
      <c r="B21" s="106" t="str">
        <f>'Default Data'!B41</f>
        <v>thermal #19, FPS</v>
      </c>
      <c r="C21" s="126">
        <v>870.51</v>
      </c>
      <c r="D21" s="123">
        <v>65669</v>
      </c>
      <c r="E21" s="127">
        <v>695.1</v>
      </c>
      <c r="F21" s="123">
        <v>65786</v>
      </c>
      <c r="G21" s="127">
        <v>643.04</v>
      </c>
      <c r="H21" s="124">
        <v>37609</v>
      </c>
      <c r="I21" s="127">
        <f t="shared" si="1"/>
        <v>2208.65</v>
      </c>
      <c r="J21" s="125">
        <f t="shared" si="2"/>
        <v>169064</v>
      </c>
      <c r="L21" s="131" t="str">
        <f>'Default Data'!B41</f>
        <v>thermal #19, FPS</v>
      </c>
      <c r="M21" s="136">
        <f>ROUND(D21*'Default Data'!$B$5*'Default Data'!$D$17/1000,0)</f>
        <v>125</v>
      </c>
      <c r="N21" s="137">
        <f>ROUND(F21*'Default Data'!$B$6*'Default Data'!$D$17/1000,0)</f>
        <v>126</v>
      </c>
      <c r="O21" s="137">
        <f>ROUND(H21*'Default Data'!$B$7*'Default Data'!$D$17/1000,0)</f>
        <v>72</v>
      </c>
      <c r="P21" s="138">
        <f t="shared" si="3"/>
        <v>323</v>
      </c>
      <c r="R21" s="131" t="str">
        <f>'Default Data'!B41</f>
        <v>thermal #19, FPS</v>
      </c>
      <c r="S21" s="136">
        <f>ROUND('Default Data'!C41*'Furnaces (SP1 )'!C21*'Default Data'!$B$5*'Default Data'!$D$17/1000,0)</f>
        <v>630</v>
      </c>
      <c r="T21" s="137">
        <f>ROUND('Default Data'!C41*'Furnaces (SP1 )'!E21*'Default Data'!$B$6*'Default Data'!$D$17/1000,0)</f>
        <v>507</v>
      </c>
      <c r="U21" s="137">
        <f>ROUND('Default Data'!C41*G21*'Default Data'!$B$7*'Default Data'!$D$17/1000,0)</f>
        <v>472</v>
      </c>
      <c r="V21" s="138">
        <f t="shared" si="4"/>
        <v>1609</v>
      </c>
    </row>
    <row r="22" spans="1:22" ht="15" customHeight="1">
      <c r="A22" s="104"/>
      <c r="B22" s="106" t="str">
        <f>'Default Data'!B42</f>
        <v>thermal #20, FPS</v>
      </c>
      <c r="C22" s="126">
        <v>575.6</v>
      </c>
      <c r="D22" s="123">
        <v>65098</v>
      </c>
      <c r="E22" s="127">
        <v>567.9</v>
      </c>
      <c r="F22" s="123">
        <v>54798</v>
      </c>
      <c r="G22" s="127">
        <v>640.44</v>
      </c>
      <c r="H22" s="124">
        <v>74789</v>
      </c>
      <c r="I22" s="127">
        <f t="shared" si="1"/>
        <v>1783.94</v>
      </c>
      <c r="J22" s="125">
        <f t="shared" si="2"/>
        <v>194685</v>
      </c>
      <c r="L22" s="131" t="str">
        <f>'Default Data'!B42</f>
        <v>thermal #20, FPS</v>
      </c>
      <c r="M22" s="136">
        <f>ROUND(D22*'Default Data'!$B$5*'Default Data'!$D$17/1000,0)</f>
        <v>124</v>
      </c>
      <c r="N22" s="137">
        <f>ROUND(F22*'Default Data'!$B$6*'Default Data'!$D$17/1000,0)</f>
        <v>105</v>
      </c>
      <c r="O22" s="137">
        <f>ROUND(H22*'Default Data'!$B$7*'Default Data'!$D$17/1000,0)</f>
        <v>144</v>
      </c>
      <c r="P22" s="138">
        <f t="shared" si="3"/>
        <v>373</v>
      </c>
      <c r="R22" s="131" t="str">
        <f>'Default Data'!B42</f>
        <v>thermal #20, FPS</v>
      </c>
      <c r="S22" s="136">
        <f>ROUND('Default Data'!C42*'Furnaces (SP1 )'!C22*'Default Data'!$B$5*'Default Data'!$D$17/1000,0)</f>
        <v>417</v>
      </c>
      <c r="T22" s="137">
        <f>ROUND('Default Data'!C42*'Furnaces (SP1 )'!E22*'Default Data'!$B$6*'Default Data'!$D$17/1000,0)</f>
        <v>414</v>
      </c>
      <c r="U22" s="137">
        <f>ROUND('Default Data'!C42*G22*'Default Data'!$B$7*'Default Data'!$D$17/1000,0)</f>
        <v>470</v>
      </c>
      <c r="V22" s="138">
        <f t="shared" si="4"/>
        <v>1301</v>
      </c>
    </row>
    <row r="23" spans="1:22" ht="15" customHeight="1">
      <c r="A23" s="104"/>
      <c r="B23" s="106" t="str">
        <f>'Default Data'!B43</f>
        <v>thermal #30, FPS</v>
      </c>
      <c r="C23" s="126">
        <v>533.5</v>
      </c>
      <c r="D23" s="123">
        <v>70317</v>
      </c>
      <c r="E23" s="127">
        <v>225</v>
      </c>
      <c r="F23" s="123">
        <v>96083</v>
      </c>
      <c r="G23" s="127">
        <v>564.05</v>
      </c>
      <c r="H23" s="124">
        <v>47590</v>
      </c>
      <c r="I23" s="127">
        <f t="shared" si="1"/>
        <v>1322.55</v>
      </c>
      <c r="J23" s="125">
        <f t="shared" si="2"/>
        <v>213990</v>
      </c>
      <c r="L23" s="131" t="str">
        <f>'Default Data'!B43</f>
        <v>thermal #30, FPS</v>
      </c>
      <c r="M23" s="136">
        <f>ROUND(D23*'Default Data'!$B$5*'Default Data'!$D$17/1000,0)</f>
        <v>134</v>
      </c>
      <c r="N23" s="137">
        <f>ROUND(F23*'Default Data'!$B$6*'Default Data'!$D$17/1000,0)</f>
        <v>184</v>
      </c>
      <c r="O23" s="137">
        <f>ROUND(H23*'Default Data'!$B$7*'Default Data'!$D$17/1000,0)</f>
        <v>92</v>
      </c>
      <c r="P23" s="138">
        <f t="shared" si="3"/>
        <v>410</v>
      </c>
      <c r="R23" s="131" t="str">
        <f>'Default Data'!B43</f>
        <v>thermal #30, FPS</v>
      </c>
      <c r="S23" s="136">
        <f>ROUND('Default Data'!C43*'Furnaces (SP1 )'!C23*'Default Data'!$B$5*'Default Data'!$D$17/1000,0)</f>
        <v>704</v>
      </c>
      <c r="T23" s="137">
        <f>ROUND('Default Data'!C43*'Furnaces (SP1 )'!E23*'Default Data'!$B$6*'Default Data'!$D$17/1000,0)</f>
        <v>299</v>
      </c>
      <c r="U23" s="137">
        <f>ROUND('Default Data'!C43*G23*'Default Data'!$B$7*'Default Data'!$D$17/1000,0)</f>
        <v>754</v>
      </c>
      <c r="V23" s="138">
        <f t="shared" si="4"/>
        <v>1757</v>
      </c>
    </row>
    <row r="24" spans="1:22" ht="15" customHeight="1">
      <c r="A24" s="104"/>
      <c r="B24" s="106" t="str">
        <f>'Default Data'!B44</f>
        <v>thermal #31, FPS</v>
      </c>
      <c r="C24" s="126">
        <v>449.9</v>
      </c>
      <c r="D24" s="123">
        <v>66071</v>
      </c>
      <c r="E24" s="127">
        <v>335.9</v>
      </c>
      <c r="F24" s="123">
        <v>68305</v>
      </c>
      <c r="G24" s="127">
        <v>693.04</v>
      </c>
      <c r="H24" s="124">
        <v>69190</v>
      </c>
      <c r="I24" s="127">
        <f t="shared" si="1"/>
        <v>1478.84</v>
      </c>
      <c r="J24" s="125">
        <f t="shared" si="2"/>
        <v>203566</v>
      </c>
      <c r="L24" s="131" t="str">
        <f>'Default Data'!B44</f>
        <v>thermal #31, FPS</v>
      </c>
      <c r="M24" s="136">
        <f>ROUND(D24*'Default Data'!$B$5*'Default Data'!$D$17/1000,0)</f>
        <v>125</v>
      </c>
      <c r="N24" s="137">
        <f>ROUND(F24*'Default Data'!$B$6*'Default Data'!$D$17/1000,0)</f>
        <v>131</v>
      </c>
      <c r="O24" s="137">
        <f>ROUND(H24*'Default Data'!$B$7*'Default Data'!$D$17/1000,0)</f>
        <v>133</v>
      </c>
      <c r="P24" s="138">
        <f t="shared" si="3"/>
        <v>389</v>
      </c>
      <c r="R24" s="131" t="str">
        <f>'Default Data'!B44</f>
        <v>thermal #31, FPS</v>
      </c>
      <c r="S24" s="136">
        <f>ROUND('Default Data'!C44*'Furnaces (SP1 )'!C24*'Default Data'!$B$5*'Default Data'!$D$17/1000,0)</f>
        <v>593</v>
      </c>
      <c r="T24" s="137">
        <f>ROUND('Default Data'!C44*'Furnaces (SP1 )'!E24*'Default Data'!$B$6*'Default Data'!$D$17/1000,0)</f>
        <v>446</v>
      </c>
      <c r="U24" s="137">
        <f>ROUND('Default Data'!C44*G24*'Default Data'!$B$7*'Default Data'!$D$17/1000,0)</f>
        <v>926</v>
      </c>
      <c r="V24" s="138">
        <f t="shared" si="4"/>
        <v>1965</v>
      </c>
    </row>
    <row r="25" spans="1:22" ht="15" customHeight="1">
      <c r="A25" s="104"/>
      <c r="B25" s="106" t="str">
        <f>'Default Data'!B45</f>
        <v>thermal #32, FPS</v>
      </c>
      <c r="C25" s="126">
        <v>529.79</v>
      </c>
      <c r="D25" s="123">
        <v>56916</v>
      </c>
      <c r="E25" s="127">
        <v>384.63</v>
      </c>
      <c r="F25" s="123">
        <v>80948</v>
      </c>
      <c r="G25" s="127">
        <v>489.99</v>
      </c>
      <c r="H25" s="124">
        <v>48041</v>
      </c>
      <c r="I25" s="127">
        <f t="shared" si="1"/>
        <v>1404.4099999999999</v>
      </c>
      <c r="J25" s="125">
        <f t="shared" si="2"/>
        <v>185905</v>
      </c>
      <c r="L25" s="131" t="str">
        <f>'Default Data'!B45</f>
        <v>thermal #32, FPS</v>
      </c>
      <c r="M25" s="136">
        <f>ROUND(D25*'Default Data'!$B$5*'Default Data'!$D$17/1000,0)</f>
        <v>108</v>
      </c>
      <c r="N25" s="137">
        <f>ROUND(F25*'Default Data'!$B$6*'Default Data'!$D$17/1000,0)</f>
        <v>155</v>
      </c>
      <c r="O25" s="137">
        <f>ROUND(H25*'Default Data'!$B$7*'Default Data'!$D$17/1000,0)</f>
        <v>92</v>
      </c>
      <c r="P25" s="138">
        <f t="shared" si="3"/>
        <v>355</v>
      </c>
      <c r="R25" s="131" t="str">
        <f>'Default Data'!B45</f>
        <v>thermal #32, FPS</v>
      </c>
      <c r="S25" s="136">
        <f>ROUND('Default Data'!C45*'Furnaces (SP1 )'!C25*'Default Data'!$B$5*'Default Data'!$D$17/1000,0)</f>
        <v>384</v>
      </c>
      <c r="T25" s="137">
        <f>ROUND('Default Data'!C45*'Furnaces (SP1 )'!E25*'Default Data'!$B$6*'Default Data'!$D$17/1000,0)</f>
        <v>281</v>
      </c>
      <c r="U25" s="137">
        <f>ROUND('Default Data'!C45*G25*'Default Data'!$B$7*'Default Data'!$D$17/1000,0)</f>
        <v>360</v>
      </c>
      <c r="V25" s="138">
        <f t="shared" si="4"/>
        <v>1025</v>
      </c>
    </row>
    <row r="26" spans="1:22" ht="15" customHeight="1">
      <c r="A26" s="104"/>
      <c r="B26" s="106" t="str">
        <f>'Default Data'!B46</f>
        <v>thermal #37, FPS</v>
      </c>
      <c r="C26" s="126">
        <v>114.25</v>
      </c>
      <c r="D26" s="123">
        <v>11959</v>
      </c>
      <c r="E26" s="127">
        <v>134.95</v>
      </c>
      <c r="F26" s="123">
        <v>11406</v>
      </c>
      <c r="G26" s="127">
        <v>253.1</v>
      </c>
      <c r="H26" s="124">
        <v>17376</v>
      </c>
      <c r="I26" s="127">
        <f t="shared" si="1"/>
        <v>502.29999999999995</v>
      </c>
      <c r="J26" s="125">
        <f t="shared" si="2"/>
        <v>40741</v>
      </c>
      <c r="L26" s="131" t="str">
        <f>'Default Data'!B46</f>
        <v>thermal #37, FPS</v>
      </c>
      <c r="M26" s="136">
        <f>ROUND(D26*'Default Data'!$B$5*'Default Data'!$D$17/1000,0)</f>
        <v>23</v>
      </c>
      <c r="N26" s="137">
        <f>ROUND(F26*'Default Data'!$B$6*'Default Data'!$D$17/1000,0)</f>
        <v>22</v>
      </c>
      <c r="O26" s="137">
        <f>ROUND(H26*'Default Data'!$B$7*'Default Data'!$D$17/1000,0)</f>
        <v>33</v>
      </c>
      <c r="P26" s="138">
        <f t="shared" si="3"/>
        <v>78</v>
      </c>
      <c r="R26" s="131" t="str">
        <f>'Default Data'!B46</f>
        <v>thermal #37, FPS</v>
      </c>
      <c r="S26" s="136">
        <f>ROUND('Default Data'!C46*'Furnaces (SP1 )'!C26*'Default Data'!$B$5*'Default Data'!$D$17/1000,0)</f>
        <v>52</v>
      </c>
      <c r="T26" s="137">
        <f>ROUND('Default Data'!C46*'Furnaces (SP1 )'!E26*'Default Data'!$B$6*'Default Data'!$D$17/1000,0)</f>
        <v>62</v>
      </c>
      <c r="U26" s="137">
        <f>ROUND('Default Data'!C46*G26*'Default Data'!$B$7*'Default Data'!$D$17/1000,0)</f>
        <v>117</v>
      </c>
      <c r="V26" s="138">
        <f t="shared" si="4"/>
        <v>231</v>
      </c>
    </row>
    <row r="27" spans="1:22" ht="15" customHeight="1" thickBot="1">
      <c r="A27" s="104"/>
      <c r="B27" s="106" t="str">
        <f>'Default Data'!B47</f>
        <v>thermal #38, FPS</v>
      </c>
      <c r="C27" s="169">
        <v>127.8</v>
      </c>
      <c r="D27" s="128">
        <v>14788</v>
      </c>
      <c r="E27" s="171">
        <v>182.19</v>
      </c>
      <c r="F27" s="128">
        <v>16875</v>
      </c>
      <c r="G27" s="171">
        <v>205.71</v>
      </c>
      <c r="H27" s="128">
        <v>15661</v>
      </c>
      <c r="I27" s="171">
        <f t="shared" si="1"/>
        <v>515.7</v>
      </c>
      <c r="J27" s="129">
        <f>D27+F27+H27</f>
        <v>47324</v>
      </c>
      <c r="L27" s="132" t="str">
        <f>'Default Data'!B47</f>
        <v>thermal #38, FPS</v>
      </c>
      <c r="M27" s="139">
        <f>ROUND(D27*'Default Data'!$B$5*'Default Data'!$D$17/1000,0)</f>
        <v>28</v>
      </c>
      <c r="N27" s="140">
        <f>ROUND(F27*'Default Data'!$B$6*'Default Data'!$D$17/1000,0)</f>
        <v>32</v>
      </c>
      <c r="O27" s="140">
        <f>ROUND(H27*'Default Data'!$B$7*'Default Data'!$D$17/1000,0)</f>
        <v>30</v>
      </c>
      <c r="P27" s="141">
        <f t="shared" si="3"/>
        <v>90</v>
      </c>
      <c r="R27" s="132" t="str">
        <f>'Default Data'!B47</f>
        <v>thermal #38, FPS</v>
      </c>
      <c r="S27" s="139">
        <f>ROUND('Default Data'!C47*'Furnaces (SP1 )'!C27*'Default Data'!$B$5*'Default Data'!$D$17/1000,0)</f>
        <v>58</v>
      </c>
      <c r="T27" s="140">
        <f>ROUND('Default Data'!C47*'Furnaces (SP1 )'!E27*'Default Data'!$B$6*'Default Data'!$D$17/1000,0)</f>
        <v>84</v>
      </c>
      <c r="U27" s="140">
        <f>ROUND('Default Data'!C47*G27*'Default Data'!$B$7*'Default Data'!$D$17/1000,0)</f>
        <v>95</v>
      </c>
      <c r="V27" s="141">
        <f t="shared" si="4"/>
        <v>237</v>
      </c>
    </row>
    <row r="28" spans="2:22" ht="15.75" thickBot="1">
      <c r="B28" s="119" t="s">
        <v>26</v>
      </c>
      <c r="C28" s="163">
        <f aca="true" t="shared" si="5" ref="C28:J28">SUM(C4:C27)</f>
        <v>16103.620000000003</v>
      </c>
      <c r="D28" s="164">
        <f t="shared" si="5"/>
        <v>1546017</v>
      </c>
      <c r="E28" s="163">
        <f t="shared" si="5"/>
        <v>15324.85</v>
      </c>
      <c r="F28" s="164">
        <f t="shared" si="5"/>
        <v>1582474</v>
      </c>
      <c r="G28" s="163">
        <f t="shared" si="5"/>
        <v>14798.55</v>
      </c>
      <c r="H28" s="164">
        <f t="shared" si="5"/>
        <v>1269009</v>
      </c>
      <c r="I28" s="163">
        <f t="shared" si="5"/>
        <v>46227.01999999999</v>
      </c>
      <c r="J28" s="164">
        <f t="shared" si="5"/>
        <v>4397500</v>
      </c>
      <c r="L28" s="112" t="s">
        <v>75</v>
      </c>
      <c r="M28" s="117"/>
      <c r="N28" s="117"/>
      <c r="O28" s="117"/>
      <c r="P28" s="143">
        <f>SUM(P4:P27)</f>
        <v>8404</v>
      </c>
      <c r="R28" s="112" t="s">
        <v>75</v>
      </c>
      <c r="S28" s="142"/>
      <c r="T28" s="142" t="s">
        <v>89</v>
      </c>
      <c r="U28" s="142"/>
      <c r="V28" s="143">
        <f>SUM(V4:V27)</f>
        <v>59844</v>
      </c>
    </row>
    <row r="30" spans="3:10" ht="15">
      <c r="C30" s="104"/>
      <c r="D30" s="104"/>
      <c r="E30" s="104"/>
      <c r="F30" s="104"/>
      <c r="G30" s="104"/>
      <c r="H30" s="104"/>
      <c r="I30" s="104"/>
      <c r="J30" s="10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3:S33"/>
  <sheetViews>
    <sheetView zoomScalePageLayoutView="0" workbookViewId="0" topLeftCell="A19">
      <selection activeCell="F28" sqref="F28"/>
    </sheetView>
  </sheetViews>
  <sheetFormatPr defaultColWidth="9.140625" defaultRowHeight="15"/>
  <cols>
    <col min="1" max="1" width="3.00390625" style="14" customWidth="1"/>
    <col min="2" max="2" width="11.140625" style="14" customWidth="1"/>
    <col min="3" max="3" width="7.7109375" style="14" hidden="1" customWidth="1"/>
    <col min="4" max="4" width="19.7109375" style="14" hidden="1" customWidth="1"/>
    <col min="5" max="5" width="16.00390625" style="14" bestFit="1" customWidth="1"/>
    <col min="6" max="6" width="13.8515625" style="14" bestFit="1" customWidth="1"/>
    <col min="7" max="7" width="19.28125" style="14" bestFit="1" customWidth="1"/>
    <col min="8" max="8" width="29.00390625" style="14" bestFit="1" customWidth="1"/>
    <col min="9" max="9" width="19.28125" style="14" bestFit="1" customWidth="1"/>
    <col min="10" max="10" width="17.8515625" style="14" bestFit="1" customWidth="1"/>
    <col min="11" max="11" width="21.00390625" style="14" bestFit="1" customWidth="1"/>
    <col min="12" max="16384" width="9.140625" style="14" customWidth="1"/>
  </cols>
  <sheetData>
    <row r="23" spans="2:17" ht="14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4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5" thickBo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9" ht="65.25" customHeight="1">
      <c r="B26" s="13" t="s">
        <v>24</v>
      </c>
      <c r="C26" s="13" t="s">
        <v>24</v>
      </c>
      <c r="D26" s="13"/>
      <c r="E26" s="13" t="s">
        <v>25</v>
      </c>
      <c r="F26" s="159" t="s">
        <v>82</v>
      </c>
      <c r="G26" s="159" t="s">
        <v>83</v>
      </c>
      <c r="H26" s="13" t="s">
        <v>84</v>
      </c>
      <c r="I26" s="13" t="s">
        <v>21</v>
      </c>
      <c r="J26" s="13" t="s">
        <v>17</v>
      </c>
      <c r="K26" s="23" t="s">
        <v>23</v>
      </c>
      <c r="L26" s="16"/>
      <c r="M26" s="16"/>
      <c r="N26" s="15"/>
      <c r="O26" s="15"/>
      <c r="P26" s="15"/>
      <c r="Q26" s="15"/>
      <c r="R26" s="15"/>
      <c r="S26" s="15"/>
    </row>
    <row r="27" spans="2:19" ht="15.75" thickBot="1">
      <c r="B27" s="69"/>
      <c r="C27" s="69"/>
      <c r="D27" s="69"/>
      <c r="E27" s="69" t="s">
        <v>64</v>
      </c>
      <c r="F27" s="69" t="s">
        <v>27</v>
      </c>
      <c r="G27" s="69" t="s">
        <v>27</v>
      </c>
      <c r="H27" s="69" t="s">
        <v>74</v>
      </c>
      <c r="I27" s="69" t="s">
        <v>27</v>
      </c>
      <c r="J27" s="69" t="s">
        <v>27</v>
      </c>
      <c r="K27" s="71" t="s">
        <v>27</v>
      </c>
      <c r="L27" s="16"/>
      <c r="M27" s="16"/>
      <c r="N27" s="15"/>
      <c r="O27" s="15"/>
      <c r="P27" s="15"/>
      <c r="Q27" s="15"/>
      <c r="R27" s="15"/>
      <c r="S27" s="15"/>
    </row>
    <row r="28" spans="2:19" ht="15">
      <c r="B28" s="47" t="str">
        <f>'Default Data'!$A$5</f>
        <v>July</v>
      </c>
      <c r="C28" s="78">
        <v>1</v>
      </c>
      <c r="D28" s="79"/>
      <c r="E28" s="147">
        <v>9614.48</v>
      </c>
      <c r="F28" s="186">
        <f>ROUND(E28*'Default Data'!$E$51/'Default Data'!$E$50*'Default Data'!$D$18,3)</f>
        <v>4860.532</v>
      </c>
      <c r="G28" s="172">
        <f>ROUND(E28*'Default Data'!$E$52*'Default Data'!$D$19,3)</f>
        <v>0.293</v>
      </c>
      <c r="H28" s="148">
        <v>14.119</v>
      </c>
      <c r="I28" s="80">
        <f>ROUND(F28+G28,0)</f>
        <v>4861</v>
      </c>
      <c r="J28" s="80">
        <f>ROUND(H28*'Default Data'!$D$19,0)</f>
        <v>15</v>
      </c>
      <c r="K28" s="81">
        <f>I28-J28</f>
        <v>4846</v>
      </c>
      <c r="L28" s="17"/>
      <c r="M28" s="17"/>
      <c r="N28" s="15"/>
      <c r="O28" s="15"/>
      <c r="P28" s="15"/>
      <c r="Q28" s="15"/>
      <c r="R28" s="15"/>
      <c r="S28" s="15"/>
    </row>
    <row r="29" spans="2:19" ht="15">
      <c r="B29" s="48" t="str">
        <f>'Default Data'!$A$6</f>
        <v>August</v>
      </c>
      <c r="C29" s="22">
        <v>8</v>
      </c>
      <c r="D29" s="68"/>
      <c r="E29" s="174">
        <v>9090.38</v>
      </c>
      <c r="F29" s="184">
        <f>ROUND(E29*'Default Data'!$E$51/'Default Data'!$E$50*'Default Data'!$D$18,3)</f>
        <v>4595.577</v>
      </c>
      <c r="G29" s="185">
        <f>ROUND(E29*'Default Data'!$E$52*'Default Data'!$D$19,3)</f>
        <v>0.277</v>
      </c>
      <c r="H29" s="154">
        <v>12.887</v>
      </c>
      <c r="I29" s="51">
        <f>ROUND(F29+G29,0)</f>
        <v>4596</v>
      </c>
      <c r="J29" s="51">
        <f>ROUND(H29*'Default Data'!$D$19,0)</f>
        <v>14</v>
      </c>
      <c r="K29" s="50">
        <f>I29-J29</f>
        <v>4582</v>
      </c>
      <c r="L29" s="17"/>
      <c r="M29" s="17"/>
      <c r="N29" s="15"/>
      <c r="O29" s="15"/>
      <c r="P29" s="15"/>
      <c r="Q29" s="15"/>
      <c r="R29" s="15"/>
      <c r="S29" s="15"/>
    </row>
    <row r="30" spans="2:19" ht="15.75" thickBot="1">
      <c r="B30" s="49" t="str">
        <f>'Default Data'!$A$7</f>
        <v>September</v>
      </c>
      <c r="C30" s="82">
        <v>9</v>
      </c>
      <c r="D30" s="83"/>
      <c r="E30" s="175">
        <v>6726.8</v>
      </c>
      <c r="F30" s="187">
        <f>ROUND(E30*'Default Data'!$E$51/'Default Data'!$E$50*'Default Data'!$D$18,3)</f>
        <v>3400.686</v>
      </c>
      <c r="G30" s="188">
        <f>ROUND(E30*'Default Data'!$E$52*'Default Data'!$D$19,3)</f>
        <v>0.205</v>
      </c>
      <c r="H30" s="155">
        <v>10.607</v>
      </c>
      <c r="I30" s="84">
        <f>ROUND(F30+G30,0)</f>
        <v>3401</v>
      </c>
      <c r="J30" s="84">
        <f>ROUND(H30*'Default Data'!$D$19,0)</f>
        <v>12</v>
      </c>
      <c r="K30" s="85">
        <f>I30-J30</f>
        <v>3389</v>
      </c>
      <c r="L30" s="17"/>
      <c r="M30" s="17"/>
      <c r="N30" s="15"/>
      <c r="O30" s="15"/>
      <c r="P30" s="15"/>
      <c r="Q30" s="15"/>
      <c r="R30" s="15"/>
      <c r="S30" s="15"/>
    </row>
    <row r="31" spans="2:19" ht="15.75" thickBot="1">
      <c r="B31" s="72" t="s">
        <v>26</v>
      </c>
      <c r="C31" s="73" t="s">
        <v>26</v>
      </c>
      <c r="D31" s="74"/>
      <c r="E31" s="176">
        <f aca="true" t="shared" si="0" ref="E31:J31">SUM(E28:E30)</f>
        <v>25431.66</v>
      </c>
      <c r="F31" s="70">
        <f t="shared" si="0"/>
        <v>12856.795</v>
      </c>
      <c r="G31" s="75">
        <f t="shared" si="0"/>
        <v>0.775</v>
      </c>
      <c r="H31" s="76">
        <f t="shared" si="0"/>
        <v>37.613</v>
      </c>
      <c r="I31" s="70">
        <f t="shared" si="0"/>
        <v>12858</v>
      </c>
      <c r="J31" s="70">
        <f t="shared" si="0"/>
        <v>41</v>
      </c>
      <c r="K31" s="77">
        <f>I31-J31</f>
        <v>12817</v>
      </c>
      <c r="L31" s="18"/>
      <c r="M31" s="18"/>
      <c r="N31" s="15"/>
      <c r="O31" s="15"/>
      <c r="P31" s="15"/>
      <c r="Q31" s="15"/>
      <c r="R31" s="15"/>
      <c r="S31" s="15"/>
    </row>
    <row r="32" spans="2:17" ht="14.25">
      <c r="B32" s="15"/>
      <c r="C32" s="15"/>
      <c r="D32" s="15"/>
      <c r="E32" s="15"/>
      <c r="F32" s="19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ht="12.75">
      <c r="F33" s="5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9:H23"/>
  <sheetViews>
    <sheetView zoomScalePageLayoutView="0" workbookViewId="0" topLeftCell="A7">
      <selection activeCell="C25" sqref="C25"/>
    </sheetView>
  </sheetViews>
  <sheetFormatPr defaultColWidth="9.140625" defaultRowHeight="15"/>
  <cols>
    <col min="2" max="2" width="11.421875" style="0" customWidth="1"/>
    <col min="3" max="3" width="15.28125" style="0" customWidth="1"/>
    <col min="4" max="4" width="29.7109375" style="0" bestFit="1" customWidth="1"/>
    <col min="5" max="5" width="27.28125" style="0" bestFit="1" customWidth="1"/>
    <col min="6" max="6" width="18.7109375" style="0" bestFit="1" customWidth="1"/>
    <col min="7" max="7" width="17.421875" style="0" bestFit="1" customWidth="1"/>
    <col min="8" max="8" width="10.421875" style="0" customWidth="1"/>
  </cols>
  <sheetData>
    <row r="18" ht="15.75" thickBot="1"/>
    <row r="19" spans="2:8" ht="30.75" thickBot="1">
      <c r="B19" s="86" t="s">
        <v>24</v>
      </c>
      <c r="C19" s="60" t="s">
        <v>53</v>
      </c>
      <c r="D19" s="60" t="s">
        <v>49</v>
      </c>
      <c r="E19" s="60" t="s">
        <v>50</v>
      </c>
      <c r="F19" s="60" t="s">
        <v>51</v>
      </c>
      <c r="G19" s="60" t="s">
        <v>52</v>
      </c>
      <c r="H19" s="60" t="s">
        <v>36</v>
      </c>
    </row>
    <row r="20" spans="2:8" ht="15">
      <c r="B20" s="47" t="str">
        <f>'Default Data'!$A$5</f>
        <v>July</v>
      </c>
      <c r="C20" s="149">
        <v>10340.742</v>
      </c>
      <c r="D20" s="150">
        <v>6344.339</v>
      </c>
      <c r="E20" s="150">
        <v>1396.927</v>
      </c>
      <c r="F20" s="190">
        <f>ROUND(C20*'Default Data'!$E$56*'Default Data'!$D$19,0)</f>
        <v>11610</v>
      </c>
      <c r="G20" s="190">
        <f>ROUND((D20+E20)*'Default Data'!$D$19,0)</f>
        <v>8438</v>
      </c>
      <c r="H20" s="90">
        <f>F20-G20</f>
        <v>3172</v>
      </c>
    </row>
    <row r="21" spans="2:8" ht="15">
      <c r="B21" s="48" t="str">
        <f>'Default Data'!$A$6</f>
        <v>August</v>
      </c>
      <c r="C21" s="151">
        <v>10007.681</v>
      </c>
      <c r="D21" s="152">
        <v>6017.85</v>
      </c>
      <c r="E21" s="152">
        <v>1295.733</v>
      </c>
      <c r="F21" s="189">
        <f>ROUND(C21*'Default Data'!$E$56*'Default Data'!$D$19,0)</f>
        <v>11236</v>
      </c>
      <c r="G21" s="189">
        <f>ROUND((D21+E21)*'Default Data'!$D$19,0)</f>
        <v>7972</v>
      </c>
      <c r="H21" s="27">
        <f>F21-G21</f>
        <v>3264</v>
      </c>
    </row>
    <row r="22" spans="2:8" ht="15.75" thickBot="1">
      <c r="B22" s="49" t="str">
        <f>'Default Data'!$A$7</f>
        <v>September</v>
      </c>
      <c r="C22" s="173">
        <v>7789.09</v>
      </c>
      <c r="D22" s="153">
        <v>4782.344</v>
      </c>
      <c r="E22" s="153">
        <v>959.896</v>
      </c>
      <c r="F22" s="191">
        <f>ROUND(C22*'Default Data'!$E$56*'Default Data'!$D$19,0)</f>
        <v>8745</v>
      </c>
      <c r="G22" s="191">
        <f>ROUND((D22+E22)*'Default Data'!$D$19,0)</f>
        <v>6259</v>
      </c>
      <c r="H22" s="91">
        <f>F22-G22</f>
        <v>2486</v>
      </c>
    </row>
    <row r="23" spans="2:8" ht="15.75" thickBot="1">
      <c r="B23" s="87" t="s">
        <v>26</v>
      </c>
      <c r="C23" s="166">
        <f aca="true" t="shared" si="0" ref="C23:H23">SUM(C20:C22)</f>
        <v>28137.513000000003</v>
      </c>
      <c r="D23" s="166">
        <f t="shared" si="0"/>
        <v>17144.533</v>
      </c>
      <c r="E23" s="166">
        <f t="shared" si="0"/>
        <v>3652.5559999999996</v>
      </c>
      <c r="F23" s="88">
        <f t="shared" si="0"/>
        <v>31591</v>
      </c>
      <c r="G23" s="88">
        <f t="shared" si="0"/>
        <v>22669</v>
      </c>
      <c r="H23" s="89">
        <f t="shared" si="0"/>
        <v>8922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9:G25"/>
  <sheetViews>
    <sheetView zoomScalePageLayoutView="0" workbookViewId="0" topLeftCell="A10">
      <selection activeCell="F30" sqref="F30"/>
    </sheetView>
  </sheetViews>
  <sheetFormatPr defaultColWidth="9.140625" defaultRowHeight="15"/>
  <cols>
    <col min="2" max="2" width="12.57421875" style="0" customWidth="1"/>
    <col min="3" max="3" width="17.421875" style="0" bestFit="1" customWidth="1"/>
    <col min="4" max="4" width="29.421875" style="0" bestFit="1" customWidth="1"/>
    <col min="5" max="5" width="25.00390625" style="0" bestFit="1" customWidth="1"/>
    <col min="6" max="6" width="23.7109375" style="0" bestFit="1" customWidth="1"/>
    <col min="7" max="7" width="11.7109375" style="0" customWidth="1"/>
  </cols>
  <sheetData>
    <row r="18" ht="15.75" thickBot="1"/>
    <row r="19" spans="2:7" ht="15.75" thickBot="1">
      <c r="B19" s="92" t="s">
        <v>24</v>
      </c>
      <c r="C19" s="46" t="s">
        <v>37</v>
      </c>
      <c r="D19" s="86" t="s">
        <v>38</v>
      </c>
      <c r="E19" s="93" t="s">
        <v>34</v>
      </c>
      <c r="F19" s="94" t="s">
        <v>35</v>
      </c>
      <c r="G19" s="95" t="s">
        <v>36</v>
      </c>
    </row>
    <row r="20" spans="2:7" ht="15">
      <c r="B20" s="193" t="str">
        <f>'Default Data'!$A$5</f>
        <v>July</v>
      </c>
      <c r="C20" s="194">
        <v>302.17</v>
      </c>
      <c r="D20" s="148">
        <v>144.605</v>
      </c>
      <c r="E20" s="80">
        <f>ROUND(C20*'Default Data'!$E$59*'Default Data'!$D$19,0)</f>
        <v>3952</v>
      </c>
      <c r="F20" s="80">
        <f>ROUND(D20*'Default Data'!$D$19,0)</f>
        <v>158</v>
      </c>
      <c r="G20" s="100">
        <f>E20-F20</f>
        <v>3794</v>
      </c>
    </row>
    <row r="21" spans="2:7" ht="15">
      <c r="B21" s="195" t="str">
        <f>'Default Data'!$A$6</f>
        <v>August</v>
      </c>
      <c r="C21" s="192">
        <v>366.25</v>
      </c>
      <c r="D21" s="154">
        <v>201.495</v>
      </c>
      <c r="E21" s="51">
        <f>ROUND(C21*'Default Data'!$E$59*'Default Data'!$D$19,0)</f>
        <v>4791</v>
      </c>
      <c r="F21" s="51">
        <f>ROUND(D21*'Default Data'!$D$19,0)</f>
        <v>220</v>
      </c>
      <c r="G21" s="52">
        <f>E21-F21</f>
        <v>4571</v>
      </c>
    </row>
    <row r="22" spans="2:7" ht="15.75" thickBot="1">
      <c r="B22" s="196" t="str">
        <f>'Default Data'!$A$7</f>
        <v>September</v>
      </c>
      <c r="C22" s="197">
        <v>328.42</v>
      </c>
      <c r="D22" s="155">
        <v>150.971</v>
      </c>
      <c r="E22" s="84">
        <f>ROUND(C22*'Default Data'!$E$59*'Default Data'!$D$19,0)</f>
        <v>4296</v>
      </c>
      <c r="F22" s="84">
        <f>ROUND(D22*'Default Data'!$D$19,0)</f>
        <v>165</v>
      </c>
      <c r="G22" s="101">
        <f>E22-F22</f>
        <v>4131</v>
      </c>
    </row>
    <row r="23" spans="2:7" ht="15.75" thickBot="1">
      <c r="B23" s="96" t="s">
        <v>59</v>
      </c>
      <c r="C23" s="97">
        <f>SUM(C20:C22)</f>
        <v>996.8400000000001</v>
      </c>
      <c r="D23" s="167">
        <f>SUM(D20:D22)</f>
        <v>497.071</v>
      </c>
      <c r="E23" s="98">
        <f>SUM(E20:E22)</f>
        <v>13039</v>
      </c>
      <c r="F23" s="98">
        <f>SUM(F20:F22)</f>
        <v>543</v>
      </c>
      <c r="G23" s="99">
        <f>SUM(G20:G22)</f>
        <v>12496</v>
      </c>
    </row>
    <row r="25" ht="15">
      <c r="D25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24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2" max="2" width="18.28125" style="0" bestFit="1" customWidth="1"/>
    <col min="3" max="3" width="10.57421875" style="0" bestFit="1" customWidth="1"/>
  </cols>
  <sheetData>
    <row r="2" ht="15.75" thickBot="1"/>
    <row r="3" spans="2:4" ht="15">
      <c r="B3" s="11" t="s">
        <v>21</v>
      </c>
      <c r="C3" s="4"/>
      <c r="D3" s="28"/>
    </row>
    <row r="4" spans="2:4" ht="15">
      <c r="B4" s="5" t="s">
        <v>42</v>
      </c>
      <c r="C4" s="2" t="s">
        <v>18</v>
      </c>
      <c r="D4" s="29">
        <f>'Furnaces (SP1 )'!V28</f>
        <v>59844</v>
      </c>
    </row>
    <row r="5" spans="2:4" ht="15">
      <c r="B5" s="5" t="s">
        <v>43</v>
      </c>
      <c r="C5" s="2" t="s">
        <v>18</v>
      </c>
      <c r="D5" s="29">
        <f>'Vacuumator  (SP2)'!I31</f>
        <v>12858</v>
      </c>
    </row>
    <row r="6" spans="2:4" ht="15">
      <c r="B6" s="5" t="s">
        <v>44</v>
      </c>
      <c r="C6" s="2" t="s">
        <v>18</v>
      </c>
      <c r="D6" s="29">
        <f>'Ladle Furnace (SP3)'!F23</f>
        <v>31591</v>
      </c>
    </row>
    <row r="7" spans="2:4" ht="15.75" thickBot="1">
      <c r="B7" s="7" t="s">
        <v>45</v>
      </c>
      <c r="C7" s="8" t="s">
        <v>18</v>
      </c>
      <c r="D7" s="30">
        <f>'Press (SP4) '!E23</f>
        <v>13039</v>
      </c>
    </row>
    <row r="8" spans="2:4" ht="15.75" thickBot="1">
      <c r="B8" s="9" t="s">
        <v>26</v>
      </c>
      <c r="C8" s="10" t="s">
        <v>18</v>
      </c>
      <c r="D8" s="31">
        <f>SUM(D4:D7)</f>
        <v>117332</v>
      </c>
    </row>
    <row r="9" ht="15.75" thickBot="1"/>
    <row r="10" spans="2:4" ht="15">
      <c r="B10" s="11" t="s">
        <v>17</v>
      </c>
      <c r="C10" s="4"/>
      <c r="D10" s="28"/>
    </row>
    <row r="11" spans="2:4" ht="15">
      <c r="B11" s="5" t="s">
        <v>42</v>
      </c>
      <c r="C11" s="2" t="s">
        <v>18</v>
      </c>
      <c r="D11" s="29">
        <f>'Furnaces (SP1 )'!P28</f>
        <v>8404</v>
      </c>
    </row>
    <row r="12" spans="2:4" ht="15">
      <c r="B12" s="5" t="s">
        <v>43</v>
      </c>
      <c r="C12" s="2" t="s">
        <v>18</v>
      </c>
      <c r="D12" s="29">
        <f>'Vacuumator  (SP2)'!J31</f>
        <v>41</v>
      </c>
    </row>
    <row r="13" spans="2:4" ht="15">
      <c r="B13" s="5" t="s">
        <v>44</v>
      </c>
      <c r="C13" s="2" t="s">
        <v>18</v>
      </c>
      <c r="D13" s="29">
        <f>'Ladle Furnace (SP3)'!G23</f>
        <v>22669</v>
      </c>
    </row>
    <row r="14" spans="2:4" ht="15.75" thickBot="1">
      <c r="B14" s="7" t="s">
        <v>45</v>
      </c>
      <c r="C14" s="8" t="s">
        <v>18</v>
      </c>
      <c r="D14" s="30">
        <f>'Press (SP4) '!F23</f>
        <v>543</v>
      </c>
    </row>
    <row r="15" spans="2:4" ht="15.75" thickBot="1">
      <c r="B15" s="9" t="s">
        <v>26</v>
      </c>
      <c r="C15" s="10" t="s">
        <v>18</v>
      </c>
      <c r="D15" s="31">
        <f>SUM(D11:D14)</f>
        <v>31657</v>
      </c>
    </row>
    <row r="16" ht="15.75" thickBot="1"/>
    <row r="17" spans="2:4" ht="15">
      <c r="B17" s="11" t="s">
        <v>22</v>
      </c>
      <c r="C17" s="4"/>
      <c r="D17" s="28"/>
    </row>
    <row r="18" spans="2:4" ht="15">
      <c r="B18" s="5" t="s">
        <v>42</v>
      </c>
      <c r="C18" s="2" t="s">
        <v>18</v>
      </c>
      <c r="D18" s="29">
        <f>D4-D11</f>
        <v>51440</v>
      </c>
    </row>
    <row r="19" spans="2:4" ht="15">
      <c r="B19" s="5" t="s">
        <v>43</v>
      </c>
      <c r="C19" s="2" t="s">
        <v>18</v>
      </c>
      <c r="D19" s="29">
        <f>D5-D12</f>
        <v>12817</v>
      </c>
    </row>
    <row r="20" spans="2:4" ht="15">
      <c r="B20" s="5" t="s">
        <v>44</v>
      </c>
      <c r="C20" s="2" t="s">
        <v>18</v>
      </c>
      <c r="D20" s="29">
        <f>D6-D13</f>
        <v>8922</v>
      </c>
    </row>
    <row r="21" spans="2:4" ht="15.75" thickBot="1">
      <c r="B21" s="7" t="s">
        <v>45</v>
      </c>
      <c r="C21" s="8" t="s">
        <v>18</v>
      </c>
      <c r="D21" s="29">
        <f>D7-D14</f>
        <v>12496</v>
      </c>
    </row>
    <row r="22" spans="2:4" ht="15.75" thickBot="1">
      <c r="B22" s="9" t="s">
        <v>26</v>
      </c>
      <c r="C22" s="10" t="s">
        <v>18</v>
      </c>
      <c r="D22" s="31">
        <f>SUM(D18:D21)</f>
        <v>85675</v>
      </c>
    </row>
    <row r="24" spans="2:3" ht="15">
      <c r="B24" s="39"/>
      <c r="C24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2009-12-22T12:12:40Z</cp:lastPrinted>
  <dcterms:created xsi:type="dcterms:W3CDTF">2009-04-14T07:18:06Z</dcterms:created>
  <dcterms:modified xsi:type="dcterms:W3CDTF">2012-02-10T12:16:39Z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