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6" yWindow="65296" windowWidth="11112" windowHeight="8868" activeTab="0"/>
  </bookViews>
  <sheets>
    <sheet name="Input" sheetId="1" r:id="rId1"/>
    <sheet name="Main Scenario" sheetId="2" r:id="rId2"/>
    <sheet name="Sensitivity 1" sheetId="3" r:id="rId3"/>
    <sheet name="Sensitivity 2" sheetId="4" r:id="rId4"/>
    <sheet name="Summary Table" sheetId="5" r:id="rId5"/>
  </sheets>
  <definedNames>
    <definedName name="_ftnref1" localSheetId="0">'Input'!$D$49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<sst xmlns="http://schemas.openxmlformats.org/spreadsheetml/2006/main" count="191" uniqueCount="83">
  <si>
    <t>Slag usage and switch from wet to dry process at Yugcement, Ukraine.</t>
  </si>
  <si>
    <t>Indicator</t>
  </si>
  <si>
    <t xml:space="preserve">Value </t>
  </si>
  <si>
    <t>Unit</t>
  </si>
  <si>
    <t>Project lifetime</t>
  </si>
  <si>
    <t>Years</t>
  </si>
  <si>
    <t>UAH/Euro</t>
  </si>
  <si>
    <t>Annual clinker production</t>
  </si>
  <si>
    <t>Slurried raw material cost</t>
  </si>
  <si>
    <t>Coal price</t>
  </si>
  <si>
    <t>Fixed values and inputs</t>
  </si>
  <si>
    <t>Slag price (CIF)</t>
  </si>
  <si>
    <t>Savings from going to 4% slag</t>
  </si>
  <si>
    <t>Item</t>
  </si>
  <si>
    <t>Raw materials savings</t>
  </si>
  <si>
    <t>UAH/t</t>
  </si>
  <si>
    <t>t/t clinker</t>
  </si>
  <si>
    <t>Coal savings</t>
  </si>
  <si>
    <t>Slag</t>
  </si>
  <si>
    <t>Electricity for slag milling</t>
  </si>
  <si>
    <t>kWh/t</t>
  </si>
  <si>
    <t>Electricty tariff</t>
  </si>
  <si>
    <t>UAH/kWh</t>
  </si>
  <si>
    <t>Natural Gas for slag drying</t>
  </si>
  <si>
    <t>Nm3/t</t>
  </si>
  <si>
    <t>Natural Gas price</t>
  </si>
  <si>
    <t>UAH/1000m3</t>
  </si>
  <si>
    <t>Increase Fe2O3</t>
  </si>
  <si>
    <t>Fe2O3 price</t>
  </si>
  <si>
    <t>Increase Kaolin</t>
  </si>
  <si>
    <t>Kaolin price</t>
  </si>
  <si>
    <t>1000 tons</t>
  </si>
  <si>
    <t>Savings from going to 15% slag</t>
  </si>
  <si>
    <t>As of 1st of January 2008</t>
  </si>
  <si>
    <t xml:space="preserve">National Bank of Ukraine for the 01/01/2008 http://www.bank.gov.ua/kurs/last_kurs1.htm </t>
  </si>
  <si>
    <t>Investment costs</t>
  </si>
  <si>
    <t>Value</t>
  </si>
  <si>
    <t>To go to 4% slag</t>
  </si>
  <si>
    <t>To go to 15% slag</t>
  </si>
  <si>
    <t>EUR thousand</t>
  </si>
  <si>
    <t>Discount Rate</t>
  </si>
  <si>
    <t>Bank loan rate</t>
  </si>
  <si>
    <t>%</t>
  </si>
  <si>
    <t xml:space="preserve">Average loan rate for loans in foreign currency as of 01/01/2008 as reported by National Bank of Ukraine http://www.bank.gov.ua/Fin_ryn/Pot_tend/2007.zip </t>
  </si>
  <si>
    <t>Inflation rate</t>
  </si>
  <si>
    <t>10 years average inflation rate for EuroZone (EuroZone inflation is applied because financial calculations are made in Euros) for the period of 1998-2007 is 2,0%[1]</t>
  </si>
  <si>
    <r>
      <t>[1]</t>
    </r>
    <r>
      <rPr>
        <sz val="10"/>
        <color indexed="8"/>
        <rFont val="Times New Roman"/>
        <family val="1"/>
      </rPr>
      <t xml:space="preserve"> Eurostat data http://epp.eurostat.ec.europa.eu/tgm/table.do?tab=table&amp;language=en&amp;pcode=tsieb060&amp;tableSelection=1&amp;footnotes=yes&amp;labeling=labels&amp;plugin=1 </t>
    </r>
  </si>
  <si>
    <t>Financial Indicators Calculation</t>
  </si>
  <si>
    <t>Parameter</t>
  </si>
  <si>
    <t>Slag %</t>
  </si>
  <si>
    <t>CapEx</t>
  </si>
  <si>
    <t>in EUR thousands</t>
  </si>
  <si>
    <t>Required Slag, t</t>
  </si>
  <si>
    <t>Slag Price</t>
  </si>
  <si>
    <t>Electricity costs</t>
  </si>
  <si>
    <t>Natural gas costs</t>
  </si>
  <si>
    <t>Fe2O3 costs</t>
  </si>
  <si>
    <t>Kaolin costs</t>
  </si>
  <si>
    <t>Changes in OpEx</t>
  </si>
  <si>
    <t>Operational Cash Flow</t>
  </si>
  <si>
    <t>Net Cashflow</t>
  </si>
  <si>
    <t>NPV</t>
  </si>
  <si>
    <t>Sensitivity Factors</t>
  </si>
  <si>
    <t>Raw materials price</t>
  </si>
  <si>
    <t>Slag price</t>
  </si>
  <si>
    <t>Scenarios</t>
  </si>
  <si>
    <t>Value of assets in 2017</t>
  </si>
  <si>
    <t>Forecast based on 7 times value depriciation</t>
  </si>
  <si>
    <t>Investment cost</t>
  </si>
  <si>
    <t xml:space="preserve">Data from Dyckerhoff </t>
  </si>
  <si>
    <t>Project/Indicator</t>
  </si>
  <si>
    <t>NPV, thousands EUR</t>
  </si>
  <si>
    <t>Scenario 1 (coal price +10%; raw materials price +10%; slag price -10%; investment cost -10%)</t>
  </si>
  <si>
    <t>Scenario 2 (coal price -10%; raw materials price -10%; slag price +10%; investment cost +10%)</t>
  </si>
  <si>
    <t>Main Scenario</t>
  </si>
  <si>
    <t>Gas or coal savings</t>
  </si>
  <si>
    <t>Gas saving</t>
  </si>
  <si>
    <t>1000m3/t clinker</t>
  </si>
  <si>
    <t>no gas is used anymore at 15% slag</t>
  </si>
  <si>
    <t>n/appl</t>
  </si>
  <si>
    <t>Fuel used</t>
  </si>
  <si>
    <t>gas</t>
  </si>
  <si>
    <t>coal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</si>
</sst>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6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" fillId="0" borderId="3" applyNumberFormat="0" applyFill="0" applyAlignment="0" applyProtection="0"/>
    <xf numFmtId="0" fontId="14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4" fillId="7" borderId="1" applyNumberFormat="0" applyAlignment="0" applyProtection="0"/>
    <xf numFmtId="0" fontId="19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1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7" borderId="1" xfId="48" applyAlignment="1">
      <alignment/>
    </xf>
    <xf numFmtId="0" fontId="1" fillId="0" borderId="0" xfId="53" applyAlignment="1">
      <alignment/>
    </xf>
    <xf numFmtId="0" fontId="0" fillId="0" borderId="0" xfId="0" applyBorder="1" applyAlignment="1">
      <alignment/>
    </xf>
    <xf numFmtId="0" fontId="2" fillId="0" borderId="3" xfId="44" applyAlignment="1">
      <alignment/>
    </xf>
    <xf numFmtId="0" fontId="3" fillId="0" borderId="5" xfId="46" applyAlignment="1">
      <alignment/>
    </xf>
    <xf numFmtId="0" fontId="3" fillId="0" borderId="10" xfId="47" applyBorder="1" applyAlignment="1">
      <alignment/>
    </xf>
    <xf numFmtId="0" fontId="0" fillId="23" borderId="7" xfId="51" applyFont="1" applyAlignment="1">
      <alignment/>
    </xf>
    <xf numFmtId="0" fontId="2" fillId="24" borderId="3" xfId="44" applyFill="1" applyAlignment="1">
      <alignment/>
    </xf>
    <xf numFmtId="0" fontId="5" fillId="0" borderId="0" xfId="42" applyAlignment="1">
      <alignment/>
    </xf>
    <xf numFmtId="0" fontId="8" fillId="0" borderId="0" xfId="56" applyAlignment="1" applyProtection="1">
      <alignment/>
      <protection/>
    </xf>
    <xf numFmtId="0" fontId="7" fillId="0" borderId="0" xfId="0" applyFont="1" applyAlignment="1">
      <alignment/>
    </xf>
    <xf numFmtId="10" fontId="4" fillId="7" borderId="1" xfId="48" applyNumberFormat="1" applyAlignment="1">
      <alignment/>
    </xf>
    <xf numFmtId="2" fontId="0" fillId="0" borderId="0" xfId="0" applyNumberFormat="1" applyAlignment="1">
      <alignment/>
    </xf>
    <xf numFmtId="2" fontId="0" fillId="23" borderId="7" xfId="51" applyNumberFormat="1" applyFont="1" applyAlignment="1">
      <alignment/>
    </xf>
    <xf numFmtId="0" fontId="0" fillId="23" borderId="11" xfId="51" applyFont="1" applyBorder="1" applyAlignment="1">
      <alignment/>
    </xf>
    <xf numFmtId="0" fontId="9" fillId="0" borderId="12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center" vertical="center" wrapText="1"/>
    </xf>
    <xf numFmtId="0" fontId="11" fillId="20" borderId="13" xfId="0" applyFont="1" applyFill="1" applyBorder="1" applyAlignment="1">
      <alignment horizontal="center" vertical="center" wrapText="1"/>
    </xf>
    <xf numFmtId="0" fontId="11" fillId="20" borderId="14" xfId="0" applyFont="1" applyFill="1" applyBorder="1" applyAlignment="1">
      <alignment horizontal="center" vertical="top" wrapText="1"/>
    </xf>
    <xf numFmtId="4" fontId="0" fillId="0" borderId="14" xfId="0" applyNumberFormat="1" applyBorder="1" applyAlignment="1">
      <alignment/>
    </xf>
    <xf numFmtId="4" fontId="10" fillId="0" borderId="15" xfId="0" applyNumberFormat="1" applyFont="1" applyBorder="1" applyAlignment="1">
      <alignment horizontal="center" vertical="center" wrapText="1"/>
    </xf>
    <xf numFmtId="0" fontId="12" fillId="23" borderId="7" xfId="51" applyFont="1" applyAlignment="1">
      <alignment/>
    </xf>
    <xf numFmtId="0" fontId="13" fillId="23" borderId="7" xfId="51" applyFont="1" applyAlignment="1">
      <alignment/>
    </xf>
    <xf numFmtId="0" fontId="12" fillId="23" borderId="7" xfId="51" applyFont="1" applyAlignment="1">
      <alignment horizontal="right"/>
    </xf>
    <xf numFmtId="0" fontId="4" fillId="7" borderId="1" xfId="48" applyAlignment="1">
      <alignment horizontal="right"/>
    </xf>
    <xf numFmtId="0" fontId="2" fillId="0" borderId="0" xfId="44" applyBorder="1" applyAlignment="1">
      <alignment horizontal="center"/>
    </xf>
    <xf numFmtId="0" fontId="2" fillId="0" borderId="3" xfId="44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Percent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="75" zoomScaleNormal="75" zoomScalePageLayoutView="0" workbookViewId="0" topLeftCell="A1">
      <selection activeCell="I36" sqref="I36"/>
    </sheetView>
  </sheetViews>
  <sheetFormatPr defaultColWidth="9.140625" defaultRowHeight="15"/>
  <cols>
    <col min="1" max="1" width="32.28125" style="0" customWidth="1"/>
    <col min="3" max="3" width="14.57421875" style="0" customWidth="1"/>
  </cols>
  <sheetData>
    <row r="1" ht="22.5">
      <c r="A1" s="2" t="s">
        <v>0</v>
      </c>
    </row>
    <row r="2" ht="22.5">
      <c r="A2" s="2" t="s">
        <v>33</v>
      </c>
    </row>
    <row r="3" spans="1:3" ht="20.25" thickBot="1">
      <c r="A3" s="4" t="s">
        <v>10</v>
      </c>
      <c r="B3" s="4"/>
      <c r="C3" s="4"/>
    </row>
    <row r="4" spans="1:3" ht="15" thickTop="1">
      <c r="A4" s="6" t="s">
        <v>1</v>
      </c>
      <c r="B4" s="6" t="s">
        <v>2</v>
      </c>
      <c r="C4" s="6" t="s">
        <v>3</v>
      </c>
    </row>
    <row r="5" spans="1:3" ht="14.25">
      <c r="A5" s="7" t="s">
        <v>4</v>
      </c>
      <c r="B5" s="1">
        <v>10</v>
      </c>
      <c r="C5" s="7" t="s">
        <v>5</v>
      </c>
    </row>
    <row r="6" spans="1:4" ht="14.25">
      <c r="A6" s="7" t="s">
        <v>6</v>
      </c>
      <c r="B6" s="1">
        <v>7.4194</v>
      </c>
      <c r="C6" s="7"/>
      <c r="D6" s="9" t="s">
        <v>34</v>
      </c>
    </row>
    <row r="7" spans="1:4" ht="14.25">
      <c r="A7" s="7" t="s">
        <v>7</v>
      </c>
      <c r="B7" s="1">
        <v>500</v>
      </c>
      <c r="C7" s="7" t="s">
        <v>31</v>
      </c>
      <c r="D7" s="9"/>
    </row>
    <row r="8" spans="1:4" ht="14.25">
      <c r="A8" s="7" t="s">
        <v>8</v>
      </c>
      <c r="B8" s="1">
        <v>26.8</v>
      </c>
      <c r="C8" s="7" t="s">
        <v>15</v>
      </c>
      <c r="D8" s="9" t="s">
        <v>69</v>
      </c>
    </row>
    <row r="9" spans="1:4" ht="14.25">
      <c r="A9" s="7" t="s">
        <v>9</v>
      </c>
      <c r="B9" s="1">
        <v>607.89</v>
      </c>
      <c r="C9" s="7" t="s">
        <v>15</v>
      </c>
      <c r="D9" s="9" t="s">
        <v>69</v>
      </c>
    </row>
    <row r="10" spans="1:4" ht="14.25">
      <c r="A10" s="7" t="s">
        <v>11</v>
      </c>
      <c r="B10" s="1">
        <v>150</v>
      </c>
      <c r="C10" s="7" t="s">
        <v>15</v>
      </c>
      <c r="D10" s="9" t="s">
        <v>69</v>
      </c>
    </row>
    <row r="11" spans="1:4" ht="14.25">
      <c r="A11" s="7" t="s">
        <v>30</v>
      </c>
      <c r="B11" s="1">
        <v>88</v>
      </c>
      <c r="C11" s="7" t="s">
        <v>15</v>
      </c>
      <c r="D11" s="9" t="s">
        <v>69</v>
      </c>
    </row>
    <row r="12" spans="1:4" ht="14.25">
      <c r="A12" s="7" t="s">
        <v>25</v>
      </c>
      <c r="B12" s="1">
        <v>838.49</v>
      </c>
      <c r="C12" s="7" t="s">
        <v>26</v>
      </c>
      <c r="D12" s="9" t="s">
        <v>69</v>
      </c>
    </row>
    <row r="13" spans="1:4" ht="14.25">
      <c r="A13" s="7" t="s">
        <v>21</v>
      </c>
      <c r="B13" s="1">
        <v>0.2578</v>
      </c>
      <c r="C13" s="7" t="s">
        <v>22</v>
      </c>
      <c r="D13" s="9" t="s">
        <v>69</v>
      </c>
    </row>
    <row r="14" spans="1:4" ht="14.25">
      <c r="A14" s="7" t="s">
        <v>28</v>
      </c>
      <c r="B14" s="1">
        <v>61.5</v>
      </c>
      <c r="C14" s="7" t="s">
        <v>15</v>
      </c>
      <c r="D14" s="9" t="s">
        <v>69</v>
      </c>
    </row>
    <row r="17" spans="1:3" ht="20.25" thickBot="1">
      <c r="A17" s="8" t="s">
        <v>12</v>
      </c>
      <c r="B17" s="4"/>
      <c r="C17" s="4"/>
    </row>
    <row r="18" spans="1:3" ht="15" thickTop="1">
      <c r="A18" s="6" t="s">
        <v>13</v>
      </c>
      <c r="B18" s="6" t="s">
        <v>2</v>
      </c>
      <c r="C18" s="6" t="s">
        <v>3</v>
      </c>
    </row>
    <row r="19" spans="1:4" ht="14.25">
      <c r="A19" s="7" t="s">
        <v>14</v>
      </c>
      <c r="B19" s="1">
        <v>0.068</v>
      </c>
      <c r="C19" s="7" t="s">
        <v>16</v>
      </c>
      <c r="D19" s="9" t="s">
        <v>69</v>
      </c>
    </row>
    <row r="20" spans="1:4" ht="14.25">
      <c r="A20" s="7" t="s">
        <v>17</v>
      </c>
      <c r="B20" s="1">
        <v>0.01</v>
      </c>
      <c r="C20" s="7" t="s">
        <v>16</v>
      </c>
      <c r="D20" s="9" t="s">
        <v>69</v>
      </c>
    </row>
    <row r="21" spans="1:4" ht="14.25">
      <c r="A21" s="7" t="s">
        <v>76</v>
      </c>
      <c r="B21" s="1">
        <v>0.00536</v>
      </c>
      <c r="C21" s="7" t="s">
        <v>77</v>
      </c>
      <c r="D21" s="9" t="s">
        <v>69</v>
      </c>
    </row>
    <row r="22" spans="1:4" ht="14.25">
      <c r="A22" s="7" t="s">
        <v>18</v>
      </c>
      <c r="B22" s="1">
        <v>0.047</v>
      </c>
      <c r="C22" s="7" t="s">
        <v>16</v>
      </c>
      <c r="D22" s="9" t="s">
        <v>69</v>
      </c>
    </row>
    <row r="23" spans="1:4" ht="14.25">
      <c r="A23" s="7" t="s">
        <v>19</v>
      </c>
      <c r="B23" s="1">
        <v>52</v>
      </c>
      <c r="C23" s="7" t="s">
        <v>20</v>
      </c>
      <c r="D23" s="9" t="s">
        <v>69</v>
      </c>
    </row>
    <row r="24" spans="1:4" ht="14.25">
      <c r="A24" s="7" t="s">
        <v>23</v>
      </c>
      <c r="B24" s="1">
        <v>15</v>
      </c>
      <c r="C24" s="7" t="s">
        <v>24</v>
      </c>
      <c r="D24" s="9" t="s">
        <v>69</v>
      </c>
    </row>
    <row r="25" spans="1:4" ht="14.25">
      <c r="A25" s="7" t="s">
        <v>27</v>
      </c>
      <c r="B25" s="1">
        <v>0.0001</v>
      </c>
      <c r="C25" s="7" t="s">
        <v>16</v>
      </c>
      <c r="D25" s="9" t="s">
        <v>69</v>
      </c>
    </row>
    <row r="26" spans="1:4" ht="14.25">
      <c r="A26" s="7" t="s">
        <v>29</v>
      </c>
      <c r="B26" s="1">
        <v>0.005</v>
      </c>
      <c r="C26" s="7" t="s">
        <v>16</v>
      </c>
      <c r="D26" s="9" t="s">
        <v>69</v>
      </c>
    </row>
    <row r="28" spans="1:3" ht="20.25" thickBot="1">
      <c r="A28" s="8" t="s">
        <v>32</v>
      </c>
      <c r="B28" s="4"/>
      <c r="C28" s="4"/>
    </row>
    <row r="29" spans="1:3" ht="15" thickTop="1">
      <c r="A29" s="6" t="s">
        <v>13</v>
      </c>
      <c r="B29" s="6" t="s">
        <v>2</v>
      </c>
      <c r="C29" s="6" t="s">
        <v>3</v>
      </c>
    </row>
    <row r="30" spans="1:4" ht="14.25">
      <c r="A30" s="7" t="s">
        <v>14</v>
      </c>
      <c r="B30" s="1">
        <v>0.258</v>
      </c>
      <c r="C30" s="7" t="s">
        <v>16</v>
      </c>
      <c r="D30" s="9" t="s">
        <v>69</v>
      </c>
    </row>
    <row r="31" spans="1:4" ht="14.25">
      <c r="A31" s="7" t="s">
        <v>17</v>
      </c>
      <c r="B31" s="1">
        <v>0.029</v>
      </c>
      <c r="C31" s="7" t="s">
        <v>16</v>
      </c>
      <c r="D31" s="9" t="s">
        <v>69</v>
      </c>
    </row>
    <row r="32" spans="1:4" ht="14.25">
      <c r="A32" s="7" t="s">
        <v>76</v>
      </c>
      <c r="B32" s="25" t="s">
        <v>79</v>
      </c>
      <c r="C32" s="7" t="s">
        <v>77</v>
      </c>
      <c r="D32" s="9" t="s">
        <v>78</v>
      </c>
    </row>
    <row r="33" spans="1:4" ht="14.25">
      <c r="A33" s="7" t="s">
        <v>18</v>
      </c>
      <c r="B33" s="1">
        <v>0.178</v>
      </c>
      <c r="C33" s="7" t="s">
        <v>16</v>
      </c>
      <c r="D33" s="9" t="s">
        <v>69</v>
      </c>
    </row>
    <row r="34" spans="1:4" ht="14.25">
      <c r="A34" s="7" t="s">
        <v>19</v>
      </c>
      <c r="B34" s="1">
        <v>52</v>
      </c>
      <c r="C34" s="7" t="s">
        <v>20</v>
      </c>
      <c r="D34" s="9" t="s">
        <v>69</v>
      </c>
    </row>
    <row r="35" spans="1:4" ht="14.25">
      <c r="A35" s="7" t="s">
        <v>23</v>
      </c>
      <c r="B35" s="1">
        <v>15</v>
      </c>
      <c r="C35" s="7" t="s">
        <v>24</v>
      </c>
      <c r="D35" s="9" t="s">
        <v>69</v>
      </c>
    </row>
    <row r="36" spans="1:4" ht="14.25">
      <c r="A36" s="7" t="s">
        <v>27</v>
      </c>
      <c r="B36" s="1">
        <v>0.0004</v>
      </c>
      <c r="C36" s="7" t="s">
        <v>16</v>
      </c>
      <c r="D36" s="9" t="s">
        <v>69</v>
      </c>
    </row>
    <row r="37" spans="1:4" ht="14.25">
      <c r="A37" s="7" t="s">
        <v>29</v>
      </c>
      <c r="B37" s="1">
        <v>0.018</v>
      </c>
      <c r="C37" s="7" t="s">
        <v>16</v>
      </c>
      <c r="D37" s="9" t="s">
        <v>69</v>
      </c>
    </row>
    <row r="40" spans="1:3" ht="20.25" thickBot="1">
      <c r="A40" s="8" t="s">
        <v>35</v>
      </c>
      <c r="B40" s="8"/>
      <c r="C40" s="8"/>
    </row>
    <row r="41" spans="1:3" ht="15" thickBot="1" thickTop="1">
      <c r="A41" s="5" t="s">
        <v>13</v>
      </c>
      <c r="B41" s="5" t="s">
        <v>36</v>
      </c>
      <c r="C41" s="5" t="s">
        <v>3</v>
      </c>
    </row>
    <row r="42" spans="1:3" ht="14.25">
      <c r="A42" s="7" t="s">
        <v>37</v>
      </c>
      <c r="B42" s="1">
        <v>1000</v>
      </c>
      <c r="C42" s="7" t="s">
        <v>39</v>
      </c>
    </row>
    <row r="43" spans="1:3" ht="14.25">
      <c r="A43" s="7" t="s">
        <v>38</v>
      </c>
      <c r="B43" s="1">
        <v>2400</v>
      </c>
      <c r="C43" s="7" t="s">
        <v>39</v>
      </c>
    </row>
    <row r="44" spans="1:4" ht="14.25">
      <c r="A44" s="7" t="s">
        <v>66</v>
      </c>
      <c r="B44" s="1">
        <f>ROUND(SUM(B42:B43)/7,0)</f>
        <v>486</v>
      </c>
      <c r="C44" s="7" t="s">
        <v>39</v>
      </c>
      <c r="D44" s="9" t="s">
        <v>67</v>
      </c>
    </row>
    <row r="46" spans="1:3" ht="20.25" thickBot="1">
      <c r="A46" s="4" t="s">
        <v>40</v>
      </c>
      <c r="B46" s="4"/>
      <c r="C46" s="4"/>
    </row>
    <row r="47" spans="1:3" ht="15" thickBot="1" thickTop="1">
      <c r="A47" s="5" t="s">
        <v>13</v>
      </c>
      <c r="B47" s="5" t="s">
        <v>36</v>
      </c>
      <c r="C47" s="5" t="s">
        <v>3</v>
      </c>
    </row>
    <row r="48" spans="1:4" ht="14.25">
      <c r="A48" s="7" t="s">
        <v>41</v>
      </c>
      <c r="B48" s="1">
        <v>11.2</v>
      </c>
      <c r="C48" s="7" t="s">
        <v>42</v>
      </c>
      <c r="D48" s="9" t="s">
        <v>43</v>
      </c>
    </row>
    <row r="49" spans="1:4" ht="14.25">
      <c r="A49" s="7" t="s">
        <v>44</v>
      </c>
      <c r="B49" s="1">
        <v>2</v>
      </c>
      <c r="C49" s="7" t="s">
        <v>42</v>
      </c>
      <c r="D49" s="10" t="s">
        <v>45</v>
      </c>
    </row>
    <row r="50" spans="1:3" ht="14.25">
      <c r="A50" s="7" t="s">
        <v>40</v>
      </c>
      <c r="B50" s="12">
        <f>((1+(B48/100))/(1+(B49/100)))-1</f>
        <v>0.09019607843137267</v>
      </c>
      <c r="C50" s="7" t="s">
        <v>42</v>
      </c>
    </row>
    <row r="52" ht="15.75">
      <c r="D52" s="11" t="s">
        <v>46</v>
      </c>
    </row>
    <row r="55" spans="1:4" ht="20.25" thickBot="1">
      <c r="A55" s="4" t="s">
        <v>62</v>
      </c>
      <c r="B55" s="26" t="s">
        <v>65</v>
      </c>
      <c r="C55" s="26"/>
      <c r="D55" s="26"/>
    </row>
    <row r="56" spans="1:4" ht="15" thickBot="1" thickTop="1">
      <c r="A56" s="5" t="s">
        <v>13</v>
      </c>
      <c r="B56" s="5">
        <v>1</v>
      </c>
      <c r="C56" s="5">
        <v>2</v>
      </c>
      <c r="D56" s="5">
        <v>3</v>
      </c>
    </row>
    <row r="57" spans="1:4" ht="14.25">
      <c r="A57" s="7" t="s">
        <v>63</v>
      </c>
      <c r="B57" s="1">
        <v>1.1</v>
      </c>
      <c r="C57" s="1">
        <v>0.9</v>
      </c>
      <c r="D57" s="1">
        <v>1</v>
      </c>
    </row>
    <row r="58" spans="1:4" ht="14.25">
      <c r="A58" s="7" t="s">
        <v>64</v>
      </c>
      <c r="B58" s="1">
        <v>0.9</v>
      </c>
      <c r="C58" s="1">
        <v>1.1</v>
      </c>
      <c r="D58" s="1">
        <v>0.8</v>
      </c>
    </row>
    <row r="59" spans="1:4" ht="14.25">
      <c r="A59" s="7" t="s">
        <v>9</v>
      </c>
      <c r="B59" s="1">
        <v>1.1</v>
      </c>
      <c r="C59" s="1">
        <v>0.9</v>
      </c>
      <c r="D59" s="1">
        <v>1</v>
      </c>
    </row>
    <row r="60" spans="1:4" ht="14.25">
      <c r="A60" s="7" t="s">
        <v>68</v>
      </c>
      <c r="B60" s="1">
        <v>0.9</v>
      </c>
      <c r="C60" s="1">
        <v>1.1</v>
      </c>
      <c r="D60" s="1">
        <v>0.8</v>
      </c>
    </row>
  </sheetData>
  <sheetProtection/>
  <mergeCells count="1">
    <mergeCell ref="B55:D55"/>
  </mergeCells>
  <hyperlinks>
    <hyperlink ref="D49" r:id="rId1" display="_ftn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3">
      <selection activeCell="A12" sqref="A12"/>
    </sheetView>
  </sheetViews>
  <sheetFormatPr defaultColWidth="9.140625" defaultRowHeight="15"/>
  <cols>
    <col min="1" max="1" width="25.421875" style="0" customWidth="1"/>
    <col min="2" max="2" width="10.8515625" style="0" bestFit="1" customWidth="1"/>
  </cols>
  <sheetData>
    <row r="1" spans="1:5" ht="22.5">
      <c r="A1" s="2" t="s">
        <v>47</v>
      </c>
      <c r="E1" s="9" t="s">
        <v>51</v>
      </c>
    </row>
    <row r="3" spans="2:11" ht="20.25" thickBot="1">
      <c r="B3" s="27" t="s">
        <v>5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21" thickBot="1" thickTop="1">
      <c r="A4" s="4" t="s">
        <v>48</v>
      </c>
      <c r="B4" s="4">
        <v>2008</v>
      </c>
      <c r="C4" s="4">
        <v>2009</v>
      </c>
      <c r="D4" s="4">
        <v>2010</v>
      </c>
      <c r="E4" s="4">
        <v>2011</v>
      </c>
      <c r="F4" s="4">
        <v>2012</v>
      </c>
      <c r="G4" s="4">
        <v>2013</v>
      </c>
      <c r="H4" s="4">
        <v>2014</v>
      </c>
      <c r="I4" s="4">
        <v>2015</v>
      </c>
      <c r="J4" s="4">
        <v>2016</v>
      </c>
      <c r="K4" s="4">
        <v>2017</v>
      </c>
    </row>
    <row r="5" spans="1:11" ht="15" thickTop="1">
      <c r="A5" s="7" t="s">
        <v>52</v>
      </c>
      <c r="B5" s="7">
        <v>0</v>
      </c>
      <c r="C5" s="7">
        <f>Input!$B$22*Input!$B$7*1000</f>
        <v>23500</v>
      </c>
      <c r="D5" s="7">
        <f>Input!$B$22*Input!$B$7*1000</f>
        <v>23500</v>
      </c>
      <c r="E5" s="7">
        <f>Input!$B$33*Input!$B$7*1000</f>
        <v>89000</v>
      </c>
      <c r="F5" s="7">
        <f>Input!$B$33*Input!$B$7*1000</f>
        <v>89000</v>
      </c>
      <c r="G5" s="7">
        <f>Input!$B$33*Input!$B$7*1000</f>
        <v>89000</v>
      </c>
      <c r="H5" s="7">
        <f>Input!$B$33*Input!$B$7*1000</f>
        <v>89000</v>
      </c>
      <c r="I5" s="7">
        <f>Input!$B$33*Input!$B$7*1000</f>
        <v>89000</v>
      </c>
      <c r="J5" s="7">
        <f>Input!$B$33*Input!$B$7*1000</f>
        <v>89000</v>
      </c>
      <c r="K5" s="7">
        <f>Input!$B$33*Input!$B$7*1000</f>
        <v>89000</v>
      </c>
    </row>
    <row r="6" spans="1:11" ht="14.25">
      <c r="A6" s="7" t="s">
        <v>49</v>
      </c>
      <c r="B6" s="22">
        <v>0</v>
      </c>
      <c r="C6" s="22">
        <v>4</v>
      </c>
      <c r="D6" s="22">
        <v>4</v>
      </c>
      <c r="E6" s="22">
        <v>15</v>
      </c>
      <c r="F6" s="22">
        <v>15</v>
      </c>
      <c r="G6" s="22">
        <v>15</v>
      </c>
      <c r="H6" s="22">
        <v>15</v>
      </c>
      <c r="I6" s="22">
        <v>15</v>
      </c>
      <c r="J6" s="22">
        <v>15</v>
      </c>
      <c r="K6" s="22">
        <v>15</v>
      </c>
    </row>
    <row r="7" spans="1:11" ht="14.25">
      <c r="A7" s="7" t="s">
        <v>80</v>
      </c>
      <c r="B7" s="24" t="s">
        <v>81</v>
      </c>
      <c r="C7" s="24" t="s">
        <v>81</v>
      </c>
      <c r="D7" s="24" t="s">
        <v>82</v>
      </c>
      <c r="E7" s="24" t="s">
        <v>82</v>
      </c>
      <c r="F7" s="24" t="s">
        <v>82</v>
      </c>
      <c r="G7" s="24" t="s">
        <v>82</v>
      </c>
      <c r="H7" s="24" t="s">
        <v>82</v>
      </c>
      <c r="I7" s="24" t="s">
        <v>82</v>
      </c>
      <c r="J7" s="24" t="s">
        <v>82</v>
      </c>
      <c r="K7" s="24" t="s">
        <v>82</v>
      </c>
    </row>
    <row r="8" spans="1:11" ht="14.25">
      <c r="A8" s="7" t="s">
        <v>50</v>
      </c>
      <c r="B8" s="7">
        <f>Input!B42</f>
        <v>1000</v>
      </c>
      <c r="C8" s="7">
        <f>Input!B43</f>
        <v>2400</v>
      </c>
      <c r="D8" s="7"/>
      <c r="E8" s="7"/>
      <c r="F8" s="7"/>
      <c r="G8" s="7"/>
      <c r="H8" s="7"/>
      <c r="I8" s="7"/>
      <c r="J8" s="7"/>
      <c r="K8" s="7">
        <f>-Input!B44</f>
        <v>-486</v>
      </c>
    </row>
    <row r="10" ht="20.25" thickBot="1">
      <c r="A10" s="4" t="s">
        <v>58</v>
      </c>
    </row>
    <row r="11" spans="1:11" ht="15" thickTop="1">
      <c r="A11" s="7" t="s">
        <v>14</v>
      </c>
      <c r="B11" s="14">
        <v>0</v>
      </c>
      <c r="C11" s="14">
        <f>(Input!$B$19*Input!$B$7*1000*Input!$B$8)/(Input!$B$6*1000)</f>
        <v>122.81316548507965</v>
      </c>
      <c r="D11" s="14">
        <f>(Input!$B$19*Input!$B$7*1000*Input!$B$8)/(Input!$B$6*1000)</f>
        <v>122.81316548507965</v>
      </c>
      <c r="E11" s="14">
        <f>(Input!$B$30*Input!$B$7*1000*Input!$B$8)/(Input!$B$6*1000)</f>
        <v>465.9675984580963</v>
      </c>
      <c r="F11" s="14">
        <f>(Input!$B$30*Input!$B$7*1000*Input!$B$8)/(Input!$B$6*1000)</f>
        <v>465.9675984580963</v>
      </c>
      <c r="G11" s="14">
        <f>(Input!$B$30*Input!$B$7*1000*Input!$B$8)/(Input!$B$6*1000)</f>
        <v>465.9675984580963</v>
      </c>
      <c r="H11" s="14">
        <f>(Input!$B$30*Input!$B$7*1000*Input!$B$8)/(Input!$B$6*1000)</f>
        <v>465.9675984580963</v>
      </c>
      <c r="I11" s="14">
        <f>(Input!$B$30*Input!$B$7*1000*Input!$B$8)/(Input!$B$6*1000)</f>
        <v>465.9675984580963</v>
      </c>
      <c r="J11" s="14">
        <f>(Input!$B$30*Input!$B$7*1000*Input!$B$8)/(Input!$B$6*1000)</f>
        <v>465.9675984580963</v>
      </c>
      <c r="K11" s="14">
        <f>(Input!$B$30*Input!$B$7*1000*Input!$B$8)/(Input!$B$6*1000)</f>
        <v>465.9675984580963</v>
      </c>
    </row>
    <row r="12" spans="1:11" ht="14.25">
      <c r="A12" s="7" t="s">
        <v>75</v>
      </c>
      <c r="B12" s="14">
        <v>0</v>
      </c>
      <c r="C12" s="14">
        <f>(Input!$B$21*Input!$B$7*1000*Input!$B$9)/(1000*Input!$B$6)</f>
        <v>219.5791034315443</v>
      </c>
      <c r="D12" s="14">
        <f>(Input!$B$20*Input!$B$7*1000*Input!$B$9)/(1000*Input!$B$6)</f>
        <v>409.6625064021349</v>
      </c>
      <c r="E12" s="14">
        <f>(Input!$B$31*Input!$B$7*1000*Input!$B$9)/(1000*Input!$B$6)</f>
        <v>1188.0212685661913</v>
      </c>
      <c r="F12" s="14">
        <f>(Input!$B$31*Input!$B$7*1000*Input!$B$9)/(1000*Input!$B$6)</f>
        <v>1188.0212685661913</v>
      </c>
      <c r="G12" s="14">
        <f>(Input!$B$31*Input!$B$7*1000*Input!$B$9)/(1000*Input!$B$6)</f>
        <v>1188.0212685661913</v>
      </c>
      <c r="H12" s="14">
        <f>(Input!$B$31*Input!$B$7*1000*Input!$B$9)/(1000*Input!$B$6)</f>
        <v>1188.0212685661913</v>
      </c>
      <c r="I12" s="14">
        <f>(Input!$B$31*Input!$B$7*1000*Input!$B$9)/(1000*Input!$B$6)</f>
        <v>1188.0212685661913</v>
      </c>
      <c r="J12" s="14">
        <f>(Input!$B$31*Input!$B$7*1000*Input!$B$9)/(1000*Input!$B$6)</f>
        <v>1188.0212685661913</v>
      </c>
      <c r="K12" s="14">
        <f>(Input!$B$31*Input!$B$7*1000*Input!$B$9)/(1000*Input!$B$6)</f>
        <v>1188.0212685661913</v>
      </c>
    </row>
    <row r="13" spans="1:11" ht="14.25">
      <c r="A13" s="7" t="s">
        <v>53</v>
      </c>
      <c r="B13" s="14">
        <v>0</v>
      </c>
      <c r="C13" s="14">
        <f>C5*Input!$B$10/Input!$B$6/1000</f>
        <v>475.10580370380353</v>
      </c>
      <c r="D13" s="14">
        <f>D5*Input!$B$10/Input!$B$6/1000</f>
        <v>475.10580370380353</v>
      </c>
      <c r="E13" s="14">
        <f>E5*Input!$B$10/Input!$B$6/1000</f>
        <v>1799.336873601639</v>
      </c>
      <c r="F13" s="14">
        <f>F5*Input!$B$10/Input!$B$6/1000</f>
        <v>1799.336873601639</v>
      </c>
      <c r="G13" s="14">
        <f>G5*Input!$B$10/Input!$B$6/1000</f>
        <v>1799.336873601639</v>
      </c>
      <c r="H13" s="14">
        <f>H5*Input!$B$10/Input!$B$6/1000</f>
        <v>1799.336873601639</v>
      </c>
      <c r="I13" s="14">
        <f>I5*Input!$B$10/Input!$B$6/1000</f>
        <v>1799.336873601639</v>
      </c>
      <c r="J13" s="14">
        <f>J5*Input!$B$10/Input!$B$6/1000</f>
        <v>1799.336873601639</v>
      </c>
      <c r="K13" s="14">
        <f>K5*Input!$B$10/Input!$B$6/1000</f>
        <v>1799.336873601639</v>
      </c>
    </row>
    <row r="14" spans="1:11" ht="14.25">
      <c r="A14" s="7" t="s">
        <v>54</v>
      </c>
      <c r="B14" s="14">
        <v>0</v>
      </c>
      <c r="C14" s="14">
        <f>'Main Scenario'!C5*Input!$B$23*Input!$B$13/Input!$B$6/1000</f>
        <v>42.46052241421139</v>
      </c>
      <c r="D14" s="14">
        <f>'Main Scenario'!D5*Input!$B$23*Input!$B$13/Input!$B$6/1000</f>
        <v>42.46052241421139</v>
      </c>
      <c r="E14" s="14">
        <f>E5*Input!$B$34*Input!$B$13/Input!$B$6/1000</f>
        <v>160.8079359516942</v>
      </c>
      <c r="F14" s="14">
        <f>F5*Input!$B$34*Input!$B$13/Input!$B$6/1000</f>
        <v>160.8079359516942</v>
      </c>
      <c r="G14" s="14">
        <f>G5*Input!$B$34*Input!$B$13/Input!$B$6/1000</f>
        <v>160.8079359516942</v>
      </c>
      <c r="H14" s="14">
        <f>H5*Input!$B$34*Input!$B$13/Input!$B$6/1000</f>
        <v>160.8079359516942</v>
      </c>
      <c r="I14" s="14">
        <f>I5*Input!$B$34*Input!$B$13/Input!$B$6/1000</f>
        <v>160.8079359516942</v>
      </c>
      <c r="J14" s="14">
        <f>J5*Input!$B$34*Input!$B$13/Input!$B$6/1000</f>
        <v>160.8079359516942</v>
      </c>
      <c r="K14" s="14">
        <f>K5*Input!$B$34*Input!$B$13/Input!$B$6/1000</f>
        <v>160.8079359516942</v>
      </c>
    </row>
    <row r="15" spans="1:11" ht="14.25">
      <c r="A15" s="7" t="s">
        <v>55</v>
      </c>
      <c r="B15" s="14">
        <v>0</v>
      </c>
      <c r="C15" s="14">
        <f>(Input!$B$35*C5*Input!$B$12/1000)/Input!$B$6/1000</f>
        <v>39.83714653476022</v>
      </c>
      <c r="D15" s="14">
        <f>(Input!$B$35*D5*Input!$B$12/1000)/Input!$B$6/1000</f>
        <v>39.83714653476022</v>
      </c>
      <c r="E15" s="14">
        <f>(Input!$B$35*E5*Input!$B$12/1000)/Input!$B$6/1000</f>
        <v>150.8725975146238</v>
      </c>
      <c r="F15" s="14">
        <f>(Input!$B$35*F5*Input!$B$12/1000)/Input!$B$6/1000</f>
        <v>150.8725975146238</v>
      </c>
      <c r="G15" s="14">
        <f>(Input!$B$35*G5*Input!$B$12/1000)/Input!$B$6/1000</f>
        <v>150.8725975146238</v>
      </c>
      <c r="H15" s="14">
        <f>(Input!$B$35*H5*Input!$B$12/1000)/Input!$B$6/1000</f>
        <v>150.8725975146238</v>
      </c>
      <c r="I15" s="14">
        <f>(Input!$B$35*I5*Input!$B$12/1000)/Input!$B$6/1000</f>
        <v>150.8725975146238</v>
      </c>
      <c r="J15" s="14">
        <f>(Input!$B$35*J5*Input!$B$12/1000)/Input!$B$6/1000</f>
        <v>150.8725975146238</v>
      </c>
      <c r="K15" s="14">
        <f>(Input!$B$35*K5*Input!$B$12/1000)/Input!$B$6/1000</f>
        <v>150.8725975146238</v>
      </c>
    </row>
    <row r="16" spans="1:11" ht="14.25">
      <c r="A16" s="7" t="s">
        <v>56</v>
      </c>
      <c r="B16" s="14">
        <v>0</v>
      </c>
      <c r="C16" s="14">
        <f>Input!$B$25*Input!$B$7*1000*Input!$B$14/Input!$B$6/1000</f>
        <v>0.41445399897565843</v>
      </c>
      <c r="D16" s="14">
        <f>Input!$B$25*Input!$B$7*1000*Input!$B$14/Input!$B$6/1000</f>
        <v>0.41445399897565843</v>
      </c>
      <c r="E16" s="14">
        <f>Input!$B$36*Input!$B$7*1000*Input!$B$14/Input!$B$6/1000</f>
        <v>1.6578159959026337</v>
      </c>
      <c r="F16" s="14">
        <f>Input!$B$36*Input!$B$7*1000*Input!$B$14/Input!$B$6/1000</f>
        <v>1.6578159959026337</v>
      </c>
      <c r="G16" s="14">
        <f>Input!$B$36*Input!$B$7*1000*Input!$B$14/Input!$B$6/1000</f>
        <v>1.6578159959026337</v>
      </c>
      <c r="H16" s="14">
        <f>Input!$B$36*Input!$B$7*1000*Input!$B$14/Input!$B$6/1000</f>
        <v>1.6578159959026337</v>
      </c>
      <c r="I16" s="14">
        <f>Input!$B$36*Input!$B$7*1000*Input!$B$14/Input!$B$6/1000</f>
        <v>1.6578159959026337</v>
      </c>
      <c r="J16" s="14">
        <f>Input!$B$36*Input!$B$7*1000*Input!$B$14/Input!$B$6/1000</f>
        <v>1.6578159959026337</v>
      </c>
      <c r="K16" s="14">
        <f>Input!$B$36*Input!$B$7*1000*Input!$B$14/Input!$B$6/1000</f>
        <v>1.6578159959026337</v>
      </c>
    </row>
    <row r="17" spans="1:11" ht="14.25">
      <c r="A17" s="7" t="s">
        <v>57</v>
      </c>
      <c r="B17" s="14">
        <v>0</v>
      </c>
      <c r="C17" s="14">
        <f>Input!$B$26*Input!$B$7*1000*Input!$B$11/Input!$B$6/1000</f>
        <v>29.651993422648733</v>
      </c>
      <c r="D17" s="14">
        <f>Input!$B$26*Input!$B$7*1000*Input!$B$11/Input!$B$6/1000</f>
        <v>29.651993422648733</v>
      </c>
      <c r="E17" s="14">
        <f>Input!$B$37*Input!$B$7*1000*Input!$B$11/Input!$B$6/1000</f>
        <v>106.74717632153543</v>
      </c>
      <c r="F17" s="14">
        <f>Input!$B$37*Input!$B$7*1000*Input!$B$11/Input!$B$6/1000</f>
        <v>106.74717632153543</v>
      </c>
      <c r="G17" s="14">
        <f>Input!$B$37*Input!$B$7*1000*Input!$B$11/Input!$B$6/1000</f>
        <v>106.74717632153543</v>
      </c>
      <c r="H17" s="14">
        <f>Input!$B$37*Input!$B$7*1000*Input!$B$11/Input!$B$6/1000</f>
        <v>106.74717632153543</v>
      </c>
      <c r="I17" s="14">
        <f>Input!$B$37*Input!$B$7*1000*Input!$B$11/Input!$B$6/1000</f>
        <v>106.74717632153543</v>
      </c>
      <c r="J17" s="14">
        <f>Input!$B$37*Input!$B$7*1000*Input!$B$11/Input!$B$6/1000</f>
        <v>106.74717632153543</v>
      </c>
      <c r="K17" s="14">
        <f>Input!$B$37*Input!$B$7*1000*Input!$B$11/Input!$B$6/1000</f>
        <v>106.74717632153543</v>
      </c>
    </row>
    <row r="19" spans="1:11" ht="14.25">
      <c r="A19" s="7" t="s">
        <v>59</v>
      </c>
      <c r="B19" s="14">
        <f>B11+B12-B13-B14-B15-B16-B17</f>
        <v>0</v>
      </c>
      <c r="C19" s="14">
        <f aca="true" t="shared" si="0" ref="C19:K19">C11+C12-C13-C14-C15-C16-C17</f>
        <v>-245.0776511577756</v>
      </c>
      <c r="D19" s="14">
        <f t="shared" si="0"/>
        <v>-54.994248187185036</v>
      </c>
      <c r="E19" s="14">
        <f t="shared" si="0"/>
        <v>-565.4335323611073</v>
      </c>
      <c r="F19" s="14">
        <f t="shared" si="0"/>
        <v>-565.4335323611073</v>
      </c>
      <c r="G19" s="14">
        <f t="shared" si="0"/>
        <v>-565.4335323611073</v>
      </c>
      <c r="H19" s="14">
        <f t="shared" si="0"/>
        <v>-565.4335323611073</v>
      </c>
      <c r="I19" s="14">
        <f t="shared" si="0"/>
        <v>-565.4335323611073</v>
      </c>
      <c r="J19" s="14">
        <f t="shared" si="0"/>
        <v>-565.4335323611073</v>
      </c>
      <c r="K19" s="14">
        <f t="shared" si="0"/>
        <v>-565.4335323611073</v>
      </c>
    </row>
    <row r="20" spans="1:11" ht="14.25">
      <c r="A20" s="7" t="s">
        <v>60</v>
      </c>
      <c r="B20" s="14">
        <f>-B8+B19</f>
        <v>-1000</v>
      </c>
      <c r="C20" s="14">
        <f aca="true" t="shared" si="1" ref="C20:K20">-C8+C19</f>
        <v>-2645.0776511577756</v>
      </c>
      <c r="D20" s="14">
        <f t="shared" si="1"/>
        <v>-54.994248187185036</v>
      </c>
      <c r="E20" s="14">
        <f t="shared" si="1"/>
        <v>-565.4335323611073</v>
      </c>
      <c r="F20" s="14">
        <f t="shared" si="1"/>
        <v>-565.4335323611073</v>
      </c>
      <c r="G20" s="14">
        <f t="shared" si="1"/>
        <v>-565.4335323611073</v>
      </c>
      <c r="H20" s="14">
        <f t="shared" si="1"/>
        <v>-565.4335323611073</v>
      </c>
      <c r="I20" s="14">
        <f t="shared" si="1"/>
        <v>-565.4335323611073</v>
      </c>
      <c r="J20" s="14">
        <f t="shared" si="1"/>
        <v>-565.4335323611073</v>
      </c>
      <c r="K20" s="14">
        <f t="shared" si="1"/>
        <v>-79.43353236110727</v>
      </c>
    </row>
    <row r="21" ht="15" thickBot="1"/>
    <row r="22" spans="1:12" ht="15" thickBot="1">
      <c r="A22" s="15" t="s">
        <v>61</v>
      </c>
      <c r="B22" s="20">
        <f>NPV(Input!B50,'Main Scenario'!B20:K20)</f>
        <v>-5175.144637245479</v>
      </c>
      <c r="L22" s="13"/>
    </row>
    <row r="23" ht="14.25">
      <c r="D23" s="3"/>
    </row>
    <row r="24" ht="14.25">
      <c r="D24" s="3"/>
    </row>
  </sheetData>
  <sheetProtection/>
  <mergeCells count="1">
    <mergeCell ref="B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25.421875" style="0" customWidth="1"/>
    <col min="2" max="2" width="10.8515625" style="0" bestFit="1" customWidth="1"/>
  </cols>
  <sheetData>
    <row r="1" spans="1:5" ht="22.5">
      <c r="A1" s="2" t="s">
        <v>47</v>
      </c>
      <c r="E1" s="9" t="s">
        <v>51</v>
      </c>
    </row>
    <row r="3" spans="2:11" ht="20.25" thickBot="1">
      <c r="B3" s="27" t="s">
        <v>5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21" thickBot="1" thickTop="1">
      <c r="A4" s="4" t="s">
        <v>48</v>
      </c>
      <c r="B4" s="4">
        <v>2008</v>
      </c>
      <c r="C4" s="4">
        <v>2009</v>
      </c>
      <c r="D4" s="4">
        <v>2010</v>
      </c>
      <c r="E4" s="4">
        <v>2011</v>
      </c>
      <c r="F4" s="4">
        <v>2012</v>
      </c>
      <c r="G4" s="4">
        <v>2013</v>
      </c>
      <c r="H4" s="4">
        <v>2014</v>
      </c>
      <c r="I4" s="4">
        <v>2015</v>
      </c>
      <c r="J4" s="4">
        <v>2016</v>
      </c>
      <c r="K4" s="4">
        <v>2017</v>
      </c>
    </row>
    <row r="5" spans="1:11" ht="15" thickTop="1">
      <c r="A5" s="7" t="s">
        <v>52</v>
      </c>
      <c r="B5" s="7">
        <f>'Main Scenario'!B5</f>
        <v>0</v>
      </c>
      <c r="C5" s="7">
        <f>'Main Scenario'!C5</f>
        <v>23500</v>
      </c>
      <c r="D5" s="7">
        <f>'Main Scenario'!D5</f>
        <v>23500</v>
      </c>
      <c r="E5" s="7">
        <f>'Main Scenario'!E5</f>
        <v>89000</v>
      </c>
      <c r="F5" s="7">
        <f>'Main Scenario'!F5</f>
        <v>89000</v>
      </c>
      <c r="G5" s="7">
        <f>'Main Scenario'!G5</f>
        <v>89000</v>
      </c>
      <c r="H5" s="7">
        <f>'Main Scenario'!H5</f>
        <v>89000</v>
      </c>
      <c r="I5" s="7">
        <f>'Main Scenario'!I5</f>
        <v>89000</v>
      </c>
      <c r="J5" s="7">
        <f>'Main Scenario'!J5</f>
        <v>89000</v>
      </c>
      <c r="K5" s="7">
        <f>'Main Scenario'!K5</f>
        <v>89000</v>
      </c>
    </row>
    <row r="6" spans="1:11" ht="14.25">
      <c r="A6" s="7" t="s">
        <v>49</v>
      </c>
      <c r="B6" s="23">
        <f>'Main Scenario'!B6</f>
        <v>0</v>
      </c>
      <c r="C6" s="23">
        <f>'Main Scenario'!C6</f>
        <v>4</v>
      </c>
      <c r="D6" s="23">
        <f>'Main Scenario'!D6</f>
        <v>4</v>
      </c>
      <c r="E6" s="23">
        <f>'Main Scenario'!E6</f>
        <v>15</v>
      </c>
      <c r="F6" s="23">
        <f>'Main Scenario'!F6</f>
        <v>15</v>
      </c>
      <c r="G6" s="23">
        <f>'Main Scenario'!G6</f>
        <v>15</v>
      </c>
      <c r="H6" s="23">
        <f>'Main Scenario'!H6</f>
        <v>15</v>
      </c>
      <c r="I6" s="23">
        <f>'Main Scenario'!I6</f>
        <v>15</v>
      </c>
      <c r="J6" s="23">
        <f>'Main Scenario'!J6</f>
        <v>15</v>
      </c>
      <c r="K6" s="23">
        <f>'Main Scenario'!K6</f>
        <v>15</v>
      </c>
    </row>
    <row r="7" spans="1:11" ht="14.25">
      <c r="A7" s="7" t="s">
        <v>50</v>
      </c>
      <c r="B7" s="7">
        <f>Input!B42*Input!B60</f>
        <v>900</v>
      </c>
      <c r="C7" s="7">
        <f>Input!B43*Input!B60</f>
        <v>2160</v>
      </c>
      <c r="D7" s="7"/>
      <c r="E7" s="7"/>
      <c r="F7" s="7"/>
      <c r="G7" s="7"/>
      <c r="H7" s="7"/>
      <c r="I7" s="7"/>
      <c r="J7" s="7"/>
      <c r="K7" s="7">
        <f>-Input!B44*Input!B60</f>
        <v>-437.40000000000003</v>
      </c>
    </row>
    <row r="9" ht="20.25" thickBot="1">
      <c r="A9" s="4" t="s">
        <v>58</v>
      </c>
    </row>
    <row r="10" spans="1:11" ht="15" thickTop="1">
      <c r="A10" s="7" t="s">
        <v>14</v>
      </c>
      <c r="B10" s="14">
        <v>0</v>
      </c>
      <c r="C10" s="14">
        <f>(Input!$B$19*Input!$B$7*1000*Input!$B$8*Input!$B$57)/(Input!$B$6*1000)</f>
        <v>135.09448203358764</v>
      </c>
      <c r="D10" s="14">
        <f>(Input!$B$19*Input!$B$7*1000*Input!$B$8*Input!$B$57)/(Input!$B$6*1000)</f>
        <v>135.09448203358764</v>
      </c>
      <c r="E10" s="14">
        <f>(Input!$B$30*Input!$B$7*1000*Input!$B$8*Input!$B$57)/(Input!$B$6*1000)</f>
        <v>512.564358303906</v>
      </c>
      <c r="F10" s="14">
        <f>(Input!$B$30*Input!$B$7*1000*Input!$B$8*Input!$B$57)/(Input!$B$6*1000)</f>
        <v>512.564358303906</v>
      </c>
      <c r="G10" s="14">
        <f>(Input!$B$30*Input!$B$7*1000*Input!$B$8*Input!$B$57)/(Input!$B$6*1000)</f>
        <v>512.564358303906</v>
      </c>
      <c r="H10" s="14">
        <f>(Input!$B$30*Input!$B$7*1000*Input!$B$8*Input!$B$57)/(Input!$B$6*1000)</f>
        <v>512.564358303906</v>
      </c>
      <c r="I10" s="14">
        <f>(Input!$B$30*Input!$B$7*1000*Input!$B$8*Input!$B$57)/(Input!$B$6*1000)</f>
        <v>512.564358303906</v>
      </c>
      <c r="J10" s="14">
        <f>(Input!$B$30*Input!$B$7*1000*Input!$B$8*Input!$B$57)/(Input!$B$6*1000)</f>
        <v>512.564358303906</v>
      </c>
      <c r="K10" s="14">
        <f>(Input!$B$30*Input!$B$7*1000*Input!$B$8*Input!$B$57)/(Input!$B$6*1000)</f>
        <v>512.564358303906</v>
      </c>
    </row>
    <row r="11" spans="1:11" ht="14.25">
      <c r="A11" s="7" t="s">
        <v>75</v>
      </c>
      <c r="B11" s="14">
        <v>0</v>
      </c>
      <c r="C11" s="14">
        <f>(Input!$B$21*Input!$B$7*1000*Input!$B$9*Input!$B$59)/(1000*Input!$B$6)</f>
        <v>241.53701377469878</v>
      </c>
      <c r="D11" s="14">
        <f>(Input!$B$20*Input!$B$7*1000*Input!$B$9*Input!$B$59)/(1000*Input!$B$6)</f>
        <v>450.62875704234847</v>
      </c>
      <c r="E11" s="14">
        <f>(Input!$B$31*Input!$B$7*1000*Input!$B$9*Input!$B$59)/(1000*Input!$B$6)</f>
        <v>1306.8233954228103</v>
      </c>
      <c r="F11" s="14">
        <f>(Input!$B$31*Input!$B$7*1000*Input!$B$9*Input!$B$59)/(1000*Input!$B$6)</f>
        <v>1306.8233954228103</v>
      </c>
      <c r="G11" s="14">
        <f>(Input!$B$31*Input!$B$7*1000*Input!$B$9*Input!$B$59)/(1000*Input!$B$6)</f>
        <v>1306.8233954228103</v>
      </c>
      <c r="H11" s="14">
        <f>(Input!$B$31*Input!$B$7*1000*Input!$B$9*Input!$B$59)/(1000*Input!$B$6)</f>
        <v>1306.8233954228103</v>
      </c>
      <c r="I11" s="14">
        <f>(Input!$B$31*Input!$B$7*1000*Input!$B$9*Input!$B$59)/(1000*Input!$B$6)</f>
        <v>1306.8233954228103</v>
      </c>
      <c r="J11" s="14">
        <f>(Input!$B$31*Input!$B$7*1000*Input!$B$9*Input!$B$59)/(1000*Input!$B$6)</f>
        <v>1306.8233954228103</v>
      </c>
      <c r="K11" s="14">
        <f>(Input!$B$31*Input!$B$7*1000*Input!$B$9*Input!$B$59)/(1000*Input!$B$6)</f>
        <v>1306.8233954228103</v>
      </c>
    </row>
    <row r="12" spans="1:11" ht="14.25">
      <c r="A12" s="7" t="s">
        <v>53</v>
      </c>
      <c r="B12" s="14">
        <v>0</v>
      </c>
      <c r="C12" s="14">
        <f>$B$5*Input!$B$10*Input!$B$58/Input!$B$6/1000</f>
        <v>0</v>
      </c>
      <c r="D12" s="14">
        <f>$B$5*Input!$B$10*Input!$B$58/Input!$B$6/1000</f>
        <v>0</v>
      </c>
      <c r="E12" s="14">
        <f>E5*Input!$B$10*Input!$B$58/Input!$B$6/1000</f>
        <v>1619.403186241475</v>
      </c>
      <c r="F12" s="14">
        <f>F5*Input!$B$10*Input!$B$58/Input!$B$6/1000</f>
        <v>1619.403186241475</v>
      </c>
      <c r="G12" s="14">
        <f>G5*Input!$B$10*Input!$B$58/Input!$B$6/1000</f>
        <v>1619.403186241475</v>
      </c>
      <c r="H12" s="14">
        <f>H5*Input!$B$10*Input!$B$58/Input!$B$6/1000</f>
        <v>1619.403186241475</v>
      </c>
      <c r="I12" s="14">
        <f>I5*Input!$B$10*Input!$B$58/Input!$B$6/1000</f>
        <v>1619.403186241475</v>
      </c>
      <c r="J12" s="14">
        <f>J5*Input!$B$10*Input!$B$58/Input!$B$6/1000</f>
        <v>1619.403186241475</v>
      </c>
      <c r="K12" s="14">
        <f>K5*Input!$B$10*Input!$B$58/Input!$B$6/1000</f>
        <v>1619.403186241475</v>
      </c>
    </row>
    <row r="13" spans="1:11" ht="14.25">
      <c r="A13" s="7" t="s">
        <v>54</v>
      </c>
      <c r="B13" s="14">
        <v>0</v>
      </c>
      <c r="C13" s="14">
        <f>'Main Scenario'!$B$5*Input!$B$23*Input!$B$13/Input!$B$6/1000</f>
        <v>0</v>
      </c>
      <c r="D13" s="14">
        <f>'Main Scenario'!$B$5*Input!$B$23*Input!$B$13/Input!$B$6/1000</f>
        <v>0</v>
      </c>
      <c r="E13" s="14">
        <f>E5*Input!$B$34*Input!$B$13/Input!$B$6/1000</f>
        <v>160.8079359516942</v>
      </c>
      <c r="F13" s="14">
        <f>F5*Input!$B$34*Input!$B$13/Input!$B$6/1000</f>
        <v>160.8079359516942</v>
      </c>
      <c r="G13" s="14">
        <f>G5*Input!$B$34*Input!$B$13/Input!$B$6/1000</f>
        <v>160.8079359516942</v>
      </c>
      <c r="H13" s="14">
        <f>H5*Input!$B$34*Input!$B$13/Input!$B$6/1000</f>
        <v>160.8079359516942</v>
      </c>
      <c r="I13" s="14">
        <f>I5*Input!$B$34*Input!$B$13/Input!$B$6/1000</f>
        <v>160.8079359516942</v>
      </c>
      <c r="J13" s="14">
        <f>J5*Input!$B$34*Input!$B$13/Input!$B$6/1000</f>
        <v>160.8079359516942</v>
      </c>
      <c r="K13" s="14">
        <f>K5*Input!$B$34*Input!$B$13/Input!$B$6/1000</f>
        <v>160.8079359516942</v>
      </c>
    </row>
    <row r="14" spans="1:11" ht="14.25">
      <c r="A14" s="7" t="s">
        <v>55</v>
      </c>
      <c r="B14" s="14">
        <v>0</v>
      </c>
      <c r="C14" s="14">
        <f>(Input!$B$24*'Main Scenario'!$B$5*Input!$B$12/1000)/Input!$B$6/1000</f>
        <v>0</v>
      </c>
      <c r="D14" s="14">
        <f>(Input!$B$24*'Main Scenario'!$B$5*Input!$B$12/1000)/Input!$B$6/1000</f>
        <v>0</v>
      </c>
      <c r="E14" s="14">
        <f>(Input!$B$35*E5*Input!$B$12/1000)/Input!$B$6/1000</f>
        <v>150.8725975146238</v>
      </c>
      <c r="F14" s="14">
        <f>(Input!$B$35*F5*Input!$B$12/1000)/Input!$B$6/1000</f>
        <v>150.8725975146238</v>
      </c>
      <c r="G14" s="14">
        <f>(Input!$B$35*G5*Input!$B$12/1000)/Input!$B$6/1000</f>
        <v>150.8725975146238</v>
      </c>
      <c r="H14" s="14">
        <f>(Input!$B$35*H5*Input!$B$12/1000)/Input!$B$6/1000</f>
        <v>150.8725975146238</v>
      </c>
      <c r="I14" s="14">
        <f>(Input!$B$35*I5*Input!$B$12/1000)/Input!$B$6/1000</f>
        <v>150.8725975146238</v>
      </c>
      <c r="J14" s="14">
        <f>(Input!$B$35*J5*Input!$B$12/1000)/Input!$B$6/1000</f>
        <v>150.8725975146238</v>
      </c>
      <c r="K14" s="14">
        <f>(Input!$B$35*K5*Input!$B$12/1000)/Input!$B$6/1000</f>
        <v>150.8725975146238</v>
      </c>
    </row>
    <row r="15" spans="1:11" ht="14.25">
      <c r="A15" s="7" t="s">
        <v>56</v>
      </c>
      <c r="B15" s="14">
        <v>0</v>
      </c>
      <c r="C15" s="14">
        <f>Input!$B$25*Input!$B$7*1000*Input!$B$14/Input!$B$6/1000</f>
        <v>0.41445399897565843</v>
      </c>
      <c r="D15" s="14">
        <f>Input!$B$25*Input!$B$7*1000*Input!$B$14/Input!$B$6/1000</f>
        <v>0.41445399897565843</v>
      </c>
      <c r="E15" s="14">
        <f>Input!$B$36*Input!$B$7*1000*Input!$B$14/Input!$B$6/1000</f>
        <v>1.6578159959026337</v>
      </c>
      <c r="F15" s="14">
        <f>Input!$B$36*Input!$B$7*1000*Input!$B$14/Input!$B$6/1000</f>
        <v>1.6578159959026337</v>
      </c>
      <c r="G15" s="14">
        <f>Input!$B$36*Input!$B$7*1000*Input!$B$14/Input!$B$6/1000</f>
        <v>1.6578159959026337</v>
      </c>
      <c r="H15" s="14">
        <f>Input!$B$36*Input!$B$7*1000*Input!$B$14/Input!$B$6/1000</f>
        <v>1.6578159959026337</v>
      </c>
      <c r="I15" s="14">
        <f>Input!$B$36*Input!$B$7*1000*Input!$B$14/Input!$B$6/1000</f>
        <v>1.6578159959026337</v>
      </c>
      <c r="J15" s="14">
        <f>Input!$B$36*Input!$B$7*1000*Input!$B$14/Input!$B$6/1000</f>
        <v>1.6578159959026337</v>
      </c>
      <c r="K15" s="14">
        <f>Input!$B$36*Input!$B$7*1000*Input!$B$14/Input!$B$6/1000</f>
        <v>1.6578159959026337</v>
      </c>
    </row>
    <row r="16" spans="1:11" ht="14.25">
      <c r="A16" s="7" t="s">
        <v>57</v>
      </c>
      <c r="B16" s="14">
        <v>0</v>
      </c>
      <c r="C16" s="14">
        <f>Input!$B$26*Input!$B$7*1000*Input!$B$11/Input!$B$6/1000</f>
        <v>29.651993422648733</v>
      </c>
      <c r="D16" s="14">
        <f>Input!$B$26*Input!$B$7*1000*Input!$B$11/Input!$B$6/1000</f>
        <v>29.651993422648733</v>
      </c>
      <c r="E16" s="14">
        <f>Input!$B$37*Input!$B$7*1000*Input!$B$11/Input!$B$6/1000</f>
        <v>106.74717632153543</v>
      </c>
      <c r="F16" s="14">
        <f>Input!$B$37*Input!$B$7*1000*Input!$B$11/Input!$B$6/1000</f>
        <v>106.74717632153543</v>
      </c>
      <c r="G16" s="14">
        <f>Input!$B$37*Input!$B$7*1000*Input!$B$11/Input!$B$6/1000</f>
        <v>106.74717632153543</v>
      </c>
      <c r="H16" s="14">
        <f>Input!$B$37*Input!$B$7*1000*Input!$B$11/Input!$B$6/1000</f>
        <v>106.74717632153543</v>
      </c>
      <c r="I16" s="14">
        <f>Input!$B$37*Input!$B$7*1000*Input!$B$11/Input!$B$6/1000</f>
        <v>106.74717632153543</v>
      </c>
      <c r="J16" s="14">
        <f>Input!$B$37*Input!$B$7*1000*Input!$B$11/Input!$B$6/1000</f>
        <v>106.74717632153543</v>
      </c>
      <c r="K16" s="14">
        <f>Input!$B$37*Input!$B$7*1000*Input!$B$11/Input!$B$6/1000</f>
        <v>106.74717632153543</v>
      </c>
    </row>
    <row r="18" spans="1:11" ht="14.25">
      <c r="A18" s="7" t="s">
        <v>59</v>
      </c>
      <c r="B18" s="14">
        <f>B10+B11-B12-B13-B14-B15-B16</f>
        <v>0</v>
      </c>
      <c r="C18" s="14">
        <f aca="true" t="shared" si="0" ref="C18:K18">C10+C11-C12-C13-C14-C15-C16</f>
        <v>346.56504838666206</v>
      </c>
      <c r="D18" s="14">
        <f t="shared" si="0"/>
        <v>555.6567916543117</v>
      </c>
      <c r="E18" s="14">
        <f t="shared" si="0"/>
        <v>-220.10095829851474</v>
      </c>
      <c r="F18" s="14">
        <f t="shared" si="0"/>
        <v>-220.10095829851474</v>
      </c>
      <c r="G18" s="14">
        <f t="shared" si="0"/>
        <v>-220.10095829851474</v>
      </c>
      <c r="H18" s="14">
        <f t="shared" si="0"/>
        <v>-220.10095829851474</v>
      </c>
      <c r="I18" s="14">
        <f t="shared" si="0"/>
        <v>-220.10095829851474</v>
      </c>
      <c r="J18" s="14">
        <f t="shared" si="0"/>
        <v>-220.10095829851474</v>
      </c>
      <c r="K18" s="14">
        <f t="shared" si="0"/>
        <v>-220.10095829851474</v>
      </c>
    </row>
    <row r="19" spans="1:11" ht="14.25">
      <c r="A19" s="7" t="s">
        <v>60</v>
      </c>
      <c r="B19" s="14">
        <f>-B7+B18</f>
        <v>-900</v>
      </c>
      <c r="C19" s="14">
        <f aca="true" t="shared" si="1" ref="C19:K19">-C7+C18</f>
        <v>-1813.434951613338</v>
      </c>
      <c r="D19" s="14">
        <f t="shared" si="1"/>
        <v>555.6567916543117</v>
      </c>
      <c r="E19" s="14">
        <f t="shared" si="1"/>
        <v>-220.10095829851474</v>
      </c>
      <c r="F19" s="14">
        <f t="shared" si="1"/>
        <v>-220.10095829851474</v>
      </c>
      <c r="G19" s="14">
        <f t="shared" si="1"/>
        <v>-220.10095829851474</v>
      </c>
      <c r="H19" s="14">
        <f t="shared" si="1"/>
        <v>-220.10095829851474</v>
      </c>
      <c r="I19" s="14">
        <f t="shared" si="1"/>
        <v>-220.10095829851474</v>
      </c>
      <c r="J19" s="14">
        <f t="shared" si="1"/>
        <v>-220.10095829851474</v>
      </c>
      <c r="K19" s="14">
        <f t="shared" si="1"/>
        <v>217.2990417014853</v>
      </c>
    </row>
    <row r="20" ht="15" thickBot="1"/>
    <row r="21" spans="1:2" ht="15" thickBot="1">
      <c r="A21" s="15" t="s">
        <v>61</v>
      </c>
      <c r="B21" s="20">
        <f>NPV(Input!B50,B19:K19)</f>
        <v>-2592.423099901011</v>
      </c>
    </row>
    <row r="22" spans="4:12" ht="14.25">
      <c r="D22" s="3"/>
      <c r="L22" s="13"/>
    </row>
    <row r="23" ht="14.25">
      <c r="D23" s="3"/>
    </row>
  </sheetData>
  <sheetProtection/>
  <mergeCells count="1">
    <mergeCell ref="B3:K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25.421875" style="0" customWidth="1"/>
    <col min="2" max="2" width="10.8515625" style="0" bestFit="1" customWidth="1"/>
  </cols>
  <sheetData>
    <row r="1" spans="1:5" ht="22.5">
      <c r="A1" s="2" t="s">
        <v>47</v>
      </c>
      <c r="E1" s="9" t="s">
        <v>51</v>
      </c>
    </row>
    <row r="3" spans="2:11" ht="20.25" thickBot="1">
      <c r="B3" s="27" t="s">
        <v>5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21" thickBot="1" thickTop="1">
      <c r="A4" s="4" t="s">
        <v>48</v>
      </c>
      <c r="B4" s="4">
        <v>2008</v>
      </c>
      <c r="C4" s="4">
        <v>2009</v>
      </c>
      <c r="D4" s="4">
        <v>2010</v>
      </c>
      <c r="E4" s="4">
        <v>2011</v>
      </c>
      <c r="F4" s="4">
        <v>2012</v>
      </c>
      <c r="G4" s="4">
        <v>2013</v>
      </c>
      <c r="H4" s="4">
        <v>2014</v>
      </c>
      <c r="I4" s="4">
        <v>2015</v>
      </c>
      <c r="J4" s="4">
        <v>2016</v>
      </c>
      <c r="K4" s="4">
        <v>2017</v>
      </c>
    </row>
    <row r="5" spans="1:11" ht="15" thickTop="1">
      <c r="A5" s="7" t="s">
        <v>52</v>
      </c>
      <c r="B5" s="7">
        <f>'Main Scenario'!B5</f>
        <v>0</v>
      </c>
      <c r="C5" s="7">
        <f>'Main Scenario'!C5</f>
        <v>23500</v>
      </c>
      <c r="D5" s="7">
        <f>'Main Scenario'!D5</f>
        <v>23500</v>
      </c>
      <c r="E5" s="7">
        <f>'Main Scenario'!E5</f>
        <v>89000</v>
      </c>
      <c r="F5" s="7">
        <f>'Main Scenario'!F5</f>
        <v>89000</v>
      </c>
      <c r="G5" s="7">
        <f>'Main Scenario'!G5</f>
        <v>89000</v>
      </c>
      <c r="H5" s="7">
        <f>'Main Scenario'!H5</f>
        <v>89000</v>
      </c>
      <c r="I5" s="7">
        <f>'Main Scenario'!I5</f>
        <v>89000</v>
      </c>
      <c r="J5" s="7">
        <f>'Main Scenario'!J5</f>
        <v>89000</v>
      </c>
      <c r="K5" s="7">
        <f>'Main Scenario'!K5</f>
        <v>89000</v>
      </c>
    </row>
    <row r="6" spans="1:11" ht="14.25">
      <c r="A6" s="7" t="s">
        <v>49</v>
      </c>
      <c r="B6" s="23">
        <f>'Sensitivity 1'!B6</f>
        <v>0</v>
      </c>
      <c r="C6" s="23">
        <f>'Sensitivity 1'!C6</f>
        <v>4</v>
      </c>
      <c r="D6" s="23">
        <f>'Sensitivity 1'!D6</f>
        <v>4</v>
      </c>
      <c r="E6" s="23">
        <f>'Sensitivity 1'!E6</f>
        <v>15</v>
      </c>
      <c r="F6" s="23">
        <f>'Sensitivity 1'!F6</f>
        <v>15</v>
      </c>
      <c r="G6" s="23">
        <f>'Sensitivity 1'!G6</f>
        <v>15</v>
      </c>
      <c r="H6" s="23">
        <f>'Sensitivity 1'!H6</f>
        <v>15</v>
      </c>
      <c r="I6" s="23">
        <f>'Sensitivity 1'!I6</f>
        <v>15</v>
      </c>
      <c r="J6" s="23">
        <f>'Sensitivity 1'!J6</f>
        <v>15</v>
      </c>
      <c r="K6" s="23">
        <f>'Sensitivity 1'!K6</f>
        <v>15</v>
      </c>
    </row>
    <row r="7" spans="1:11" ht="14.25">
      <c r="A7" s="7" t="s">
        <v>50</v>
      </c>
      <c r="B7" s="7">
        <f>Input!B42*Input!C60</f>
        <v>1100</v>
      </c>
      <c r="C7" s="7">
        <f>Input!B43*Input!C60</f>
        <v>2640</v>
      </c>
      <c r="D7" s="7"/>
      <c r="E7" s="7"/>
      <c r="F7" s="7"/>
      <c r="G7" s="7"/>
      <c r="H7" s="7"/>
      <c r="I7" s="7"/>
      <c r="J7" s="7"/>
      <c r="K7" s="7">
        <f>-Input!B44*Input!C60</f>
        <v>-534.6</v>
      </c>
    </row>
    <row r="9" ht="20.25" thickBot="1">
      <c r="A9" s="4" t="s">
        <v>58</v>
      </c>
    </row>
    <row r="10" spans="1:11" ht="15" thickTop="1">
      <c r="A10" s="7" t="s">
        <v>14</v>
      </c>
      <c r="B10" s="14">
        <v>0</v>
      </c>
      <c r="C10" s="14">
        <f>(Input!$B$19*Input!$B$7*1000*Input!$B$8*Input!$C$57)/(Input!$B$6*1000)</f>
        <v>110.53184893657168</v>
      </c>
      <c r="D10" s="14">
        <f>(Input!$B$19*Input!$B$7*1000*Input!$B$8*Input!$C$57)/(Input!$B$6*1000)</f>
        <v>110.53184893657168</v>
      </c>
      <c r="E10" s="14">
        <f>(Input!$B$30*Input!$B$7*1000*Input!$B$8*Input!$C$57)/(Input!$B$6*1000)</f>
        <v>419.37083861228666</v>
      </c>
      <c r="F10" s="14">
        <f>(Input!$B$30*Input!$B$7*1000*Input!$B$8*Input!$C$57)/(Input!$B$6*1000)</f>
        <v>419.37083861228666</v>
      </c>
      <c r="G10" s="14">
        <f>(Input!$B$30*Input!$B$7*1000*Input!$B$8*Input!$C$57)/(Input!$B$6*1000)</f>
        <v>419.37083861228666</v>
      </c>
      <c r="H10" s="14">
        <f>(Input!$B$30*Input!$B$7*1000*Input!$B$8*Input!$C$57)/(Input!$B$6*1000)</f>
        <v>419.37083861228666</v>
      </c>
      <c r="I10" s="14">
        <f>(Input!$B$30*Input!$B$7*1000*Input!$B$8*Input!$C$57)/(Input!$B$6*1000)</f>
        <v>419.37083861228666</v>
      </c>
      <c r="J10" s="14">
        <f>(Input!$B$30*Input!$B$7*1000*Input!$B$8*Input!$C$57)/(Input!$B$6*1000)</f>
        <v>419.37083861228666</v>
      </c>
      <c r="K10" s="14">
        <f>(Input!$B$30*Input!$B$7*1000*Input!$B$8*Input!$C$57)/(Input!$B$6*1000)</f>
        <v>419.37083861228666</v>
      </c>
    </row>
    <row r="11" spans="1:11" ht="14.25">
      <c r="A11" s="7" t="s">
        <v>75</v>
      </c>
      <c r="B11" s="14">
        <v>0</v>
      </c>
      <c r="C11" s="14">
        <f>(Input!$B$21*Input!$B$7*1000*Input!$B$9*Input!$C$59)/(1000*Input!$B$6)</f>
        <v>197.62119308838987</v>
      </c>
      <c r="D11" s="14">
        <f>(Input!$B$20*Input!$B$7*1000*Input!$B$9*Input!$C$59)/(1000*Input!$B$6)</f>
        <v>368.6962557619214</v>
      </c>
      <c r="E11" s="14">
        <f>(Input!$B$31*Input!$B$7*1000*Input!$B$9*Input!$C$59)/(1000*Input!$B$6)</f>
        <v>1069.219141709572</v>
      </c>
      <c r="F11" s="14">
        <f>(Input!$B$31*Input!$B$7*1000*Input!$B$9*Input!$C$59)/(1000*Input!$B$6)</f>
        <v>1069.219141709572</v>
      </c>
      <c r="G11" s="14">
        <f>(Input!$B$31*Input!$B$7*1000*Input!$B$9*Input!$C$59)/(1000*Input!$B$6)</f>
        <v>1069.219141709572</v>
      </c>
      <c r="H11" s="14">
        <f>(Input!$B$31*Input!$B$7*1000*Input!$B$9*Input!$C$59)/(1000*Input!$B$6)</f>
        <v>1069.219141709572</v>
      </c>
      <c r="I11" s="14">
        <f>(Input!$B$31*Input!$B$7*1000*Input!$B$9*Input!$C$59)/(1000*Input!$B$6)</f>
        <v>1069.219141709572</v>
      </c>
      <c r="J11" s="14">
        <f>(Input!$B$31*Input!$B$7*1000*Input!$B$9*Input!$C$59)/(1000*Input!$B$6)</f>
        <v>1069.219141709572</v>
      </c>
      <c r="K11" s="14">
        <f>(Input!$B$31*Input!$B$7*1000*Input!$B$9*Input!$C$59)/(1000*Input!$B$6)</f>
        <v>1069.219141709572</v>
      </c>
    </row>
    <row r="12" spans="1:11" ht="14.25">
      <c r="A12" s="7" t="s">
        <v>53</v>
      </c>
      <c r="B12" s="14">
        <v>0</v>
      </c>
      <c r="C12" s="14">
        <f>C5*Input!$B$10*Input!$C$58/Input!$B$6/1000</f>
        <v>522.6163840741839</v>
      </c>
      <c r="D12" s="14">
        <f>D5*Input!$B$10*Input!$C$58/Input!$B$6/1000</f>
        <v>522.6163840741839</v>
      </c>
      <c r="E12" s="14">
        <f>E5*Input!$B$10*Input!$C$58/Input!$B$6/1000</f>
        <v>1979.2705609618029</v>
      </c>
      <c r="F12" s="14">
        <f>F5*Input!$B$10*Input!$C$58/Input!$B$6/1000</f>
        <v>1979.2705609618029</v>
      </c>
      <c r="G12" s="14">
        <f>G5*Input!$B$10*Input!$C$58/Input!$B$6/1000</f>
        <v>1979.2705609618029</v>
      </c>
      <c r="H12" s="14">
        <f>H5*Input!$B$10*Input!$C$58/Input!$B$6/1000</f>
        <v>1979.2705609618029</v>
      </c>
      <c r="I12" s="14">
        <f>I5*Input!$B$10*Input!$C$58/Input!$B$6/1000</f>
        <v>1979.2705609618029</v>
      </c>
      <c r="J12" s="14">
        <f>J5*Input!$B$10*Input!$C$58/Input!$B$6/1000</f>
        <v>1979.2705609618029</v>
      </c>
      <c r="K12" s="14">
        <f>K5*Input!$B$10*Input!$C$58/Input!$B$6/1000</f>
        <v>1979.2705609618029</v>
      </c>
    </row>
    <row r="13" spans="1:11" ht="14.25">
      <c r="A13" s="7" t="s">
        <v>54</v>
      </c>
      <c r="B13" s="14">
        <v>0</v>
      </c>
      <c r="C13" s="14">
        <f>'Main Scenario'!$B$5*Input!$B$23*Input!$B$13/Input!$B$6/1000</f>
        <v>0</v>
      </c>
      <c r="D13" s="14">
        <f>'Main Scenario'!$B$5*Input!$B$23*Input!$B$13/Input!$B$6/1000</f>
        <v>0</v>
      </c>
      <c r="E13" s="14">
        <f>E5*Input!$B$34*Input!$B$13/Input!$B$6/1000</f>
        <v>160.8079359516942</v>
      </c>
      <c r="F13" s="14">
        <f>F5*Input!$B$34*Input!$B$13/Input!$B$6/1000</f>
        <v>160.8079359516942</v>
      </c>
      <c r="G13" s="14">
        <f>G5*Input!$B$34*Input!$B$13/Input!$B$6/1000</f>
        <v>160.8079359516942</v>
      </c>
      <c r="H13" s="14">
        <f>H5*Input!$B$34*Input!$B$13/Input!$B$6/1000</f>
        <v>160.8079359516942</v>
      </c>
      <c r="I13" s="14">
        <f>I5*Input!$B$34*Input!$B$13/Input!$B$6/1000</f>
        <v>160.8079359516942</v>
      </c>
      <c r="J13" s="14">
        <f>J5*Input!$B$34*Input!$B$13/Input!$B$6/1000</f>
        <v>160.8079359516942</v>
      </c>
      <c r="K13" s="14">
        <f>K5*Input!$B$34*Input!$B$13/Input!$B$6/1000</f>
        <v>160.8079359516942</v>
      </c>
    </row>
    <row r="14" spans="1:11" ht="14.25">
      <c r="A14" s="7" t="s">
        <v>55</v>
      </c>
      <c r="B14" s="14">
        <v>0</v>
      </c>
      <c r="C14" s="14">
        <f>(Input!$B$24*'Main Scenario'!$B$5*Input!$B$12/1000)/Input!$B$6/1000</f>
        <v>0</v>
      </c>
      <c r="D14" s="14">
        <f>(Input!$B$24*'Main Scenario'!$B$5*Input!$B$12/1000)/Input!$B$6/1000</f>
        <v>0</v>
      </c>
      <c r="E14" s="14">
        <f>(Input!$B$35*E5*Input!$B$12/1000)/Input!$B$6/1000</f>
        <v>150.8725975146238</v>
      </c>
      <c r="F14" s="14">
        <f>(Input!$B$35*F5*Input!$B$12/1000)/Input!$B$6/1000</f>
        <v>150.8725975146238</v>
      </c>
      <c r="G14" s="14">
        <f>(Input!$B$35*G5*Input!$B$12/1000)/Input!$B$6/1000</f>
        <v>150.8725975146238</v>
      </c>
      <c r="H14" s="14">
        <f>(Input!$B$35*H5*Input!$B$12/1000)/Input!$B$6/1000</f>
        <v>150.8725975146238</v>
      </c>
      <c r="I14" s="14">
        <f>(Input!$B$35*I5*Input!$B$12/1000)/Input!$B$6/1000</f>
        <v>150.8725975146238</v>
      </c>
      <c r="J14" s="14">
        <f>(Input!$B$35*J5*Input!$B$12/1000)/Input!$B$6/1000</f>
        <v>150.8725975146238</v>
      </c>
      <c r="K14" s="14">
        <f>(Input!$B$35*K5*Input!$B$12/1000)/Input!$B$6/1000</f>
        <v>150.8725975146238</v>
      </c>
    </row>
    <row r="15" spans="1:11" ht="14.25">
      <c r="A15" s="7" t="s">
        <v>56</v>
      </c>
      <c r="B15" s="14">
        <v>0</v>
      </c>
      <c r="C15" s="14">
        <f>Input!$B$25*Input!$B$7*1000*Input!$B$14/Input!$B$6/1000</f>
        <v>0.41445399897565843</v>
      </c>
      <c r="D15" s="14">
        <f>Input!$B$25*Input!$B$7*1000*Input!$B$14/Input!$B$6/1000</f>
        <v>0.41445399897565843</v>
      </c>
      <c r="E15" s="14">
        <f>Input!$B$36*Input!$B$7*1000*Input!$B$14/Input!$B$6/1000</f>
        <v>1.6578159959026337</v>
      </c>
      <c r="F15" s="14">
        <f>Input!$B$36*Input!$B$7*1000*Input!$B$14/Input!$B$6/1000</f>
        <v>1.6578159959026337</v>
      </c>
      <c r="G15" s="14">
        <f>Input!$B$36*Input!$B$7*1000*Input!$B$14/Input!$B$6/1000</f>
        <v>1.6578159959026337</v>
      </c>
      <c r="H15" s="14">
        <f>Input!$B$36*Input!$B$7*1000*Input!$B$14/Input!$B$6/1000</f>
        <v>1.6578159959026337</v>
      </c>
      <c r="I15" s="14">
        <f>Input!$B$36*Input!$B$7*1000*Input!$B$14/Input!$B$6/1000</f>
        <v>1.6578159959026337</v>
      </c>
      <c r="J15" s="14">
        <f>Input!$B$36*Input!$B$7*1000*Input!$B$14/Input!$B$6/1000</f>
        <v>1.6578159959026337</v>
      </c>
      <c r="K15" s="14">
        <f>Input!$B$36*Input!$B$7*1000*Input!$B$14/Input!$B$6/1000</f>
        <v>1.6578159959026337</v>
      </c>
    </row>
    <row r="16" spans="1:11" ht="14.25">
      <c r="A16" s="7" t="s">
        <v>57</v>
      </c>
      <c r="B16" s="14">
        <v>0</v>
      </c>
      <c r="C16" s="14">
        <f>Input!$B$26*Input!$B$7*1000*Input!$B$11/Input!$B$6/1000</f>
        <v>29.651993422648733</v>
      </c>
      <c r="D16" s="14">
        <f>Input!$B$26*Input!$B$7*1000*Input!$B$11/Input!$B$6/1000</f>
        <v>29.651993422648733</v>
      </c>
      <c r="E16" s="14">
        <f>Input!$B$37*Input!$B$7*1000*Input!$B$11/Input!$B$6/1000</f>
        <v>106.74717632153543</v>
      </c>
      <c r="F16" s="14">
        <f>Input!$B$37*Input!$B$7*1000*Input!$B$11/Input!$B$6/1000</f>
        <v>106.74717632153543</v>
      </c>
      <c r="G16" s="14">
        <f>Input!$B$37*Input!$B$7*1000*Input!$B$11/Input!$B$6/1000</f>
        <v>106.74717632153543</v>
      </c>
      <c r="H16" s="14">
        <f>Input!$B$37*Input!$B$7*1000*Input!$B$11/Input!$B$6/1000</f>
        <v>106.74717632153543</v>
      </c>
      <c r="I16" s="14">
        <f>Input!$B$37*Input!$B$7*1000*Input!$B$11/Input!$B$6/1000</f>
        <v>106.74717632153543</v>
      </c>
      <c r="J16" s="14">
        <f>Input!$B$37*Input!$B$7*1000*Input!$B$11/Input!$B$6/1000</f>
        <v>106.74717632153543</v>
      </c>
      <c r="K16" s="14">
        <f>Input!$B$37*Input!$B$7*1000*Input!$B$11/Input!$B$6/1000</f>
        <v>106.74717632153543</v>
      </c>
    </row>
    <row r="18" spans="1:11" ht="14.25">
      <c r="A18" s="7" t="s">
        <v>59</v>
      </c>
      <c r="B18" s="14">
        <f>B10+B11-B12-B13-B14-B15-B16</f>
        <v>0</v>
      </c>
      <c r="C18" s="14">
        <f aca="true" t="shared" si="0" ref="C18:K18">C10+C11-C12-C13-C14-C15-C16</f>
        <v>-244.5297894708467</v>
      </c>
      <c r="D18" s="14">
        <f t="shared" si="0"/>
        <v>-73.45472679731517</v>
      </c>
      <c r="E18" s="14">
        <f t="shared" si="0"/>
        <v>-910.7661064237001</v>
      </c>
      <c r="F18" s="14">
        <f t="shared" si="0"/>
        <v>-910.7661064237001</v>
      </c>
      <c r="G18" s="14">
        <f t="shared" si="0"/>
        <v>-910.7661064237001</v>
      </c>
      <c r="H18" s="14">
        <f t="shared" si="0"/>
        <v>-910.7661064237001</v>
      </c>
      <c r="I18" s="14">
        <f t="shared" si="0"/>
        <v>-910.7661064237001</v>
      </c>
      <c r="J18" s="14">
        <f t="shared" si="0"/>
        <v>-910.7661064237001</v>
      </c>
      <c r="K18" s="14">
        <f t="shared" si="0"/>
        <v>-910.7661064237001</v>
      </c>
    </row>
    <row r="19" spans="1:11" ht="14.25">
      <c r="A19" s="7" t="s">
        <v>60</v>
      </c>
      <c r="B19" s="14">
        <f>-B7+B18</f>
        <v>-1100</v>
      </c>
      <c r="C19" s="14">
        <f aca="true" t="shared" si="1" ref="C19:K19">-C7+C18</f>
        <v>-2884.5297894708465</v>
      </c>
      <c r="D19" s="14">
        <f t="shared" si="1"/>
        <v>-73.45472679731517</v>
      </c>
      <c r="E19" s="14">
        <f t="shared" si="1"/>
        <v>-910.7661064237001</v>
      </c>
      <c r="F19" s="14">
        <f t="shared" si="1"/>
        <v>-910.7661064237001</v>
      </c>
      <c r="G19" s="14">
        <f t="shared" si="1"/>
        <v>-910.7661064237001</v>
      </c>
      <c r="H19" s="14">
        <f t="shared" si="1"/>
        <v>-910.7661064237001</v>
      </c>
      <c r="I19" s="14">
        <f t="shared" si="1"/>
        <v>-910.7661064237001</v>
      </c>
      <c r="J19" s="14">
        <f t="shared" si="1"/>
        <v>-910.7661064237001</v>
      </c>
      <c r="K19" s="14">
        <f t="shared" si="1"/>
        <v>-376.16610642370006</v>
      </c>
    </row>
    <row r="20" ht="15" thickBot="1"/>
    <row r="21" spans="1:2" ht="15" thickBot="1">
      <c r="A21" s="15" t="s">
        <v>61</v>
      </c>
      <c r="B21" s="20">
        <f>NPV(Input!B50,B19:K19)</f>
        <v>-6802.577424906491</v>
      </c>
    </row>
    <row r="22" spans="4:12" ht="14.25">
      <c r="D22" s="3"/>
      <c r="L22" s="13"/>
    </row>
    <row r="23" ht="14.25">
      <c r="D23" s="3"/>
    </row>
  </sheetData>
  <sheetProtection/>
  <mergeCells count="1">
    <mergeCell ref="B3:K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B6"/>
  <sheetViews>
    <sheetView zoomScale="75" zoomScaleNormal="75" zoomScalePageLayoutView="0" workbookViewId="0" topLeftCell="A1">
      <selection activeCell="B17" sqref="B17"/>
    </sheetView>
  </sheetViews>
  <sheetFormatPr defaultColWidth="9.140625" defaultRowHeight="15"/>
  <cols>
    <col min="1" max="1" width="60.8515625" style="0" customWidth="1"/>
    <col min="2" max="2" width="17.421875" style="0" customWidth="1"/>
  </cols>
  <sheetData>
    <row r="2" ht="15" thickBot="1"/>
    <row r="3" spans="1:2" ht="32.25" customHeight="1" thickBot="1">
      <c r="A3" s="18" t="s">
        <v>70</v>
      </c>
      <c r="B3" s="19" t="s">
        <v>71</v>
      </c>
    </row>
    <row r="4" spans="1:2" ht="32.25" customHeight="1" thickBot="1">
      <c r="A4" s="17" t="s">
        <v>74</v>
      </c>
      <c r="B4" s="21">
        <f>'Main Scenario'!B22</f>
        <v>-5175.144637245479</v>
      </c>
    </row>
    <row r="5" spans="1:2" ht="31.5" thickBot="1">
      <c r="A5" s="16" t="s">
        <v>72</v>
      </c>
      <c r="B5" s="21">
        <f>'Sensitivity 1'!B21</f>
        <v>-2592.423099901011</v>
      </c>
    </row>
    <row r="6" spans="1:2" ht="31.5" thickBot="1">
      <c r="A6" s="16" t="s">
        <v>73</v>
      </c>
      <c r="B6" s="21">
        <f>'Sensitivity 2'!B21</f>
        <v>-6802.577424906491</v>
      </c>
    </row>
    <row r="7" ht="18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2010-09-27T11:23:20Z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