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95" windowWidth="15480" windowHeight="2100" activeTab="0"/>
  </bookViews>
  <sheets>
    <sheet name="Exp" sheetId="1" r:id="rId1"/>
    <sheet name="IRR" sheetId="2" r:id="rId2"/>
    <sheet name="Sensitivity" sheetId="3" r:id="rId3"/>
    <sheet name="Assumptions" sheetId="4" r:id="rId4"/>
  </sheets>
  <definedNames>
    <definedName name="eur">3.4528</definedName>
    <definedName name="tt">1000</definedName>
  </definedNames>
  <calcPr fullCalcOnLoad="1"/>
</workbook>
</file>

<file path=xl/comments2.xml><?xml version="1.0" encoding="utf-8"?>
<comments xmlns="http://schemas.openxmlformats.org/spreadsheetml/2006/main">
  <authors>
    <author>Arturas</author>
  </authors>
  <commentList>
    <comment ref="B6" authorId="0">
      <text>
        <r>
          <rPr>
            <b/>
            <sz val="8"/>
            <rFont val="Tahoma"/>
            <family val="2"/>
          </rPr>
          <t>Arturas:</t>
        </r>
        <r>
          <rPr>
            <sz val="8"/>
            <rFont val="Tahoma"/>
            <family val="2"/>
          </rPr>
          <t xml:space="preserve">
Remiantis Enercon prognoze - 4% tech.availability, tinklu nuostoliai 2%</t>
        </r>
      </text>
    </comment>
  </commentList>
</comments>
</file>

<file path=xl/sharedStrings.xml><?xml version="1.0" encoding="utf-8"?>
<sst xmlns="http://schemas.openxmlformats.org/spreadsheetml/2006/main" count="142" uniqueCount="133">
  <si>
    <t>kW</t>
  </si>
  <si>
    <t>Lt/kWh</t>
  </si>
  <si>
    <t>EBITDA (with CO2)</t>
  </si>
  <si>
    <t>EBITDA (without CO2)</t>
  </si>
  <si>
    <t>Profit before TAX (with CO2)</t>
  </si>
  <si>
    <t>Profit before TAX (without CO2)</t>
  </si>
  <si>
    <t>Taxes (with CO2)</t>
  </si>
  <si>
    <t>Taxes (without CO2)</t>
  </si>
  <si>
    <t>Profit after TAX (with CO2)</t>
  </si>
  <si>
    <t>Profit after TAX (without CO2)</t>
  </si>
  <si>
    <t>Cash flow (with CO2)</t>
  </si>
  <si>
    <t>Cash flow (without CO2)</t>
  </si>
  <si>
    <t>Cumulative (with CO2)</t>
  </si>
  <si>
    <t>Cumulative (without CO2)</t>
  </si>
  <si>
    <t>PROJECT IRR (with CO2), %</t>
  </si>
  <si>
    <t>PROJECT IRR (without CO2), %</t>
  </si>
  <si>
    <t>Total production</t>
  </si>
  <si>
    <t>ERUs price</t>
  </si>
  <si>
    <t>Number of turbines</t>
  </si>
  <si>
    <t>Turbine's capacity</t>
  </si>
  <si>
    <t>Income for energy sale</t>
  </si>
  <si>
    <t>Income from ERUs sale</t>
  </si>
  <si>
    <t>Total income per year</t>
  </si>
  <si>
    <t>I. INCOME</t>
  </si>
  <si>
    <t>Wages</t>
  </si>
  <si>
    <t>Depreciation</t>
  </si>
  <si>
    <t>Profit (loss)</t>
  </si>
  <si>
    <t>Taxes</t>
  </si>
  <si>
    <t>Profit after taxes</t>
  </si>
  <si>
    <t>Acumulated profit</t>
  </si>
  <si>
    <t>1</t>
  </si>
  <si>
    <t>2</t>
  </si>
  <si>
    <t>YEAR</t>
  </si>
  <si>
    <t>3</t>
  </si>
  <si>
    <t>4</t>
  </si>
  <si>
    <t>5</t>
  </si>
  <si>
    <t>6</t>
  </si>
  <si>
    <t>7</t>
  </si>
  <si>
    <t>8</t>
  </si>
  <si>
    <t>9</t>
  </si>
  <si>
    <t>10</t>
  </si>
  <si>
    <t>11</t>
  </si>
  <si>
    <t>12</t>
  </si>
  <si>
    <t>13</t>
  </si>
  <si>
    <t>14</t>
  </si>
  <si>
    <t>15</t>
  </si>
  <si>
    <t>16</t>
  </si>
  <si>
    <t>17</t>
  </si>
  <si>
    <t>18</t>
  </si>
  <si>
    <t>19</t>
  </si>
  <si>
    <t>20</t>
  </si>
  <si>
    <t>Total:</t>
  </si>
  <si>
    <t>Loan redemption</t>
  </si>
  <si>
    <t>Euro</t>
  </si>
  <si>
    <t>units</t>
  </si>
  <si>
    <t>Sensitivity analysis</t>
  </si>
  <si>
    <t>Energy production variation range</t>
  </si>
  <si>
    <t>Energy output, MWh/year</t>
  </si>
  <si>
    <t>ERUs price variation range</t>
  </si>
  <si>
    <t>ERUs price, Euro</t>
  </si>
  <si>
    <t>Project IRR (including ERUs income)</t>
  </si>
  <si>
    <t>Loan residue</t>
  </si>
  <si>
    <t>III. FINANCIAL EXPENSES</t>
  </si>
  <si>
    <t>II. OPERATION EXPENSES</t>
  </si>
  <si>
    <t>Total Opertaion expenses per year</t>
  </si>
  <si>
    <t>Total Financial expenses per year</t>
  </si>
  <si>
    <t>Project value</t>
  </si>
  <si>
    <t>LTL</t>
  </si>
  <si>
    <t>Own capital</t>
  </si>
  <si>
    <t>Loan residue, %</t>
  </si>
  <si>
    <t>Interest rates,%</t>
  </si>
  <si>
    <t>interest payments</t>
  </si>
  <si>
    <t>Total Expences</t>
  </si>
  <si>
    <t>0</t>
  </si>
  <si>
    <t>Shareholders contribution</t>
  </si>
  <si>
    <t>Annual electricity output</t>
  </si>
  <si>
    <t>ERUs sale price</t>
  </si>
  <si>
    <t>Benchmark</t>
  </si>
  <si>
    <t>Energijos gamyba</t>
  </si>
  <si>
    <t>TMV pardavimo kaina</t>
  </si>
  <si>
    <t>Etaloninė vertė</t>
  </si>
  <si>
    <t>Bendrų investicijų dydis</t>
  </si>
  <si>
    <r>
      <t>·</t>
    </r>
    <r>
      <rPr>
        <sz val="14"/>
        <rFont val="Times New Roman"/>
        <family val="1"/>
      </rPr>
      <t>         The profit tax established by Lithuanian government currently amounts to 15% and shall be valid for the entire project period;</t>
    </r>
  </si>
  <si>
    <r>
      <t>·</t>
    </r>
    <r>
      <rPr>
        <sz val="14"/>
        <rFont val="Times New Roman"/>
        <family val="1"/>
      </rPr>
      <t>         It is supposed that there shall be no additional, unforeseen expenses;</t>
    </r>
  </si>
  <si>
    <r>
      <t>·</t>
    </r>
    <r>
      <rPr>
        <sz val="14"/>
        <rFont val="Times New Roman"/>
        <family val="1"/>
      </rPr>
      <t>         Currently there is no information on the assumptions that may arise and have a significant impact on the project profitability.</t>
    </r>
  </si>
  <si>
    <t>Assumptions used for Pakruojo wind power park project calculations</t>
  </si>
  <si>
    <t>Inesticijos / Investment</t>
  </si>
  <si>
    <t>Tiekėjas/Supplier</t>
  </si>
  <si>
    <t>Dokumentas/Document</t>
  </si>
  <si>
    <t>Data/Date</t>
  </si>
  <si>
    <t>Elektrinės/WEC</t>
  </si>
  <si>
    <t>3x E-82</t>
  </si>
  <si>
    <t>Kursas</t>
  </si>
  <si>
    <t>LTL/EUR</t>
  </si>
  <si>
    <r>
      <t>·</t>
    </r>
    <r>
      <rPr>
        <sz val="14"/>
        <rFont val="Times New Roman"/>
        <family val="1"/>
      </rPr>
      <t>         On the end of project lifetime period (after 20 years), the fixed assets of the company shall amount to 0 LTL. Old turbines as well as foundations will be dismantled for its residue values.</t>
    </r>
  </si>
  <si>
    <r>
      <t>·</t>
    </r>
    <r>
      <rPr>
        <sz val="14"/>
        <rFont val="Times New Roman"/>
        <family val="1"/>
      </rPr>
      <t>         Amortization of the wind power station fleet –  20 years (based on turbine manufacturer's data);</t>
    </r>
  </si>
  <si>
    <t>ERUs amount</t>
  </si>
  <si>
    <t>ERU/y</t>
  </si>
  <si>
    <t>MWh/y</t>
  </si>
  <si>
    <t>Enercon Gmbh.</t>
  </si>
  <si>
    <t>Sutartis</t>
  </si>
  <si>
    <t>AB "VST"</t>
  </si>
  <si>
    <t>UAB "Statybų auditas" UAB "Imdava", darbutojų atlyginimas</t>
  </si>
  <si>
    <t>UAB "Idmava", UAB "Intuva", UAB "ST projektai" darbuotojų atlyginimas ir kt.</t>
  </si>
  <si>
    <t>Sutartys</t>
  </si>
  <si>
    <t>Tariff variation range</t>
  </si>
  <si>
    <t>Energy tariff till 2020</t>
  </si>
  <si>
    <t>Energy tariff after 2020</t>
  </si>
  <si>
    <t>Energy tariff after 2020, LTL/MWh</t>
  </si>
  <si>
    <t>Bonds</t>
  </si>
  <si>
    <t>UAB "Žiežmarių hidrostatyba"</t>
  </si>
  <si>
    <t>UAB "Voltas"</t>
  </si>
  <si>
    <r>
      <t>·</t>
    </r>
    <r>
      <rPr>
        <sz val="14"/>
        <rFont val="Times New Roman"/>
        <family val="1"/>
      </rPr>
      <t>          Capacity factor – 0,284% (based on Enercon's calculations);</t>
    </r>
  </si>
  <si>
    <r>
      <t>·</t>
    </r>
    <r>
      <rPr>
        <sz val="14"/>
        <rFont val="Times New Roman"/>
        <family val="1"/>
      </rPr>
      <t xml:space="preserve">         The purchase price of the produced energy – 0,30 LTL/kWh (Resolution No. O3-27 of </t>
    </r>
    <r>
      <rPr>
        <sz val="14"/>
        <color indexed="8"/>
        <rFont val="Times New Roman"/>
        <family val="1"/>
      </rPr>
      <t xml:space="preserve">the State price and Energy Control Commission of </t>
    </r>
    <r>
      <rPr>
        <sz val="14"/>
        <rFont val="Times New Roman"/>
        <family val="1"/>
      </rPr>
      <t>21 February 2008). Feed-in tariff is valid until Y2020. Following Y2020 generated electricity shall be sold at Lithuanian wholesale electricity market.  Wholesale electricity price is based on average market price in Y2010, declared by market operator of Lithuania (Baltpool);</t>
    </r>
  </si>
  <si>
    <r>
      <t>·</t>
    </r>
    <r>
      <rPr>
        <sz val="14"/>
        <rFont val="Times New Roman"/>
        <family val="1"/>
      </rPr>
      <t>         An interest rate for new loans to non-financial corporations is applied for projects benchmark IRR (period between 2008.05.01 and 2008.10.31)</t>
    </r>
  </si>
  <si>
    <r>
      <t>·</t>
    </r>
    <r>
      <rPr>
        <sz val="14"/>
        <rFont val="Times New Roman"/>
        <family val="1"/>
      </rPr>
      <t>         Applied interest rates are based on contract with commercial bank and loan agreement with shareholder.</t>
    </r>
  </si>
  <si>
    <t>EPK contract</t>
  </si>
  <si>
    <t>Other O&amp;M</t>
  </si>
  <si>
    <t>Insurance</t>
  </si>
  <si>
    <t>2011.04.29, 2011.05.30</t>
  </si>
  <si>
    <r>
      <t>·</t>
    </r>
    <r>
      <rPr>
        <sz val="14"/>
        <rFont val="Times New Roman"/>
        <family val="1"/>
      </rPr>
      <t>         Sebsitivity analysis results are based on the changes of tariff after 2020 (Sheet IRR, cell B5), power generation (Sheet IRR, cell B6) and price of ERU (Sheet IRR, cell B7)</t>
    </r>
  </si>
  <si>
    <r>
      <t>·</t>
    </r>
    <r>
      <rPr>
        <sz val="14"/>
        <rFont val="Times New Roman"/>
        <family val="1"/>
      </rPr>
      <t>         The purchase price of the ERU – 8 EUR (based on Bluenext exchange statistic during baseline setting);</t>
    </r>
  </si>
  <si>
    <r>
      <t>·</t>
    </r>
    <r>
      <rPr>
        <sz val="14"/>
        <rFont val="Times New Roman"/>
        <family val="1"/>
      </rPr>
      <t xml:space="preserve">         Projects O&amp;М expenses include wages, insurance, accounting and legal expenses, maintenance and other  (reserve for unforeseen expenses). </t>
    </r>
  </si>
  <si>
    <r>
      <t>·</t>
    </r>
    <r>
      <rPr>
        <sz val="14"/>
        <rFont val="Times New Roman"/>
        <family val="1"/>
      </rPr>
      <t>         EPK expences are based on standard Enercon GmbH O&amp;M contract conditions. 0 Euro/kWh first 2 years and 0,012 Euro/kWh from 3rd year. All other risks will be covered by the insurance agreement between Vildara,UAB and insurance company. No additional equipment repair costs shall be incurred;</t>
    </r>
  </si>
  <si>
    <r>
      <t>·</t>
    </r>
    <r>
      <rPr>
        <sz val="14"/>
        <rFont val="Times New Roman"/>
        <family val="1"/>
      </rPr>
      <t>         Deviations during sensitivity analysis were assessed following the Tool for the Demonstration and Assessment of Additionality version 06.0.1. Variation range is based on the level +20% and -20%.</t>
    </r>
  </si>
  <si>
    <r>
      <t>·</t>
    </r>
    <r>
      <rPr>
        <sz val="14"/>
        <rFont val="Times New Roman"/>
        <family val="1"/>
      </rPr>
      <t>           Projects fixed assets were calculated based on preliminary commercial offers (wind turbines, roads, connection to electricity network, project documentation and other costs)</t>
    </r>
  </si>
  <si>
    <t>Design</t>
  </si>
  <si>
    <t>Roads construction</t>
  </si>
  <si>
    <t>Cabeling</t>
  </si>
  <si>
    <t>Grid connection fee</t>
  </si>
  <si>
    <t>Project management</t>
  </si>
  <si>
    <t>Reserve</t>
  </si>
  <si>
    <t>Total costs LTL</t>
  </si>
</sst>
</file>

<file path=xl/styles.xml><?xml version="1.0" encoding="utf-8"?>
<styleSheet xmlns="http://schemas.openxmlformats.org/spreadsheetml/2006/main">
  <numFmts count="6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000"/>
    <numFmt numFmtId="165" formatCode="0.00000"/>
    <numFmt numFmtId="166" formatCode="0.0000"/>
    <numFmt numFmtId="167" formatCode="0.000"/>
    <numFmt numFmtId="168" formatCode="0.0"/>
    <numFmt numFmtId="169" formatCode="#,##0.00_ ;\-#,##0.00\ "/>
    <numFmt numFmtId="170" formatCode="_-* #,##0\ _L_t_-;\-* #,##0\ _L_t_-;_-* &quot;-&quot;??\ _L_t_-;_-@_-"/>
    <numFmt numFmtId="171" formatCode="0.0%"/>
    <numFmt numFmtId="172" formatCode="#,##0.0_ ;\-#,##0.0\ "/>
    <numFmt numFmtId="173" formatCode="#,##0_ ;\-#,##0\ "/>
    <numFmt numFmtId="174" formatCode="#,##0.00_ ;[Red]\-#,##0.00\ "/>
    <numFmt numFmtId="175" formatCode="#,##0.0"/>
    <numFmt numFmtId="176" formatCode="#,##0_ ;[Red]\-#,##0\ "/>
    <numFmt numFmtId="177" formatCode="&quot;$&quot;#,##0_);\(&quot;$&quot;#,##0\)"/>
    <numFmt numFmtId="178" formatCode="&quot;$&quot;#,##0_);[Red]\(&quot;$&quot;#,##0\)"/>
    <numFmt numFmtId="179" formatCode="&quot;$&quot;#,##0.00_);\(&quot;$&quot;#,##0.00\)"/>
    <numFmt numFmtId="180" formatCode="&quot;$&quot;#,##0.00_);[Red]\(&quot;$&quot;#,##0.00\)"/>
    <numFmt numFmtId="181" formatCode="_(&quot;$&quot;* #,##0_);_(&quot;$&quot;* \(#,##0\);_(&quot;$&quot;* &quot;-&quot;_);_(@_)"/>
    <numFmt numFmtId="182" formatCode="_(* #,##0_);_(* \(#,##0\);_(* &quot;-&quot;_);_(@_)"/>
    <numFmt numFmtId="183" formatCode="_(&quot;$&quot;* #,##0.00_);_(&quot;$&quot;* \(#,##0.00\);_(&quot;$&quot;* &quot;-&quot;??_);_(@_)"/>
    <numFmt numFmtId="184" formatCode="_(* #,##0.00_);_(* \(#,##0.00\);_(* &quot;-&quot;??_);_(@_)"/>
    <numFmt numFmtId="185" formatCode="_(* #,##0_);_(* \(#,##0\);_(* &quot;-&quot;??_);_(@_)"/>
    <numFmt numFmtId="186" formatCode="0.000000"/>
    <numFmt numFmtId="187" formatCode="_-* #,##0.0\ _L_t_-;\-* #,##0.0\ _L_t_-;_-* &quot;-&quot;?\ _L_t_-;_-@_-"/>
    <numFmt numFmtId="188" formatCode="#,##0.00\ &quot;Lt&quot;"/>
    <numFmt numFmtId="189" formatCode="_(* #,##0.0_);_(* \(#,##0.0\);_(* &quot;-&quot;??_);_(@_)"/>
    <numFmt numFmtId="190" formatCode="_(* #,##0.000_);_(* \(#,##0.000\);_(* &quot;-&quot;??_);_(@_)"/>
    <numFmt numFmtId="191" formatCode="#,##0\ _L_t"/>
    <numFmt numFmtId="192" formatCode="#,##0.000\ &quot;Lt&quot;"/>
    <numFmt numFmtId="193" formatCode="_(* #,##0.0000_);_(* \(#,##0.0000\);_(* &quot;-&quot;??_);_(@_)"/>
    <numFmt numFmtId="194" formatCode="_(* #,##0.00000_);_(* \(#,##0.00000\);_(* &quot;-&quot;??_);_(@_)"/>
    <numFmt numFmtId="195" formatCode="[$-427]yyyy\ &quot;m.&quot;\ mmmm\ d\ &quot;d.&quot;"/>
    <numFmt numFmtId="196" formatCode="_-* #,##0.000\ _L_t_-;\-* #,##0.000\ _L_t_-;_-* &quot;-&quot;???\ _L_t_-;_-@_-"/>
    <numFmt numFmtId="197" formatCode="_-* #,##0\ _L_t_-;\-* #,##0\ _L_t_-;_-* &quot;-&quot;?\ _L_t_-;_-@_-"/>
    <numFmt numFmtId="198" formatCode="_-* #,##0.00\ _L_t_-;\-* #,##0.00\ _L_t_-;_-* &quot;-&quot;?\ _L_t_-;_-@_-"/>
    <numFmt numFmtId="199" formatCode="0.0000000"/>
    <numFmt numFmtId="200" formatCode="&quot;Taip&quot;;&quot;Taip&quot;;&quot;Ne&quot;"/>
    <numFmt numFmtId="201" formatCode="&quot;Teisinga&quot;;&quot;Teisinga&quot;;&quot;Klaidinga&quot;"/>
    <numFmt numFmtId="202" formatCode="[$€-2]\ ###,000_);[Red]\([$€-2]\ ###,000\)"/>
    <numFmt numFmtId="203" formatCode="&quot;Yes&quot;;&quot;Yes&quot;;&quot;No&quot;"/>
    <numFmt numFmtId="204" formatCode="&quot;True&quot;;&quot;True&quot;;&quot;False&quot;"/>
    <numFmt numFmtId="205" formatCode="&quot;On&quot;;&quot;On&quot;;&quot;Off&quot;"/>
    <numFmt numFmtId="206" formatCode="[$€-2]\ #,##0.00_);[Red]\([$€-2]\ #,##0.00\)"/>
    <numFmt numFmtId="207" formatCode="#,##0.000"/>
    <numFmt numFmtId="208" formatCode="#,##0.0000"/>
    <numFmt numFmtId="209" formatCode="#,##0.00000"/>
    <numFmt numFmtId="210" formatCode="#,##0.000000"/>
    <numFmt numFmtId="211" formatCode="mmm/yyyy"/>
    <numFmt numFmtId="212" formatCode="0.000%"/>
    <numFmt numFmtId="213" formatCode="#,##0.0_ ;[Red]\-#,##0.0\ "/>
    <numFmt numFmtId="214" formatCode="#,##0\ &quot;Lt&quot;"/>
    <numFmt numFmtId="215" formatCode="yyyy/mm"/>
    <numFmt numFmtId="216" formatCode="#,##0.000_ ;[Red]\-#,##0.000\ "/>
  </numFmts>
  <fonts count="60">
    <font>
      <sz val="10"/>
      <name val="Arial"/>
      <family val="0"/>
    </font>
    <font>
      <sz val="10"/>
      <color indexed="8"/>
      <name val="Times New Roman"/>
      <family val="1"/>
    </font>
    <font>
      <sz val="8"/>
      <name val="Arial"/>
      <family val="2"/>
    </font>
    <font>
      <b/>
      <sz val="10"/>
      <color indexed="8"/>
      <name val="Times New Roman"/>
      <family val="1"/>
    </font>
    <font>
      <sz val="10"/>
      <name val="Times New Roman"/>
      <family val="1"/>
    </font>
    <font>
      <b/>
      <sz val="10"/>
      <name val="Times New Roman"/>
      <family val="1"/>
    </font>
    <font>
      <i/>
      <sz val="10"/>
      <name val="Arial"/>
      <family val="2"/>
    </font>
    <font>
      <i/>
      <sz val="12"/>
      <name val="Arial"/>
      <family val="2"/>
    </font>
    <font>
      <b/>
      <i/>
      <sz val="10"/>
      <name val="Times New Roman"/>
      <family val="1"/>
    </font>
    <font>
      <i/>
      <sz val="10"/>
      <name val="Times New Roman"/>
      <family val="1"/>
    </font>
    <font>
      <b/>
      <sz val="10"/>
      <color indexed="10"/>
      <name val="Times New Roman"/>
      <family val="1"/>
    </font>
    <font>
      <b/>
      <i/>
      <sz val="10"/>
      <name val="Arial"/>
      <family val="2"/>
    </font>
    <font>
      <i/>
      <sz val="10"/>
      <color indexed="10"/>
      <name val="Arial"/>
      <family val="2"/>
    </font>
    <font>
      <b/>
      <i/>
      <sz val="10"/>
      <color indexed="10"/>
      <name val="Arial"/>
      <family val="2"/>
    </font>
    <font>
      <u val="single"/>
      <sz val="10"/>
      <color indexed="12"/>
      <name val="Arial"/>
      <family val="2"/>
    </font>
    <font>
      <u val="single"/>
      <sz val="10"/>
      <color indexed="36"/>
      <name val="Arial"/>
      <family val="2"/>
    </font>
    <font>
      <i/>
      <sz val="12"/>
      <name val="Times New Roman"/>
      <family val="1"/>
    </font>
    <font>
      <sz val="11"/>
      <name val="Times New Roman"/>
      <family val="1"/>
    </font>
    <font>
      <b/>
      <sz val="11"/>
      <name val="Times New Roman"/>
      <family val="1"/>
    </font>
    <font>
      <b/>
      <sz val="14"/>
      <name val="Times New Roman"/>
      <family val="1"/>
    </font>
    <font>
      <sz val="14"/>
      <name val="Times New Roman"/>
      <family val="1"/>
    </font>
    <font>
      <sz val="14"/>
      <name val="Symbol"/>
      <family val="1"/>
    </font>
    <font>
      <sz val="14"/>
      <color indexed="8"/>
      <name val="Times New Roman"/>
      <family val="1"/>
    </font>
    <font>
      <b/>
      <u val="single"/>
      <sz val="10"/>
      <name val="Times New Roman"/>
      <family val="1"/>
    </font>
    <font>
      <sz val="8"/>
      <name val="Tahoma"/>
      <family val="2"/>
    </font>
    <font>
      <b/>
      <sz val="8"/>
      <name val="Tahoma"/>
      <family val="2"/>
    </font>
    <font>
      <sz val="11"/>
      <color indexed="8"/>
      <name val="Times New Roman"/>
      <family val="0"/>
    </font>
    <font>
      <sz val="9.25"/>
      <color indexed="8"/>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color indexed="8"/>
      <name val="Times New Roman"/>
      <family val="0"/>
    </font>
    <font>
      <sz val="11"/>
      <color theme="1"/>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b/>
      <sz val="11"/>
      <color rgb="FF3F3F3F"/>
      <name val="Calibri"/>
      <family val="2"/>
    </font>
    <font>
      <sz val="11"/>
      <color rgb="FFFF0000"/>
      <name val="Calibri"/>
      <family val="2"/>
    </font>
    <font>
      <sz val="11"/>
      <color rgb="FF3F3F76"/>
      <name val="Calibri"/>
      <family val="2"/>
    </font>
    <font>
      <sz val="11"/>
      <color rgb="FF9C6500"/>
      <name val="Calibri"/>
      <family val="2"/>
    </font>
    <font>
      <b/>
      <sz val="11"/>
      <color rgb="FFFA7D00"/>
      <name val="Calibri"/>
      <family val="2"/>
    </font>
    <font>
      <b/>
      <sz val="11"/>
      <color theme="1"/>
      <name val="Calibri"/>
      <family val="2"/>
    </font>
    <font>
      <sz val="11"/>
      <color rgb="FFFA7D00"/>
      <name val="Calibri"/>
      <family val="2"/>
    </font>
    <font>
      <b/>
      <sz val="11"/>
      <color theme="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s>
  <borders count="4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indexed="49"/>
      </top>
      <bottom style="double">
        <color indexed="49"/>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style="medium"/>
      <bottom style="medium"/>
    </border>
    <border>
      <left style="medium"/>
      <right style="thin"/>
      <top style="medium"/>
      <bottom style="mediu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style="medium"/>
      <bottom style="thin"/>
    </border>
    <border>
      <left>
        <color indexed="63"/>
      </left>
      <right>
        <color indexed="63"/>
      </right>
      <top style="thin"/>
      <bottom style="medium"/>
    </border>
    <border>
      <left style="thin"/>
      <right>
        <color indexed="63"/>
      </right>
      <top>
        <color indexed="63"/>
      </top>
      <bottom style="medium"/>
    </border>
    <border>
      <left>
        <color indexed="63"/>
      </left>
      <right>
        <color indexed="63"/>
      </right>
      <top style="hair"/>
      <bottom style="hair"/>
    </border>
    <border>
      <left style="medium"/>
      <right style="thin"/>
      <top>
        <color indexed="63"/>
      </top>
      <bottom style="mediu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color indexed="63"/>
      </top>
      <bottom style="thin"/>
    </border>
    <border>
      <left style="thin"/>
      <right style="thin"/>
      <top style="medium"/>
      <bottom style="medium"/>
    </border>
    <border>
      <left style="thin"/>
      <right style="thin"/>
      <top style="medium"/>
      <bottom style="thin"/>
    </border>
    <border>
      <left style="thin"/>
      <right style="medium"/>
      <top style="medium"/>
      <bottom style="thin"/>
    </border>
    <border>
      <left style="medium"/>
      <right>
        <color indexed="63"/>
      </right>
      <top style="medium"/>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border>
    <border>
      <left>
        <color indexed="63"/>
      </left>
      <right style="medium"/>
      <top>
        <color indexed="63"/>
      </top>
      <bottom style="thin"/>
    </border>
    <border>
      <left style="thin"/>
      <right style="thin"/>
      <top style="thin"/>
      <bottom/>
    </border>
    <border>
      <left style="thin"/>
      <right style="thin"/>
      <top>
        <color indexed="63"/>
      </top>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style="thin"/>
      <right>
        <color indexed="63"/>
      </right>
      <top style="medium"/>
      <bottom style="thin"/>
    </border>
    <border>
      <left>
        <color indexed="63"/>
      </left>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37" fillId="0" borderId="3" applyNumberFormat="0" applyFill="0" applyAlignment="0" applyProtection="0"/>
    <xf numFmtId="0" fontId="37" fillId="0" borderId="0" applyNumberFormat="0" applyFill="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8"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0" borderId="0" applyNumberFormat="0" applyFill="0" applyBorder="0" applyAlignment="0" applyProtection="0"/>
    <xf numFmtId="0" fontId="15" fillId="0" borderId="0" applyNumberFormat="0" applyFill="0" applyBorder="0" applyAlignment="0" applyProtection="0"/>
    <xf numFmtId="0" fontId="49" fillId="19" borderId="0" applyNumberFormat="0" applyBorder="0" applyAlignment="0" applyProtection="0"/>
    <xf numFmtId="0" fontId="50" fillId="20" borderId="0" applyNumberFormat="0" applyBorder="0" applyAlignment="0" applyProtection="0"/>
    <xf numFmtId="0" fontId="14" fillId="0" borderId="0" applyNumberFormat="0" applyFill="0" applyBorder="0" applyAlignment="0" applyProtection="0"/>
    <xf numFmtId="0" fontId="51" fillId="21" borderId="4" applyNumberFormat="0" applyAlignment="0" applyProtection="0"/>
    <xf numFmtId="0" fontId="52" fillId="0" borderId="0" applyNumberFormat="0" applyFill="0" applyBorder="0" applyAlignment="0" applyProtection="0"/>
    <xf numFmtId="0" fontId="53" fillId="22"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4" fillId="23" borderId="0" applyNumberFormat="0" applyBorder="0" applyAlignment="0" applyProtection="0"/>
    <xf numFmtId="0" fontId="0" fillId="0" borderId="0">
      <alignment/>
      <protection/>
    </xf>
    <xf numFmtId="0" fontId="47" fillId="1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0" fillId="29" borderId="6" applyNumberFormat="0" applyFont="0" applyAlignment="0" applyProtection="0"/>
    <xf numFmtId="0" fontId="42" fillId="0" borderId="0" applyNumberFormat="0" applyFill="0" applyBorder="0" applyAlignment="0" applyProtection="0"/>
    <xf numFmtId="9" fontId="0" fillId="0" borderId="0" applyFont="0" applyFill="0" applyBorder="0" applyAlignment="0" applyProtection="0"/>
    <xf numFmtId="0" fontId="55" fillId="21" borderId="5" applyNumberFormat="0" applyAlignment="0" applyProtection="0"/>
    <xf numFmtId="0" fontId="56" fillId="0" borderId="7" applyNumberFormat="0" applyFill="0" applyAlignment="0" applyProtection="0"/>
    <xf numFmtId="0" fontId="57" fillId="0" borderId="8" applyNumberFormat="0" applyFill="0" applyAlignment="0" applyProtection="0"/>
    <xf numFmtId="0" fontId="58" fillId="30"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203">
    <xf numFmtId="0" fontId="0" fillId="0" borderId="0" xfId="0" applyAlignment="1">
      <alignment/>
    </xf>
    <xf numFmtId="49" fontId="1" fillId="0" borderId="0" xfId="0" applyNumberFormat="1" applyFont="1" applyAlignment="1" applyProtection="1">
      <alignment/>
      <protection locked="0"/>
    </xf>
    <xf numFmtId="3" fontId="1" fillId="0" borderId="0" xfId="0" applyNumberFormat="1" applyFont="1" applyAlignment="1" applyProtection="1">
      <alignment/>
      <protection locked="0"/>
    </xf>
    <xf numFmtId="3" fontId="1" fillId="0" borderId="0" xfId="0" applyNumberFormat="1" applyFont="1" applyAlignment="1" applyProtection="1">
      <alignment/>
      <protection locked="0"/>
    </xf>
    <xf numFmtId="3" fontId="4" fillId="0" borderId="0" xfId="0" applyNumberFormat="1" applyFont="1" applyAlignment="1" applyProtection="1">
      <alignment/>
      <protection locked="0"/>
    </xf>
    <xf numFmtId="0" fontId="7" fillId="0" borderId="0" xfId="0" applyFont="1" applyBorder="1" applyAlignment="1">
      <alignment/>
    </xf>
    <xf numFmtId="169" fontId="6" fillId="0" borderId="0" xfId="0" applyNumberFormat="1" applyFont="1" applyFill="1" applyBorder="1" applyAlignment="1">
      <alignment/>
    </xf>
    <xf numFmtId="3" fontId="5" fillId="0" borderId="10" xfId="0" applyNumberFormat="1" applyFont="1" applyBorder="1" applyAlignment="1" applyProtection="1">
      <alignment/>
      <protection locked="0"/>
    </xf>
    <xf numFmtId="3" fontId="1" fillId="0" borderId="10" xfId="0" applyNumberFormat="1" applyFont="1" applyBorder="1" applyAlignment="1" applyProtection="1">
      <alignment/>
      <protection locked="0"/>
    </xf>
    <xf numFmtId="3" fontId="1" fillId="0" borderId="10" xfId="0" applyNumberFormat="1" applyFont="1" applyBorder="1" applyAlignment="1" applyProtection="1">
      <alignment/>
      <protection locked="0"/>
    </xf>
    <xf numFmtId="3" fontId="4" fillId="0" borderId="10" xfId="0" applyNumberFormat="1" applyFont="1" applyBorder="1" applyAlignment="1" applyProtection="1">
      <alignment/>
      <protection locked="0"/>
    </xf>
    <xf numFmtId="3" fontId="3" fillId="0" borderId="11" xfId="0" applyNumberFormat="1" applyFont="1" applyBorder="1" applyAlignment="1" applyProtection="1">
      <alignment/>
      <protection locked="0"/>
    </xf>
    <xf numFmtId="174" fontId="8" fillId="0" borderId="12" xfId="0" applyNumberFormat="1" applyFont="1" applyBorder="1" applyAlignment="1">
      <alignment/>
    </xf>
    <xf numFmtId="0" fontId="1" fillId="0" borderId="0" xfId="0" applyNumberFormat="1" applyFont="1" applyAlignment="1" applyProtection="1">
      <alignment horizontal="center"/>
      <protection locked="0"/>
    </xf>
    <xf numFmtId="0" fontId="4" fillId="0" borderId="0" xfId="0" applyFont="1" applyAlignment="1" applyProtection="1">
      <alignment/>
      <protection locked="0"/>
    </xf>
    <xf numFmtId="0" fontId="5" fillId="0" borderId="0" xfId="0" applyFont="1" applyAlignment="1" applyProtection="1">
      <alignment horizontal="center"/>
      <protection locked="0"/>
    </xf>
    <xf numFmtId="1" fontId="5" fillId="0" borderId="0" xfId="0" applyNumberFormat="1" applyFont="1" applyAlignment="1" applyProtection="1">
      <alignment horizontal="center"/>
      <protection locked="0"/>
    </xf>
    <xf numFmtId="2" fontId="5" fillId="0" borderId="0" xfId="0" applyNumberFormat="1" applyFont="1" applyAlignment="1" applyProtection="1">
      <alignment horizontal="center"/>
      <protection locked="0"/>
    </xf>
    <xf numFmtId="49" fontId="3" fillId="0" borderId="0" xfId="0" applyNumberFormat="1" applyFont="1" applyAlignment="1" applyProtection="1">
      <alignment/>
      <protection locked="0"/>
    </xf>
    <xf numFmtId="0" fontId="5" fillId="12" borderId="13" xfId="0" applyFont="1" applyFill="1" applyBorder="1" applyAlignment="1">
      <alignment horizontal="left"/>
    </xf>
    <xf numFmtId="173" fontId="9" fillId="12" borderId="13" xfId="0" applyNumberFormat="1" applyFont="1" applyFill="1" applyBorder="1" applyAlignment="1">
      <alignment/>
    </xf>
    <xf numFmtId="0" fontId="5" fillId="0" borderId="13" xfId="0" applyFont="1" applyFill="1" applyBorder="1" applyAlignment="1">
      <alignment horizontal="left"/>
    </xf>
    <xf numFmtId="173" fontId="9" fillId="0" borderId="13" xfId="0" applyNumberFormat="1" applyFont="1" applyFill="1" applyBorder="1" applyAlignment="1">
      <alignment/>
    </xf>
    <xf numFmtId="169" fontId="9" fillId="0" borderId="0" xfId="0" applyNumberFormat="1" applyFont="1" applyFill="1" applyBorder="1" applyAlignment="1">
      <alignment/>
    </xf>
    <xf numFmtId="169" fontId="9" fillId="0" borderId="13" xfId="0" applyNumberFormat="1" applyFont="1" applyFill="1" applyBorder="1" applyAlignment="1">
      <alignment/>
    </xf>
    <xf numFmtId="169" fontId="9" fillId="0" borderId="14" xfId="0" applyNumberFormat="1" applyFont="1" applyFill="1" applyBorder="1" applyAlignment="1">
      <alignment/>
    </xf>
    <xf numFmtId="0" fontId="5" fillId="31" borderId="13" xfId="0" applyFont="1" applyFill="1" applyBorder="1" applyAlignment="1">
      <alignment horizontal="left"/>
    </xf>
    <xf numFmtId="173" fontId="9" fillId="31" borderId="13" xfId="0" applyNumberFormat="1" applyFont="1" applyFill="1" applyBorder="1" applyAlignment="1">
      <alignment/>
    </xf>
    <xf numFmtId="173" fontId="9" fillId="31" borderId="14" xfId="0" applyNumberFormat="1" applyFont="1" applyFill="1" applyBorder="1" applyAlignment="1">
      <alignment/>
    </xf>
    <xf numFmtId="0" fontId="5" fillId="0" borderId="13" xfId="0" applyFont="1" applyBorder="1" applyAlignment="1">
      <alignment horizontal="left"/>
    </xf>
    <xf numFmtId="173" fontId="9" fillId="0" borderId="13" xfId="0" applyNumberFormat="1" applyFont="1" applyBorder="1" applyAlignment="1">
      <alignment/>
    </xf>
    <xf numFmtId="173" fontId="9" fillId="0" borderId="14" xfId="0" applyNumberFormat="1" applyFont="1" applyBorder="1" applyAlignment="1">
      <alignment/>
    </xf>
    <xf numFmtId="169" fontId="9" fillId="0" borderId="0" xfId="0" applyNumberFormat="1" applyFont="1" applyBorder="1" applyAlignment="1">
      <alignment/>
    </xf>
    <xf numFmtId="169" fontId="9" fillId="0" borderId="13" xfId="0" applyNumberFormat="1" applyFont="1" applyBorder="1" applyAlignment="1">
      <alignment/>
    </xf>
    <xf numFmtId="169" fontId="9" fillId="0" borderId="14" xfId="0" applyNumberFormat="1" applyFont="1" applyBorder="1" applyAlignment="1">
      <alignment/>
    </xf>
    <xf numFmtId="173" fontId="9" fillId="31" borderId="13" xfId="0" applyNumberFormat="1" applyFont="1" applyFill="1" applyBorder="1" applyAlignment="1">
      <alignment horizontal="right"/>
    </xf>
    <xf numFmtId="173" fontId="9" fillId="0" borderId="13" xfId="0" applyNumberFormat="1" applyFont="1" applyBorder="1" applyAlignment="1">
      <alignment horizontal="right"/>
    </xf>
    <xf numFmtId="4" fontId="9" fillId="0" borderId="0" xfId="0" applyNumberFormat="1" applyFont="1" applyAlignment="1">
      <alignment horizontal="right"/>
    </xf>
    <xf numFmtId="4" fontId="9" fillId="0" borderId="13" xfId="0" applyNumberFormat="1" applyFont="1" applyBorder="1" applyAlignment="1">
      <alignment horizontal="right"/>
    </xf>
    <xf numFmtId="4" fontId="9" fillId="0" borderId="14" xfId="0" applyNumberFormat="1" applyFont="1" applyBorder="1" applyAlignment="1">
      <alignment horizontal="right"/>
    </xf>
    <xf numFmtId="0" fontId="5" fillId="0" borderId="0" xfId="0" applyFont="1" applyAlignment="1">
      <alignment/>
    </xf>
    <xf numFmtId="173" fontId="9" fillId="0" borderId="0" xfId="0" applyNumberFormat="1" applyFont="1" applyBorder="1" applyAlignment="1">
      <alignment/>
    </xf>
    <xf numFmtId="173" fontId="9" fillId="0" borderId="0" xfId="0" applyNumberFormat="1" applyFont="1" applyFill="1" applyBorder="1" applyAlignment="1">
      <alignment/>
    </xf>
    <xf numFmtId="173" fontId="9" fillId="0" borderId="0" xfId="45" applyNumberFormat="1" applyFont="1" applyBorder="1" applyAlignment="1">
      <alignment/>
    </xf>
    <xf numFmtId="0" fontId="9" fillId="0" borderId="0" xfId="0" applyFont="1" applyBorder="1" applyAlignment="1">
      <alignment/>
    </xf>
    <xf numFmtId="0" fontId="5" fillId="31" borderId="13" xfId="0" applyFont="1" applyFill="1" applyBorder="1" applyAlignment="1">
      <alignment/>
    </xf>
    <xf numFmtId="0" fontId="5" fillId="0" borderId="13" xfId="0" applyFont="1" applyBorder="1" applyAlignment="1">
      <alignment/>
    </xf>
    <xf numFmtId="0" fontId="5" fillId="0" borderId="0" xfId="0" applyFont="1" applyBorder="1" applyAlignment="1">
      <alignment/>
    </xf>
    <xf numFmtId="173" fontId="9" fillId="0" borderId="14" xfId="0" applyNumberFormat="1" applyFont="1" applyFill="1" applyBorder="1" applyAlignment="1">
      <alignment/>
    </xf>
    <xf numFmtId="4" fontId="4" fillId="0" borderId="0" xfId="0" applyNumberFormat="1" applyFont="1" applyAlignment="1">
      <alignment/>
    </xf>
    <xf numFmtId="0" fontId="10" fillId="31" borderId="0" xfId="0" applyFont="1" applyFill="1" applyAlignment="1">
      <alignment horizontal="right"/>
    </xf>
    <xf numFmtId="10" fontId="4" fillId="31" borderId="0" xfId="0" applyNumberFormat="1" applyFont="1" applyFill="1" applyAlignment="1">
      <alignment horizontal="right"/>
    </xf>
    <xf numFmtId="0" fontId="10" fillId="0" borderId="0" xfId="0" applyFont="1" applyAlignment="1">
      <alignment horizontal="right"/>
    </xf>
    <xf numFmtId="173" fontId="4" fillId="31" borderId="0" xfId="0" applyNumberFormat="1" applyFont="1" applyFill="1" applyBorder="1" applyAlignment="1">
      <alignment/>
    </xf>
    <xf numFmtId="173" fontId="4" fillId="0" borderId="0" xfId="0" applyNumberFormat="1" applyFont="1" applyBorder="1" applyAlignment="1">
      <alignment/>
    </xf>
    <xf numFmtId="169" fontId="4" fillId="0" borderId="0" xfId="0" applyNumberFormat="1" applyFont="1" applyBorder="1" applyAlignment="1">
      <alignment/>
    </xf>
    <xf numFmtId="173" fontId="4" fillId="0" borderId="0" xfId="0" applyNumberFormat="1" applyFont="1" applyFill="1" applyBorder="1" applyAlignment="1">
      <alignment/>
    </xf>
    <xf numFmtId="173" fontId="4" fillId="0" borderId="0" xfId="45" applyNumberFormat="1" applyFont="1" applyBorder="1" applyAlignment="1">
      <alignment/>
    </xf>
    <xf numFmtId="0" fontId="4" fillId="0" borderId="0" xfId="0" applyFont="1" applyBorder="1" applyAlignment="1">
      <alignment/>
    </xf>
    <xf numFmtId="3" fontId="4" fillId="31" borderId="0" xfId="0" applyNumberFormat="1" applyFont="1" applyFill="1" applyAlignment="1">
      <alignment/>
    </xf>
    <xf numFmtId="169" fontId="11" fillId="0" borderId="0" xfId="0" applyNumberFormat="1" applyFont="1" applyFill="1" applyBorder="1" applyAlignment="1">
      <alignment/>
    </xf>
    <xf numFmtId="170" fontId="6" fillId="0" borderId="0" xfId="45" applyNumberFormat="1" applyFont="1" applyBorder="1" applyAlignment="1">
      <alignment/>
    </xf>
    <xf numFmtId="0" fontId="6" fillId="0" borderId="0" xfId="0" applyFont="1" applyBorder="1" applyAlignment="1">
      <alignment/>
    </xf>
    <xf numFmtId="0" fontId="11" fillId="0" borderId="0" xfId="0" applyFont="1" applyBorder="1" applyAlignment="1">
      <alignment horizontal="right"/>
    </xf>
    <xf numFmtId="9" fontId="6" fillId="0" borderId="13" xfId="57" applyFont="1" applyBorder="1" applyAlignment="1">
      <alignment horizontal="center"/>
    </xf>
    <xf numFmtId="9" fontId="12" fillId="0" borderId="13" xfId="57" applyFont="1" applyBorder="1" applyAlignment="1">
      <alignment horizontal="center"/>
    </xf>
    <xf numFmtId="0" fontId="6" fillId="0" borderId="0" xfId="0" applyFont="1" applyBorder="1" applyAlignment="1">
      <alignment horizontal="right"/>
    </xf>
    <xf numFmtId="174" fontId="13" fillId="0" borderId="13" xfId="45" applyNumberFormat="1" applyFont="1" applyFill="1" applyBorder="1" applyAlignment="1">
      <alignment horizontal="center"/>
    </xf>
    <xf numFmtId="174" fontId="6" fillId="0" borderId="13" xfId="45" applyNumberFormat="1" applyFont="1" applyFill="1" applyBorder="1" applyAlignment="1">
      <alignment horizontal="center"/>
    </xf>
    <xf numFmtId="174" fontId="6" fillId="0" borderId="0" xfId="45" applyNumberFormat="1" applyFont="1" applyFill="1" applyBorder="1" applyAlignment="1">
      <alignment/>
    </xf>
    <xf numFmtId="174" fontId="11" fillId="0" borderId="0" xfId="45" applyNumberFormat="1" applyFont="1" applyFill="1" applyBorder="1" applyAlignment="1">
      <alignment horizontal="right"/>
    </xf>
    <xf numFmtId="9" fontId="12" fillId="0" borderId="13" xfId="0" applyNumberFormat="1" applyFont="1" applyBorder="1" applyAlignment="1">
      <alignment horizontal="center" wrapText="1"/>
    </xf>
    <xf numFmtId="174" fontId="6" fillId="0" borderId="0" xfId="45" applyNumberFormat="1" applyFont="1" applyFill="1" applyBorder="1" applyAlignment="1">
      <alignment horizontal="right"/>
    </xf>
    <xf numFmtId="168" fontId="12" fillId="0" borderId="13" xfId="0" applyNumberFormat="1" applyFont="1" applyBorder="1" applyAlignment="1">
      <alignment horizontal="center" wrapText="1"/>
    </xf>
    <xf numFmtId="169" fontId="7" fillId="0" borderId="0" xfId="0" applyNumberFormat="1" applyFont="1" applyFill="1" applyBorder="1" applyAlignment="1">
      <alignment/>
    </xf>
    <xf numFmtId="170" fontId="7" fillId="0" borderId="0" xfId="45" applyNumberFormat="1" applyFont="1" applyBorder="1" applyAlignment="1">
      <alignment/>
    </xf>
    <xf numFmtId="2" fontId="6" fillId="0" borderId="15" xfId="45" applyNumberFormat="1" applyFont="1" applyBorder="1" applyAlignment="1">
      <alignment horizontal="center"/>
    </xf>
    <xf numFmtId="2" fontId="6" fillId="0" borderId="15" xfId="0" applyNumberFormat="1" applyFont="1" applyBorder="1" applyAlignment="1">
      <alignment horizontal="center" wrapText="1"/>
    </xf>
    <xf numFmtId="0" fontId="4" fillId="0" borderId="0" xfId="0" applyFont="1" applyAlignment="1" applyProtection="1">
      <alignment/>
      <protection locked="0"/>
    </xf>
    <xf numFmtId="168" fontId="1" fillId="0" borderId="0" xfId="0" applyNumberFormat="1" applyFont="1" applyAlignment="1" applyProtection="1">
      <alignment/>
      <protection locked="0"/>
    </xf>
    <xf numFmtId="49" fontId="1" fillId="0" borderId="0" xfId="0" applyNumberFormat="1" applyFont="1" applyAlignment="1" applyProtection="1">
      <alignment horizontal="center"/>
      <protection locked="0"/>
    </xf>
    <xf numFmtId="49" fontId="1" fillId="0" borderId="10" xfId="0" applyNumberFormat="1" applyFont="1" applyBorder="1" applyAlignment="1" applyProtection="1">
      <alignment/>
      <protection locked="0"/>
    </xf>
    <xf numFmtId="0" fontId="1" fillId="0" borderId="0" xfId="0" applyFont="1" applyAlignment="1" applyProtection="1">
      <alignment/>
      <protection locked="0"/>
    </xf>
    <xf numFmtId="0" fontId="1" fillId="0" borderId="0" xfId="0" applyFont="1" applyAlignment="1" applyProtection="1">
      <alignment/>
      <protection locked="0"/>
    </xf>
    <xf numFmtId="0" fontId="4" fillId="0" borderId="0" xfId="0" applyFont="1" applyFill="1" applyBorder="1" applyAlignment="1" applyProtection="1">
      <alignment/>
      <protection locked="0"/>
    </xf>
    <xf numFmtId="0" fontId="16" fillId="0" borderId="0" xfId="0" applyFont="1" applyBorder="1" applyAlignment="1">
      <alignment/>
    </xf>
    <xf numFmtId="173" fontId="9" fillId="0" borderId="0" xfId="0" applyNumberFormat="1" applyFont="1" applyFill="1" applyBorder="1" applyAlignment="1">
      <alignment horizontal="right"/>
    </xf>
    <xf numFmtId="4" fontId="9" fillId="0" borderId="0" xfId="0" applyNumberFormat="1" applyFont="1" applyFill="1" applyBorder="1" applyAlignment="1">
      <alignment horizontal="right"/>
    </xf>
    <xf numFmtId="0" fontId="9" fillId="0" borderId="0" xfId="0" applyFont="1" applyFill="1" applyBorder="1" applyAlignment="1">
      <alignment/>
    </xf>
    <xf numFmtId="10" fontId="4" fillId="0" borderId="0" xfId="0" applyNumberFormat="1" applyFont="1" applyFill="1" applyBorder="1" applyAlignment="1">
      <alignment horizontal="right"/>
    </xf>
    <xf numFmtId="10" fontId="5" fillId="0" borderId="0" xfId="0" applyNumberFormat="1" applyFont="1" applyFill="1" applyBorder="1" applyAlignment="1">
      <alignment horizontal="right"/>
    </xf>
    <xf numFmtId="10" fontId="10" fillId="0" borderId="0" xfId="0" applyNumberFormat="1" applyFont="1" applyFill="1" applyBorder="1" applyAlignment="1">
      <alignment horizontal="right"/>
    </xf>
    <xf numFmtId="0" fontId="16" fillId="0" borderId="0" xfId="0" applyFont="1" applyFill="1" applyBorder="1" applyAlignment="1">
      <alignment/>
    </xf>
    <xf numFmtId="3" fontId="3" fillId="0" borderId="10" xfId="0" applyNumberFormat="1" applyFont="1" applyBorder="1" applyAlignment="1" applyProtection="1">
      <alignment/>
      <protection locked="0"/>
    </xf>
    <xf numFmtId="49" fontId="1" fillId="0" borderId="11" xfId="0" applyNumberFormat="1" applyFont="1" applyBorder="1" applyAlignment="1" applyProtection="1">
      <alignment/>
      <protection locked="0"/>
    </xf>
    <xf numFmtId="174" fontId="8" fillId="0" borderId="11" xfId="0" applyNumberFormat="1" applyFont="1" applyBorder="1" applyAlignment="1">
      <alignment/>
    </xf>
    <xf numFmtId="3" fontId="1" fillId="0" borderId="11" xfId="0" applyNumberFormat="1" applyFont="1" applyBorder="1" applyAlignment="1" applyProtection="1">
      <alignment/>
      <protection locked="0"/>
    </xf>
    <xf numFmtId="3" fontId="1" fillId="0" borderId="11" xfId="0" applyNumberFormat="1" applyFont="1" applyBorder="1" applyAlignment="1" applyProtection="1">
      <alignment/>
      <protection locked="0"/>
    </xf>
    <xf numFmtId="49" fontId="1" fillId="0" borderId="16" xfId="0" applyNumberFormat="1" applyFont="1" applyBorder="1" applyAlignment="1" applyProtection="1">
      <alignment/>
      <protection locked="0"/>
    </xf>
    <xf numFmtId="3" fontId="1" fillId="0" borderId="16" xfId="0" applyNumberFormat="1" applyFont="1" applyBorder="1" applyAlignment="1" applyProtection="1">
      <alignment/>
      <protection locked="0"/>
    </xf>
    <xf numFmtId="49" fontId="1" fillId="0" borderId="17" xfId="0" applyNumberFormat="1" applyFont="1" applyFill="1" applyBorder="1" applyAlignment="1" applyProtection="1">
      <alignment/>
      <protection locked="0"/>
    </xf>
    <xf numFmtId="3" fontId="1" fillId="0" borderId="17" xfId="0" applyNumberFormat="1" applyFont="1" applyFill="1" applyBorder="1" applyAlignment="1" applyProtection="1">
      <alignment/>
      <protection locked="0"/>
    </xf>
    <xf numFmtId="3" fontId="3" fillId="0" borderId="18" xfId="0" applyNumberFormat="1" applyFont="1" applyBorder="1" applyAlignment="1" applyProtection="1">
      <alignment/>
      <protection locked="0"/>
    </xf>
    <xf numFmtId="3" fontId="4" fillId="0" borderId="0" xfId="0" applyNumberFormat="1" applyFont="1" applyFill="1" applyAlignment="1">
      <alignment/>
    </xf>
    <xf numFmtId="174" fontId="4" fillId="0" borderId="0" xfId="0" applyNumberFormat="1" applyFont="1" applyBorder="1" applyAlignment="1">
      <alignment/>
    </xf>
    <xf numFmtId="3" fontId="1" fillId="0" borderId="0" xfId="0" applyNumberFormat="1" applyFont="1" applyBorder="1" applyAlignment="1" applyProtection="1">
      <alignment/>
      <protection locked="0"/>
    </xf>
    <xf numFmtId="3" fontId="4" fillId="0" borderId="0" xfId="0" applyNumberFormat="1" applyFont="1" applyBorder="1" applyAlignment="1" applyProtection="1">
      <alignment/>
      <protection locked="0"/>
    </xf>
    <xf numFmtId="171" fontId="4" fillId="0" borderId="19" xfId="57" applyNumberFormat="1" applyFont="1" applyBorder="1" applyAlignment="1">
      <alignment/>
    </xf>
    <xf numFmtId="3" fontId="5" fillId="0" borderId="0" xfId="0" applyNumberFormat="1" applyFont="1" applyAlignment="1" applyProtection="1">
      <alignment horizontal="center"/>
      <protection locked="0"/>
    </xf>
    <xf numFmtId="171" fontId="4" fillId="0" borderId="0" xfId="57" applyNumberFormat="1" applyFont="1" applyBorder="1" applyAlignment="1">
      <alignment/>
    </xf>
    <xf numFmtId="3" fontId="4" fillId="0" borderId="0" xfId="0" applyNumberFormat="1" applyFont="1" applyAlignment="1" applyProtection="1">
      <alignment horizontal="center"/>
      <protection locked="0"/>
    </xf>
    <xf numFmtId="3" fontId="4" fillId="0" borderId="0" xfId="57" applyNumberFormat="1" applyFont="1" applyBorder="1" applyAlignment="1">
      <alignment/>
    </xf>
    <xf numFmtId="49" fontId="1" fillId="0" borderId="0" xfId="0" applyNumberFormat="1" applyFont="1" applyAlignment="1" applyProtection="1">
      <alignment horizontal="right"/>
      <protection locked="0"/>
    </xf>
    <xf numFmtId="174" fontId="8" fillId="0" borderId="20" xfId="0" applyNumberFormat="1" applyFont="1" applyBorder="1" applyAlignment="1">
      <alignment horizontal="left"/>
    </xf>
    <xf numFmtId="3" fontId="1" fillId="0" borderId="0" xfId="0" applyNumberFormat="1" applyFont="1" applyBorder="1" applyAlignment="1" applyProtection="1">
      <alignment/>
      <protection locked="0"/>
    </xf>
    <xf numFmtId="174" fontId="4" fillId="0" borderId="10" xfId="0" applyNumberFormat="1" applyFont="1" applyBorder="1" applyAlignment="1">
      <alignment/>
    </xf>
    <xf numFmtId="174" fontId="4" fillId="0" borderId="0" xfId="0" applyNumberFormat="1" applyFont="1" applyBorder="1" applyAlignment="1">
      <alignment horizontal="center"/>
    </xf>
    <xf numFmtId="174" fontId="4" fillId="0" borderId="10" xfId="0" applyNumberFormat="1" applyFont="1" applyBorder="1" applyAlignment="1">
      <alignment horizontal="center"/>
    </xf>
    <xf numFmtId="3" fontId="3" fillId="0" borderId="18" xfId="0" applyNumberFormat="1" applyFont="1" applyBorder="1" applyAlignment="1" applyProtection="1">
      <alignment horizontal="center"/>
      <protection locked="0"/>
    </xf>
    <xf numFmtId="3" fontId="3" fillId="0" borderId="11" xfId="0" applyNumberFormat="1" applyFont="1" applyBorder="1" applyAlignment="1" applyProtection="1">
      <alignment horizontal="center"/>
      <protection locked="0"/>
    </xf>
    <xf numFmtId="3" fontId="1" fillId="0" borderId="0" xfId="0" applyNumberFormat="1" applyFont="1" applyAlignment="1" applyProtection="1">
      <alignment horizontal="right"/>
      <protection locked="0"/>
    </xf>
    <xf numFmtId="3" fontId="1" fillId="0" borderId="0" xfId="0" applyNumberFormat="1" applyFont="1" applyBorder="1" applyAlignment="1" applyProtection="1">
      <alignment horizontal="right"/>
      <protection locked="0"/>
    </xf>
    <xf numFmtId="173" fontId="9" fillId="0" borderId="13" xfId="0" applyNumberFormat="1" applyFont="1" applyFill="1" applyBorder="1" applyAlignment="1">
      <alignment/>
    </xf>
    <xf numFmtId="173" fontId="4" fillId="0" borderId="17" xfId="0" applyNumberFormat="1" applyFont="1" applyFill="1" applyBorder="1" applyAlignment="1">
      <alignment/>
    </xf>
    <xf numFmtId="10" fontId="4" fillId="0" borderId="0" xfId="0" applyNumberFormat="1" applyFont="1" applyFill="1" applyAlignment="1">
      <alignment horizontal="right"/>
    </xf>
    <xf numFmtId="173" fontId="9" fillId="31" borderId="13" xfId="0" applyNumberFormat="1" applyFont="1" applyFill="1" applyBorder="1" applyAlignment="1">
      <alignment/>
    </xf>
    <xf numFmtId="173" fontId="9" fillId="0" borderId="15" xfId="0" applyNumberFormat="1" applyFont="1" applyBorder="1" applyAlignment="1">
      <alignment horizontal="right"/>
    </xf>
    <xf numFmtId="0" fontId="1" fillId="0" borderId="0" xfId="0" applyNumberFormat="1" applyFont="1" applyAlignment="1" applyProtection="1">
      <alignment horizontal="right"/>
      <protection locked="0"/>
    </xf>
    <xf numFmtId="10" fontId="10" fillId="32" borderId="21" xfId="0" applyNumberFormat="1" applyFont="1" applyFill="1" applyBorder="1" applyAlignment="1">
      <alignment horizontal="right"/>
    </xf>
    <xf numFmtId="169" fontId="6" fillId="0" borderId="0" xfId="0" applyNumberFormat="1" applyFont="1" applyBorder="1" applyAlignment="1">
      <alignment/>
    </xf>
    <xf numFmtId="169" fontId="7" fillId="0" borderId="0" xfId="0" applyNumberFormat="1" applyFont="1" applyBorder="1" applyAlignment="1">
      <alignment/>
    </xf>
    <xf numFmtId="2" fontId="6" fillId="0" borderId="13" xfId="0" applyNumberFormat="1" applyFont="1" applyBorder="1" applyAlignment="1">
      <alignment horizontal="center"/>
    </xf>
    <xf numFmtId="0" fontId="17" fillId="0" borderId="21" xfId="0" applyFont="1" applyBorder="1" applyAlignment="1">
      <alignment horizontal="justify" vertical="top" wrapText="1"/>
    </xf>
    <xf numFmtId="9" fontId="18" fillId="0" borderId="22" xfId="0" applyNumberFormat="1" applyFont="1" applyBorder="1" applyAlignment="1">
      <alignment horizontal="center" vertical="top" wrapText="1"/>
    </xf>
    <xf numFmtId="0" fontId="17" fillId="0" borderId="23" xfId="0" applyFont="1" applyBorder="1" applyAlignment="1">
      <alignment horizontal="justify" vertical="top" wrapText="1"/>
    </xf>
    <xf numFmtId="2" fontId="17" fillId="0" borderId="24" xfId="0" applyNumberFormat="1" applyFont="1" applyBorder="1" applyAlignment="1">
      <alignment horizontal="center" vertical="top" wrapText="1"/>
    </xf>
    <xf numFmtId="0" fontId="17" fillId="0" borderId="25" xfId="0" applyFont="1" applyBorder="1" applyAlignment="1">
      <alignment horizontal="justify" vertical="top" wrapText="1"/>
    </xf>
    <xf numFmtId="2" fontId="17" fillId="0" borderId="26" xfId="0" applyNumberFormat="1" applyFont="1" applyBorder="1" applyAlignment="1">
      <alignment horizontal="center" vertical="top" wrapText="1"/>
    </xf>
    <xf numFmtId="0" fontId="17" fillId="0" borderId="27" xfId="0" applyFont="1" applyFill="1" applyBorder="1" applyAlignment="1">
      <alignment horizontal="justify" vertical="top" wrapText="1"/>
    </xf>
    <xf numFmtId="0" fontId="17" fillId="0" borderId="21" xfId="0" applyFont="1" applyBorder="1" applyAlignment="1">
      <alignment horizontal="center"/>
    </xf>
    <xf numFmtId="1" fontId="4" fillId="0" borderId="0" xfId="0" applyNumberFormat="1" applyFont="1" applyAlignment="1" applyProtection="1">
      <alignment/>
      <protection locked="0"/>
    </xf>
    <xf numFmtId="0" fontId="19" fillId="0" borderId="0" xfId="0" applyFont="1" applyAlignment="1">
      <alignment horizontal="justify"/>
    </xf>
    <xf numFmtId="0" fontId="20" fillId="0" borderId="0" xfId="0" applyFont="1" applyAlignment="1">
      <alignment/>
    </xf>
    <xf numFmtId="0" fontId="20" fillId="0" borderId="0" xfId="0" applyFont="1" applyAlignment="1">
      <alignment horizontal="justify"/>
    </xf>
    <xf numFmtId="0" fontId="21" fillId="0" borderId="13" xfId="0" applyFont="1" applyBorder="1" applyAlignment="1">
      <alignment horizontal="justify"/>
    </xf>
    <xf numFmtId="0" fontId="4" fillId="0" borderId="0" xfId="0" applyFont="1" applyAlignment="1">
      <alignment/>
    </xf>
    <xf numFmtId="3" fontId="4" fillId="21" borderId="15" xfId="48" applyNumberFormat="1" applyFont="1" applyFill="1" applyBorder="1">
      <alignment/>
      <protection/>
    </xf>
    <xf numFmtId="3" fontId="4" fillId="21" borderId="28" xfId="48" applyNumberFormat="1" applyFont="1" applyFill="1" applyBorder="1">
      <alignment/>
      <protection/>
    </xf>
    <xf numFmtId="3" fontId="5" fillId="21" borderId="11" xfId="48" applyNumberFormat="1" applyFont="1" applyFill="1" applyBorder="1">
      <alignment/>
      <protection/>
    </xf>
    <xf numFmtId="3" fontId="5" fillId="21" borderId="29" xfId="48" applyNumberFormat="1" applyFont="1" applyFill="1" applyBorder="1">
      <alignment/>
      <protection/>
    </xf>
    <xf numFmtId="0" fontId="5" fillId="33" borderId="30" xfId="48" applyFont="1" applyFill="1" applyBorder="1" applyAlignment="1">
      <alignment horizontal="center" vertical="justify"/>
      <protection/>
    </xf>
    <xf numFmtId="0" fontId="5" fillId="33" borderId="31" xfId="48" applyFont="1" applyFill="1" applyBorder="1" applyAlignment="1">
      <alignment horizontal="center" vertical="justify"/>
      <protection/>
    </xf>
    <xf numFmtId="0" fontId="23" fillId="33" borderId="32" xfId="48" applyFont="1" applyFill="1" applyBorder="1" applyAlignment="1">
      <alignment horizontal="left"/>
      <protection/>
    </xf>
    <xf numFmtId="0" fontId="4" fillId="0" borderId="33" xfId="48" applyFont="1" applyFill="1" applyBorder="1" applyAlignment="1">
      <alignment horizontal="left"/>
      <protection/>
    </xf>
    <xf numFmtId="0" fontId="4" fillId="0" borderId="34" xfId="48" applyFont="1" applyFill="1" applyBorder="1" applyAlignment="1">
      <alignment horizontal="left"/>
      <protection/>
    </xf>
    <xf numFmtId="0" fontId="4" fillId="0" borderId="34" xfId="48" applyFont="1" applyFill="1" applyBorder="1">
      <alignment/>
      <protection/>
    </xf>
    <xf numFmtId="0" fontId="4" fillId="0" borderId="35" xfId="48" applyFont="1" applyFill="1" applyBorder="1">
      <alignment/>
      <protection/>
    </xf>
    <xf numFmtId="0" fontId="5" fillId="0" borderId="27" xfId="48" applyFont="1" applyFill="1" applyBorder="1" applyAlignment="1">
      <alignment horizontal="center" wrapText="1"/>
      <protection/>
    </xf>
    <xf numFmtId="3" fontId="5" fillId="0" borderId="29" xfId="48" applyNumberFormat="1" applyFont="1" applyFill="1" applyBorder="1" applyAlignment="1">
      <alignment horizontal="center"/>
      <protection/>
    </xf>
    <xf numFmtId="14" fontId="4" fillId="21" borderId="36" xfId="48" applyNumberFormat="1" applyFont="1" applyFill="1" applyBorder="1" applyAlignment="1">
      <alignment horizontal="center"/>
      <protection/>
    </xf>
    <xf numFmtId="3" fontId="5" fillId="21" borderId="22" xfId="48" applyNumberFormat="1" applyFont="1" applyFill="1" applyBorder="1">
      <alignment/>
      <protection/>
    </xf>
    <xf numFmtId="3" fontId="4" fillId="0" borderId="15" xfId="48" applyNumberFormat="1" applyFont="1" applyFill="1" applyBorder="1" applyAlignment="1">
      <alignment horizontal="center"/>
      <protection/>
    </xf>
    <xf numFmtId="0" fontId="4" fillId="0" borderId="0" xfId="0" applyFont="1" applyAlignment="1">
      <alignment horizontal="center"/>
    </xf>
    <xf numFmtId="0" fontId="4" fillId="0" borderId="0" xfId="0" applyFont="1" applyAlignment="1">
      <alignment horizontal="right"/>
    </xf>
    <xf numFmtId="4" fontId="4" fillId="21" borderId="15" xfId="48" applyNumberFormat="1" applyFont="1" applyFill="1" applyBorder="1" applyAlignment="1">
      <alignment horizontal="left"/>
      <protection/>
    </xf>
    <xf numFmtId="3" fontId="4" fillId="0" borderId="0" xfId="0" applyNumberFormat="1" applyFont="1" applyAlignment="1">
      <alignment/>
    </xf>
    <xf numFmtId="4" fontId="4" fillId="21" borderId="13" xfId="48" applyNumberFormat="1" applyFont="1" applyFill="1" applyBorder="1" applyAlignment="1">
      <alignment horizontal="left"/>
      <protection/>
    </xf>
    <xf numFmtId="171" fontId="4" fillId="0" borderId="15" xfId="57" applyNumberFormat="1" applyFont="1" applyFill="1" applyBorder="1" applyAlignment="1">
      <alignment horizontal="left"/>
    </xf>
    <xf numFmtId="10" fontId="4" fillId="0" borderId="15" xfId="57" applyNumberFormat="1" applyFont="1" applyFill="1" applyBorder="1" applyAlignment="1">
      <alignment horizontal="left"/>
    </xf>
    <xf numFmtId="3" fontId="4" fillId="0" borderId="13" xfId="48" applyNumberFormat="1" applyFont="1" applyFill="1" applyBorder="1" applyAlignment="1">
      <alignment horizontal="center" wrapText="1"/>
      <protection/>
    </xf>
    <xf numFmtId="3" fontId="4" fillId="0" borderId="13" xfId="48" applyNumberFormat="1" applyFont="1" applyFill="1" applyBorder="1" applyAlignment="1">
      <alignment horizontal="center"/>
      <protection/>
    </xf>
    <xf numFmtId="3" fontId="4" fillId="0" borderId="37" xfId="48" applyNumberFormat="1" applyFont="1" applyFill="1" applyBorder="1" applyAlignment="1">
      <alignment horizontal="center"/>
      <protection/>
    </xf>
    <xf numFmtId="10" fontId="4" fillId="0" borderId="38" xfId="57" applyNumberFormat="1" applyFont="1" applyFill="1" applyBorder="1" applyAlignment="1">
      <alignment horizontal="left"/>
    </xf>
    <xf numFmtId="171" fontId="4" fillId="0" borderId="29" xfId="57" applyNumberFormat="1" applyFont="1" applyFill="1" applyBorder="1" applyAlignment="1">
      <alignment horizontal="left"/>
    </xf>
    <xf numFmtId="0" fontId="21" fillId="0" borderId="13" xfId="0" applyFont="1" applyFill="1" applyBorder="1" applyAlignment="1">
      <alignment horizontal="justify"/>
    </xf>
    <xf numFmtId="176" fontId="6" fillId="0" borderId="13" xfId="45" applyNumberFormat="1" applyFont="1" applyFill="1" applyBorder="1" applyAlignment="1">
      <alignment horizontal="center"/>
    </xf>
    <xf numFmtId="176" fontId="12" fillId="0" borderId="13" xfId="45" applyNumberFormat="1" applyFont="1" applyFill="1" applyBorder="1" applyAlignment="1">
      <alignment horizontal="center"/>
    </xf>
    <xf numFmtId="10" fontId="4" fillId="0" borderId="0" xfId="0" applyNumberFormat="1" applyFont="1" applyAlignment="1" applyProtection="1">
      <alignment/>
      <protection locked="0"/>
    </xf>
    <xf numFmtId="3" fontId="1" fillId="0" borderId="10" xfId="0" applyNumberFormat="1" applyFont="1" applyBorder="1" applyAlignment="1" applyProtection="1">
      <alignment horizontal="center"/>
      <protection locked="0"/>
    </xf>
    <xf numFmtId="3" fontId="1" fillId="0" borderId="0" xfId="0" applyNumberFormat="1" applyFont="1" applyFill="1" applyAlignment="1" applyProtection="1">
      <alignment horizontal="right"/>
      <protection locked="0"/>
    </xf>
    <xf numFmtId="49" fontId="1" fillId="0" borderId="0" xfId="0" applyNumberFormat="1" applyFont="1" applyFill="1" applyAlignment="1" applyProtection="1">
      <alignment horizontal="right"/>
      <protection locked="0"/>
    </xf>
    <xf numFmtId="0" fontId="4" fillId="0" borderId="0" xfId="0" applyFont="1" applyAlignment="1" applyProtection="1">
      <alignment horizontal="center"/>
      <protection locked="0"/>
    </xf>
    <xf numFmtId="213" fontId="12" fillId="0" borderId="13" xfId="45" applyNumberFormat="1" applyFont="1" applyFill="1" applyBorder="1" applyAlignment="1">
      <alignment horizontal="center"/>
    </xf>
    <xf numFmtId="166" fontId="5" fillId="0" borderId="0" xfId="0" applyNumberFormat="1" applyFont="1" applyAlignment="1" applyProtection="1">
      <alignment horizontal="center"/>
      <protection locked="0"/>
    </xf>
    <xf numFmtId="171" fontId="4" fillId="0" borderId="19" xfId="57" applyNumberFormat="1" applyFont="1" applyFill="1" applyBorder="1" applyAlignment="1">
      <alignment/>
    </xf>
    <xf numFmtId="10" fontId="4" fillId="0" borderId="19" xfId="57" applyNumberFormat="1" applyFont="1" applyFill="1" applyBorder="1" applyAlignment="1">
      <alignment/>
    </xf>
    <xf numFmtId="213" fontId="6" fillId="0" borderId="13" xfId="45" applyNumberFormat="1" applyFont="1" applyFill="1" applyBorder="1" applyAlignment="1">
      <alignment horizontal="center"/>
    </xf>
    <xf numFmtId="3" fontId="4" fillId="0" borderId="28" xfId="48" applyNumberFormat="1" applyFont="1" applyFill="1" applyBorder="1">
      <alignment/>
      <protection/>
    </xf>
    <xf numFmtId="3" fontId="4" fillId="0" borderId="15" xfId="48" applyNumberFormat="1" applyFont="1" applyFill="1" applyBorder="1">
      <alignment/>
      <protection/>
    </xf>
    <xf numFmtId="14" fontId="4" fillId="0" borderId="36" xfId="48" applyNumberFormat="1" applyFont="1" applyFill="1" applyBorder="1" applyAlignment="1">
      <alignment horizontal="center"/>
      <protection/>
    </xf>
    <xf numFmtId="3" fontId="4" fillId="0" borderId="39" xfId="48" applyNumberFormat="1" applyFont="1" applyFill="1" applyBorder="1" applyAlignment="1">
      <alignment wrapText="1"/>
      <protection/>
    </xf>
    <xf numFmtId="3" fontId="4" fillId="0" borderId="13" xfId="48" applyNumberFormat="1" applyFont="1" applyFill="1" applyBorder="1" applyAlignment="1">
      <alignment wrapText="1"/>
      <protection/>
    </xf>
    <xf numFmtId="14" fontId="4" fillId="0" borderId="40" xfId="48" applyNumberFormat="1" applyFont="1" applyFill="1" applyBorder="1" applyAlignment="1">
      <alignment horizontal="center" wrapText="1"/>
      <protection/>
    </xf>
    <xf numFmtId="3" fontId="4" fillId="0" borderId="39" xfId="48" applyNumberFormat="1" applyFont="1" applyFill="1" applyBorder="1">
      <alignment/>
      <protection/>
    </xf>
    <xf numFmtId="14" fontId="4" fillId="0" borderId="40" xfId="48" applyNumberFormat="1" applyFont="1" applyFill="1" applyBorder="1" applyAlignment="1">
      <alignment horizontal="center"/>
      <protection/>
    </xf>
    <xf numFmtId="3" fontId="4" fillId="0" borderId="41" xfId="48" applyNumberFormat="1" applyFont="1" applyFill="1" applyBorder="1">
      <alignment/>
      <protection/>
    </xf>
    <xf numFmtId="3" fontId="4" fillId="0" borderId="13" xfId="48" applyNumberFormat="1" applyFont="1" applyFill="1" applyBorder="1">
      <alignment/>
      <protection/>
    </xf>
    <xf numFmtId="3" fontId="4" fillId="0" borderId="37" xfId="48" applyNumberFormat="1" applyFont="1" applyFill="1" applyBorder="1">
      <alignment/>
      <protection/>
    </xf>
    <xf numFmtId="14" fontId="4" fillId="0" borderId="26" xfId="48" applyNumberFormat="1" applyFont="1" applyFill="1" applyBorder="1" applyAlignment="1">
      <alignment vertical="center" wrapText="1"/>
      <protection/>
    </xf>
    <xf numFmtId="3" fontId="1" fillId="0" borderId="28" xfId="0" applyNumberFormat="1" applyFont="1" applyBorder="1" applyAlignment="1" applyProtection="1">
      <alignment/>
      <protection locked="0"/>
    </xf>
    <xf numFmtId="0" fontId="5" fillId="33" borderId="42" xfId="48" applyFont="1" applyFill="1" applyBorder="1" applyAlignment="1">
      <alignment horizontal="center" vertical="justify"/>
      <protection/>
    </xf>
    <xf numFmtId="0" fontId="5" fillId="33" borderId="43" xfId="48" applyFont="1" applyFill="1" applyBorder="1" applyAlignment="1">
      <alignment horizontal="center" vertical="justify"/>
      <protection/>
    </xf>
    <xf numFmtId="0" fontId="4" fillId="0" borderId="33" xfId="48" applyFont="1" applyFill="1" applyBorder="1" applyAlignment="1">
      <alignment/>
      <protection/>
    </xf>
  </cellXfs>
  <cellStyles count="50">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Išvestis" xfId="42"/>
    <cellStyle name="Įspėjimo tekstas" xfId="43"/>
    <cellStyle name="Įvestis" xfId="44"/>
    <cellStyle name="Comma" xfId="45"/>
    <cellStyle name="Comma [0]" xfId="46"/>
    <cellStyle name="Neutralus" xfId="47"/>
    <cellStyle name="Normal_Copy of Samata_su_mokejimu_grafiku _2009-06-26" xfId="48"/>
    <cellStyle name="Paryškinimas 1" xfId="49"/>
    <cellStyle name="Paryškinimas 2" xfId="50"/>
    <cellStyle name="Paryškinimas 3" xfId="51"/>
    <cellStyle name="Paryškinimas 4" xfId="52"/>
    <cellStyle name="Paryškinimas 5" xfId="53"/>
    <cellStyle name="Paryškinimas 6" xfId="54"/>
    <cellStyle name="Pastaba" xfId="55"/>
    <cellStyle name="Pavadinimas" xfId="56"/>
    <cellStyle name="Percent" xfId="57"/>
    <cellStyle name="Skaičiavimas" xfId="58"/>
    <cellStyle name="Suma" xfId="59"/>
    <cellStyle name="Susietas langelis" xfId="60"/>
    <cellStyle name="Tikrinimo langelis"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Project IRR</a:t>
            </a:r>
          </a:p>
        </c:rich>
      </c:tx>
      <c:layout>
        <c:manualLayout>
          <c:xMode val="factor"/>
          <c:yMode val="factor"/>
          <c:x val="0"/>
          <c:y val="0.00275"/>
        </c:manualLayout>
      </c:layout>
      <c:spPr>
        <a:noFill/>
        <a:ln>
          <a:noFill/>
        </a:ln>
      </c:spPr>
    </c:title>
    <c:plotArea>
      <c:layout>
        <c:manualLayout>
          <c:xMode val="edge"/>
          <c:yMode val="edge"/>
          <c:x val="0.0325"/>
          <c:y val="0.132"/>
          <c:w val="0.9675"/>
          <c:h val="0.6575"/>
        </c:manualLayout>
      </c:layout>
      <c:lineChart>
        <c:grouping val="standard"/>
        <c:varyColors val="0"/>
        <c:ser>
          <c:idx val="0"/>
          <c:order val="0"/>
          <c:tx>
            <c:strRef>
              <c:f>Sensitivity!$D$21</c:f>
              <c:strCache>
                <c:ptCount val="1"/>
                <c:pt idx="0">
                  <c:v>Energy tariff after 2020</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Sensitivity!$E$5:$I$5</c:f>
              <c:numCache/>
            </c:numRef>
          </c:cat>
          <c:val>
            <c:numRef>
              <c:f>Sensitivity!$E$7:$I$7</c:f>
              <c:numCache/>
            </c:numRef>
          </c:val>
          <c:smooth val="0"/>
        </c:ser>
        <c:ser>
          <c:idx val="1"/>
          <c:order val="1"/>
          <c:tx>
            <c:strRef>
              <c:f>Sensitivity!$D$22</c:f>
              <c:strCache>
                <c:ptCount val="1"/>
                <c:pt idx="0">
                  <c:v>Annual electricity output</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Sensitivity!$E$5:$I$5</c:f>
              <c:numCache/>
            </c:numRef>
          </c:cat>
          <c:val>
            <c:numRef>
              <c:f>Sensitivity!$E$12:$I$12</c:f>
              <c:numCache/>
            </c:numRef>
          </c:val>
          <c:smooth val="0"/>
        </c:ser>
        <c:ser>
          <c:idx val="2"/>
          <c:order val="2"/>
          <c:tx>
            <c:strRef>
              <c:f>Sensitivity!$D$23</c:f>
              <c:strCache>
                <c:ptCount val="1"/>
                <c:pt idx="0">
                  <c:v>ERUs sale price</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numRef>
              <c:f>Sensitivity!$E$5:$I$5</c:f>
              <c:numCache/>
            </c:numRef>
          </c:cat>
          <c:val>
            <c:numRef>
              <c:f>Sensitivity!$E$16:$I$16</c:f>
              <c:numCache/>
            </c:numRef>
          </c:val>
          <c:smooth val="0"/>
        </c:ser>
        <c:ser>
          <c:idx val="3"/>
          <c:order val="3"/>
          <c:tx>
            <c:strRef>
              <c:f>Sensitivity!$D$24</c:f>
              <c:strCache>
                <c:ptCount val="1"/>
                <c:pt idx="0">
                  <c:v>Benchmark</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Sensitivity!$E$5:$I$5</c:f>
              <c:numCache/>
            </c:numRef>
          </c:cat>
          <c:val>
            <c:numRef>
              <c:f>Sensitivity!$E$24:$I$24</c:f>
              <c:numCache/>
            </c:numRef>
          </c:val>
          <c:smooth val="0"/>
        </c:ser>
        <c:marker val="1"/>
        <c:axId val="44980382"/>
        <c:axId val="2170255"/>
      </c:lineChart>
      <c:catAx>
        <c:axId val="44980382"/>
        <c:scaling>
          <c:orientation val="minMax"/>
        </c:scaling>
        <c:axPos val="b"/>
        <c:delete val="0"/>
        <c:numFmt formatCode="General" sourceLinked="1"/>
        <c:majorTickMark val="cross"/>
        <c:minorTickMark val="cross"/>
        <c:tickLblPos val="nextTo"/>
        <c:spPr>
          <a:ln w="3175">
            <a:solidFill>
              <a:srgbClr val="000000"/>
            </a:solidFill>
          </a:ln>
        </c:spPr>
        <c:crossAx val="2170255"/>
        <c:crossesAt val="0"/>
        <c:auto val="1"/>
        <c:lblOffset val="100"/>
        <c:tickLblSkip val="1"/>
        <c:noMultiLvlLbl val="0"/>
      </c:catAx>
      <c:valAx>
        <c:axId val="2170255"/>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4980382"/>
        <c:crossesAt val="1"/>
        <c:crossBetween val="midCat"/>
        <c:dispUnits/>
        <c:majorUnit val="1"/>
      </c:valAx>
      <c:spPr>
        <a:noFill/>
        <a:ln w="12700">
          <a:solidFill>
            <a:srgbClr val="808080"/>
          </a:solidFill>
        </a:ln>
      </c:spPr>
    </c:plotArea>
    <c:legend>
      <c:legendPos val="r"/>
      <c:layout>
        <c:manualLayout>
          <c:xMode val="edge"/>
          <c:yMode val="edge"/>
          <c:x val="0.0145"/>
          <c:y val="0.80825"/>
          <c:w val="0.971"/>
          <c:h val="0.1205"/>
        </c:manualLayout>
      </c:layout>
      <c:overlay val="0"/>
      <c:spPr>
        <a:solidFill>
          <a:srgbClr val="FFFFFF"/>
        </a:solidFill>
        <a:ln w="3175">
          <a:solidFill>
            <a:srgbClr val="000000"/>
          </a:solidFill>
        </a:ln>
      </c:spPr>
      <c:txPr>
        <a:bodyPr vert="horz" rot="0"/>
        <a:lstStyle/>
        <a:p>
          <a:pPr>
            <a:defRPr lang="en-US" cap="none" sz="9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Projekto VGN</a:t>
            </a:r>
          </a:p>
        </c:rich>
      </c:tx>
      <c:layout>
        <c:manualLayout>
          <c:xMode val="factor"/>
          <c:yMode val="factor"/>
          <c:x val="0.00325"/>
          <c:y val="0.00275"/>
        </c:manualLayout>
      </c:layout>
      <c:spPr>
        <a:noFill/>
        <a:ln>
          <a:noFill/>
        </a:ln>
      </c:spPr>
    </c:title>
    <c:plotArea>
      <c:layout>
        <c:manualLayout>
          <c:xMode val="edge"/>
          <c:yMode val="edge"/>
          <c:x val="0.01675"/>
          <c:y val="0.14475"/>
          <c:w val="0.98325"/>
          <c:h val="0.7145"/>
        </c:manualLayout>
      </c:layout>
      <c:lineChart>
        <c:grouping val="standard"/>
        <c:varyColors val="0"/>
        <c:ser>
          <c:idx val="0"/>
          <c:order val="0"/>
          <c:tx>
            <c:strRef>
              <c:f>Sensitivity!$J$21</c:f>
              <c:strCache>
                <c:ptCount val="1"/>
                <c:pt idx="0">
                  <c:v>Bendrų investicijų dydis</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Sensitivity!$E$5:$I$5</c:f>
              <c:numCache/>
            </c:numRef>
          </c:cat>
          <c:val>
            <c:numRef>
              <c:f>Sensitivity!$E$7:$I$7</c:f>
              <c:numCache/>
            </c:numRef>
          </c:val>
          <c:smooth val="0"/>
        </c:ser>
        <c:ser>
          <c:idx val="1"/>
          <c:order val="1"/>
          <c:tx>
            <c:strRef>
              <c:f>Sensitivity!$J$22</c:f>
              <c:strCache>
                <c:ptCount val="1"/>
                <c:pt idx="0">
                  <c:v>Energijos gamyba</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Sensitivity!$E$5:$I$5</c:f>
              <c:numCache/>
            </c:numRef>
          </c:cat>
          <c:val>
            <c:numRef>
              <c:f>Sensitivity!$E$12:$I$12</c:f>
              <c:numCache/>
            </c:numRef>
          </c:val>
          <c:smooth val="0"/>
        </c:ser>
        <c:ser>
          <c:idx val="2"/>
          <c:order val="2"/>
          <c:tx>
            <c:strRef>
              <c:f>Sensitivity!$J$23</c:f>
              <c:strCache>
                <c:ptCount val="1"/>
                <c:pt idx="0">
                  <c:v>TMV pardavimo kaina</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numRef>
              <c:f>Sensitivity!$E$5:$I$5</c:f>
              <c:numCache/>
            </c:numRef>
          </c:cat>
          <c:val>
            <c:numRef>
              <c:f>Sensitivity!$E$16:$I$16</c:f>
              <c:numCache/>
            </c:numRef>
          </c:val>
          <c:smooth val="0"/>
        </c:ser>
        <c:ser>
          <c:idx val="3"/>
          <c:order val="3"/>
          <c:tx>
            <c:strRef>
              <c:f>Sensitivity!$J$24</c:f>
              <c:strCache>
                <c:ptCount val="1"/>
                <c:pt idx="0">
                  <c:v>Etaloninė vertė</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Sensitivity!$E$5:$I$5</c:f>
              <c:numCache/>
            </c:numRef>
          </c:cat>
          <c:val>
            <c:numRef>
              <c:f>Sensitivity!$E$24:$I$24</c:f>
              <c:numCache/>
            </c:numRef>
          </c:val>
          <c:smooth val="0"/>
        </c:ser>
        <c:marker val="1"/>
        <c:axId val="19532296"/>
        <c:axId val="41572937"/>
      </c:lineChart>
      <c:catAx>
        <c:axId val="19532296"/>
        <c:scaling>
          <c:orientation val="minMax"/>
        </c:scaling>
        <c:axPos val="b"/>
        <c:delete val="0"/>
        <c:numFmt formatCode="General" sourceLinked="1"/>
        <c:majorTickMark val="cross"/>
        <c:minorTickMark val="cross"/>
        <c:tickLblPos val="nextTo"/>
        <c:spPr>
          <a:ln w="3175">
            <a:solidFill>
              <a:srgbClr val="000000"/>
            </a:solidFill>
          </a:ln>
        </c:spPr>
        <c:crossAx val="41572937"/>
        <c:crossesAt val="0"/>
        <c:auto val="1"/>
        <c:lblOffset val="100"/>
        <c:tickLblSkip val="1"/>
        <c:noMultiLvlLbl val="0"/>
      </c:catAx>
      <c:valAx>
        <c:axId val="41572937"/>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9532296"/>
        <c:crossesAt val="1"/>
        <c:crossBetween val="midCat"/>
        <c:dispUnits/>
        <c:majorUnit val="1"/>
      </c:valAx>
      <c:spPr>
        <a:noFill/>
        <a:ln w="12700">
          <a:solidFill>
            <a:srgbClr val="808080"/>
          </a:solidFill>
        </a:ln>
      </c:spPr>
    </c:plotArea>
    <c:legend>
      <c:legendPos val="r"/>
      <c:layout>
        <c:manualLayout>
          <c:xMode val="edge"/>
          <c:yMode val="edge"/>
          <c:x val="0.0015"/>
          <c:y val="0.88575"/>
          <c:w val="0.965"/>
          <c:h val="0.0745"/>
        </c:manualLayout>
      </c:layout>
      <c:overlay val="0"/>
      <c:spPr>
        <a:solidFill>
          <a:srgbClr val="FFFFFF"/>
        </a:solidFill>
        <a:ln w="3175">
          <a:solidFill>
            <a:srgbClr val="000000"/>
          </a:solidFill>
        </a:ln>
      </c:spPr>
      <c:txPr>
        <a:bodyPr vert="horz" rot="0"/>
        <a:lstStyle/>
        <a:p>
          <a:pPr>
            <a:defRPr lang="en-US" cap="none" sz="9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25</xdr:row>
      <xdr:rowOff>142875</xdr:rowOff>
    </xdr:from>
    <xdr:to>
      <xdr:col>8</xdr:col>
      <xdr:colOff>666750</xdr:colOff>
      <xdr:row>47</xdr:row>
      <xdr:rowOff>142875</xdr:rowOff>
    </xdr:to>
    <xdr:graphicFrame>
      <xdr:nvGraphicFramePr>
        <xdr:cNvPr id="1" name="Chart 2"/>
        <xdr:cNvGraphicFramePr/>
      </xdr:nvGraphicFramePr>
      <xdr:xfrm>
        <a:off x="1819275" y="4705350"/>
        <a:ext cx="5343525" cy="3562350"/>
      </xdr:xfrm>
      <a:graphic>
        <a:graphicData uri="http://schemas.openxmlformats.org/drawingml/2006/chart">
          <c:chart xmlns:c="http://schemas.openxmlformats.org/drawingml/2006/chart" r:id="rId1"/>
        </a:graphicData>
      </a:graphic>
    </xdr:graphicFrame>
    <xdr:clientData/>
  </xdr:twoCellAnchor>
  <xdr:twoCellAnchor>
    <xdr:from>
      <xdr:col>9</xdr:col>
      <xdr:colOff>419100</xdr:colOff>
      <xdr:row>26</xdr:row>
      <xdr:rowOff>0</xdr:rowOff>
    </xdr:from>
    <xdr:to>
      <xdr:col>19</xdr:col>
      <xdr:colOff>409575</xdr:colOff>
      <xdr:row>48</xdr:row>
      <xdr:rowOff>104775</xdr:rowOff>
    </xdr:to>
    <xdr:graphicFrame>
      <xdr:nvGraphicFramePr>
        <xdr:cNvPr id="2" name="Chart 3"/>
        <xdr:cNvGraphicFramePr/>
      </xdr:nvGraphicFramePr>
      <xdr:xfrm>
        <a:off x="7658100" y="4724400"/>
        <a:ext cx="6086475" cy="36671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6"/>
  <sheetViews>
    <sheetView tabSelected="1" zoomScalePageLayoutView="0" workbookViewId="0" topLeftCell="A1">
      <selection activeCell="D24" sqref="D24"/>
    </sheetView>
  </sheetViews>
  <sheetFormatPr defaultColWidth="9.140625" defaultRowHeight="12.75"/>
  <cols>
    <col min="1" max="1" width="40.00390625" style="145" customWidth="1"/>
    <col min="2" max="2" width="14.00390625" style="145" customWidth="1"/>
    <col min="3" max="3" width="11.28125" style="145" customWidth="1"/>
    <col min="4" max="4" width="25.28125" style="145" customWidth="1"/>
    <col min="5" max="5" width="21.57421875" style="145" customWidth="1"/>
    <col min="6" max="6" width="17.140625" style="145" customWidth="1"/>
    <col min="7" max="16384" width="9.140625" style="145" customWidth="1"/>
  </cols>
  <sheetData>
    <row r="1" spans="1:3" ht="12.75">
      <c r="A1" s="163" t="s">
        <v>92</v>
      </c>
      <c r="B1" s="162">
        <v>3.4528</v>
      </c>
      <c r="C1" s="145" t="s">
        <v>93</v>
      </c>
    </row>
    <row r="2" ht="13.5" thickBot="1"/>
    <row r="3" spans="1:6" ht="26.25" customHeight="1">
      <c r="A3" s="152"/>
      <c r="B3" s="200" t="s">
        <v>86</v>
      </c>
      <c r="C3" s="201"/>
      <c r="D3" s="150" t="s">
        <v>87</v>
      </c>
      <c r="E3" s="150" t="s">
        <v>88</v>
      </c>
      <c r="F3" s="151" t="s">
        <v>89</v>
      </c>
    </row>
    <row r="4" spans="1:6" ht="12.75">
      <c r="A4" s="153" t="s">
        <v>90</v>
      </c>
      <c r="B4" s="164"/>
      <c r="C4" s="166"/>
      <c r="D4" s="147"/>
      <c r="E4" s="146"/>
      <c r="F4" s="159"/>
    </row>
    <row r="5" spans="1:6" ht="12.75">
      <c r="A5" s="202" t="s">
        <v>91</v>
      </c>
      <c r="B5" s="161">
        <v>29348800</v>
      </c>
      <c r="C5" s="168">
        <f>B5/$B$12</f>
        <v>0.8693673945756366</v>
      </c>
      <c r="D5" s="187" t="s">
        <v>99</v>
      </c>
      <c r="E5" s="188" t="s">
        <v>100</v>
      </c>
      <c r="F5" s="189">
        <v>40598</v>
      </c>
    </row>
    <row r="6" spans="1:6" ht="38.25">
      <c r="A6" s="154" t="s">
        <v>126</v>
      </c>
      <c r="B6" s="169">
        <v>463000</v>
      </c>
      <c r="C6" s="168">
        <f aca="true" t="shared" si="0" ref="C6:C12">B6/$B$12</f>
        <v>0.013714942474258564</v>
      </c>
      <c r="D6" s="190" t="s">
        <v>103</v>
      </c>
      <c r="E6" s="191" t="s">
        <v>104</v>
      </c>
      <c r="F6" s="192"/>
    </row>
    <row r="7" spans="1:6" ht="12.75">
      <c r="A7" s="155" t="s">
        <v>127</v>
      </c>
      <c r="B7" s="170">
        <v>885000</v>
      </c>
      <c r="C7" s="168">
        <f t="shared" si="0"/>
        <v>0.02621538680284844</v>
      </c>
      <c r="D7" s="193" t="s">
        <v>110</v>
      </c>
      <c r="E7" s="191" t="s">
        <v>100</v>
      </c>
      <c r="F7" s="194">
        <v>40683</v>
      </c>
    </row>
    <row r="8" spans="1:6" ht="12.75">
      <c r="A8" s="155" t="s">
        <v>128</v>
      </c>
      <c r="B8" s="170">
        <v>1700000</v>
      </c>
      <c r="C8" s="168">
        <f t="shared" si="0"/>
        <v>0.050357240186262545</v>
      </c>
      <c r="D8" s="187" t="s">
        <v>111</v>
      </c>
      <c r="E8" s="191" t="s">
        <v>100</v>
      </c>
      <c r="F8" s="194">
        <v>40711</v>
      </c>
    </row>
    <row r="9" spans="1:6" ht="12.75" customHeight="1">
      <c r="A9" s="155" t="s">
        <v>129</v>
      </c>
      <c r="B9" s="170">
        <v>685000</v>
      </c>
      <c r="C9" s="167">
        <f t="shared" si="0"/>
        <v>0.020291005604464615</v>
      </c>
      <c r="D9" s="193" t="s">
        <v>101</v>
      </c>
      <c r="E9" s="191" t="s">
        <v>100</v>
      </c>
      <c r="F9" s="194">
        <v>40723</v>
      </c>
    </row>
    <row r="10" spans="1:6" ht="12.75">
      <c r="A10" s="156" t="s">
        <v>130</v>
      </c>
      <c r="B10" s="171">
        <v>477000</v>
      </c>
      <c r="C10" s="168">
        <f t="shared" si="0"/>
        <v>0.014129649158145432</v>
      </c>
      <c r="D10" s="195" t="s">
        <v>102</v>
      </c>
      <c r="E10" s="196"/>
      <c r="F10" s="194" t="s">
        <v>119</v>
      </c>
    </row>
    <row r="11" spans="1:6" ht="13.5" thickBot="1">
      <c r="A11" s="156" t="s">
        <v>131</v>
      </c>
      <c r="B11" s="171">
        <v>200000</v>
      </c>
      <c r="C11" s="172">
        <f t="shared" si="0"/>
        <v>0.005924381198383829</v>
      </c>
      <c r="D11" s="195"/>
      <c r="E11" s="197"/>
      <c r="F11" s="198"/>
    </row>
    <row r="12" spans="1:6" ht="13.5" thickBot="1">
      <c r="A12" s="157" t="s">
        <v>132</v>
      </c>
      <c r="B12" s="158">
        <f>SUM(B4:B11)</f>
        <v>33758800</v>
      </c>
      <c r="C12" s="173">
        <f t="shared" si="0"/>
        <v>1</v>
      </c>
      <c r="D12" s="148"/>
      <c r="E12" s="149"/>
      <c r="F12" s="160"/>
    </row>
    <row r="15" spans="2:3" ht="12.75">
      <c r="B15" s="165"/>
      <c r="C15" s="165"/>
    </row>
    <row r="16" ht="12.75">
      <c r="B16" s="165"/>
    </row>
  </sheetData>
  <sheetProtection/>
  <mergeCells count="1">
    <mergeCell ref="B3:C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C69"/>
  <sheetViews>
    <sheetView zoomScalePageLayoutView="0" workbookViewId="0" topLeftCell="A37">
      <pane xSplit="1" topLeftCell="B1" activePane="topRight" state="frozen"/>
      <selection pane="topLeft" activeCell="A40" sqref="A40"/>
      <selection pane="topRight" activeCell="F22" sqref="F22"/>
    </sheetView>
  </sheetViews>
  <sheetFormatPr defaultColWidth="9.140625" defaultRowHeight="12.75"/>
  <cols>
    <col min="1" max="1" width="34.421875" style="14" customWidth="1"/>
    <col min="2" max="3" width="11.421875" style="14" customWidth="1"/>
    <col min="4" max="4" width="11.7109375" style="14" customWidth="1"/>
    <col min="5" max="6" width="12.421875" style="14" customWidth="1"/>
    <col min="7" max="7" width="12.57421875" style="14" customWidth="1"/>
    <col min="8" max="8" width="13.421875" style="14" customWidth="1"/>
    <col min="9" max="9" width="12.28125" style="14" customWidth="1"/>
    <col min="10" max="10" width="12.421875" style="14" customWidth="1"/>
    <col min="11" max="11" width="12.7109375" style="14" customWidth="1"/>
    <col min="12" max="12" width="13.57421875" style="14" customWidth="1"/>
    <col min="13" max="13" width="12.7109375" style="14" customWidth="1"/>
    <col min="14" max="14" width="14.00390625" style="14" customWidth="1"/>
    <col min="15" max="15" width="12.28125" style="14" customWidth="1"/>
    <col min="16" max="16" width="13.28125" style="14" customWidth="1"/>
    <col min="17" max="19" width="12.57421875" style="14" customWidth="1"/>
    <col min="20" max="20" width="12.8515625" style="14" customWidth="1"/>
    <col min="21" max="21" width="12.28125" style="14" customWidth="1"/>
    <col min="22" max="22" width="12.421875" style="14" customWidth="1"/>
    <col min="23" max="23" width="13.8515625" style="14" customWidth="1"/>
    <col min="24" max="16384" width="9.140625" style="14" customWidth="1"/>
  </cols>
  <sheetData>
    <row r="1" ht="12.75">
      <c r="C1" s="78"/>
    </row>
    <row r="2" spans="1:8" ht="12.75">
      <c r="A2" s="1" t="s">
        <v>18</v>
      </c>
      <c r="B2" s="13">
        <v>3</v>
      </c>
      <c r="C2" s="14" t="s">
        <v>54</v>
      </c>
      <c r="E2" s="1"/>
      <c r="H2" s="79"/>
    </row>
    <row r="3" spans="1:8" ht="12.75">
      <c r="A3" s="1" t="s">
        <v>19</v>
      </c>
      <c r="B3" s="13">
        <v>2000</v>
      </c>
      <c r="C3" s="14" t="s">
        <v>0</v>
      </c>
      <c r="F3" s="1"/>
      <c r="H3" s="79"/>
    </row>
    <row r="4" spans="1:8" ht="12.75">
      <c r="A4" s="1" t="s">
        <v>106</v>
      </c>
      <c r="B4" s="183">
        <v>0.3</v>
      </c>
      <c r="C4" s="14" t="s">
        <v>1</v>
      </c>
      <c r="H4" s="1"/>
    </row>
    <row r="5" spans="1:8" ht="12.75">
      <c r="A5" s="1" t="s">
        <v>107</v>
      </c>
      <c r="B5" s="183">
        <v>0.1454</v>
      </c>
      <c r="C5" s="14" t="s">
        <v>1</v>
      </c>
      <c r="H5" s="1"/>
    </row>
    <row r="6" spans="1:23" ht="12.75">
      <c r="A6" s="1" t="s">
        <v>16</v>
      </c>
      <c r="B6" s="16">
        <f>15857*0.94</f>
        <v>14905.58</v>
      </c>
      <c r="C6" s="14" t="s">
        <v>98</v>
      </c>
      <c r="H6" s="1"/>
      <c r="W6" s="16"/>
    </row>
    <row r="7" spans="1:8" ht="12.75">
      <c r="A7" s="1" t="s">
        <v>17</v>
      </c>
      <c r="B7" s="17">
        <v>8</v>
      </c>
      <c r="C7" s="14" t="s">
        <v>53</v>
      </c>
      <c r="E7" s="140"/>
      <c r="H7" s="1"/>
    </row>
    <row r="8" spans="1:8" ht="12.75">
      <c r="A8" s="1" t="s">
        <v>96</v>
      </c>
      <c r="B8" s="16">
        <v>9331</v>
      </c>
      <c r="C8" s="14" t="s">
        <v>97</v>
      </c>
      <c r="E8" s="140"/>
      <c r="H8" s="1"/>
    </row>
    <row r="9" spans="1:8" ht="12.75">
      <c r="A9" s="1"/>
      <c r="B9" s="80"/>
      <c r="C9" s="17"/>
      <c r="H9" s="1"/>
    </row>
    <row r="10" spans="1:8" ht="12.75">
      <c r="A10" s="1" t="s">
        <v>66</v>
      </c>
      <c r="B10" s="108">
        <f>+Exp!B12</f>
        <v>33758800</v>
      </c>
      <c r="C10" s="14" t="s">
        <v>67</v>
      </c>
      <c r="H10" s="1"/>
    </row>
    <row r="11" spans="1:8" ht="12.75">
      <c r="A11" s="1" t="s">
        <v>109</v>
      </c>
      <c r="B11" s="110">
        <f>+B10-B12</f>
        <v>23358800</v>
      </c>
      <c r="C11" s="14" t="s">
        <v>67</v>
      </c>
      <c r="D11" s="177">
        <f>+B11/B10</f>
        <v>0.6919321776840409</v>
      </c>
      <c r="H11" s="1"/>
    </row>
    <row r="12" spans="1:4" ht="12.75">
      <c r="A12" s="14" t="s">
        <v>68</v>
      </c>
      <c r="B12" s="110">
        <v>10400000</v>
      </c>
      <c r="C12" s="14" t="s">
        <v>67</v>
      </c>
      <c r="D12" s="177">
        <f>+B12/B10</f>
        <v>0.3080678223159591</v>
      </c>
    </row>
    <row r="13" ht="12.75">
      <c r="C13" s="108"/>
    </row>
    <row r="14" spans="3:22" ht="12.75">
      <c r="C14" s="181">
        <v>2012</v>
      </c>
      <c r="D14" s="181">
        <v>2013</v>
      </c>
      <c r="E14" s="181">
        <v>2014</v>
      </c>
      <c r="F14" s="181">
        <v>2015</v>
      </c>
      <c r="G14" s="181">
        <v>2016</v>
      </c>
      <c r="H14" s="181">
        <v>2017</v>
      </c>
      <c r="I14" s="181">
        <v>2018</v>
      </c>
      <c r="J14" s="181">
        <v>2019</v>
      </c>
      <c r="K14" s="181">
        <v>2020</v>
      </c>
      <c r="L14" s="181">
        <v>2021</v>
      </c>
      <c r="M14" s="181">
        <v>2022</v>
      </c>
      <c r="N14" s="181">
        <v>2023</v>
      </c>
      <c r="O14" s="181">
        <v>2024</v>
      </c>
      <c r="P14" s="181">
        <v>2025</v>
      </c>
      <c r="Q14" s="181">
        <v>2026</v>
      </c>
      <c r="R14" s="181">
        <v>2027</v>
      </c>
      <c r="S14" s="181">
        <v>2028</v>
      </c>
      <c r="T14" s="181">
        <v>2029</v>
      </c>
      <c r="U14" s="181">
        <v>2030</v>
      </c>
      <c r="V14" s="181">
        <v>2031</v>
      </c>
    </row>
    <row r="15" spans="1:23" ht="12.75">
      <c r="A15" s="112" t="s">
        <v>32</v>
      </c>
      <c r="B15" s="80" t="s">
        <v>73</v>
      </c>
      <c r="C15" s="80" t="s">
        <v>30</v>
      </c>
      <c r="D15" s="80" t="s">
        <v>31</v>
      </c>
      <c r="E15" s="80" t="s">
        <v>33</v>
      </c>
      <c r="F15" s="80" t="s">
        <v>34</v>
      </c>
      <c r="G15" s="80" t="s">
        <v>35</v>
      </c>
      <c r="H15" s="80" t="s">
        <v>36</v>
      </c>
      <c r="I15" s="80" t="s">
        <v>37</v>
      </c>
      <c r="J15" s="80" t="s">
        <v>38</v>
      </c>
      <c r="K15" s="80" t="s">
        <v>39</v>
      </c>
      <c r="L15" s="80" t="s">
        <v>40</v>
      </c>
      <c r="M15" s="80" t="s">
        <v>41</v>
      </c>
      <c r="N15" s="80" t="s">
        <v>42</v>
      </c>
      <c r="O15" s="80" t="s">
        <v>43</v>
      </c>
      <c r="P15" s="80" t="s">
        <v>44</v>
      </c>
      <c r="Q15" s="80" t="s">
        <v>45</v>
      </c>
      <c r="R15" s="80" t="s">
        <v>46</v>
      </c>
      <c r="S15" s="80" t="s">
        <v>47</v>
      </c>
      <c r="T15" s="80" t="s">
        <v>48</v>
      </c>
      <c r="U15" s="80" t="s">
        <v>49</v>
      </c>
      <c r="V15" s="80" t="s">
        <v>50</v>
      </c>
      <c r="W15" s="15" t="s">
        <v>51</v>
      </c>
    </row>
    <row r="16" spans="1:23" ht="12.75">
      <c r="A16" s="18" t="s">
        <v>23</v>
      </c>
      <c r="B16" s="18"/>
      <c r="C16" s="80"/>
      <c r="D16" s="80"/>
      <c r="E16" s="80"/>
      <c r="F16" s="80"/>
      <c r="G16" s="80"/>
      <c r="H16" s="80"/>
      <c r="I16" s="80"/>
      <c r="J16" s="80"/>
      <c r="K16" s="80"/>
      <c r="L16" s="80"/>
      <c r="M16" s="80"/>
      <c r="N16" s="80"/>
      <c r="O16" s="80"/>
      <c r="P16" s="80"/>
      <c r="Q16" s="80"/>
      <c r="R16" s="80"/>
      <c r="S16" s="80"/>
      <c r="T16" s="80"/>
      <c r="U16" s="80"/>
      <c r="V16" s="80"/>
      <c r="W16" s="15"/>
    </row>
    <row r="17" spans="1:23" ht="12.75">
      <c r="A17" s="104" t="s">
        <v>20</v>
      </c>
      <c r="B17" s="116"/>
      <c r="C17" s="105">
        <f>B6*B4*1000</f>
        <v>4471674</v>
      </c>
      <c r="D17" s="114">
        <f>C17</f>
        <v>4471674</v>
      </c>
      <c r="E17" s="114">
        <f aca="true" t="shared" si="0" ref="E17:V17">D17</f>
        <v>4471674</v>
      </c>
      <c r="F17" s="114">
        <f t="shared" si="0"/>
        <v>4471674</v>
      </c>
      <c r="G17" s="114">
        <f t="shared" si="0"/>
        <v>4471674</v>
      </c>
      <c r="H17" s="114">
        <f t="shared" si="0"/>
        <v>4471674</v>
      </c>
      <c r="I17" s="114">
        <f t="shared" si="0"/>
        <v>4471674</v>
      </c>
      <c r="J17" s="114">
        <f t="shared" si="0"/>
        <v>4471674</v>
      </c>
      <c r="K17" s="114">
        <f t="shared" si="0"/>
        <v>4471674</v>
      </c>
      <c r="L17" s="114">
        <f>+B6*B5*1000</f>
        <v>2167271.332</v>
      </c>
      <c r="M17" s="114">
        <f t="shared" si="0"/>
        <v>2167271.332</v>
      </c>
      <c r="N17" s="114">
        <f t="shared" si="0"/>
        <v>2167271.332</v>
      </c>
      <c r="O17" s="114">
        <f t="shared" si="0"/>
        <v>2167271.332</v>
      </c>
      <c r="P17" s="114">
        <f t="shared" si="0"/>
        <v>2167271.332</v>
      </c>
      <c r="Q17" s="114">
        <f t="shared" si="0"/>
        <v>2167271.332</v>
      </c>
      <c r="R17" s="114">
        <f t="shared" si="0"/>
        <v>2167271.332</v>
      </c>
      <c r="S17" s="114">
        <f t="shared" si="0"/>
        <v>2167271.332</v>
      </c>
      <c r="T17" s="114">
        <f t="shared" si="0"/>
        <v>2167271.332</v>
      </c>
      <c r="U17" s="114">
        <f t="shared" si="0"/>
        <v>2167271.332</v>
      </c>
      <c r="V17" s="114">
        <f t="shared" si="0"/>
        <v>2167271.332</v>
      </c>
      <c r="W17" s="106">
        <f>SUM(C17:V17)</f>
        <v>64085050.652000025</v>
      </c>
    </row>
    <row r="18" spans="1:23" ht="13.5" thickBot="1">
      <c r="A18" s="115" t="s">
        <v>21</v>
      </c>
      <c r="B18" s="117"/>
      <c r="C18" s="178">
        <f>+$B$7*3.4528*B8/4</f>
        <v>64436.1536</v>
      </c>
      <c r="D18" s="8"/>
      <c r="E18" s="8"/>
      <c r="F18" s="9"/>
      <c r="G18" s="9"/>
      <c r="H18" s="9"/>
      <c r="I18" s="9"/>
      <c r="J18" s="9"/>
      <c r="K18" s="9"/>
      <c r="L18" s="9"/>
      <c r="M18" s="9"/>
      <c r="N18" s="9"/>
      <c r="O18" s="9"/>
      <c r="P18" s="9"/>
      <c r="Q18" s="9"/>
      <c r="R18" s="9"/>
      <c r="S18" s="9"/>
      <c r="T18" s="9"/>
      <c r="U18" s="9"/>
      <c r="V18" s="9"/>
      <c r="W18" s="10"/>
    </row>
    <row r="19" spans="1:23" ht="14.25" thickBot="1">
      <c r="A19" s="113" t="s">
        <v>22</v>
      </c>
      <c r="B19" s="118">
        <f>B17+B18</f>
        <v>0</v>
      </c>
      <c r="C19" s="102">
        <f>C17+C18</f>
        <v>4536110.1536</v>
      </c>
      <c r="D19" s="93">
        <f>D17+D18</f>
        <v>4471674</v>
      </c>
      <c r="E19" s="93">
        <f>E17+E18</f>
        <v>4471674</v>
      </c>
      <c r="F19" s="93">
        <f aca="true" t="shared" si="1" ref="F19:L19">F17</f>
        <v>4471674</v>
      </c>
      <c r="G19" s="93">
        <f t="shared" si="1"/>
        <v>4471674</v>
      </c>
      <c r="H19" s="93">
        <f t="shared" si="1"/>
        <v>4471674</v>
      </c>
      <c r="I19" s="93">
        <f t="shared" si="1"/>
        <v>4471674</v>
      </c>
      <c r="J19" s="93">
        <f t="shared" si="1"/>
        <v>4471674</v>
      </c>
      <c r="K19" s="93">
        <f t="shared" si="1"/>
        <v>4471674</v>
      </c>
      <c r="L19" s="93">
        <f t="shared" si="1"/>
        <v>2167271.332</v>
      </c>
      <c r="M19" s="93">
        <f aca="true" t="shared" si="2" ref="M19:V19">M17</f>
        <v>2167271.332</v>
      </c>
      <c r="N19" s="93">
        <f t="shared" si="2"/>
        <v>2167271.332</v>
      </c>
      <c r="O19" s="93">
        <f t="shared" si="2"/>
        <v>2167271.332</v>
      </c>
      <c r="P19" s="93">
        <f t="shared" si="2"/>
        <v>2167271.332</v>
      </c>
      <c r="Q19" s="93">
        <f t="shared" si="2"/>
        <v>2167271.332</v>
      </c>
      <c r="R19" s="93">
        <f t="shared" si="2"/>
        <v>2167271.332</v>
      </c>
      <c r="S19" s="93">
        <f t="shared" si="2"/>
        <v>2167271.332</v>
      </c>
      <c r="T19" s="93">
        <f t="shared" si="2"/>
        <v>2167271.332</v>
      </c>
      <c r="U19" s="93">
        <f t="shared" si="2"/>
        <v>2167271.332</v>
      </c>
      <c r="V19" s="93">
        <f t="shared" si="2"/>
        <v>2167271.332</v>
      </c>
      <c r="W19" s="7">
        <f>SUM(C19:V19)</f>
        <v>64149486.805600025</v>
      </c>
    </row>
    <row r="20" spans="1:23" ht="12.75">
      <c r="A20" s="18" t="s">
        <v>63</v>
      </c>
      <c r="B20" s="18"/>
      <c r="C20" s="78"/>
      <c r="W20" s="4"/>
    </row>
    <row r="21" spans="1:23" ht="12.75">
      <c r="A21" s="1" t="s">
        <v>116</v>
      </c>
      <c r="B21" s="180"/>
      <c r="C21" s="120">
        <f>0*3.4528*$B$6*1000</f>
        <v>0</v>
      </c>
      <c r="D21" s="120">
        <f>0*3.4528*$B$6*1000</f>
        <v>0</v>
      </c>
      <c r="E21" s="2">
        <f>0.012*3.4528*$B$6*1000</f>
        <v>617591.839488</v>
      </c>
      <c r="F21" s="2">
        <f>0.012*3.4528*$B$6*1000</f>
        <v>617591.839488</v>
      </c>
      <c r="G21" s="2">
        <f>0.012*3.4528*$B$6*1000</f>
        <v>617591.839488</v>
      </c>
      <c r="H21" s="2">
        <f>0.012*3.4528*$B$6*1000</f>
        <v>617591.839488</v>
      </c>
      <c r="I21" s="2">
        <f aca="true" t="shared" si="3" ref="I21:V21">0.012*3.4528*$B$6*1000</f>
        <v>617591.839488</v>
      </c>
      <c r="J21" s="2">
        <f t="shared" si="3"/>
        <v>617591.839488</v>
      </c>
      <c r="K21" s="2">
        <f t="shared" si="3"/>
        <v>617591.839488</v>
      </c>
      <c r="L21" s="2">
        <f t="shared" si="3"/>
        <v>617591.839488</v>
      </c>
      <c r="M21" s="2">
        <f t="shared" si="3"/>
        <v>617591.839488</v>
      </c>
      <c r="N21" s="2">
        <f t="shared" si="3"/>
        <v>617591.839488</v>
      </c>
      <c r="O21" s="2">
        <f t="shared" si="3"/>
        <v>617591.839488</v>
      </c>
      <c r="P21" s="2">
        <f t="shared" si="3"/>
        <v>617591.839488</v>
      </c>
      <c r="Q21" s="2">
        <f t="shared" si="3"/>
        <v>617591.839488</v>
      </c>
      <c r="R21" s="2">
        <f t="shared" si="3"/>
        <v>617591.839488</v>
      </c>
      <c r="S21" s="2">
        <f t="shared" si="3"/>
        <v>617591.839488</v>
      </c>
      <c r="T21" s="2">
        <f t="shared" si="3"/>
        <v>617591.839488</v>
      </c>
      <c r="U21" s="2">
        <f t="shared" si="3"/>
        <v>617591.839488</v>
      </c>
      <c r="V21" s="2">
        <f t="shared" si="3"/>
        <v>617591.839488</v>
      </c>
      <c r="W21" s="4">
        <f>SUM(B21:V21)</f>
        <v>11116653.110783998</v>
      </c>
    </row>
    <row r="22" spans="1:23" ht="12.75">
      <c r="A22" s="1" t="s">
        <v>118</v>
      </c>
      <c r="B22" s="179"/>
      <c r="C22" s="179">
        <f>+(Exp!$B$5-C15*Exp!$B$5/20)*0.004</f>
        <v>111525.44</v>
      </c>
      <c r="D22" s="179">
        <f>+(Exp!$B$5-D15*Exp!$B$5/20)*0.004</f>
        <v>105655.68000000001</v>
      </c>
      <c r="E22" s="179">
        <f>+(Exp!$B$5-E15*Exp!$B$5/20)*0.004</f>
        <v>99785.92</v>
      </c>
      <c r="F22" s="179">
        <f>+(Exp!$B$5-F15*Exp!$B$5/20)*0.004</f>
        <v>93916.16</v>
      </c>
      <c r="G22" s="179">
        <f>+(Exp!$B$5-G15*Exp!$B$5/20)*0.004</f>
        <v>88046.40000000001</v>
      </c>
      <c r="H22" s="179">
        <f>+(Exp!$B$5-H15*Exp!$B$5/20)*0.004</f>
        <v>82176.64</v>
      </c>
      <c r="I22" s="179">
        <f>+(Exp!$B$5-I15*Exp!$B$5/20)*0.004</f>
        <v>76306.88</v>
      </c>
      <c r="J22" s="179">
        <f>+(Exp!$B$5-J15*Exp!$B$5/20)*0.004</f>
        <v>70437.12</v>
      </c>
      <c r="K22" s="179">
        <f>+(Exp!$B$5-K15*Exp!$B$5/20)*0.004</f>
        <v>64567.36</v>
      </c>
      <c r="L22" s="179">
        <f>+(Exp!$B$5-L15*Exp!$B$5/20)*0.004</f>
        <v>58697.6</v>
      </c>
      <c r="M22" s="179">
        <f>+(Exp!$B$5-M15*Exp!$B$5/20)*0.004</f>
        <v>52827.840000000004</v>
      </c>
      <c r="N22" s="179">
        <f>+(Exp!$B$5-N15*Exp!$B$5/20)*0.004</f>
        <v>46958.08</v>
      </c>
      <c r="O22" s="179">
        <f>+(Exp!$B$5-O15*Exp!$B$5/20)*0.004</f>
        <v>41088.32</v>
      </c>
      <c r="P22" s="179">
        <f>+(Exp!$B$5-P15*Exp!$B$5/20)*0.004</f>
        <v>35218.56</v>
      </c>
      <c r="Q22" s="179">
        <f>+(Exp!$B$5-Q15*Exp!$B$5/20)*0.004</f>
        <v>29348.8</v>
      </c>
      <c r="R22" s="179">
        <f>+(Exp!$B$5-R15*Exp!$B$5/20)*0.004</f>
        <v>23479.04</v>
      </c>
      <c r="S22" s="179">
        <f>+(Exp!$B$5-S15*Exp!$B$5/20)*0.004</f>
        <v>17609.28</v>
      </c>
      <c r="T22" s="179">
        <f>+(Exp!$B$5-T15*Exp!$B$5/20)*0.004</f>
        <v>11739.52</v>
      </c>
      <c r="U22" s="179">
        <f>+(Exp!$B$5-U15*Exp!$B$5/20)*0.004</f>
        <v>5869.76</v>
      </c>
      <c r="V22" s="179">
        <f>+(Exp!$B$5-V15*Exp!$B$5/20)*0.004</f>
        <v>0</v>
      </c>
      <c r="W22" s="4">
        <f>SUM(B22:V22)</f>
        <v>1115254.4</v>
      </c>
    </row>
    <row r="23" spans="1:23" ht="12.75">
      <c r="A23" s="1" t="s">
        <v>24</v>
      </c>
      <c r="B23" s="179"/>
      <c r="C23" s="179">
        <v>95000</v>
      </c>
      <c r="D23" s="120">
        <f>C23</f>
        <v>95000</v>
      </c>
      <c r="E23" s="120">
        <f aca="true" t="shared" si="4" ref="E23:V23">D23</f>
        <v>95000</v>
      </c>
      <c r="F23" s="120">
        <f t="shared" si="4"/>
        <v>95000</v>
      </c>
      <c r="G23" s="120">
        <f t="shared" si="4"/>
        <v>95000</v>
      </c>
      <c r="H23" s="120">
        <f t="shared" si="4"/>
        <v>95000</v>
      </c>
      <c r="I23" s="120">
        <f t="shared" si="4"/>
        <v>95000</v>
      </c>
      <c r="J23" s="120">
        <f t="shared" si="4"/>
        <v>95000</v>
      </c>
      <c r="K23" s="120">
        <f t="shared" si="4"/>
        <v>95000</v>
      </c>
      <c r="L23" s="120">
        <f t="shared" si="4"/>
        <v>95000</v>
      </c>
      <c r="M23" s="120">
        <f t="shared" si="4"/>
        <v>95000</v>
      </c>
      <c r="N23" s="120">
        <f t="shared" si="4"/>
        <v>95000</v>
      </c>
      <c r="O23" s="120">
        <f t="shared" si="4"/>
        <v>95000</v>
      </c>
      <c r="P23" s="120">
        <f t="shared" si="4"/>
        <v>95000</v>
      </c>
      <c r="Q23" s="120">
        <f t="shared" si="4"/>
        <v>95000</v>
      </c>
      <c r="R23" s="120">
        <f t="shared" si="4"/>
        <v>95000</v>
      </c>
      <c r="S23" s="120">
        <f t="shared" si="4"/>
        <v>95000</v>
      </c>
      <c r="T23" s="120">
        <f t="shared" si="4"/>
        <v>95000</v>
      </c>
      <c r="U23" s="120">
        <f t="shared" si="4"/>
        <v>95000</v>
      </c>
      <c r="V23" s="120">
        <f t="shared" si="4"/>
        <v>95000</v>
      </c>
      <c r="W23" s="4">
        <f>SUM(B23:V23)</f>
        <v>1900000</v>
      </c>
    </row>
    <row r="24" spans="1:23" ht="12.75">
      <c r="A24" s="1" t="s">
        <v>117</v>
      </c>
      <c r="B24" s="179"/>
      <c r="C24" s="179">
        <v>300000</v>
      </c>
      <c r="D24" s="120">
        <f>+C24</f>
        <v>300000</v>
      </c>
      <c r="E24" s="120">
        <f aca="true" t="shared" si="5" ref="E24:V24">+D24</f>
        <v>300000</v>
      </c>
      <c r="F24" s="120">
        <f t="shared" si="5"/>
        <v>300000</v>
      </c>
      <c r="G24" s="120">
        <f t="shared" si="5"/>
        <v>300000</v>
      </c>
      <c r="H24" s="120">
        <f t="shared" si="5"/>
        <v>300000</v>
      </c>
      <c r="I24" s="120">
        <f t="shared" si="5"/>
        <v>300000</v>
      </c>
      <c r="J24" s="120">
        <f t="shared" si="5"/>
        <v>300000</v>
      </c>
      <c r="K24" s="120">
        <f t="shared" si="5"/>
        <v>300000</v>
      </c>
      <c r="L24" s="120">
        <f t="shared" si="5"/>
        <v>300000</v>
      </c>
      <c r="M24" s="120">
        <f t="shared" si="5"/>
        <v>300000</v>
      </c>
      <c r="N24" s="120">
        <f t="shared" si="5"/>
        <v>300000</v>
      </c>
      <c r="O24" s="120">
        <f t="shared" si="5"/>
        <v>300000</v>
      </c>
      <c r="P24" s="120">
        <f t="shared" si="5"/>
        <v>300000</v>
      </c>
      <c r="Q24" s="120">
        <f t="shared" si="5"/>
        <v>300000</v>
      </c>
      <c r="R24" s="120">
        <f t="shared" si="5"/>
        <v>300000</v>
      </c>
      <c r="S24" s="120">
        <f t="shared" si="5"/>
        <v>300000</v>
      </c>
      <c r="T24" s="120">
        <f t="shared" si="5"/>
        <v>300000</v>
      </c>
      <c r="U24" s="120">
        <f t="shared" si="5"/>
        <v>300000</v>
      </c>
      <c r="V24" s="120">
        <f t="shared" si="5"/>
        <v>300000</v>
      </c>
      <c r="W24" s="4">
        <f>SUM(B24:V24)</f>
        <v>6000000</v>
      </c>
    </row>
    <row r="25" spans="1:23" ht="13.5" thickBot="1">
      <c r="A25" s="1" t="s">
        <v>25</v>
      </c>
      <c r="B25" s="112"/>
      <c r="C25" s="121">
        <f>$B$10/20</f>
        <v>1687940</v>
      </c>
      <c r="D25" s="121">
        <f>$B$10/20</f>
        <v>1687940</v>
      </c>
      <c r="E25" s="121">
        <f aca="true" t="shared" si="6" ref="E25:V25">$B$10/20</f>
        <v>1687940</v>
      </c>
      <c r="F25" s="121">
        <f t="shared" si="6"/>
        <v>1687940</v>
      </c>
      <c r="G25" s="121">
        <f t="shared" si="6"/>
        <v>1687940</v>
      </c>
      <c r="H25" s="121">
        <f t="shared" si="6"/>
        <v>1687940</v>
      </c>
      <c r="I25" s="121">
        <f t="shared" si="6"/>
        <v>1687940</v>
      </c>
      <c r="J25" s="121">
        <f t="shared" si="6"/>
        <v>1687940</v>
      </c>
      <c r="K25" s="121">
        <f t="shared" si="6"/>
        <v>1687940</v>
      </c>
      <c r="L25" s="121">
        <f t="shared" si="6"/>
        <v>1687940</v>
      </c>
      <c r="M25" s="121">
        <f t="shared" si="6"/>
        <v>1687940</v>
      </c>
      <c r="N25" s="121">
        <f t="shared" si="6"/>
        <v>1687940</v>
      </c>
      <c r="O25" s="121">
        <f t="shared" si="6"/>
        <v>1687940</v>
      </c>
      <c r="P25" s="121">
        <f t="shared" si="6"/>
        <v>1687940</v>
      </c>
      <c r="Q25" s="121">
        <f t="shared" si="6"/>
        <v>1687940</v>
      </c>
      <c r="R25" s="121">
        <f t="shared" si="6"/>
        <v>1687940</v>
      </c>
      <c r="S25" s="121">
        <f t="shared" si="6"/>
        <v>1687940</v>
      </c>
      <c r="T25" s="121">
        <f t="shared" si="6"/>
        <v>1687940</v>
      </c>
      <c r="U25" s="121">
        <f t="shared" si="6"/>
        <v>1687940</v>
      </c>
      <c r="V25" s="121">
        <f t="shared" si="6"/>
        <v>1687940</v>
      </c>
      <c r="W25" s="4">
        <f>SUM(B25:V25)</f>
        <v>33758800</v>
      </c>
    </row>
    <row r="26" spans="1:23" ht="14.25" thickBot="1">
      <c r="A26" s="12" t="s">
        <v>64</v>
      </c>
      <c r="B26" s="119">
        <f>SUM(B21:B25)</f>
        <v>0</v>
      </c>
      <c r="C26" s="11">
        <f>SUM(C21:C25)</f>
        <v>2194465.44</v>
      </c>
      <c r="D26" s="11">
        <f aca="true" t="shared" si="7" ref="D26:V26">SUM(D21:D25)</f>
        <v>2188595.68</v>
      </c>
      <c r="E26" s="11">
        <f t="shared" si="7"/>
        <v>2800317.759488</v>
      </c>
      <c r="F26" s="11">
        <f t="shared" si="7"/>
        <v>2794447.999488</v>
      </c>
      <c r="G26" s="11">
        <f t="shared" si="7"/>
        <v>2788578.239488</v>
      </c>
      <c r="H26" s="11">
        <f t="shared" si="7"/>
        <v>2782708.4794880003</v>
      </c>
      <c r="I26" s="11">
        <f t="shared" si="7"/>
        <v>2776838.719488</v>
      </c>
      <c r="J26" s="11">
        <f t="shared" si="7"/>
        <v>2770968.959488</v>
      </c>
      <c r="K26" s="11">
        <f t="shared" si="7"/>
        <v>2765099.199488</v>
      </c>
      <c r="L26" s="11">
        <f t="shared" si="7"/>
        <v>2759229.4394880002</v>
      </c>
      <c r="M26" s="11">
        <f t="shared" si="7"/>
        <v>2753359.679488</v>
      </c>
      <c r="N26" s="11">
        <f t="shared" si="7"/>
        <v>2747489.9194879998</v>
      </c>
      <c r="O26" s="11">
        <f t="shared" si="7"/>
        <v>2741620.159488</v>
      </c>
      <c r="P26" s="11">
        <f t="shared" si="7"/>
        <v>2735750.399488</v>
      </c>
      <c r="Q26" s="11">
        <f t="shared" si="7"/>
        <v>2729880.639488</v>
      </c>
      <c r="R26" s="11">
        <f t="shared" si="7"/>
        <v>2724010.879488</v>
      </c>
      <c r="S26" s="11">
        <f t="shared" si="7"/>
        <v>2718141.119488</v>
      </c>
      <c r="T26" s="11">
        <f t="shared" si="7"/>
        <v>2712271.359488</v>
      </c>
      <c r="U26" s="11">
        <f t="shared" si="7"/>
        <v>2706401.599488</v>
      </c>
      <c r="V26" s="11">
        <f t="shared" si="7"/>
        <v>2700531.839488</v>
      </c>
      <c r="W26" s="11">
        <f>SUM(W21:W25)</f>
        <v>53890707.510784</v>
      </c>
    </row>
    <row r="27" spans="1:23" ht="12.75">
      <c r="A27" s="18" t="s">
        <v>62</v>
      </c>
      <c r="B27" s="18"/>
      <c r="C27" s="105"/>
      <c r="D27" s="105"/>
      <c r="E27" s="105"/>
      <c r="F27" s="105"/>
      <c r="G27" s="105"/>
      <c r="H27" s="105"/>
      <c r="I27" s="105"/>
      <c r="J27" s="105"/>
      <c r="K27" s="105"/>
      <c r="L27" s="105"/>
      <c r="M27" s="105"/>
      <c r="N27" s="105"/>
      <c r="O27" s="105"/>
      <c r="P27" s="105"/>
      <c r="Q27" s="105"/>
      <c r="R27" s="105"/>
      <c r="S27" s="105"/>
      <c r="T27" s="105"/>
      <c r="U27" s="105"/>
      <c r="V27" s="105"/>
      <c r="W27" s="106"/>
    </row>
    <row r="28" spans="1:23" ht="12.75">
      <c r="A28" s="1" t="s">
        <v>74</v>
      </c>
      <c r="B28" s="3">
        <f>+B12</f>
        <v>10400000</v>
      </c>
      <c r="C28" s="105"/>
      <c r="D28" s="105"/>
      <c r="E28" s="105"/>
      <c r="F28" s="105"/>
      <c r="G28" s="105"/>
      <c r="H28" s="105"/>
      <c r="I28" s="105"/>
      <c r="J28" s="105"/>
      <c r="K28" s="105"/>
      <c r="L28" s="105"/>
      <c r="M28" s="105"/>
      <c r="N28" s="105"/>
      <c r="O28" s="105"/>
      <c r="P28" s="105"/>
      <c r="Q28" s="105"/>
      <c r="R28" s="105"/>
      <c r="S28" s="105"/>
      <c r="T28" s="105"/>
      <c r="U28" s="105"/>
      <c r="V28" s="105"/>
      <c r="W28" s="106"/>
    </row>
    <row r="29" spans="1:23" ht="12.75">
      <c r="A29" s="1" t="s">
        <v>69</v>
      </c>
      <c r="B29" s="107"/>
      <c r="C29" s="184">
        <v>0.08</v>
      </c>
      <c r="D29" s="184">
        <v>0.08</v>
      </c>
      <c r="E29" s="107">
        <v>0.08</v>
      </c>
      <c r="F29" s="107">
        <v>0.08</v>
      </c>
      <c r="G29" s="107">
        <v>0.08</v>
      </c>
      <c r="H29" s="107">
        <v>0.08</v>
      </c>
      <c r="I29" s="107">
        <v>0.08</v>
      </c>
      <c r="J29" s="107">
        <v>0.08</v>
      </c>
      <c r="K29" s="107">
        <v>0.08</v>
      </c>
      <c r="L29" s="107">
        <v>0.08</v>
      </c>
      <c r="M29" s="107">
        <v>0.08</v>
      </c>
      <c r="N29" s="107">
        <v>0.08</v>
      </c>
      <c r="O29" s="107">
        <v>0.08</v>
      </c>
      <c r="P29" s="107"/>
      <c r="Q29" s="107"/>
      <c r="R29" s="107"/>
      <c r="S29" s="111"/>
      <c r="T29" s="111"/>
      <c r="U29" s="111"/>
      <c r="V29" s="111"/>
      <c r="W29" s="106"/>
    </row>
    <row r="30" spans="1:23" ht="12.75">
      <c r="A30" s="1" t="s">
        <v>52</v>
      </c>
      <c r="B30" s="127"/>
      <c r="C30" s="111">
        <f>+C29*B11</f>
        <v>1868704</v>
      </c>
      <c r="D30" s="111">
        <f aca="true" t="shared" si="8" ref="D30:O30">+D29*$B$11</f>
        <v>1868704</v>
      </c>
      <c r="E30" s="111">
        <f t="shared" si="8"/>
        <v>1868704</v>
      </c>
      <c r="F30" s="111">
        <f t="shared" si="8"/>
        <v>1868704</v>
      </c>
      <c r="G30" s="111">
        <f t="shared" si="8"/>
        <v>1868704</v>
      </c>
      <c r="H30" s="111">
        <f t="shared" si="8"/>
        <v>1868704</v>
      </c>
      <c r="I30" s="111">
        <f t="shared" si="8"/>
        <v>1868704</v>
      </c>
      <c r="J30" s="111">
        <f t="shared" si="8"/>
        <v>1868704</v>
      </c>
      <c r="K30" s="111">
        <f t="shared" si="8"/>
        <v>1868704</v>
      </c>
      <c r="L30" s="111">
        <f t="shared" si="8"/>
        <v>1868704</v>
      </c>
      <c r="M30" s="111">
        <f t="shared" si="8"/>
        <v>1868704</v>
      </c>
      <c r="N30" s="111">
        <f t="shared" si="8"/>
        <v>1868704</v>
      </c>
      <c r="O30" s="111">
        <f t="shared" si="8"/>
        <v>1868704</v>
      </c>
      <c r="P30" s="109"/>
      <c r="Q30" s="109"/>
      <c r="R30" s="109"/>
      <c r="S30" s="111"/>
      <c r="T30" s="111"/>
      <c r="U30" s="111"/>
      <c r="V30" s="111"/>
      <c r="W30" s="106"/>
    </row>
    <row r="31" spans="1:23" ht="12.75">
      <c r="A31" s="1" t="s">
        <v>61</v>
      </c>
      <c r="B31" s="3">
        <f>+B11</f>
        <v>23358800</v>
      </c>
      <c r="C31" s="111">
        <f>B11-(C29*B11)</f>
        <v>21490096</v>
      </c>
      <c r="D31" s="111">
        <f>+C31-D30</f>
        <v>19621392</v>
      </c>
      <c r="E31" s="111">
        <f aca="true" t="shared" si="9" ref="E31:M31">+D31-E30</f>
        <v>17752688</v>
      </c>
      <c r="F31" s="111">
        <f t="shared" si="9"/>
        <v>15883984</v>
      </c>
      <c r="G31" s="111">
        <f t="shared" si="9"/>
        <v>14015280</v>
      </c>
      <c r="H31" s="111">
        <f t="shared" si="9"/>
        <v>12146576</v>
      </c>
      <c r="I31" s="111">
        <f t="shared" si="9"/>
        <v>10277872</v>
      </c>
      <c r="J31" s="111">
        <f t="shared" si="9"/>
        <v>8409168</v>
      </c>
      <c r="K31" s="111">
        <f t="shared" si="9"/>
        <v>6540464</v>
      </c>
      <c r="L31" s="111">
        <f t="shared" si="9"/>
        <v>4671760</v>
      </c>
      <c r="M31" s="111">
        <f t="shared" si="9"/>
        <v>2803056</v>
      </c>
      <c r="N31" s="111">
        <f>+M31-N30</f>
        <v>934352</v>
      </c>
      <c r="O31" s="111">
        <f>+N31-O30</f>
        <v>-934352</v>
      </c>
      <c r="P31" s="111"/>
      <c r="Q31" s="111"/>
      <c r="R31" s="111"/>
      <c r="S31" s="111"/>
      <c r="T31" s="111"/>
      <c r="U31" s="111"/>
      <c r="V31" s="111"/>
      <c r="W31" s="106"/>
    </row>
    <row r="32" spans="1:23" ht="12.75">
      <c r="A32" s="1" t="s">
        <v>70</v>
      </c>
      <c r="B32" s="185"/>
      <c r="C32" s="185">
        <v>0.075</v>
      </c>
      <c r="D32" s="185">
        <v>0.075</v>
      </c>
      <c r="E32" s="185">
        <v>0.075</v>
      </c>
      <c r="F32" s="185">
        <v>0.075</v>
      </c>
      <c r="G32" s="185">
        <v>0.075</v>
      </c>
      <c r="H32" s="185">
        <v>0.075</v>
      </c>
      <c r="I32" s="185">
        <v>0.075</v>
      </c>
      <c r="J32" s="185">
        <v>0.075</v>
      </c>
      <c r="K32" s="185">
        <v>0.075</v>
      </c>
      <c r="L32" s="185">
        <v>0.075</v>
      </c>
      <c r="M32" s="185">
        <v>0.075</v>
      </c>
      <c r="N32" s="185">
        <v>0.075</v>
      </c>
      <c r="O32" s="185">
        <v>0.075</v>
      </c>
      <c r="P32" s="109"/>
      <c r="Q32" s="109"/>
      <c r="R32" s="109"/>
      <c r="S32" s="105"/>
      <c r="T32" s="105"/>
      <c r="U32" s="105"/>
      <c r="V32" s="105"/>
      <c r="W32" s="106"/>
    </row>
    <row r="33" spans="1:23" ht="13.5" thickBot="1">
      <c r="A33" s="1" t="s">
        <v>71</v>
      </c>
      <c r="B33" s="111"/>
      <c r="C33" s="111">
        <f>+C32*B31</f>
        <v>1751910</v>
      </c>
      <c r="D33" s="111">
        <f>+D32*C31</f>
        <v>1611757.2</v>
      </c>
      <c r="E33" s="111">
        <f>+E32*D31</f>
        <v>1471604.4</v>
      </c>
      <c r="F33" s="111">
        <f aca="true" t="shared" si="10" ref="F33:N33">+F32*E31</f>
        <v>1331451.5999999999</v>
      </c>
      <c r="G33" s="111">
        <f>+G32*F31</f>
        <v>1191298.8</v>
      </c>
      <c r="H33" s="111">
        <f t="shared" si="10"/>
        <v>1051146</v>
      </c>
      <c r="I33" s="111">
        <f t="shared" si="10"/>
        <v>910993.2</v>
      </c>
      <c r="J33" s="111">
        <f t="shared" si="10"/>
        <v>770840.4</v>
      </c>
      <c r="K33" s="111">
        <f t="shared" si="10"/>
        <v>630687.6</v>
      </c>
      <c r="L33" s="111">
        <f t="shared" si="10"/>
        <v>490534.8</v>
      </c>
      <c r="M33" s="111">
        <f t="shared" si="10"/>
        <v>350382</v>
      </c>
      <c r="N33" s="111">
        <f t="shared" si="10"/>
        <v>210229.19999999998</v>
      </c>
      <c r="O33" s="111">
        <f>+O32*N31</f>
        <v>70076.4</v>
      </c>
      <c r="P33" s="111"/>
      <c r="Q33" s="111"/>
      <c r="R33" s="109"/>
      <c r="S33" s="8"/>
      <c r="T33" s="8"/>
      <c r="U33" s="8"/>
      <c r="V33" s="8"/>
      <c r="W33" s="106">
        <f>SUM(B33:V33)</f>
        <v>11842911.6</v>
      </c>
    </row>
    <row r="34" spans="1:23" ht="14.25" thickBot="1">
      <c r="A34" s="12" t="s">
        <v>65</v>
      </c>
      <c r="B34" s="11">
        <f>B30+B33</f>
        <v>0</v>
      </c>
      <c r="C34" s="11">
        <f>C30+C33</f>
        <v>3620614</v>
      </c>
      <c r="D34" s="11">
        <f aca="true" t="shared" si="11" ref="D34:V34">D30+D33</f>
        <v>3480461.2</v>
      </c>
      <c r="E34" s="11">
        <f t="shared" si="11"/>
        <v>3340308.4</v>
      </c>
      <c r="F34" s="11">
        <f t="shared" si="11"/>
        <v>3200155.5999999996</v>
      </c>
      <c r="G34" s="11">
        <f t="shared" si="11"/>
        <v>3060002.8</v>
      </c>
      <c r="H34" s="11">
        <f t="shared" si="11"/>
        <v>2919850</v>
      </c>
      <c r="I34" s="11">
        <f t="shared" si="11"/>
        <v>2779697.2</v>
      </c>
      <c r="J34" s="11">
        <f t="shared" si="11"/>
        <v>2639544.4</v>
      </c>
      <c r="K34" s="11">
        <f t="shared" si="11"/>
        <v>2499391.6</v>
      </c>
      <c r="L34" s="11">
        <f t="shared" si="11"/>
        <v>2359238.8</v>
      </c>
      <c r="M34" s="11">
        <f t="shared" si="11"/>
        <v>2219086</v>
      </c>
      <c r="N34" s="11">
        <f t="shared" si="11"/>
        <v>2078933.2</v>
      </c>
      <c r="O34" s="11">
        <f t="shared" si="11"/>
        <v>1938780.4</v>
      </c>
      <c r="P34" s="11">
        <f t="shared" si="11"/>
        <v>0</v>
      </c>
      <c r="Q34" s="11">
        <f t="shared" si="11"/>
        <v>0</v>
      </c>
      <c r="R34" s="11">
        <f t="shared" si="11"/>
        <v>0</v>
      </c>
      <c r="S34" s="11">
        <f t="shared" si="11"/>
        <v>0</v>
      </c>
      <c r="T34" s="11">
        <f t="shared" si="11"/>
        <v>0</v>
      </c>
      <c r="U34" s="11">
        <f t="shared" si="11"/>
        <v>0</v>
      </c>
      <c r="V34" s="11">
        <f t="shared" si="11"/>
        <v>0</v>
      </c>
      <c r="W34" s="11">
        <f>SUM(W27:W33)</f>
        <v>11842911.6</v>
      </c>
    </row>
    <row r="35" spans="1:23" ht="14.25" thickBot="1">
      <c r="A35" s="95" t="s">
        <v>72</v>
      </c>
      <c r="B35" s="11">
        <f>+B26+B33</f>
        <v>0</v>
      </c>
      <c r="C35" s="11">
        <f>+C26+C33</f>
        <v>3946375.44</v>
      </c>
      <c r="D35" s="11">
        <f aca="true" t="shared" si="12" ref="D35:V35">+D26+D33</f>
        <v>3800352.88</v>
      </c>
      <c r="E35" s="11">
        <f t="shared" si="12"/>
        <v>4271922.159488</v>
      </c>
      <c r="F35" s="11">
        <f t="shared" si="12"/>
        <v>4125899.5994879995</v>
      </c>
      <c r="G35" s="11">
        <f t="shared" si="12"/>
        <v>3979877.039488</v>
      </c>
      <c r="H35" s="11">
        <f t="shared" si="12"/>
        <v>3833854.4794880003</v>
      </c>
      <c r="I35" s="11">
        <f t="shared" si="12"/>
        <v>3687831.9194879998</v>
      </c>
      <c r="J35" s="11">
        <f t="shared" si="12"/>
        <v>3541809.3594879997</v>
      </c>
      <c r="K35" s="11">
        <f t="shared" si="12"/>
        <v>3395786.799488</v>
      </c>
      <c r="L35" s="11">
        <f t="shared" si="12"/>
        <v>3249764.239488</v>
      </c>
      <c r="M35" s="11">
        <f t="shared" si="12"/>
        <v>3103741.679488</v>
      </c>
      <c r="N35" s="11">
        <f t="shared" si="12"/>
        <v>2957719.119488</v>
      </c>
      <c r="O35" s="11">
        <f t="shared" si="12"/>
        <v>2811696.559488</v>
      </c>
      <c r="P35" s="11">
        <f t="shared" si="12"/>
        <v>2735750.399488</v>
      </c>
      <c r="Q35" s="11">
        <f t="shared" si="12"/>
        <v>2729880.639488</v>
      </c>
      <c r="R35" s="11">
        <f t="shared" si="12"/>
        <v>2724010.879488</v>
      </c>
      <c r="S35" s="11">
        <f t="shared" si="12"/>
        <v>2718141.119488</v>
      </c>
      <c r="T35" s="11">
        <f t="shared" si="12"/>
        <v>2712271.359488</v>
      </c>
      <c r="U35" s="11">
        <f t="shared" si="12"/>
        <v>2706401.599488</v>
      </c>
      <c r="V35" s="11">
        <f t="shared" si="12"/>
        <v>2700531.839488</v>
      </c>
      <c r="W35" s="11">
        <f>+W26+W33</f>
        <v>65733619.110784</v>
      </c>
    </row>
    <row r="36" spans="1:23" ht="14.25" thickBot="1">
      <c r="A36" s="95"/>
      <c r="B36" s="95"/>
      <c r="C36" s="11"/>
      <c r="D36" s="11"/>
      <c r="E36" s="11"/>
      <c r="F36" s="11"/>
      <c r="G36" s="11"/>
      <c r="H36" s="11"/>
      <c r="I36" s="11"/>
      <c r="J36" s="11"/>
      <c r="K36" s="11"/>
      <c r="L36" s="11"/>
      <c r="M36" s="11"/>
      <c r="N36" s="11"/>
      <c r="O36" s="11"/>
      <c r="P36" s="11"/>
      <c r="Q36" s="11"/>
      <c r="R36" s="11"/>
      <c r="S36" s="11"/>
      <c r="T36" s="11"/>
      <c r="U36" s="11"/>
      <c r="V36" s="11"/>
      <c r="W36" s="11"/>
    </row>
    <row r="37" spans="1:23" ht="12.75">
      <c r="A37" s="98" t="s">
        <v>26</v>
      </c>
      <c r="B37" s="99">
        <f>B19-B35</f>
        <v>0</v>
      </c>
      <c r="C37" s="99">
        <f>C19-C35</f>
        <v>589734.7135999999</v>
      </c>
      <c r="D37" s="99">
        <f aca="true" t="shared" si="13" ref="D37:V37">D19-D35</f>
        <v>671321.1200000001</v>
      </c>
      <c r="E37" s="99">
        <f t="shared" si="13"/>
        <v>199751.84051200002</v>
      </c>
      <c r="F37" s="99">
        <f t="shared" si="13"/>
        <v>345774.40051200055</v>
      </c>
      <c r="G37" s="99">
        <f t="shared" si="13"/>
        <v>491796.96051200014</v>
      </c>
      <c r="H37" s="99">
        <f t="shared" si="13"/>
        <v>637819.5205119997</v>
      </c>
      <c r="I37" s="99">
        <f t="shared" si="13"/>
        <v>783842.0805120002</v>
      </c>
      <c r="J37" s="99">
        <f t="shared" si="13"/>
        <v>929864.6405120003</v>
      </c>
      <c r="K37" s="99">
        <f t="shared" si="13"/>
        <v>1075887.200512</v>
      </c>
      <c r="L37" s="99">
        <f t="shared" si="13"/>
        <v>-1082492.907488</v>
      </c>
      <c r="M37" s="99">
        <f t="shared" si="13"/>
        <v>-936470.347488</v>
      </c>
      <c r="N37" s="99">
        <f t="shared" si="13"/>
        <v>-790447.787488</v>
      </c>
      <c r="O37" s="99">
        <f t="shared" si="13"/>
        <v>-644425.227488</v>
      </c>
      <c r="P37" s="99">
        <f t="shared" si="13"/>
        <v>-568479.0674880003</v>
      </c>
      <c r="Q37" s="99">
        <f t="shared" si="13"/>
        <v>-562609.307488</v>
      </c>
      <c r="R37" s="99">
        <f t="shared" si="13"/>
        <v>-556739.5474880002</v>
      </c>
      <c r="S37" s="99">
        <f t="shared" si="13"/>
        <v>-550869.787488</v>
      </c>
      <c r="T37" s="99">
        <f t="shared" si="13"/>
        <v>-545000.0274880002</v>
      </c>
      <c r="U37" s="99">
        <f t="shared" si="13"/>
        <v>-539130.267488</v>
      </c>
      <c r="V37" s="99">
        <f t="shared" si="13"/>
        <v>-533260.5074880002</v>
      </c>
      <c r="W37" s="99">
        <f>SUM(B37:V37)</f>
        <v>-1584132.3051839992</v>
      </c>
    </row>
    <row r="38" spans="1:23" ht="13.5" thickBot="1">
      <c r="A38" s="100" t="s">
        <v>27</v>
      </c>
      <c r="B38" s="101">
        <v>0</v>
      </c>
      <c r="C38" s="123">
        <f>IF((C37+B39)&lt;0,0,(C37+B39)*0.15)</f>
        <v>88460.20703999998</v>
      </c>
      <c r="D38" s="123">
        <f>IF((D37+C39)&lt;0,0,D37*0.15)</f>
        <v>100698.16800000002</v>
      </c>
      <c r="E38" s="101">
        <f>E37*0.15</f>
        <v>29962.7760768</v>
      </c>
      <c r="F38" s="101">
        <f aca="true" t="shared" si="14" ref="F38:K38">IF(F37&lt;0,0,F37*0.15)</f>
        <v>51866.16007680008</v>
      </c>
      <c r="G38" s="101">
        <f t="shared" si="14"/>
        <v>73769.54407680001</v>
      </c>
      <c r="H38" s="101">
        <f t="shared" si="14"/>
        <v>95672.92807679996</v>
      </c>
      <c r="I38" s="101">
        <f t="shared" si="14"/>
        <v>117576.31207680004</v>
      </c>
      <c r="J38" s="101">
        <f t="shared" si="14"/>
        <v>139479.69607680003</v>
      </c>
      <c r="K38" s="101">
        <f t="shared" si="14"/>
        <v>161383.0800768</v>
      </c>
      <c r="L38" s="101">
        <f>IF(L37&lt;0,0,L37*0.15)</f>
        <v>0</v>
      </c>
      <c r="M38" s="101">
        <f aca="true" t="shared" si="15" ref="M38:V38">IF(M37&lt;0,0,M37*0.15)</f>
        <v>0</v>
      </c>
      <c r="N38" s="101">
        <f t="shared" si="15"/>
        <v>0</v>
      </c>
      <c r="O38" s="101">
        <f t="shared" si="15"/>
        <v>0</v>
      </c>
      <c r="P38" s="101">
        <f t="shared" si="15"/>
        <v>0</v>
      </c>
      <c r="Q38" s="101">
        <f t="shared" si="15"/>
        <v>0</v>
      </c>
      <c r="R38" s="101">
        <f t="shared" si="15"/>
        <v>0</v>
      </c>
      <c r="S38" s="101">
        <f t="shared" si="15"/>
        <v>0</v>
      </c>
      <c r="T38" s="101">
        <f t="shared" si="15"/>
        <v>0</v>
      </c>
      <c r="U38" s="101">
        <f t="shared" si="15"/>
        <v>0</v>
      </c>
      <c r="V38" s="101">
        <f t="shared" si="15"/>
        <v>0</v>
      </c>
      <c r="W38" s="199">
        <f>SUM(B38:V38)</f>
        <v>858868.8715776001</v>
      </c>
    </row>
    <row r="39" spans="1:23" ht="13.5" thickBot="1">
      <c r="A39" s="81" t="s">
        <v>28</v>
      </c>
      <c r="B39" s="93">
        <f>B37-B38</f>
        <v>0</v>
      </c>
      <c r="C39" s="93">
        <f>C37-C38</f>
        <v>501274.5065599999</v>
      </c>
      <c r="D39" s="93">
        <f aca="true" t="shared" si="16" ref="D39:L39">D37-D38</f>
        <v>570622.952</v>
      </c>
      <c r="E39" s="93">
        <f t="shared" si="16"/>
        <v>169789.0644352</v>
      </c>
      <c r="F39" s="93">
        <f t="shared" si="16"/>
        <v>293908.24043520045</v>
      </c>
      <c r="G39" s="93">
        <f t="shared" si="16"/>
        <v>418027.41643520014</v>
      </c>
      <c r="H39" s="93">
        <f t="shared" si="16"/>
        <v>542146.5924351998</v>
      </c>
      <c r="I39" s="93">
        <f t="shared" si="16"/>
        <v>666265.7684352002</v>
      </c>
      <c r="J39" s="93">
        <f t="shared" si="16"/>
        <v>790384.9444352003</v>
      </c>
      <c r="K39" s="93">
        <f t="shared" si="16"/>
        <v>914504.1204351999</v>
      </c>
      <c r="L39" s="93">
        <f t="shared" si="16"/>
        <v>-1082492.907488</v>
      </c>
      <c r="M39" s="93">
        <f aca="true" t="shared" si="17" ref="M39:V39">M37-M38</f>
        <v>-936470.347488</v>
      </c>
      <c r="N39" s="93">
        <f t="shared" si="17"/>
        <v>-790447.787488</v>
      </c>
      <c r="O39" s="93">
        <f t="shared" si="17"/>
        <v>-644425.227488</v>
      </c>
      <c r="P39" s="93">
        <f t="shared" si="17"/>
        <v>-568479.0674880003</v>
      </c>
      <c r="Q39" s="93">
        <f t="shared" si="17"/>
        <v>-562609.307488</v>
      </c>
      <c r="R39" s="93">
        <f t="shared" si="17"/>
        <v>-556739.5474880002</v>
      </c>
      <c r="S39" s="93">
        <f t="shared" si="17"/>
        <v>-550869.787488</v>
      </c>
      <c r="T39" s="93">
        <f t="shared" si="17"/>
        <v>-545000.0274880002</v>
      </c>
      <c r="U39" s="93">
        <f t="shared" si="17"/>
        <v>-539130.267488</v>
      </c>
      <c r="V39" s="93">
        <f t="shared" si="17"/>
        <v>-533260.5074880002</v>
      </c>
      <c r="W39" s="93">
        <f>W37-W38</f>
        <v>-2443001.1767615993</v>
      </c>
    </row>
    <row r="40" spans="1:23" ht="13.5" thickBot="1">
      <c r="A40" s="94" t="s">
        <v>29</v>
      </c>
      <c r="B40" s="96">
        <f>B39</f>
        <v>0</v>
      </c>
      <c r="C40" s="97">
        <f>B40+C39</f>
        <v>501274.5065599999</v>
      </c>
      <c r="D40" s="97">
        <f>C40+D39</f>
        <v>1071897.45856</v>
      </c>
      <c r="E40" s="97">
        <f>D40+E39</f>
        <v>1241686.5229952</v>
      </c>
      <c r="F40" s="97">
        <f aca="true" t="shared" si="18" ref="F40:L40">E40+F39</f>
        <v>1535594.7634304005</v>
      </c>
      <c r="G40" s="97">
        <f t="shared" si="18"/>
        <v>1953622.1798656005</v>
      </c>
      <c r="H40" s="97">
        <f t="shared" si="18"/>
        <v>2495768.7723008003</v>
      </c>
      <c r="I40" s="97">
        <f t="shared" si="18"/>
        <v>3162034.5407360005</v>
      </c>
      <c r="J40" s="97">
        <f t="shared" si="18"/>
        <v>3952419.4851712007</v>
      </c>
      <c r="K40" s="97">
        <f t="shared" si="18"/>
        <v>4866923.6056064</v>
      </c>
      <c r="L40" s="97">
        <f t="shared" si="18"/>
        <v>3784430.6981184003</v>
      </c>
      <c r="M40" s="97">
        <f aca="true" t="shared" si="19" ref="M40:U40">L40+M39</f>
        <v>2847960.3506304002</v>
      </c>
      <c r="N40" s="97">
        <f t="shared" si="19"/>
        <v>2057512.5631424002</v>
      </c>
      <c r="O40" s="97">
        <f t="shared" si="19"/>
        <v>1413087.3356544003</v>
      </c>
      <c r="P40" s="97">
        <f t="shared" si="19"/>
        <v>844608.2681664</v>
      </c>
      <c r="Q40" s="97">
        <f t="shared" si="19"/>
        <v>281998.9606784</v>
      </c>
      <c r="R40" s="97">
        <f t="shared" si="19"/>
        <v>-274740.58680960024</v>
      </c>
      <c r="S40" s="97">
        <f t="shared" si="19"/>
        <v>-825610.3742976002</v>
      </c>
      <c r="T40" s="97">
        <f t="shared" si="19"/>
        <v>-1370610.4017856005</v>
      </c>
      <c r="U40" s="97">
        <f t="shared" si="19"/>
        <v>-1909740.6692736004</v>
      </c>
      <c r="V40" s="97">
        <f>U40+V39</f>
        <v>-2443001.1767616007</v>
      </c>
      <c r="W40" s="97"/>
    </row>
    <row r="41" spans="1:12" ht="12.75">
      <c r="A41" s="1"/>
      <c r="B41" s="1"/>
      <c r="C41" s="82"/>
      <c r="D41" s="83"/>
      <c r="E41" s="3"/>
      <c r="F41" s="3"/>
      <c r="G41" s="3"/>
      <c r="H41" s="3"/>
      <c r="I41" s="3"/>
      <c r="J41" s="3"/>
      <c r="K41" s="3"/>
      <c r="L41" s="3"/>
    </row>
    <row r="43" spans="24:28" ht="12.75">
      <c r="X43" s="84"/>
      <c r="Y43" s="84"/>
      <c r="Z43" s="84"/>
      <c r="AA43" s="84"/>
      <c r="AB43" s="84"/>
    </row>
    <row r="44" spans="1:28" s="85" customFormat="1" ht="15.75">
      <c r="A44" s="19" t="s">
        <v>2</v>
      </c>
      <c r="B44" s="20">
        <f>+B19-SUM(B21:B24)</f>
        <v>0</v>
      </c>
      <c r="C44" s="20">
        <f>+C19-SUM(C21:C24)</f>
        <v>4029584.7136</v>
      </c>
      <c r="D44" s="20">
        <f>+D19-SUM(D21:D24)</f>
        <v>3971018.32</v>
      </c>
      <c r="E44" s="20">
        <f aca="true" t="shared" si="20" ref="E44:V44">+E19-SUM(E21:E24)</f>
        <v>3359296.240512</v>
      </c>
      <c r="F44" s="20">
        <f t="shared" si="20"/>
        <v>3365166.000512</v>
      </c>
      <c r="G44" s="20">
        <f t="shared" si="20"/>
        <v>3371035.760512</v>
      </c>
      <c r="H44" s="20">
        <f t="shared" si="20"/>
        <v>3376905.5205119997</v>
      </c>
      <c r="I44" s="20">
        <f t="shared" si="20"/>
        <v>3382775.280512</v>
      </c>
      <c r="J44" s="20">
        <f t="shared" si="20"/>
        <v>3388645.040512</v>
      </c>
      <c r="K44" s="20">
        <f t="shared" si="20"/>
        <v>3394514.800512</v>
      </c>
      <c r="L44" s="20">
        <f t="shared" si="20"/>
        <v>1095981.892512</v>
      </c>
      <c r="M44" s="20">
        <f t="shared" si="20"/>
        <v>1101851.652512</v>
      </c>
      <c r="N44" s="20">
        <f t="shared" si="20"/>
        <v>1107721.412512</v>
      </c>
      <c r="O44" s="20">
        <f t="shared" si="20"/>
        <v>1113591.172512</v>
      </c>
      <c r="P44" s="20">
        <f t="shared" si="20"/>
        <v>1119460.932512</v>
      </c>
      <c r="Q44" s="20">
        <f t="shared" si="20"/>
        <v>1125330.692512</v>
      </c>
      <c r="R44" s="20">
        <f t="shared" si="20"/>
        <v>1131200.4525119998</v>
      </c>
      <c r="S44" s="20">
        <f t="shared" si="20"/>
        <v>1137070.212512</v>
      </c>
      <c r="T44" s="20">
        <f t="shared" si="20"/>
        <v>1142939.9725119998</v>
      </c>
      <c r="U44" s="20">
        <f t="shared" si="20"/>
        <v>1148809.732512</v>
      </c>
      <c r="V44" s="20">
        <f t="shared" si="20"/>
        <v>1154679.4925119998</v>
      </c>
      <c r="W44" s="42"/>
      <c r="X44" s="23"/>
      <c r="Y44" s="23"/>
      <c r="Z44" s="23"/>
      <c r="AA44" s="23"/>
      <c r="AB44" s="23"/>
    </row>
    <row r="45" spans="1:28" s="85" customFormat="1" ht="15.75">
      <c r="A45" s="19" t="s">
        <v>3</v>
      </c>
      <c r="B45" s="20">
        <f>+B19-SUM(B21:B24)-B18</f>
        <v>0</v>
      </c>
      <c r="C45" s="20">
        <f aca="true" t="shared" si="21" ref="C45:V45">+C19-SUM(C21:C24)-C18</f>
        <v>3965148.56</v>
      </c>
      <c r="D45" s="20">
        <f t="shared" si="21"/>
        <v>3971018.32</v>
      </c>
      <c r="E45" s="20">
        <f t="shared" si="21"/>
        <v>3359296.240512</v>
      </c>
      <c r="F45" s="20">
        <f t="shared" si="21"/>
        <v>3365166.000512</v>
      </c>
      <c r="G45" s="20">
        <f t="shared" si="21"/>
        <v>3371035.760512</v>
      </c>
      <c r="H45" s="20">
        <f t="shared" si="21"/>
        <v>3376905.5205119997</v>
      </c>
      <c r="I45" s="20">
        <f t="shared" si="21"/>
        <v>3382775.280512</v>
      </c>
      <c r="J45" s="20">
        <f t="shared" si="21"/>
        <v>3388645.040512</v>
      </c>
      <c r="K45" s="20">
        <f t="shared" si="21"/>
        <v>3394514.800512</v>
      </c>
      <c r="L45" s="20">
        <f t="shared" si="21"/>
        <v>1095981.892512</v>
      </c>
      <c r="M45" s="20">
        <f t="shared" si="21"/>
        <v>1101851.652512</v>
      </c>
      <c r="N45" s="20">
        <f t="shared" si="21"/>
        <v>1107721.412512</v>
      </c>
      <c r="O45" s="20">
        <f t="shared" si="21"/>
        <v>1113591.172512</v>
      </c>
      <c r="P45" s="20">
        <f t="shared" si="21"/>
        <v>1119460.932512</v>
      </c>
      <c r="Q45" s="20">
        <f t="shared" si="21"/>
        <v>1125330.692512</v>
      </c>
      <c r="R45" s="20">
        <f t="shared" si="21"/>
        <v>1131200.4525119998</v>
      </c>
      <c r="S45" s="20">
        <f t="shared" si="21"/>
        <v>1137070.212512</v>
      </c>
      <c r="T45" s="20">
        <f t="shared" si="21"/>
        <v>1142939.9725119998</v>
      </c>
      <c r="U45" s="20">
        <f t="shared" si="21"/>
        <v>1148809.732512</v>
      </c>
      <c r="V45" s="20">
        <f t="shared" si="21"/>
        <v>1154679.4925119998</v>
      </c>
      <c r="W45" s="42"/>
      <c r="X45" s="23"/>
      <c r="Y45" s="23"/>
      <c r="Z45" s="23"/>
      <c r="AA45" s="23"/>
      <c r="AB45" s="23"/>
    </row>
    <row r="46" spans="1:28" s="85" customFormat="1" ht="15.75">
      <c r="A46" s="21"/>
      <c r="B46" s="21"/>
      <c r="C46" s="22"/>
      <c r="D46" s="22"/>
      <c r="E46" s="22"/>
      <c r="F46" s="22"/>
      <c r="G46" s="22"/>
      <c r="H46" s="22"/>
      <c r="I46" s="22"/>
      <c r="J46" s="22"/>
      <c r="K46" s="22"/>
      <c r="L46" s="22"/>
      <c r="M46" s="22"/>
      <c r="N46" s="22"/>
      <c r="O46" s="22"/>
      <c r="P46" s="22"/>
      <c r="Q46" s="23"/>
      <c r="R46" s="21"/>
      <c r="S46" s="24"/>
      <c r="T46" s="24"/>
      <c r="U46" s="24"/>
      <c r="V46" s="25"/>
      <c r="W46" s="23"/>
      <c r="X46" s="23"/>
      <c r="Y46" s="23"/>
      <c r="Z46" s="23"/>
      <c r="AA46" s="23"/>
      <c r="AB46" s="23"/>
    </row>
    <row r="47" spans="1:28" s="85" customFormat="1" ht="15.75">
      <c r="A47" s="26" t="s">
        <v>4</v>
      </c>
      <c r="B47" s="27">
        <f aca="true" t="shared" si="22" ref="B47:V47">+B19-B26-B33</f>
        <v>0</v>
      </c>
      <c r="C47" s="27">
        <f t="shared" si="22"/>
        <v>589734.7135999999</v>
      </c>
      <c r="D47" s="27">
        <f>+D19-D26-D33</f>
        <v>671321.1199999999</v>
      </c>
      <c r="E47" s="27">
        <f t="shared" si="22"/>
        <v>199751.84051200002</v>
      </c>
      <c r="F47" s="27">
        <f t="shared" si="22"/>
        <v>345774.4005120003</v>
      </c>
      <c r="G47" s="27">
        <f t="shared" si="22"/>
        <v>491796.9605119999</v>
      </c>
      <c r="H47" s="27">
        <f t="shared" si="22"/>
        <v>637819.5205119997</v>
      </c>
      <c r="I47" s="27">
        <f t="shared" si="22"/>
        <v>783842.080512</v>
      </c>
      <c r="J47" s="27">
        <f t="shared" si="22"/>
        <v>929864.6405120002</v>
      </c>
      <c r="K47" s="27">
        <f t="shared" si="22"/>
        <v>1075887.200512</v>
      </c>
      <c r="L47" s="27">
        <f t="shared" si="22"/>
        <v>-1082492.9074880003</v>
      </c>
      <c r="M47" s="27">
        <f t="shared" si="22"/>
        <v>-936470.347488</v>
      </c>
      <c r="N47" s="27">
        <f t="shared" si="22"/>
        <v>-790447.7874879998</v>
      </c>
      <c r="O47" s="27">
        <f t="shared" si="22"/>
        <v>-644425.2274880001</v>
      </c>
      <c r="P47" s="27">
        <f t="shared" si="22"/>
        <v>-568479.0674880003</v>
      </c>
      <c r="Q47" s="27">
        <f t="shared" si="22"/>
        <v>-562609.307488</v>
      </c>
      <c r="R47" s="27">
        <f t="shared" si="22"/>
        <v>-556739.5474880002</v>
      </c>
      <c r="S47" s="27">
        <f t="shared" si="22"/>
        <v>-550869.787488</v>
      </c>
      <c r="T47" s="27">
        <f t="shared" si="22"/>
        <v>-545000.0274880002</v>
      </c>
      <c r="U47" s="27">
        <f t="shared" si="22"/>
        <v>-539130.267488</v>
      </c>
      <c r="V47" s="27">
        <f t="shared" si="22"/>
        <v>-533260.5074880002</v>
      </c>
      <c r="W47" s="42"/>
      <c r="X47" s="23"/>
      <c r="Y47" s="23"/>
      <c r="Z47" s="23"/>
      <c r="AA47" s="23"/>
      <c r="AB47" s="23"/>
    </row>
    <row r="48" spans="1:28" s="85" customFormat="1" ht="15.75">
      <c r="A48" s="29" t="s">
        <v>5</v>
      </c>
      <c r="B48" s="30">
        <f aca="true" t="shared" si="23" ref="B48:V48">+B19-B26-B33-B18</f>
        <v>0</v>
      </c>
      <c r="C48" s="30">
        <f t="shared" si="23"/>
        <v>525298.5599999999</v>
      </c>
      <c r="D48" s="30">
        <f t="shared" si="23"/>
        <v>671321.1199999999</v>
      </c>
      <c r="E48" s="30">
        <f t="shared" si="23"/>
        <v>199751.84051200002</v>
      </c>
      <c r="F48" s="30">
        <f t="shared" si="23"/>
        <v>345774.4005120003</v>
      </c>
      <c r="G48" s="30">
        <f t="shared" si="23"/>
        <v>491796.9605119999</v>
      </c>
      <c r="H48" s="30">
        <f t="shared" si="23"/>
        <v>637819.5205119997</v>
      </c>
      <c r="I48" s="30">
        <f t="shared" si="23"/>
        <v>783842.080512</v>
      </c>
      <c r="J48" s="30">
        <f t="shared" si="23"/>
        <v>929864.6405120002</v>
      </c>
      <c r="K48" s="30">
        <f t="shared" si="23"/>
        <v>1075887.200512</v>
      </c>
      <c r="L48" s="30">
        <f t="shared" si="23"/>
        <v>-1082492.9074880003</v>
      </c>
      <c r="M48" s="30">
        <f t="shared" si="23"/>
        <v>-936470.347488</v>
      </c>
      <c r="N48" s="30">
        <f t="shared" si="23"/>
        <v>-790447.7874879998</v>
      </c>
      <c r="O48" s="30">
        <f t="shared" si="23"/>
        <v>-644425.2274880001</v>
      </c>
      <c r="P48" s="30">
        <f t="shared" si="23"/>
        <v>-568479.0674880003</v>
      </c>
      <c r="Q48" s="30">
        <f t="shared" si="23"/>
        <v>-562609.307488</v>
      </c>
      <c r="R48" s="30">
        <f t="shared" si="23"/>
        <v>-556739.5474880002</v>
      </c>
      <c r="S48" s="30">
        <f t="shared" si="23"/>
        <v>-550869.787488</v>
      </c>
      <c r="T48" s="30">
        <f t="shared" si="23"/>
        <v>-545000.0274880002</v>
      </c>
      <c r="U48" s="30">
        <f t="shared" si="23"/>
        <v>-539130.267488</v>
      </c>
      <c r="V48" s="30">
        <f t="shared" si="23"/>
        <v>-533260.5074880002</v>
      </c>
      <c r="W48" s="42"/>
      <c r="X48" s="23"/>
      <c r="Y48" s="23"/>
      <c r="Z48" s="23"/>
      <c r="AA48" s="23"/>
      <c r="AB48" s="23"/>
    </row>
    <row r="49" spans="1:28" s="85" customFormat="1" ht="15.75">
      <c r="A49" s="29"/>
      <c r="B49" s="29"/>
      <c r="C49" s="30"/>
      <c r="D49" s="30"/>
      <c r="E49" s="30"/>
      <c r="F49" s="30"/>
      <c r="G49" s="30"/>
      <c r="H49" s="30"/>
      <c r="I49" s="30"/>
      <c r="J49" s="30"/>
      <c r="K49" s="30"/>
      <c r="L49" s="30"/>
      <c r="M49" s="30"/>
      <c r="N49" s="30"/>
      <c r="O49" s="30"/>
      <c r="P49" s="30"/>
      <c r="Q49" s="32"/>
      <c r="R49" s="29"/>
      <c r="S49" s="33"/>
      <c r="T49" s="33"/>
      <c r="U49" s="33"/>
      <c r="V49" s="34"/>
      <c r="W49" s="23"/>
      <c r="X49" s="23"/>
      <c r="Y49" s="23"/>
      <c r="Z49" s="23"/>
      <c r="AA49" s="23"/>
      <c r="AB49" s="23"/>
    </row>
    <row r="50" spans="1:28" s="85" customFormat="1" ht="15.75">
      <c r="A50" s="26" t="s">
        <v>6</v>
      </c>
      <c r="B50" s="35">
        <f>IF(B47&lt;0,0,B47*0.15)</f>
        <v>0</v>
      </c>
      <c r="C50" s="125">
        <f>IF((C47+B47)&lt;0,0,(C47+B47)*0.15)</f>
        <v>88460.20703999998</v>
      </c>
      <c r="D50" s="35">
        <f>IF(D47&lt;0,0,D47*0.15)</f>
        <v>100698.16799999998</v>
      </c>
      <c r="E50" s="35">
        <f>IF(E47&lt;0,0,E47*0.15)</f>
        <v>29962.7760768</v>
      </c>
      <c r="F50" s="35">
        <f>IF(F47&lt;0,0,F47*0.15)</f>
        <v>51866.16007680004</v>
      </c>
      <c r="G50" s="35">
        <f>IF(G47&lt;0,0,G47*0.15)</f>
        <v>73769.54407679998</v>
      </c>
      <c r="H50" s="35">
        <f>IF(H47&lt;0,0,H47*0.15)</f>
        <v>95672.92807679996</v>
      </c>
      <c r="I50" s="35">
        <f aca="true" t="shared" si="24" ref="I50:V50">IF(I47&lt;0,0,I47*0.15)</f>
        <v>117576.3120768</v>
      </c>
      <c r="J50" s="35">
        <f t="shared" si="24"/>
        <v>139479.69607680003</v>
      </c>
      <c r="K50" s="35">
        <f t="shared" si="24"/>
        <v>161383.0800768</v>
      </c>
      <c r="L50" s="35">
        <f t="shared" si="24"/>
        <v>0</v>
      </c>
      <c r="M50" s="35">
        <f t="shared" si="24"/>
        <v>0</v>
      </c>
      <c r="N50" s="35">
        <f t="shared" si="24"/>
        <v>0</v>
      </c>
      <c r="O50" s="35">
        <f t="shared" si="24"/>
        <v>0</v>
      </c>
      <c r="P50" s="35">
        <f t="shared" si="24"/>
        <v>0</v>
      </c>
      <c r="Q50" s="35">
        <f t="shared" si="24"/>
        <v>0</v>
      </c>
      <c r="R50" s="35">
        <f t="shared" si="24"/>
        <v>0</v>
      </c>
      <c r="S50" s="35">
        <f t="shared" si="24"/>
        <v>0</v>
      </c>
      <c r="T50" s="35">
        <f t="shared" si="24"/>
        <v>0</v>
      </c>
      <c r="U50" s="35">
        <f>IF(U47&lt;0,0,U47*0.15)</f>
        <v>0</v>
      </c>
      <c r="V50" s="35">
        <f t="shared" si="24"/>
        <v>0</v>
      </c>
      <c r="W50" s="86"/>
      <c r="X50" s="87"/>
      <c r="Y50" s="87"/>
      <c r="Z50" s="87"/>
      <c r="AA50" s="87"/>
      <c r="AB50" s="87"/>
    </row>
    <row r="51" spans="1:28" s="85" customFormat="1" ht="15.75">
      <c r="A51" s="29" t="s">
        <v>7</v>
      </c>
      <c r="B51" s="36">
        <f>IF(B48&lt;0,0,B48*0.15)</f>
        <v>0</v>
      </c>
      <c r="C51" s="122">
        <f>IF((C48+B48)&lt;0,0,(C48+B48)*0.15)</f>
        <v>78794.78399999999</v>
      </c>
      <c r="D51" s="36">
        <f>IF(D48&lt;0,0,D48*0.15)</f>
        <v>100698.16799999998</v>
      </c>
      <c r="E51" s="36">
        <f>IF(E48&lt;0,0,E48*0.15)</f>
        <v>29962.7760768</v>
      </c>
      <c r="F51" s="36">
        <f>IF(F48&lt;0,0,F48*0.15)</f>
        <v>51866.16007680004</v>
      </c>
      <c r="G51" s="36">
        <f aca="true" t="shared" si="25" ref="G51:V51">IF(G48&lt;0,0,G48*0.15)</f>
        <v>73769.54407679998</v>
      </c>
      <c r="H51" s="36">
        <f t="shared" si="25"/>
        <v>95672.92807679996</v>
      </c>
      <c r="I51" s="36">
        <f t="shared" si="25"/>
        <v>117576.3120768</v>
      </c>
      <c r="J51" s="36">
        <f t="shared" si="25"/>
        <v>139479.69607680003</v>
      </c>
      <c r="K51" s="36">
        <f t="shared" si="25"/>
        <v>161383.0800768</v>
      </c>
      <c r="L51" s="36">
        <f t="shared" si="25"/>
        <v>0</v>
      </c>
      <c r="M51" s="36">
        <f t="shared" si="25"/>
        <v>0</v>
      </c>
      <c r="N51" s="36">
        <f t="shared" si="25"/>
        <v>0</v>
      </c>
      <c r="O51" s="36">
        <f t="shared" si="25"/>
        <v>0</v>
      </c>
      <c r="P51" s="36">
        <f t="shared" si="25"/>
        <v>0</v>
      </c>
      <c r="Q51" s="36">
        <f t="shared" si="25"/>
        <v>0</v>
      </c>
      <c r="R51" s="36">
        <f t="shared" si="25"/>
        <v>0</v>
      </c>
      <c r="S51" s="36">
        <f t="shared" si="25"/>
        <v>0</v>
      </c>
      <c r="T51" s="36">
        <f t="shared" si="25"/>
        <v>0</v>
      </c>
      <c r="U51" s="36">
        <f t="shared" si="25"/>
        <v>0</v>
      </c>
      <c r="V51" s="36">
        <f t="shared" si="25"/>
        <v>0</v>
      </c>
      <c r="W51" s="86"/>
      <c r="X51" s="87"/>
      <c r="Y51" s="87"/>
      <c r="Z51" s="87"/>
      <c r="AA51" s="87"/>
      <c r="AB51" s="87"/>
    </row>
    <row r="52" spans="1:28" s="85" customFormat="1" ht="15.75">
      <c r="A52" s="29"/>
      <c r="B52" s="29"/>
      <c r="C52" s="126"/>
      <c r="D52" s="36"/>
      <c r="E52" s="36"/>
      <c r="F52" s="36"/>
      <c r="G52" s="36"/>
      <c r="H52" s="36"/>
      <c r="I52" s="36"/>
      <c r="J52" s="36"/>
      <c r="K52" s="36"/>
      <c r="L52" s="36"/>
      <c r="M52" s="36"/>
      <c r="N52" s="36"/>
      <c r="O52" s="36"/>
      <c r="P52" s="36"/>
      <c r="Q52" s="37"/>
      <c r="R52" s="29"/>
      <c r="S52" s="38"/>
      <c r="T52" s="38"/>
      <c r="U52" s="38"/>
      <c r="V52" s="39"/>
      <c r="W52" s="87"/>
      <c r="X52" s="87"/>
      <c r="Y52" s="87"/>
      <c r="Z52" s="87"/>
      <c r="AA52" s="87"/>
      <c r="AB52" s="87"/>
    </row>
    <row r="53" spans="1:28" s="85" customFormat="1" ht="15.75">
      <c r="A53" s="26" t="s">
        <v>8</v>
      </c>
      <c r="B53" s="27">
        <f aca="true" t="shared" si="26" ref="B53:R53">B47-B50</f>
        <v>0</v>
      </c>
      <c r="C53" s="27">
        <f t="shared" si="26"/>
        <v>501274.5065599999</v>
      </c>
      <c r="D53" s="27">
        <f>D47-D50</f>
        <v>570622.9519999999</v>
      </c>
      <c r="E53" s="27">
        <f t="shared" si="26"/>
        <v>169789.0644352</v>
      </c>
      <c r="F53" s="27">
        <f t="shared" si="26"/>
        <v>293908.2404352003</v>
      </c>
      <c r="G53" s="27">
        <f t="shared" si="26"/>
        <v>418027.4164351999</v>
      </c>
      <c r="H53" s="27">
        <f t="shared" si="26"/>
        <v>542146.5924351998</v>
      </c>
      <c r="I53" s="27">
        <f t="shared" si="26"/>
        <v>666265.7684352</v>
      </c>
      <c r="J53" s="27">
        <f t="shared" si="26"/>
        <v>790384.9444352002</v>
      </c>
      <c r="K53" s="27">
        <f t="shared" si="26"/>
        <v>914504.1204351999</v>
      </c>
      <c r="L53" s="27">
        <f t="shared" si="26"/>
        <v>-1082492.9074880003</v>
      </c>
      <c r="M53" s="27">
        <f t="shared" si="26"/>
        <v>-936470.347488</v>
      </c>
      <c r="N53" s="27">
        <f t="shared" si="26"/>
        <v>-790447.7874879998</v>
      </c>
      <c r="O53" s="27">
        <f t="shared" si="26"/>
        <v>-644425.2274880001</v>
      </c>
      <c r="P53" s="27">
        <f t="shared" si="26"/>
        <v>-568479.0674880003</v>
      </c>
      <c r="Q53" s="27">
        <f t="shared" si="26"/>
        <v>-562609.307488</v>
      </c>
      <c r="R53" s="27">
        <f t="shared" si="26"/>
        <v>-556739.5474880002</v>
      </c>
      <c r="S53" s="27">
        <f>S47-S50</f>
        <v>-550869.787488</v>
      </c>
      <c r="T53" s="27">
        <f>T47-T50</f>
        <v>-545000.0274880002</v>
      </c>
      <c r="U53" s="27">
        <f>U47-U50</f>
        <v>-539130.267488</v>
      </c>
      <c r="V53" s="28">
        <f>V47-V50</f>
        <v>-533260.5074880002</v>
      </c>
      <c r="W53" s="42"/>
      <c r="X53" s="23"/>
      <c r="Y53" s="23"/>
      <c r="Z53" s="23"/>
      <c r="AA53" s="23"/>
      <c r="AB53" s="23"/>
    </row>
    <row r="54" spans="1:28" s="85" customFormat="1" ht="15.75">
      <c r="A54" s="29" t="s">
        <v>9</v>
      </c>
      <c r="B54" s="30">
        <f>B48-B51</f>
        <v>0</v>
      </c>
      <c r="C54" s="30">
        <f>C48-C51</f>
        <v>446503.77599999995</v>
      </c>
      <c r="D54" s="30">
        <f aca="true" t="shared" si="27" ref="D54:V54">D48-D51</f>
        <v>570622.9519999999</v>
      </c>
      <c r="E54" s="30">
        <f t="shared" si="27"/>
        <v>169789.0644352</v>
      </c>
      <c r="F54" s="30">
        <f t="shared" si="27"/>
        <v>293908.2404352003</v>
      </c>
      <c r="G54" s="30">
        <f t="shared" si="27"/>
        <v>418027.4164351999</v>
      </c>
      <c r="H54" s="30">
        <f t="shared" si="27"/>
        <v>542146.5924351998</v>
      </c>
      <c r="I54" s="30">
        <f t="shared" si="27"/>
        <v>666265.7684352</v>
      </c>
      <c r="J54" s="30">
        <f t="shared" si="27"/>
        <v>790384.9444352002</v>
      </c>
      <c r="K54" s="30">
        <f t="shared" si="27"/>
        <v>914504.1204351999</v>
      </c>
      <c r="L54" s="30">
        <f t="shared" si="27"/>
        <v>-1082492.9074880003</v>
      </c>
      <c r="M54" s="30">
        <f t="shared" si="27"/>
        <v>-936470.347488</v>
      </c>
      <c r="N54" s="30">
        <f t="shared" si="27"/>
        <v>-790447.7874879998</v>
      </c>
      <c r="O54" s="30">
        <f t="shared" si="27"/>
        <v>-644425.2274880001</v>
      </c>
      <c r="P54" s="30">
        <f t="shared" si="27"/>
        <v>-568479.0674880003</v>
      </c>
      <c r="Q54" s="30">
        <f t="shared" si="27"/>
        <v>-562609.307488</v>
      </c>
      <c r="R54" s="30">
        <f t="shared" si="27"/>
        <v>-556739.5474880002</v>
      </c>
      <c r="S54" s="30">
        <f t="shared" si="27"/>
        <v>-550869.787488</v>
      </c>
      <c r="T54" s="30">
        <f t="shared" si="27"/>
        <v>-545000.0274880002</v>
      </c>
      <c r="U54" s="30">
        <f t="shared" si="27"/>
        <v>-539130.267488</v>
      </c>
      <c r="V54" s="31">
        <f t="shared" si="27"/>
        <v>-533260.5074880002</v>
      </c>
      <c r="W54" s="42"/>
      <c r="X54" s="23"/>
      <c r="Y54" s="23"/>
      <c r="Z54" s="23"/>
      <c r="AA54" s="23"/>
      <c r="AB54" s="23"/>
    </row>
    <row r="55" spans="1:28" s="85" customFormat="1" ht="15.75">
      <c r="A55" s="40"/>
      <c r="B55" s="40"/>
      <c r="C55" s="41"/>
      <c r="D55" s="41"/>
      <c r="E55" s="41"/>
      <c r="F55" s="42"/>
      <c r="G55" s="43"/>
      <c r="H55" s="41"/>
      <c r="I55" s="41"/>
      <c r="J55" s="41"/>
      <c r="K55" s="41"/>
      <c r="L55" s="41"/>
      <c r="M55" s="41"/>
      <c r="N55" s="41"/>
      <c r="O55" s="41"/>
      <c r="P55" s="41"/>
      <c r="Q55" s="44"/>
      <c r="R55" s="40"/>
      <c r="S55" s="44"/>
      <c r="T55" s="44"/>
      <c r="U55" s="44"/>
      <c r="V55" s="44"/>
      <c r="W55" s="88"/>
      <c r="X55" s="88"/>
      <c r="Y55" s="88"/>
      <c r="Z55" s="88"/>
      <c r="AA55" s="88"/>
      <c r="AB55" s="88"/>
    </row>
    <row r="56" spans="1:28" s="85" customFormat="1" ht="15.75">
      <c r="A56" s="45" t="s">
        <v>10</v>
      </c>
      <c r="B56" s="27">
        <f>B44-B30-B33</f>
        <v>0</v>
      </c>
      <c r="C56" s="27">
        <f>C44-C30-C33</f>
        <v>408970.7135999999</v>
      </c>
      <c r="D56" s="27">
        <f aca="true" t="shared" si="28" ref="D56:V56">D44-D30-D33</f>
        <v>490557.1199999999</v>
      </c>
      <c r="E56" s="27">
        <f t="shared" si="28"/>
        <v>18987.840512000024</v>
      </c>
      <c r="F56" s="27">
        <f t="shared" si="28"/>
        <v>165010.4005120003</v>
      </c>
      <c r="G56" s="27">
        <f t="shared" si="28"/>
        <v>311032.9605119999</v>
      </c>
      <c r="H56" s="27">
        <f t="shared" si="28"/>
        <v>457055.5205119997</v>
      </c>
      <c r="I56" s="27">
        <f t="shared" si="28"/>
        <v>603078.080512</v>
      </c>
      <c r="J56" s="27">
        <f t="shared" si="28"/>
        <v>749100.6405120002</v>
      </c>
      <c r="K56" s="27">
        <f t="shared" si="28"/>
        <v>895123.200512</v>
      </c>
      <c r="L56" s="27">
        <f t="shared" si="28"/>
        <v>-1263256.907488</v>
      </c>
      <c r="M56" s="27">
        <f>M44-M30-M33</f>
        <v>-1117234.347488</v>
      </c>
      <c r="N56" s="27">
        <f t="shared" si="28"/>
        <v>-971211.787488</v>
      </c>
      <c r="O56" s="27">
        <f t="shared" si="28"/>
        <v>-825189.2274880001</v>
      </c>
      <c r="P56" s="27">
        <f t="shared" si="28"/>
        <v>1119460.932512</v>
      </c>
      <c r="Q56" s="27">
        <f t="shared" si="28"/>
        <v>1125330.692512</v>
      </c>
      <c r="R56" s="27">
        <f t="shared" si="28"/>
        <v>1131200.4525119998</v>
      </c>
      <c r="S56" s="27">
        <f t="shared" si="28"/>
        <v>1137070.212512</v>
      </c>
      <c r="T56" s="27">
        <f t="shared" si="28"/>
        <v>1142939.9725119998</v>
      </c>
      <c r="U56" s="27">
        <f t="shared" si="28"/>
        <v>1148809.732512</v>
      </c>
      <c r="V56" s="27">
        <f t="shared" si="28"/>
        <v>1154679.4925119998</v>
      </c>
      <c r="W56" s="42"/>
      <c r="X56" s="23"/>
      <c r="Y56" s="23"/>
      <c r="Z56" s="23"/>
      <c r="AA56" s="23"/>
      <c r="AB56" s="23"/>
    </row>
    <row r="57" spans="1:28" s="85" customFormat="1" ht="15.75">
      <c r="A57" s="46" t="s">
        <v>11</v>
      </c>
      <c r="B57" s="22">
        <f>B44-B30-B33-B18</f>
        <v>0</v>
      </c>
      <c r="C57" s="22">
        <f>C44-C30-C33-C18</f>
        <v>344534.5599999999</v>
      </c>
      <c r="D57" s="22">
        <f aca="true" t="shared" si="29" ref="D57:V57">D44-D30-D33-D18</f>
        <v>490557.1199999999</v>
      </c>
      <c r="E57" s="22">
        <f t="shared" si="29"/>
        <v>18987.840512000024</v>
      </c>
      <c r="F57" s="22">
        <f t="shared" si="29"/>
        <v>165010.4005120003</v>
      </c>
      <c r="G57" s="22">
        <f t="shared" si="29"/>
        <v>311032.9605119999</v>
      </c>
      <c r="H57" s="22">
        <f t="shared" si="29"/>
        <v>457055.5205119997</v>
      </c>
      <c r="I57" s="22">
        <f t="shared" si="29"/>
        <v>603078.080512</v>
      </c>
      <c r="J57" s="22">
        <f t="shared" si="29"/>
        <v>749100.6405120002</v>
      </c>
      <c r="K57" s="22">
        <f t="shared" si="29"/>
        <v>895123.200512</v>
      </c>
      <c r="L57" s="22">
        <f t="shared" si="29"/>
        <v>-1263256.907488</v>
      </c>
      <c r="M57" s="22">
        <f t="shared" si="29"/>
        <v>-1117234.347488</v>
      </c>
      <c r="N57" s="22">
        <f t="shared" si="29"/>
        <v>-971211.787488</v>
      </c>
      <c r="O57" s="22">
        <f t="shared" si="29"/>
        <v>-825189.2274880001</v>
      </c>
      <c r="P57" s="22">
        <f t="shared" si="29"/>
        <v>1119460.932512</v>
      </c>
      <c r="Q57" s="22">
        <f t="shared" si="29"/>
        <v>1125330.692512</v>
      </c>
      <c r="R57" s="22">
        <f t="shared" si="29"/>
        <v>1131200.4525119998</v>
      </c>
      <c r="S57" s="22">
        <f t="shared" si="29"/>
        <v>1137070.212512</v>
      </c>
      <c r="T57" s="22">
        <f t="shared" si="29"/>
        <v>1142939.9725119998</v>
      </c>
      <c r="U57" s="22">
        <f t="shared" si="29"/>
        <v>1148809.732512</v>
      </c>
      <c r="V57" s="22">
        <f t="shared" si="29"/>
        <v>1154679.4925119998</v>
      </c>
      <c r="W57" s="42"/>
      <c r="X57" s="23"/>
      <c r="Y57" s="23"/>
      <c r="Z57" s="23"/>
      <c r="AA57" s="23"/>
      <c r="AB57" s="23"/>
    </row>
    <row r="58" spans="1:28" s="85" customFormat="1" ht="15.75">
      <c r="A58" s="47"/>
      <c r="B58" s="47"/>
      <c r="C58" s="41"/>
      <c r="D58" s="41"/>
      <c r="E58" s="41"/>
      <c r="F58" s="41"/>
      <c r="G58" s="41"/>
      <c r="H58" s="41"/>
      <c r="I58" s="41"/>
      <c r="J58" s="41"/>
      <c r="K58" s="41"/>
      <c r="L58" s="41"/>
      <c r="M58" s="41"/>
      <c r="N58" s="41"/>
      <c r="O58" s="41"/>
      <c r="P58" s="41"/>
      <c r="Q58" s="32"/>
      <c r="R58" s="47"/>
      <c r="S58" s="32"/>
      <c r="T58" s="32"/>
      <c r="U58" s="32"/>
      <c r="V58" s="32"/>
      <c r="W58" s="23"/>
      <c r="X58" s="23"/>
      <c r="Y58" s="23"/>
      <c r="Z58" s="23"/>
      <c r="AA58" s="23"/>
      <c r="AB58" s="23"/>
    </row>
    <row r="59" spans="1:28" s="85" customFormat="1" ht="15.75">
      <c r="A59" s="45" t="s">
        <v>12</v>
      </c>
      <c r="B59" s="27">
        <f>+B56</f>
        <v>0</v>
      </c>
      <c r="C59" s="27">
        <f>+C56+B59</f>
        <v>408970.7135999999</v>
      </c>
      <c r="D59" s="27">
        <f>+D56+C59</f>
        <v>899527.8335999998</v>
      </c>
      <c r="E59" s="27">
        <f>+E56+D59</f>
        <v>918515.6741119998</v>
      </c>
      <c r="F59" s="27">
        <f aca="true" t="shared" si="30" ref="F59:U59">F56+E59</f>
        <v>1083526.0746240001</v>
      </c>
      <c r="G59" s="27">
        <f t="shared" si="30"/>
        <v>1394559.035136</v>
      </c>
      <c r="H59" s="27">
        <f t="shared" si="30"/>
        <v>1851614.5556479997</v>
      </c>
      <c r="I59" s="27">
        <f t="shared" si="30"/>
        <v>2454692.6361599998</v>
      </c>
      <c r="J59" s="27">
        <f t="shared" si="30"/>
        <v>3203793.276672</v>
      </c>
      <c r="K59" s="27">
        <f t="shared" si="30"/>
        <v>4098916.477184</v>
      </c>
      <c r="L59" s="27">
        <f t="shared" si="30"/>
        <v>2835659.569696</v>
      </c>
      <c r="M59" s="27">
        <f t="shared" si="30"/>
        <v>1718425.2222079998</v>
      </c>
      <c r="N59" s="27">
        <f t="shared" si="30"/>
        <v>747213.4347199998</v>
      </c>
      <c r="O59" s="27">
        <f t="shared" si="30"/>
        <v>-77975.79276800028</v>
      </c>
      <c r="P59" s="27">
        <f t="shared" si="30"/>
        <v>1041485.1397439997</v>
      </c>
      <c r="Q59" s="27">
        <f t="shared" si="30"/>
        <v>2166815.8322559996</v>
      </c>
      <c r="R59" s="27">
        <f t="shared" si="30"/>
        <v>3298016.2847679993</v>
      </c>
      <c r="S59" s="27">
        <f t="shared" si="30"/>
        <v>4435086.49728</v>
      </c>
      <c r="T59" s="27">
        <f t="shared" si="30"/>
        <v>5578026.469791999</v>
      </c>
      <c r="U59" s="27">
        <f t="shared" si="30"/>
        <v>6726836.202303999</v>
      </c>
      <c r="V59" s="28">
        <f>V56+U59</f>
        <v>7881515.694815999</v>
      </c>
      <c r="W59" s="42"/>
      <c r="X59" s="23"/>
      <c r="Y59" s="23"/>
      <c r="Z59" s="23"/>
      <c r="AA59" s="23"/>
      <c r="AB59" s="23"/>
    </row>
    <row r="60" spans="1:28" s="85" customFormat="1" ht="15.75">
      <c r="A60" s="46" t="s">
        <v>13</v>
      </c>
      <c r="B60" s="30">
        <f>+B57</f>
        <v>0</v>
      </c>
      <c r="C60" s="22">
        <f>C57+B60</f>
        <v>344534.5599999999</v>
      </c>
      <c r="D60" s="22">
        <f>D57+C60</f>
        <v>835091.6799999997</v>
      </c>
      <c r="E60" s="22">
        <f aca="true" t="shared" si="31" ref="E60:V60">E57+D60</f>
        <v>854079.5205119997</v>
      </c>
      <c r="F60" s="22">
        <f t="shared" si="31"/>
        <v>1019089.921024</v>
      </c>
      <c r="G60" s="22">
        <f t="shared" si="31"/>
        <v>1330122.881536</v>
      </c>
      <c r="H60" s="22">
        <f t="shared" si="31"/>
        <v>1787178.4020479997</v>
      </c>
      <c r="I60" s="22">
        <f t="shared" si="31"/>
        <v>2390256.4825599995</v>
      </c>
      <c r="J60" s="22">
        <f t="shared" si="31"/>
        <v>3139357.1230719998</v>
      </c>
      <c r="K60" s="22">
        <f t="shared" si="31"/>
        <v>4034480.3235839996</v>
      </c>
      <c r="L60" s="22">
        <f t="shared" si="31"/>
        <v>2771223.4160959995</v>
      </c>
      <c r="M60" s="22">
        <f t="shared" si="31"/>
        <v>1653989.0686079995</v>
      </c>
      <c r="N60" s="22">
        <f t="shared" si="31"/>
        <v>682777.2811199995</v>
      </c>
      <c r="O60" s="22">
        <f t="shared" si="31"/>
        <v>-142411.9463680006</v>
      </c>
      <c r="P60" s="22">
        <f t="shared" si="31"/>
        <v>977048.9861439994</v>
      </c>
      <c r="Q60" s="22">
        <f t="shared" si="31"/>
        <v>2102379.6786559992</v>
      </c>
      <c r="R60" s="22">
        <f t="shared" si="31"/>
        <v>3233580.131167999</v>
      </c>
      <c r="S60" s="22">
        <f t="shared" si="31"/>
        <v>4370650.343679999</v>
      </c>
      <c r="T60" s="22">
        <f t="shared" si="31"/>
        <v>5513590.316191999</v>
      </c>
      <c r="U60" s="22">
        <f t="shared" si="31"/>
        <v>6662400.048703999</v>
      </c>
      <c r="V60" s="48">
        <f t="shared" si="31"/>
        <v>7817079.541215999</v>
      </c>
      <c r="W60" s="42"/>
      <c r="X60" s="23"/>
      <c r="Y60" s="23"/>
      <c r="Z60" s="23"/>
      <c r="AA60" s="23"/>
      <c r="AB60" s="23"/>
    </row>
    <row r="61" spans="1:28" s="85" customFormat="1" ht="15.75">
      <c r="A61" s="44"/>
      <c r="B61" s="44"/>
      <c r="C61" s="41"/>
      <c r="D61" s="41"/>
      <c r="E61" s="41"/>
      <c r="F61" s="42"/>
      <c r="G61" s="43"/>
      <c r="H61" s="41"/>
      <c r="I61" s="41"/>
      <c r="J61" s="41"/>
      <c r="K61" s="41"/>
      <c r="L61" s="41"/>
      <c r="M61" s="41"/>
      <c r="N61" s="41"/>
      <c r="O61" s="41"/>
      <c r="P61" s="41"/>
      <c r="Q61" s="44"/>
      <c r="R61" s="44"/>
      <c r="S61" s="44"/>
      <c r="T61" s="44"/>
      <c r="U61" s="44"/>
      <c r="V61" s="44"/>
      <c r="W61" s="88"/>
      <c r="X61" s="88"/>
      <c r="Y61" s="88"/>
      <c r="Z61" s="88"/>
      <c r="AA61" s="88"/>
      <c r="AB61" s="88"/>
    </row>
    <row r="62" spans="1:28" s="85" customFormat="1" ht="15.75">
      <c r="A62" s="44"/>
      <c r="B62" s="44"/>
      <c r="C62" s="41"/>
      <c r="D62" s="41"/>
      <c r="E62" s="41"/>
      <c r="F62" s="42"/>
      <c r="G62" s="43"/>
      <c r="H62" s="41"/>
      <c r="I62" s="41"/>
      <c r="J62" s="41"/>
      <c r="K62" s="41"/>
      <c r="L62" s="41"/>
      <c r="M62" s="41"/>
      <c r="N62" s="41"/>
      <c r="O62" s="41"/>
      <c r="P62" s="41"/>
      <c r="Q62" s="44"/>
      <c r="R62" s="44"/>
      <c r="S62" s="44"/>
      <c r="T62" s="44"/>
      <c r="U62" s="44"/>
      <c r="V62" s="44"/>
      <c r="W62" s="88"/>
      <c r="X62" s="88"/>
      <c r="Y62" s="88"/>
      <c r="Z62" s="88"/>
      <c r="AA62" s="88"/>
      <c r="AB62" s="88"/>
    </row>
    <row r="63" spans="2:28" s="85" customFormat="1" ht="15.75">
      <c r="B63" s="59">
        <f>-B10</f>
        <v>-33758800</v>
      </c>
      <c r="C63" s="53">
        <f>C44-C50</f>
        <v>3941124.50656</v>
      </c>
      <c r="D63" s="53">
        <f>D44-D50</f>
        <v>3870320.152</v>
      </c>
      <c r="E63" s="53">
        <f>E44-E50</f>
        <v>3329333.4644351997</v>
      </c>
      <c r="F63" s="53">
        <f>F44-F50</f>
        <v>3313299.8404352</v>
      </c>
      <c r="G63" s="53">
        <f>G44-G50</f>
        <v>3297266.2164352</v>
      </c>
      <c r="H63" s="53">
        <f aca="true" t="shared" si="32" ref="G63:R64">H44-H50</f>
        <v>3281232.5924352</v>
      </c>
      <c r="I63" s="53">
        <f t="shared" si="32"/>
        <v>3265198.9684352</v>
      </c>
      <c r="J63" s="53">
        <f t="shared" si="32"/>
        <v>3249165.3444352</v>
      </c>
      <c r="K63" s="53">
        <f t="shared" si="32"/>
        <v>3233131.7204352</v>
      </c>
      <c r="L63" s="53">
        <f t="shared" si="32"/>
        <v>1095981.892512</v>
      </c>
      <c r="M63" s="53">
        <f t="shared" si="32"/>
        <v>1101851.652512</v>
      </c>
      <c r="N63" s="53">
        <f>N44-N50</f>
        <v>1107721.412512</v>
      </c>
      <c r="O63" s="53">
        <f aca="true" t="shared" si="33" ref="O63:V64">O44-O50</f>
        <v>1113591.172512</v>
      </c>
      <c r="P63" s="53">
        <f t="shared" si="33"/>
        <v>1119460.932512</v>
      </c>
      <c r="Q63" s="53">
        <f t="shared" si="33"/>
        <v>1125330.692512</v>
      </c>
      <c r="R63" s="53">
        <f t="shared" si="33"/>
        <v>1131200.4525119998</v>
      </c>
      <c r="S63" s="53">
        <f t="shared" si="33"/>
        <v>1137070.212512</v>
      </c>
      <c r="T63" s="53">
        <f t="shared" si="33"/>
        <v>1142939.9725119998</v>
      </c>
      <c r="U63" s="53">
        <f t="shared" si="33"/>
        <v>1148809.732512</v>
      </c>
      <c r="V63" s="53">
        <f t="shared" si="33"/>
        <v>1154679.4925119998</v>
      </c>
      <c r="W63" s="42"/>
      <c r="X63" s="23"/>
      <c r="Y63" s="23"/>
      <c r="Z63" s="23"/>
      <c r="AA63" s="23"/>
      <c r="AB63" s="23"/>
    </row>
    <row r="64" spans="2:28" s="85" customFormat="1" ht="15.75">
      <c r="B64" s="103">
        <f>+B63</f>
        <v>-33758800</v>
      </c>
      <c r="C64" s="54">
        <f>C45-C51</f>
        <v>3886353.776</v>
      </c>
      <c r="D64" s="54">
        <f>D45-D51</f>
        <v>3870320.152</v>
      </c>
      <c r="E64" s="54">
        <f>E45-E51</f>
        <v>3329333.4644351997</v>
      </c>
      <c r="F64" s="54">
        <f>F45-F51</f>
        <v>3313299.8404352</v>
      </c>
      <c r="G64" s="54">
        <f t="shared" si="32"/>
        <v>3297266.2164352</v>
      </c>
      <c r="H64" s="54">
        <f t="shared" si="32"/>
        <v>3281232.5924352</v>
      </c>
      <c r="I64" s="54">
        <f>I45-I51</f>
        <v>3265198.9684352</v>
      </c>
      <c r="J64" s="54">
        <f t="shared" si="32"/>
        <v>3249165.3444352</v>
      </c>
      <c r="K64" s="54">
        <f t="shared" si="32"/>
        <v>3233131.7204352</v>
      </c>
      <c r="L64" s="54">
        <f t="shared" si="32"/>
        <v>1095981.892512</v>
      </c>
      <c r="M64" s="54">
        <f t="shared" si="32"/>
        <v>1101851.652512</v>
      </c>
      <c r="N64" s="54">
        <f t="shared" si="32"/>
        <v>1107721.412512</v>
      </c>
      <c r="O64" s="54">
        <f t="shared" si="32"/>
        <v>1113591.172512</v>
      </c>
      <c r="P64" s="54">
        <f t="shared" si="32"/>
        <v>1119460.932512</v>
      </c>
      <c r="Q64" s="54">
        <f t="shared" si="32"/>
        <v>1125330.692512</v>
      </c>
      <c r="R64" s="54">
        <f t="shared" si="32"/>
        <v>1131200.4525119998</v>
      </c>
      <c r="S64" s="54">
        <f t="shared" si="33"/>
        <v>1137070.212512</v>
      </c>
      <c r="T64" s="54">
        <f t="shared" si="33"/>
        <v>1142939.9725119998</v>
      </c>
      <c r="U64" s="54">
        <f t="shared" si="33"/>
        <v>1148809.732512</v>
      </c>
      <c r="V64" s="54">
        <f t="shared" si="33"/>
        <v>1154679.4925119998</v>
      </c>
      <c r="W64" s="42"/>
      <c r="X64" s="23"/>
      <c r="Y64" s="23"/>
      <c r="Z64" s="23"/>
      <c r="AA64" s="23"/>
      <c r="AB64" s="23"/>
    </row>
    <row r="65" spans="1:28" s="85" customFormat="1" ht="16.5" thickBot="1">
      <c r="A65" s="49"/>
      <c r="B65" s="49"/>
      <c r="C65" s="54"/>
      <c r="D65" s="54"/>
      <c r="E65" s="54"/>
      <c r="F65" s="54"/>
      <c r="G65" s="54"/>
      <c r="H65" s="54"/>
      <c r="I65" s="54"/>
      <c r="J65" s="54"/>
      <c r="K65" s="54"/>
      <c r="L65" s="54"/>
      <c r="M65" s="54"/>
      <c r="N65" s="54"/>
      <c r="O65" s="54"/>
      <c r="P65" s="54"/>
      <c r="Q65" s="55"/>
      <c r="R65" s="55"/>
      <c r="S65" s="55"/>
      <c r="T65" s="55"/>
      <c r="U65" s="55"/>
      <c r="V65" s="55"/>
      <c r="W65" s="23"/>
      <c r="X65" s="32"/>
      <c r="Y65" s="32"/>
      <c r="Z65" s="32"/>
      <c r="AA65" s="32"/>
      <c r="AB65" s="32"/>
    </row>
    <row r="66" spans="1:29" s="85" customFormat="1" ht="16.5" thickBot="1">
      <c r="A66" s="50" t="s">
        <v>14</v>
      </c>
      <c r="B66" s="51" t="e">
        <f>IRR($B63:B$63,-50)</f>
        <v>#VALUE!</v>
      </c>
      <c r="C66" s="51" t="e">
        <f>IRR($B63:C$63,-50)</f>
        <v>#VALUE!</v>
      </c>
      <c r="D66" s="51" t="e">
        <f>IRR($B63:D$63,-50)</f>
        <v>#VALUE!</v>
      </c>
      <c r="E66" s="51">
        <f>IRR($B63:E$63,)</f>
        <v>-0.4080857530624923</v>
      </c>
      <c r="F66" s="51">
        <f>IRR($B63:F$63)</f>
        <v>-0.2767615048709612</v>
      </c>
      <c r="G66" s="51">
        <f>IRR($B63:G$63)</f>
        <v>-0.18694717633017421</v>
      </c>
      <c r="H66" s="51">
        <f>IRR($B63:H$63)</f>
        <v>-0.12388789945968426</v>
      </c>
      <c r="I66" s="51">
        <f>IRR($B63:I$63)</f>
        <v>-0.07828324052534863</v>
      </c>
      <c r="J66" s="51">
        <f>IRR($B63:J$63)</f>
        <v>-0.04440526568830727</v>
      </c>
      <c r="K66" s="51">
        <f>IRR($B63:K$63)</f>
        <v>-0.018649371959506333</v>
      </c>
      <c r="L66" s="51">
        <f>IRR($B63:L$63)</f>
        <v>-0.011272272049292376</v>
      </c>
      <c r="M66" s="51">
        <f>IRR($B63:M$63)</f>
        <v>-0.004457850332634905</v>
      </c>
      <c r="N66" s="51">
        <f>IRR($B63:N$63)</f>
        <v>0.0017755086806963138</v>
      </c>
      <c r="O66" s="51">
        <f>IRR($B63:O$63)</f>
        <v>0.007438197394030066</v>
      </c>
      <c r="P66" s="51">
        <f>IRR($B63:P$63)</f>
        <v>0.012558865125690932</v>
      </c>
      <c r="Q66" s="51">
        <f>IRR($B63:Q$63)</f>
        <v>0.017176263958840643</v>
      </c>
      <c r="R66" s="51">
        <f>IRR($B63:R$63)</f>
        <v>0.021333519458486272</v>
      </c>
      <c r="S66" s="51">
        <f>IRR($B63:S$63)</f>
        <v>0.02507440786237014</v>
      </c>
      <c r="T66" s="51">
        <f>IRR($B63:T$63)</f>
        <v>0.028441115410373863</v>
      </c>
      <c r="U66" s="51">
        <f>IRR($B63:U$63)</f>
        <v>0.031473015234171564</v>
      </c>
      <c r="V66" s="128">
        <f>IRR($B63:V$63)</f>
        <v>0.034206105398775</v>
      </c>
      <c r="W66" s="89"/>
      <c r="X66" s="89"/>
      <c r="Y66" s="89"/>
      <c r="Z66" s="89"/>
      <c r="AA66" s="90"/>
      <c r="AB66" s="91"/>
      <c r="AC66" s="92"/>
    </row>
    <row r="67" spans="1:22" ht="12.75">
      <c r="A67" s="52" t="s">
        <v>15</v>
      </c>
      <c r="B67" s="124" t="e">
        <f>IRR($B$64:B64,-50)</f>
        <v>#VALUE!</v>
      </c>
      <c r="C67" s="124" t="e">
        <f>IRR($B$64:C64,-50)</f>
        <v>#VALUE!</v>
      </c>
      <c r="D67" s="124" t="e">
        <f>IRR($B$64:D64,-30)</f>
        <v>#VALUE!</v>
      </c>
      <c r="E67" s="124">
        <f>IRR($B$64:E64,)</f>
        <v>-0.4087972042957959</v>
      </c>
      <c r="F67" s="124">
        <f>IRR($B$64:F64,)</f>
        <v>-0.2773369895757749</v>
      </c>
      <c r="G67" s="124">
        <f>IRR($B$64:G64,)</f>
        <v>-0.18743634234383277</v>
      </c>
      <c r="H67" s="124">
        <f>IRR($B$64:H64,)</f>
        <v>-0.12431742378135169</v>
      </c>
      <c r="I67" s="124">
        <f>IRR($B$64:I64,)</f>
        <v>-0.07866906011659702</v>
      </c>
      <c r="J67" s="124">
        <f>IRR($B$64:J64,)</f>
        <v>-0.0447576772163184</v>
      </c>
      <c r="K67" s="124">
        <f>IRR($B$64:K64,)</f>
        <v>-0.018975425544434432</v>
      </c>
      <c r="L67" s="124">
        <f>IRR($B$64:L64,)</f>
        <v>-0.011589810894309438</v>
      </c>
      <c r="M67" s="124">
        <f>IRR($B$64:M64,)</f>
        <v>-0.004766189601587589</v>
      </c>
      <c r="N67" s="124">
        <f>IRR($B$64:N64,)</f>
        <v>0.0014765994500192114</v>
      </c>
      <c r="O67" s="124">
        <f>IRR($B$64:O64,)</f>
        <v>0.007148627634186777</v>
      </c>
      <c r="P67" s="124">
        <f>IRR($B$64:P64,)</f>
        <v>0.012278335326301626</v>
      </c>
      <c r="Q67" s="124">
        <f>IRR($B$64:Q64,)</f>
        <v>0.01690435054472328</v>
      </c>
      <c r="R67" s="124">
        <f>IRR($B$64:R64,)</f>
        <v>0.02106973470384932</v>
      </c>
      <c r="S67" s="124">
        <f>IRR($B$64:S64,)</f>
        <v>0.024818239975026524</v>
      </c>
      <c r="T67" s="124">
        <f>IRR($B$64:T64,)</f>
        <v>0.028192054088197693</v>
      </c>
      <c r="U67" s="124">
        <f>IRR($B$64:U64,)</f>
        <v>0.03123056711375405</v>
      </c>
      <c r="V67" s="124">
        <f>IRR($B$64:V64)</f>
        <v>0.03396980272497263</v>
      </c>
    </row>
    <row r="68" spans="1:29" s="85" customFormat="1" ht="15.75">
      <c r="A68" s="52"/>
      <c r="B68" s="52"/>
      <c r="C68" s="54"/>
      <c r="D68" s="54"/>
      <c r="E68" s="54"/>
      <c r="F68" s="56"/>
      <c r="G68" s="57"/>
      <c r="H68" s="54"/>
      <c r="I68" s="54"/>
      <c r="J68" s="54"/>
      <c r="K68" s="54"/>
      <c r="L68" s="54"/>
      <c r="M68" s="54"/>
      <c r="N68" s="54"/>
      <c r="O68" s="54"/>
      <c r="P68" s="54"/>
      <c r="Q68" s="58"/>
      <c r="R68" s="58"/>
      <c r="S68" s="58"/>
      <c r="T68" s="58"/>
      <c r="U68" s="58"/>
      <c r="V68" s="58"/>
      <c r="W68" s="88"/>
      <c r="X68" s="88"/>
      <c r="Y68" s="88"/>
      <c r="Z68" s="88"/>
      <c r="AA68" s="88"/>
      <c r="AB68" s="88"/>
      <c r="AC68" s="92"/>
    </row>
    <row r="69" spans="1:29" s="85" customFormat="1" ht="15.75">
      <c r="A69" s="52"/>
      <c r="B69" s="52"/>
      <c r="C69" s="54"/>
      <c r="D69" s="54"/>
      <c r="E69" s="54"/>
      <c r="F69" s="56"/>
      <c r="G69" s="57"/>
      <c r="H69" s="54"/>
      <c r="I69" s="54"/>
      <c r="J69" s="54"/>
      <c r="K69" s="54"/>
      <c r="L69" s="54"/>
      <c r="M69" s="54"/>
      <c r="N69" s="54"/>
      <c r="O69" s="54"/>
      <c r="P69" s="54"/>
      <c r="Q69" s="58"/>
      <c r="R69" s="58"/>
      <c r="S69" s="58"/>
      <c r="T69" s="58"/>
      <c r="U69" s="58"/>
      <c r="V69" s="58"/>
      <c r="W69" s="88"/>
      <c r="X69" s="88"/>
      <c r="Y69" s="88"/>
      <c r="Z69" s="88"/>
      <c r="AA69" s="88"/>
      <c r="AB69" s="88"/>
      <c r="AC69" s="92"/>
    </row>
  </sheetData>
  <sheetProtection/>
  <printOptions/>
  <pageMargins left="0.17" right="0.15748031496062992" top="0.984251968503937" bottom="0.3937007874015748" header="0.5118110236220472" footer="0.15748031496062992"/>
  <pageSetup fitToHeight="0" fitToWidth="1" horizontalDpi="600" verticalDpi="600" orientation="landscape" paperSize="9" scale="47" r:id="rId3"/>
  <ignoredErrors>
    <ignoredError sqref="C39:D39 M17:V18 W19:W20 W17 E39:U40 V39 F17:K19 L18:L19" unlockedFormula="1"/>
    <ignoredError sqref="C19:E19 D17:E17" numberStoredAsText="1" unlockedFormula="1"/>
    <ignoredError sqref="C15:E15 F15:V15" numberStoredAsText="1"/>
  </ignoredErrors>
  <legacyDrawing r:id="rId2"/>
</worksheet>
</file>

<file path=xl/worksheets/sheet3.xml><?xml version="1.0" encoding="utf-8"?>
<worksheet xmlns="http://schemas.openxmlformats.org/spreadsheetml/2006/main" xmlns:r="http://schemas.openxmlformats.org/officeDocument/2006/relationships">
  <dimension ref="C2:J24"/>
  <sheetViews>
    <sheetView zoomScale="75" zoomScaleNormal="75" zoomScalePageLayoutView="0" workbookViewId="0" topLeftCell="A1">
      <selection activeCell="P14" sqref="P14"/>
    </sheetView>
  </sheetViews>
  <sheetFormatPr defaultColWidth="9.140625" defaultRowHeight="12.75"/>
  <cols>
    <col min="4" max="4" width="24.140625" style="0" customWidth="1"/>
    <col min="5" max="5" width="12.00390625" style="0" customWidth="1"/>
    <col min="6" max="8" width="11.28125" style="0" bestFit="1" customWidth="1"/>
    <col min="9" max="9" width="11.140625" style="0" customWidth="1"/>
  </cols>
  <sheetData>
    <row r="2" spans="3:10" ht="12.75">
      <c r="C2" s="129"/>
      <c r="D2" s="60" t="s">
        <v>55</v>
      </c>
      <c r="E2" s="61"/>
      <c r="F2" s="62"/>
      <c r="G2" s="62"/>
      <c r="H2" s="62"/>
      <c r="I2" s="62"/>
      <c r="J2" s="62"/>
    </row>
    <row r="3" spans="3:10" ht="12.75">
      <c r="C3" s="129"/>
      <c r="D3" s="60"/>
      <c r="E3" s="61"/>
      <c r="F3" s="62"/>
      <c r="G3" s="62"/>
      <c r="H3" s="62"/>
      <c r="I3" s="62"/>
      <c r="J3" s="62"/>
    </row>
    <row r="4" spans="3:10" ht="12.75">
      <c r="C4" s="129"/>
      <c r="D4" s="60"/>
      <c r="E4" s="61"/>
      <c r="F4" s="62"/>
      <c r="G4" s="62"/>
      <c r="H4" s="62"/>
      <c r="I4" s="62"/>
      <c r="J4" s="62"/>
    </row>
    <row r="5" spans="3:10" ht="15">
      <c r="C5" s="130"/>
      <c r="D5" s="63" t="s">
        <v>105</v>
      </c>
      <c r="E5" s="64">
        <v>-0.2</v>
      </c>
      <c r="F5" s="64">
        <v>-0.1</v>
      </c>
      <c r="G5" s="65">
        <v>0</v>
      </c>
      <c r="H5" s="64">
        <v>0.1</v>
      </c>
      <c r="I5" s="64">
        <v>0.2</v>
      </c>
      <c r="J5" s="5"/>
    </row>
    <row r="6" spans="3:10" ht="15">
      <c r="C6" s="130"/>
      <c r="D6" s="66" t="s">
        <v>108</v>
      </c>
      <c r="E6" s="186">
        <f>($G$6*E5)+$G$6</f>
        <v>116.32000000000001</v>
      </c>
      <c r="F6" s="186">
        <f>($G$6*F5)+$G$6</f>
        <v>130.86</v>
      </c>
      <c r="G6" s="182">
        <f>+IRR!B5*1000</f>
        <v>145.4</v>
      </c>
      <c r="H6" s="186">
        <f>($G$6*H5)+$G$6</f>
        <v>159.94</v>
      </c>
      <c r="I6" s="186">
        <f>($G$6*I5)+$G$6</f>
        <v>174.48000000000002</v>
      </c>
      <c r="J6" s="5"/>
    </row>
    <row r="7" spans="3:10" ht="15">
      <c r="C7" s="130"/>
      <c r="D7" s="66" t="s">
        <v>60</v>
      </c>
      <c r="E7" s="131">
        <v>1.95</v>
      </c>
      <c r="F7" s="68">
        <v>2.74</v>
      </c>
      <c r="G7" s="67">
        <f>+IRR!V66*100</f>
        <v>3.4206105398775</v>
      </c>
      <c r="H7" s="68">
        <v>4.03</v>
      </c>
      <c r="I7" s="68">
        <v>4.59</v>
      </c>
      <c r="J7" s="5"/>
    </row>
    <row r="8" spans="3:10" ht="12.75">
      <c r="C8" s="129"/>
      <c r="D8" s="60"/>
      <c r="E8" s="61"/>
      <c r="F8" s="62"/>
      <c r="G8" s="62"/>
      <c r="H8" s="62"/>
      <c r="I8" s="62"/>
      <c r="J8" s="62"/>
    </row>
    <row r="9" spans="3:10" ht="12.75">
      <c r="C9" s="129"/>
      <c r="D9" s="6"/>
      <c r="E9" s="61"/>
      <c r="F9" s="62"/>
      <c r="G9" s="62"/>
      <c r="H9" s="62"/>
      <c r="I9" s="62"/>
      <c r="J9" s="62"/>
    </row>
    <row r="10" spans="3:10" ht="15">
      <c r="C10" s="130"/>
      <c r="D10" s="63" t="s">
        <v>56</v>
      </c>
      <c r="E10" s="64">
        <v>-0.2</v>
      </c>
      <c r="F10" s="64">
        <v>-0.1</v>
      </c>
      <c r="G10" s="65">
        <v>0</v>
      </c>
      <c r="H10" s="64">
        <v>0.1</v>
      </c>
      <c r="I10" s="64">
        <v>0.2</v>
      </c>
      <c r="J10" s="5"/>
    </row>
    <row r="11" spans="3:10" ht="15">
      <c r="C11" s="130"/>
      <c r="D11" s="66" t="s">
        <v>57</v>
      </c>
      <c r="E11" s="175">
        <f>($G$11*E10)+$G$11</f>
        <v>11924.464</v>
      </c>
      <c r="F11" s="175">
        <f>($G$11*F10)+$G$11</f>
        <v>13415.022</v>
      </c>
      <c r="G11" s="176">
        <f>+IRR!B6</f>
        <v>14905.58</v>
      </c>
      <c r="H11" s="175">
        <f>($G$11*H10)+$G$11</f>
        <v>16396.138</v>
      </c>
      <c r="I11" s="175">
        <f>($G$11*I10)+$G$11</f>
        <v>17886.696</v>
      </c>
      <c r="J11" s="5"/>
    </row>
    <row r="12" spans="3:10" ht="15">
      <c r="C12" s="130"/>
      <c r="D12" s="66" t="s">
        <v>60</v>
      </c>
      <c r="E12" s="131">
        <v>-0.16</v>
      </c>
      <c r="F12" s="68">
        <v>1.73</v>
      </c>
      <c r="G12" s="67">
        <f>+G7</f>
        <v>3.4206105398775</v>
      </c>
      <c r="H12" s="68">
        <v>5</v>
      </c>
      <c r="I12" s="68">
        <v>6.52</v>
      </c>
      <c r="J12" s="5"/>
    </row>
    <row r="13" spans="3:10" ht="15">
      <c r="C13" s="130"/>
      <c r="D13" s="69"/>
      <c r="E13" s="69"/>
      <c r="F13" s="69"/>
      <c r="G13" s="69"/>
      <c r="H13" s="69"/>
      <c r="I13" s="69"/>
      <c r="J13" s="5"/>
    </row>
    <row r="14" spans="3:10" ht="15">
      <c r="C14" s="130"/>
      <c r="D14" s="70" t="s">
        <v>58</v>
      </c>
      <c r="E14" s="64">
        <v>-0.2</v>
      </c>
      <c r="F14" s="64">
        <v>-0.1</v>
      </c>
      <c r="G14" s="71">
        <v>0</v>
      </c>
      <c r="H14" s="64">
        <v>0.1</v>
      </c>
      <c r="I14" s="64">
        <v>0.2</v>
      </c>
      <c r="J14" s="5"/>
    </row>
    <row r="15" spans="3:10" ht="15">
      <c r="C15" s="130"/>
      <c r="D15" s="72" t="s">
        <v>59</v>
      </c>
      <c r="E15" s="68">
        <f>($G$15*E14)+$G$15</f>
        <v>6.4</v>
      </c>
      <c r="F15" s="68">
        <f>($G$15*F14)+$G$15</f>
        <v>7.2</v>
      </c>
      <c r="G15" s="73">
        <v>8</v>
      </c>
      <c r="H15" s="68">
        <f>($G$15*H14)+$G$15</f>
        <v>8.8</v>
      </c>
      <c r="I15" s="68">
        <f>($G$15*I14)+$G$15</f>
        <v>9.6</v>
      </c>
      <c r="J15" s="5"/>
    </row>
    <row r="16" spans="3:10" ht="15">
      <c r="C16" s="130"/>
      <c r="D16" s="66" t="s">
        <v>60</v>
      </c>
      <c r="E16" s="76">
        <v>3.42</v>
      </c>
      <c r="F16" s="77">
        <v>3.42</v>
      </c>
      <c r="G16" s="67">
        <f>+G7</f>
        <v>3.4206105398775</v>
      </c>
      <c r="H16" s="77">
        <v>3.42</v>
      </c>
      <c r="I16" s="77">
        <v>3.43</v>
      </c>
      <c r="J16" s="5"/>
    </row>
    <row r="17" spans="3:10" ht="15">
      <c r="C17" s="130"/>
      <c r="D17" s="74"/>
      <c r="E17" s="75"/>
      <c r="F17" s="5"/>
      <c r="G17" s="5"/>
      <c r="H17" s="5"/>
      <c r="I17" s="5"/>
      <c r="J17" s="5"/>
    </row>
    <row r="19" ht="13.5" thickBot="1"/>
    <row r="20" spans="4:9" ht="15.75" thickBot="1">
      <c r="D20" s="132"/>
      <c r="E20" s="133">
        <v>-0.2</v>
      </c>
      <c r="F20" s="133">
        <v>-0.1</v>
      </c>
      <c r="G20" s="133">
        <v>0</v>
      </c>
      <c r="H20" s="133">
        <v>0.1</v>
      </c>
      <c r="I20" s="133">
        <v>0.2</v>
      </c>
    </row>
    <row r="21" spans="4:10" ht="15.75" thickBot="1">
      <c r="D21" s="134" t="s">
        <v>107</v>
      </c>
      <c r="E21" s="135">
        <f>+E7</f>
        <v>1.95</v>
      </c>
      <c r="F21" s="135">
        <f>+F7</f>
        <v>2.74</v>
      </c>
      <c r="G21" s="135">
        <f>+G7</f>
        <v>3.4206105398775</v>
      </c>
      <c r="H21" s="135">
        <f>+H7</f>
        <v>4.03</v>
      </c>
      <c r="I21" s="135">
        <f>+I7</f>
        <v>4.59</v>
      </c>
      <c r="J21" t="s">
        <v>81</v>
      </c>
    </row>
    <row r="22" spans="4:10" ht="15.75" thickBot="1">
      <c r="D22" s="134" t="s">
        <v>75</v>
      </c>
      <c r="E22" s="135">
        <f>+E12</f>
        <v>-0.16</v>
      </c>
      <c r="F22" s="135">
        <f>+F12</f>
        <v>1.73</v>
      </c>
      <c r="G22" s="135">
        <f>+G12</f>
        <v>3.4206105398775</v>
      </c>
      <c r="H22" s="135">
        <f>+H12</f>
        <v>5</v>
      </c>
      <c r="I22" s="135">
        <f>+I12</f>
        <v>6.52</v>
      </c>
      <c r="J22" t="s">
        <v>78</v>
      </c>
    </row>
    <row r="23" spans="4:10" ht="15.75" thickBot="1">
      <c r="D23" s="136" t="s">
        <v>76</v>
      </c>
      <c r="E23" s="137">
        <f>+E16</f>
        <v>3.42</v>
      </c>
      <c r="F23" s="137">
        <f>+F16</f>
        <v>3.42</v>
      </c>
      <c r="G23" s="137">
        <f>+G16</f>
        <v>3.4206105398775</v>
      </c>
      <c r="H23" s="137">
        <f>+H16</f>
        <v>3.42</v>
      </c>
      <c r="I23" s="137">
        <f>+I16</f>
        <v>3.43</v>
      </c>
      <c r="J23" t="s">
        <v>79</v>
      </c>
    </row>
    <row r="24" spans="4:10" ht="15.75" thickBot="1">
      <c r="D24" s="138" t="s">
        <v>77</v>
      </c>
      <c r="E24" s="139">
        <v>7.77</v>
      </c>
      <c r="F24" s="139">
        <v>7.77</v>
      </c>
      <c r="G24" s="139">
        <v>7.77</v>
      </c>
      <c r="H24" s="139">
        <v>7.77</v>
      </c>
      <c r="I24" s="139">
        <v>7.77</v>
      </c>
      <c r="J24" t="s">
        <v>80</v>
      </c>
    </row>
  </sheetData>
  <sheetProtection/>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18"/>
  <sheetViews>
    <sheetView zoomScale="75" zoomScaleNormal="75" zoomScalePageLayoutView="0" workbookViewId="0" topLeftCell="A1">
      <selection activeCell="E7" sqref="E7"/>
    </sheetView>
  </sheetViews>
  <sheetFormatPr defaultColWidth="9.140625" defaultRowHeight="12.75"/>
  <cols>
    <col min="1" max="1" width="151.7109375" style="142" bestFit="1" customWidth="1"/>
    <col min="2" max="16384" width="9.140625" style="142" customWidth="1"/>
  </cols>
  <sheetData>
    <row r="1" ht="18.75">
      <c r="A1" s="141" t="s">
        <v>85</v>
      </c>
    </row>
    <row r="3" ht="18.75">
      <c r="A3" s="143"/>
    </row>
    <row r="4" ht="18.75">
      <c r="A4" s="144" t="s">
        <v>112</v>
      </c>
    </row>
    <row r="5" ht="75">
      <c r="A5" s="144" t="s">
        <v>113</v>
      </c>
    </row>
    <row r="6" ht="18.75">
      <c r="A6" s="144" t="s">
        <v>121</v>
      </c>
    </row>
    <row r="7" ht="23.25" customHeight="1">
      <c r="A7" s="174" t="s">
        <v>95</v>
      </c>
    </row>
    <row r="8" ht="19.5" customHeight="1">
      <c r="A8" s="174" t="s">
        <v>122</v>
      </c>
    </row>
    <row r="9" ht="18.75">
      <c r="A9" s="144" t="s">
        <v>82</v>
      </c>
    </row>
    <row r="10" ht="18.75">
      <c r="A10" s="144" t="s">
        <v>83</v>
      </c>
    </row>
    <row r="11" ht="18.75">
      <c r="A11" s="144" t="s">
        <v>84</v>
      </c>
    </row>
    <row r="12" ht="37.5">
      <c r="A12" s="144" t="s">
        <v>124</v>
      </c>
    </row>
    <row r="13" ht="37.5">
      <c r="A13" s="144" t="s">
        <v>94</v>
      </c>
    </row>
    <row r="14" ht="37.5">
      <c r="A14" s="144" t="s">
        <v>125</v>
      </c>
    </row>
    <row r="15" ht="18.75">
      <c r="A15" s="144" t="s">
        <v>115</v>
      </c>
    </row>
    <row r="16" ht="56.25">
      <c r="A16" s="144" t="s">
        <v>123</v>
      </c>
    </row>
    <row r="17" ht="37.5">
      <c r="A17" s="144" t="s">
        <v>120</v>
      </c>
    </row>
    <row r="18" ht="37.5">
      <c r="A18" s="144" t="s">
        <v>114</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dc:creator>
  <cp:keywords/>
  <dc:description/>
  <cp:lastModifiedBy>Tomas Paulaitis</cp:lastModifiedBy>
  <cp:lastPrinted>2011-05-03T07:51:47Z</cp:lastPrinted>
  <dcterms:created xsi:type="dcterms:W3CDTF">2009-11-02T18:40:28Z</dcterms:created>
  <dcterms:modified xsi:type="dcterms:W3CDTF">2012-11-21T12:36:52Z</dcterms:modified>
  <cp:category/>
  <cp:version/>
  <cp:contentType/>
  <cp:contentStatus/>
</cp:coreProperties>
</file>