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70" windowHeight="14550" activeTab="0"/>
  </bookViews>
  <sheets>
    <sheet name="Tabelle1" sheetId="1" r:id="rId1"/>
  </sheets>
  <definedNames>
    <definedName name="_xlnm.Print_Area" localSheetId="0">'Tabelle1'!$A$1:$K$75</definedName>
    <definedName name="OLE_LINK10" localSheetId="0">'Tabelle1'!$AA$3</definedName>
    <definedName name="OLE_LINK11" localSheetId="0">'Tabelle1'!$AA$4</definedName>
    <definedName name="OLE_LINK12" localSheetId="0">'Tabelle1'!$AE$4</definedName>
    <definedName name="OLE_LINK3" localSheetId="0">'Tabelle1'!$P$4</definedName>
    <definedName name="OLE_LINK4" localSheetId="0">'Tabelle1'!$V$3</definedName>
    <definedName name="OLE_LINK5" localSheetId="0">'Tabelle1'!$V$4</definedName>
    <definedName name="OLE_LINK7" localSheetId="0">'Tabelle1'!$Z$3</definedName>
    <definedName name="OLE_LINK8" localSheetId="0">'Tabelle1'!$Z$4</definedName>
  </definedNames>
  <calcPr fullCalcOnLoad="1"/>
</workbook>
</file>

<file path=xl/comments1.xml><?xml version="1.0" encoding="utf-8"?>
<comments xmlns="http://schemas.openxmlformats.org/spreadsheetml/2006/main">
  <authors>
    <author>Adam Hadulla</author>
    <author>Mitarbeiter</author>
  </authors>
  <commentList>
    <comment ref="O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0 for the whole monitoring period
</t>
        </r>
      </text>
    </comment>
    <comment ref="P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not required because CONS</t>
        </r>
        <r>
          <rPr>
            <sz val="6"/>
            <rFont val="Tahoma"/>
            <family val="2"/>
          </rPr>
          <t>ELEC</t>
        </r>
        <r>
          <rPr>
            <sz val="8"/>
            <rFont val="Tahoma"/>
            <family val="0"/>
          </rPr>
          <t>=0 for the whole monitoring period
2004 0.755 tCO2eq/MWh
2005 0.740
2006 0.725
2007 0.710
[SenterNovem]</t>
        </r>
      </text>
    </comment>
    <comment ref="Q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0 for the whole monitoring period
</t>
        </r>
      </text>
    </comment>
    <comment ref="R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0 for the whole monitoring period
</t>
        </r>
      </text>
    </comment>
    <comment ref="S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not required because MM</t>
        </r>
        <r>
          <rPr>
            <sz val="6"/>
            <rFont val="Tahoma"/>
            <family val="2"/>
          </rPr>
          <t>EFL</t>
        </r>
        <r>
          <rPr>
            <sz val="8"/>
            <rFont val="Tahoma"/>
            <family val="0"/>
          </rPr>
          <t>=0 for the whole monitoring period</t>
        </r>
      </text>
    </comment>
    <comment ref="T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0 for the whole monitoring period
</t>
        </r>
      </text>
    </comment>
    <comment ref="U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0 for the whole monitoring period
</t>
        </r>
      </text>
    </comment>
    <comment ref="V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not required because MM</t>
        </r>
        <r>
          <rPr>
            <sz val="6"/>
            <rFont val="Tahoma"/>
            <family val="2"/>
          </rPr>
          <t>ELEC</t>
        </r>
        <r>
          <rPr>
            <sz val="8"/>
            <rFont val="Tahoma"/>
            <family val="0"/>
          </rPr>
          <t>=0 for the whole monitoring period</t>
        </r>
      </text>
    </comment>
    <comment ref="Y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Z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E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J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O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 
constant
IPCC 2006</t>
        </r>
      </text>
    </comment>
    <comment ref="AP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value 
equal (or lower) to Effheat,boiler,CMM</t>
        </r>
      </text>
    </comment>
    <comment ref="AN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not required because GEN</t>
        </r>
        <r>
          <rPr>
            <sz val="6"/>
            <rFont val="Tahoma"/>
            <family val="2"/>
          </rPr>
          <t>y</t>
        </r>
        <r>
          <rPr>
            <sz val="8"/>
            <rFont val="Tahoma"/>
            <family val="0"/>
          </rPr>
          <t>=0 for the whole monitoring period
2004 0.755 tCO2eq/MWh
2005 0.740
2006 0.725
2007 0.710
[SenterNovem]</t>
        </r>
      </text>
    </comment>
    <comment ref="AM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13.899 MWh/t
heat value for methane
DIN ISO 6976 (1995)
for simplification the lower efficiency of the boiler has been taken into account for the VAH too.
This is conservative.</t>
        </r>
      </text>
    </comment>
    <comment ref="AL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0 for the whole monitoring period
</t>
        </r>
      </text>
    </comment>
    <comment ref="AK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ex-ante value
constant</t>
        </r>
      </text>
    </comment>
    <comment ref="AQ6" authorId="0">
      <text>
        <r>
          <rPr>
            <b/>
            <sz val="8"/>
            <rFont val="Tahoma"/>
            <family val="0"/>
          </rPr>
          <t>Adam Hadulla:</t>
        </r>
        <r>
          <rPr>
            <sz val="8"/>
            <rFont val="Tahoma"/>
            <family val="0"/>
          </rPr>
          <t xml:space="preserve">
value calculated in period 13.11.2009 to 31.03.2010
</t>
        </r>
      </text>
    </comment>
    <comment ref="F27" authorId="1">
      <text>
        <r>
          <rPr>
            <b/>
            <sz val="10"/>
            <rFont val="Tahoma"/>
            <family val="0"/>
          </rPr>
          <t>KW:</t>
        </r>
        <r>
          <rPr>
            <sz val="10"/>
            <rFont val="Tahoma"/>
            <family val="0"/>
          </rPr>
          <t xml:space="preserve">
sum of values 1.9.09 to 12.9.09 08:00 and 12.9.09 08:00 to 30.9.09 (as defined in below)</t>
        </r>
      </text>
    </comment>
    <comment ref="AM29" authorId="1">
      <text>
        <r>
          <rPr>
            <b/>
            <sz val="10"/>
            <rFont val="Tahoma"/>
            <family val="2"/>
          </rPr>
          <t xml:space="preserve">KW: </t>
        </r>
        <r>
          <rPr>
            <sz val="10"/>
            <rFont val="Tahoma"/>
            <family val="2"/>
          </rPr>
          <t>Values for heat generation in period 01/01/2008 until 13/11/2009 17:30 calculated from methane amount sent to boiler with energy efficiency factor = 0,469 (average from period 13/11/2009 17:30 to 31/03/2010); afterwards values from electronically heat measurement</t>
        </r>
      </text>
    </comment>
  </commentList>
</comments>
</file>

<file path=xl/sharedStrings.xml><?xml version="1.0" encoding="utf-8"?>
<sst xmlns="http://schemas.openxmlformats.org/spreadsheetml/2006/main" count="207" uniqueCount="156">
  <si>
    <t>Date</t>
  </si>
  <si>
    <t>%</t>
  </si>
  <si>
    <t>m³</t>
  </si>
  <si>
    <t>P2</t>
  </si>
  <si>
    <t>P3</t>
  </si>
  <si>
    <t>P4</t>
  </si>
  <si>
    <t>P5</t>
  </si>
  <si>
    <t>P8</t>
  </si>
  <si>
    <t>P17</t>
  </si>
  <si>
    <t>P18</t>
  </si>
  <si>
    <t>P19</t>
  </si>
  <si>
    <t>P23</t>
  </si>
  <si>
    <t>P24</t>
  </si>
  <si>
    <t>P25</t>
  </si>
  <si>
    <t>P26</t>
  </si>
  <si>
    <t>P27</t>
  </si>
  <si>
    <t>r</t>
  </si>
  <si>
    <t>P28</t>
  </si>
  <si>
    <t>B1</t>
  </si>
  <si>
    <t>B3</t>
  </si>
  <si>
    <t>B4</t>
  </si>
  <si>
    <t>B14</t>
  </si>
  <si>
    <t>B18</t>
  </si>
  <si>
    <t>B19</t>
  </si>
  <si>
    <t>B46</t>
  </si>
  <si>
    <t>B47</t>
  </si>
  <si>
    <t>B49</t>
  </si>
  <si>
    <t>B55</t>
  </si>
  <si>
    <t>B57</t>
  </si>
  <si>
    <t>Baseline emissions in year y</t>
  </si>
  <si>
    <t>Baseline emissions from release of methane into the atmosphere in year y that is avoided by the project activity</t>
  </si>
  <si>
    <t>Baseline emissions from the production of power, heat or supply to gas grid replaced by the project activity in year y</t>
  </si>
  <si>
    <t>CMM captured and destroyed in the project activity in year y</t>
  </si>
  <si>
    <t>Global warming potential of methane</t>
  </si>
  <si>
    <t>Carbon emission factor for combusted methane</t>
  </si>
  <si>
    <t>Electricity generation by project</t>
  </si>
  <si>
    <t>Heat generation by project</t>
  </si>
  <si>
    <t>CO2 emission factor of the grid</t>
  </si>
  <si>
    <t>CO2 emission factor of fuel used for captive power or heat</t>
  </si>
  <si>
    <t>Energy efficiency of heat plant</t>
  </si>
  <si>
    <t>P1</t>
  </si>
  <si>
    <t>P11</t>
  </si>
  <si>
    <t>P12</t>
  </si>
  <si>
    <t>P13</t>
  </si>
  <si>
    <t>P14</t>
  </si>
  <si>
    <t>P15</t>
  </si>
  <si>
    <t>P16</t>
  </si>
  <si>
    <t>Project emissions in year y</t>
  </si>
  <si>
    <t>Project emissions from energy use to capture and use methane</t>
  </si>
  <si>
    <t>Project emissions from methane destroyed</t>
  </si>
  <si>
    <t>Project emissions from uncombusted methane</t>
  </si>
  <si>
    <t>Additional electricity consumption by project</t>
  </si>
  <si>
    <t>Methane destroyed by flare</t>
  </si>
  <si>
    <t>Methane sent to flare</t>
  </si>
  <si>
    <t>Flare/combustion efficiency, determined by the operation hours and the methane content in the exhaust gas</t>
  </si>
  <si>
    <t>Methane destroyed by power generation</t>
  </si>
  <si>
    <t>Methane sent to power plant</t>
  </si>
  <si>
    <t>Efficiency of methane destruction / oxidation in power plant</t>
  </si>
  <si>
    <t>Methane destroyed by heat generation</t>
  </si>
  <si>
    <t>Methane sent to boiler</t>
  </si>
  <si>
    <t>Efficiency of methane destruction / oxidation in heat plant</t>
  </si>
  <si>
    <t>Carbon emission factor for combusted non methane hydrocarbons (various)</t>
  </si>
  <si>
    <t>Concentration of methane in extracted gas</t>
  </si>
  <si>
    <t>Relative proportion of NMHC compared to methane</t>
  </si>
  <si>
    <t>NMHC concentration in coal mine gas</t>
  </si>
  <si>
    <r>
      <t>PE</t>
    </r>
    <r>
      <rPr>
        <b/>
        <vertAlign val="subscript"/>
        <sz val="11"/>
        <color indexed="8"/>
        <rFont val="Times New Roman"/>
        <family val="1"/>
      </rPr>
      <t>y</t>
    </r>
  </si>
  <si>
    <r>
      <t>PE</t>
    </r>
    <r>
      <rPr>
        <b/>
        <vertAlign val="subscript"/>
        <sz val="11"/>
        <rFont val="Times New Roman"/>
        <family val="1"/>
      </rPr>
      <t>ME</t>
    </r>
  </si>
  <si>
    <r>
      <t>PE</t>
    </r>
    <r>
      <rPr>
        <b/>
        <vertAlign val="subscript"/>
        <sz val="11"/>
        <rFont val="Times New Roman"/>
        <family val="1"/>
      </rPr>
      <t>MD</t>
    </r>
  </si>
  <si>
    <r>
      <t>PE</t>
    </r>
    <r>
      <rPr>
        <b/>
        <vertAlign val="subscript"/>
        <sz val="11"/>
        <rFont val="Times New Roman"/>
        <family val="1"/>
      </rPr>
      <t>UM</t>
    </r>
  </si>
  <si>
    <r>
      <t>CONS</t>
    </r>
    <r>
      <rPr>
        <b/>
        <vertAlign val="subscript"/>
        <sz val="11"/>
        <rFont val="Times New Roman"/>
        <family val="1"/>
      </rPr>
      <t>ELEC,PJ</t>
    </r>
  </si>
  <si>
    <r>
      <t>CEF</t>
    </r>
    <r>
      <rPr>
        <b/>
        <vertAlign val="subscript"/>
        <sz val="11"/>
        <color indexed="8"/>
        <rFont val="Times New Roman"/>
        <family val="1"/>
      </rPr>
      <t>E</t>
    </r>
    <r>
      <rPr>
        <b/>
        <vertAlign val="subscript"/>
        <sz val="11"/>
        <rFont val="Times New Roman"/>
        <family val="1"/>
      </rPr>
      <t>LEC,PJ</t>
    </r>
  </si>
  <si>
    <r>
      <t>MD</t>
    </r>
    <r>
      <rPr>
        <b/>
        <vertAlign val="subscript"/>
        <sz val="11"/>
        <rFont val="Times New Roman"/>
        <family val="1"/>
      </rPr>
      <t>FL</t>
    </r>
  </si>
  <si>
    <r>
      <t>MM</t>
    </r>
    <r>
      <rPr>
        <b/>
        <vertAlign val="subscript"/>
        <sz val="11"/>
        <rFont val="Times New Roman"/>
        <family val="1"/>
      </rPr>
      <t>FL</t>
    </r>
  </si>
  <si>
    <r>
      <t>Eff</t>
    </r>
    <r>
      <rPr>
        <b/>
        <vertAlign val="subscript"/>
        <sz val="11"/>
        <rFont val="Times New Roman"/>
        <family val="1"/>
      </rPr>
      <t>FL</t>
    </r>
  </si>
  <si>
    <r>
      <t>MD</t>
    </r>
    <r>
      <rPr>
        <b/>
        <vertAlign val="subscript"/>
        <sz val="11"/>
        <rFont val="Times New Roman"/>
        <family val="1"/>
      </rPr>
      <t>ELEC</t>
    </r>
  </si>
  <si>
    <r>
      <t>MM</t>
    </r>
    <r>
      <rPr>
        <b/>
        <vertAlign val="subscript"/>
        <sz val="11"/>
        <rFont val="Times New Roman"/>
        <family val="1"/>
      </rPr>
      <t>ELEC</t>
    </r>
  </si>
  <si>
    <r>
      <t>Eff</t>
    </r>
    <r>
      <rPr>
        <b/>
        <vertAlign val="subscript"/>
        <sz val="11"/>
        <rFont val="Times New Roman"/>
        <family val="1"/>
      </rPr>
      <t>ELEC</t>
    </r>
  </si>
  <si>
    <r>
      <t>MD</t>
    </r>
    <r>
      <rPr>
        <b/>
        <vertAlign val="subscript"/>
        <sz val="11"/>
        <rFont val="Times New Roman"/>
        <family val="1"/>
      </rPr>
      <t>HEAT</t>
    </r>
  </si>
  <si>
    <r>
      <t>MM</t>
    </r>
    <r>
      <rPr>
        <b/>
        <vertAlign val="subscript"/>
        <sz val="11"/>
        <rFont val="Times New Roman"/>
        <family val="1"/>
      </rPr>
      <t>HEAT</t>
    </r>
  </si>
  <si>
    <r>
      <t>Eff</t>
    </r>
    <r>
      <rPr>
        <b/>
        <vertAlign val="subscript"/>
        <sz val="11"/>
        <rFont val="Times New Roman"/>
        <family val="1"/>
      </rPr>
      <t>HEAT</t>
    </r>
  </si>
  <si>
    <r>
      <t>CEF</t>
    </r>
    <r>
      <rPr>
        <b/>
        <vertAlign val="subscript"/>
        <sz val="11"/>
        <rFont val="Times New Roman"/>
        <family val="1"/>
      </rPr>
      <t>CH4</t>
    </r>
  </si>
  <si>
    <r>
      <t>CEF</t>
    </r>
    <r>
      <rPr>
        <b/>
        <vertAlign val="subscript"/>
        <sz val="11"/>
        <rFont val="Times New Roman"/>
        <family val="1"/>
      </rPr>
      <t>NMHC</t>
    </r>
  </si>
  <si>
    <r>
      <t>PC</t>
    </r>
    <r>
      <rPr>
        <b/>
        <vertAlign val="subscript"/>
        <sz val="10"/>
        <rFont val="Times New Roman"/>
        <family val="1"/>
      </rPr>
      <t>CH4</t>
    </r>
  </si>
  <si>
    <r>
      <t>PC</t>
    </r>
    <r>
      <rPr>
        <b/>
        <vertAlign val="subscript"/>
        <sz val="10"/>
        <rFont val="Times New Roman"/>
        <family val="1"/>
      </rPr>
      <t>NMHC</t>
    </r>
  </si>
  <si>
    <r>
      <t>GWP</t>
    </r>
    <r>
      <rPr>
        <b/>
        <vertAlign val="subscript"/>
        <sz val="11"/>
        <rFont val="Times New Roman"/>
        <family val="1"/>
      </rPr>
      <t>CH4</t>
    </r>
  </si>
  <si>
    <r>
      <t>BE</t>
    </r>
    <r>
      <rPr>
        <b/>
        <vertAlign val="subscript"/>
        <sz val="11"/>
        <color indexed="8"/>
        <rFont val="Times New Roman"/>
        <family val="1"/>
      </rPr>
      <t>y</t>
    </r>
  </si>
  <si>
    <r>
      <t>BE</t>
    </r>
    <r>
      <rPr>
        <b/>
        <vertAlign val="subscript"/>
        <sz val="11"/>
        <rFont val="Times New Roman"/>
        <family val="1"/>
      </rPr>
      <t>MR,y</t>
    </r>
  </si>
  <si>
    <r>
      <t>BE</t>
    </r>
    <r>
      <rPr>
        <b/>
        <vertAlign val="subscript"/>
        <sz val="11"/>
        <rFont val="Times New Roman"/>
        <family val="1"/>
      </rPr>
      <t>Use,y</t>
    </r>
  </si>
  <si>
    <r>
      <t>CMM</t>
    </r>
    <r>
      <rPr>
        <b/>
        <vertAlign val="subscript"/>
        <sz val="11"/>
        <color indexed="8"/>
        <rFont val="Times New Roman"/>
        <family val="1"/>
      </rPr>
      <t>PJ,y</t>
    </r>
  </si>
  <si>
    <r>
      <t>GEN</t>
    </r>
    <r>
      <rPr>
        <b/>
        <vertAlign val="subscript"/>
        <sz val="11"/>
        <rFont val="Times New Roman"/>
        <family val="1"/>
      </rPr>
      <t>y</t>
    </r>
  </si>
  <si>
    <r>
      <t>HEAT</t>
    </r>
    <r>
      <rPr>
        <b/>
        <vertAlign val="subscript"/>
        <sz val="11"/>
        <rFont val="Times New Roman"/>
        <family val="1"/>
      </rPr>
      <t>y</t>
    </r>
  </si>
  <si>
    <r>
      <t>EF</t>
    </r>
    <r>
      <rPr>
        <b/>
        <vertAlign val="subscript"/>
        <sz val="11"/>
        <rFont val="Times New Roman"/>
        <family val="1"/>
      </rPr>
      <t>elec</t>
    </r>
  </si>
  <si>
    <r>
      <t>EF</t>
    </r>
    <r>
      <rPr>
        <b/>
        <vertAlign val="subscript"/>
        <sz val="11"/>
        <rFont val="Times New Roman"/>
        <family val="1"/>
      </rPr>
      <t>CO2,Coal</t>
    </r>
  </si>
  <si>
    <r>
      <t>Carbon emission factor of CONS</t>
    </r>
    <r>
      <rPr>
        <b/>
        <sz val="8"/>
        <rFont val="Arial"/>
        <family val="2"/>
      </rPr>
      <t>ELEC,PJ</t>
    </r>
  </si>
  <si>
    <t>t CO2eq</t>
  </si>
  <si>
    <t>MWh</t>
  </si>
  <si>
    <t>t CH4</t>
  </si>
  <si>
    <t>-</t>
  </si>
  <si>
    <t>t CO2 / MWh</t>
  </si>
  <si>
    <t>t CO2eq / 
t CH4</t>
  </si>
  <si>
    <t>t CO2eq / 
t NMHC</t>
  </si>
  <si>
    <t>t</t>
  </si>
  <si>
    <t>tCO2/MWh</t>
  </si>
  <si>
    <t>Total MP</t>
  </si>
  <si>
    <t>ER</t>
  </si>
  <si>
    <t>Emission reductions</t>
  </si>
  <si>
    <t>m³/month</t>
  </si>
  <si>
    <t>CMM amount
boilers</t>
  </si>
  <si>
    <t>CMM amount
VAH</t>
  </si>
  <si>
    <t>Total of
boilers and
VAH</t>
  </si>
  <si>
    <r>
      <t xml:space="preserve">methane </t>
    </r>
    <r>
      <rPr>
        <sz val="10"/>
        <rFont val="Arial"/>
        <family val="2"/>
      </rPr>
      <t>(density of methane 0.717 kg/m³, 1013 mbar, 0°C)</t>
    </r>
  </si>
  <si>
    <t>methane concen-tration</t>
  </si>
  <si>
    <t>methane amount
boilers</t>
  </si>
  <si>
    <t>methane amount VAH</t>
  </si>
  <si>
    <t>total methane amount</t>
  </si>
  <si>
    <r>
      <t>Eff</t>
    </r>
    <r>
      <rPr>
        <b/>
        <vertAlign val="subscript"/>
        <sz val="11"/>
        <color indexed="8"/>
        <rFont val="Times New Roman"/>
        <family val="1"/>
      </rPr>
      <t>hea</t>
    </r>
    <r>
      <rPr>
        <b/>
        <vertAlign val="subscript"/>
        <sz val="10"/>
        <rFont val="Times New Roman"/>
        <family val="1"/>
      </rPr>
      <t>t,boiler,CMM</t>
    </r>
  </si>
  <si>
    <r>
      <t>Eff</t>
    </r>
    <r>
      <rPr>
        <b/>
        <vertAlign val="subscript"/>
        <sz val="11"/>
        <color indexed="8"/>
        <rFont val="Times New Roman"/>
        <family val="1"/>
      </rPr>
      <t>hea</t>
    </r>
    <r>
      <rPr>
        <b/>
        <vertAlign val="subscript"/>
        <sz val="10"/>
        <rFont val="Times New Roman"/>
        <family val="1"/>
      </rPr>
      <t>t,VAH</t>
    </r>
  </si>
  <si>
    <r>
      <t>Eff</t>
    </r>
    <r>
      <rPr>
        <b/>
        <vertAlign val="subscript"/>
        <sz val="11"/>
        <color indexed="8"/>
        <rFont val="Times New Roman"/>
        <family val="1"/>
      </rPr>
      <t>hea</t>
    </r>
    <r>
      <rPr>
        <b/>
        <vertAlign val="subscript"/>
        <sz val="10"/>
        <rFont val="Times New Roman"/>
        <family val="1"/>
      </rPr>
      <t>t,coal</t>
    </r>
  </si>
  <si>
    <t>Energy efficiency of upgraded boiler</t>
  </si>
  <si>
    <t>Energy efficiency of VAH</t>
  </si>
  <si>
    <t>Error according to the Error Analysis</t>
  </si>
  <si>
    <t>resulting deduction</t>
  </si>
  <si>
    <t>remaining amount</t>
  </si>
  <si>
    <t>Sum</t>
  </si>
  <si>
    <t>reduced sum</t>
  </si>
  <si>
    <t>Method 2</t>
  </si>
  <si>
    <t>The newer method is more accurate, so a lower error results.</t>
  </si>
  <si>
    <t>Total 2008</t>
  </si>
  <si>
    <t>Total 2009</t>
  </si>
  <si>
    <t>Total 2010</t>
  </si>
  <si>
    <t>Total for monitoring period 2008-01-01 to 2010-03-31</t>
  </si>
  <si>
    <t>Emission Reductions KAZ1 -  from 2008-01-01 to 2010-03-31</t>
  </si>
  <si>
    <t>journal</t>
  </si>
  <si>
    <t>metering counter</t>
  </si>
  <si>
    <t>method 2</t>
  </si>
  <si>
    <t>1.11. to 13.11.09 17:30</t>
  </si>
  <si>
    <t>13.11. 17:30 to 30.11.09</t>
  </si>
  <si>
    <t>Total Sept. 09</t>
  </si>
  <si>
    <t>Total Nov. 09</t>
  </si>
  <si>
    <t>Summary of the values from method 1a, 1b and 2</t>
  </si>
  <si>
    <t>reduced values</t>
  </si>
  <si>
    <t>Method 1a</t>
  </si>
  <si>
    <t>Method 1b</t>
  </si>
  <si>
    <t>yearly reduced values</t>
  </si>
  <si>
    <t>method 1b</t>
  </si>
  <si>
    <r>
      <t xml:space="preserve">The monitoring method for </t>
    </r>
    <r>
      <rPr>
        <b/>
        <sz val="10"/>
        <rFont val="Arial"/>
        <family val="2"/>
      </rPr>
      <t>measurement methane amount</t>
    </r>
    <r>
      <rPr>
        <sz val="10"/>
        <rFont val="Arial"/>
        <family val="0"/>
      </rPr>
      <t xml:space="preserve"> has been changed  from method 1b to method 2 beginning with </t>
    </r>
    <r>
      <rPr>
        <b/>
        <sz val="10"/>
        <rFont val="Arial"/>
        <family val="2"/>
      </rPr>
      <t>12/09/2009 08:00</t>
    </r>
  </si>
  <si>
    <t>01/09/2009 to 12/09/2009 8:00</t>
  </si>
  <si>
    <t>12/09/2009 8:00 to 30/09/2009</t>
  </si>
  <si>
    <t>01/01/2008 to 31/08/2008</t>
  </si>
  <si>
    <t>01/09/2008 to 12/09/2009 8:00</t>
  </si>
  <si>
    <t>12/09/2009 8:00 to 31/03/2010</t>
  </si>
  <si>
    <t>Total 13.11.09 17:30 to 31.03.10</t>
  </si>
  <si>
    <t>calculation</t>
  </si>
  <si>
    <r>
      <t xml:space="preserve">The monitoring method for </t>
    </r>
    <r>
      <rPr>
        <b/>
        <sz val="10"/>
        <rFont val="Arial"/>
        <family val="2"/>
      </rPr>
      <t>measurement heat generated</t>
    </r>
    <r>
      <rPr>
        <sz val="10"/>
        <rFont val="Arial"/>
        <family val="0"/>
      </rPr>
      <t xml:space="preserve"> has been changed  from method 1 to method 2 beginning with 13/11/2009 17:30</t>
    </r>
  </si>
  <si>
    <t>method 1</t>
  </si>
  <si>
    <t>method 1a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</si>
</sst>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-yyyy"/>
    <numFmt numFmtId="183" formatCode="[$-809]dd\ mmmm\ yyyy"/>
    <numFmt numFmtId="184" formatCode="d\.m\.yy\ h:mm;@"/>
    <numFmt numFmtId="185" formatCode="0.00000"/>
    <numFmt numFmtId="186" formatCode="0.0000"/>
    <numFmt numFmtId="187" formatCode="0.000"/>
    <numFmt numFmtId="188" formatCode="0.0"/>
    <numFmt numFmtId="189" formatCode="d/m/yy\ h:mm;@"/>
    <numFmt numFmtId="190" formatCode="yyyy\-mm\-dd;@"/>
    <numFmt numFmtId="191" formatCode="0.0%"/>
    <numFmt numFmtId="192" formatCode="0.000%"/>
    <numFmt numFmtId="193" formatCode="0.0000000"/>
    <numFmt numFmtId="194" formatCode="0.000000"/>
    <numFmt numFmtId="195" formatCode="mmmm\-yy"/>
    <numFmt numFmtId="196" formatCode="mmmm\-yyyy"/>
    <numFmt numFmtId="197" formatCode="#,##0.0"/>
    <numFmt numFmtId="198" formatCode="mmm\ yyyy"/>
    <numFmt numFmtId="199" formatCode="[$-407]dddd\,\ d\.\ mmmm\ yyyy"/>
    <numFmt numFmtId="200" formatCode="[$-407]mmm/\ yy;@"/>
    <numFmt numFmtId="201" formatCode="#,##0.000"/>
  </numFmts>
  <fonts count="1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vertAlign val="subscript"/>
      <sz val="10"/>
      <name val="Times New Roman"/>
      <family val="1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9" fontId="0" fillId="0" borderId="0" xfId="19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91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/>
    </xf>
    <xf numFmtId="191" fontId="0" fillId="0" borderId="0" xfId="0" applyNumberFormat="1" applyFill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2" xfId="0" applyFill="1" applyBorder="1" applyAlignment="1" quotePrefix="1">
      <alignment horizontal="center"/>
    </xf>
    <xf numFmtId="191" fontId="0" fillId="0" borderId="2" xfId="0" applyNumberFormat="1" applyFill="1" applyBorder="1" applyAlignment="1" quotePrefix="1">
      <alignment horizontal="center"/>
    </xf>
    <xf numFmtId="191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9" fontId="0" fillId="0" borderId="2" xfId="19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90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90" fontId="2" fillId="2" borderId="6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Border="1" applyAlignment="1">
      <alignment/>
    </xf>
    <xf numFmtId="188" fontId="0" fillId="0" borderId="2" xfId="0" applyNumberFormat="1" applyBorder="1" applyAlignment="1">
      <alignment/>
    </xf>
    <xf numFmtId="197" fontId="2" fillId="2" borderId="2" xfId="0" applyNumberFormat="1" applyFont="1" applyFill="1" applyBorder="1" applyAlignment="1">
      <alignment/>
    </xf>
    <xf numFmtId="9" fontId="2" fillId="2" borderId="2" xfId="19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1" xfId="0" applyNumberFormat="1" applyBorder="1" applyAlignment="1">
      <alignment/>
    </xf>
    <xf numFmtId="19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90" fontId="2" fillId="0" borderId="7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97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 quotePrefix="1">
      <alignment horizontal="center"/>
    </xf>
    <xf numFmtId="191" fontId="0" fillId="0" borderId="3" xfId="0" applyNumberFormat="1" applyFill="1" applyBorder="1" applyAlignment="1" quotePrefix="1">
      <alignment horizontal="center"/>
    </xf>
    <xf numFmtId="191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9" fontId="2" fillId="0" borderId="3" xfId="19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" fontId="0" fillId="0" borderId="2" xfId="0" applyNumberFormat="1" applyBorder="1" applyAlignment="1" quotePrefix="1">
      <alignment/>
    </xf>
    <xf numFmtId="190" fontId="2" fillId="0" borderId="0" xfId="0" applyNumberFormat="1" applyFont="1" applyBorder="1" applyAlignment="1">
      <alignment/>
    </xf>
    <xf numFmtId="200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18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Fill="1" applyBorder="1" applyAlignment="1">
      <alignment/>
    </xf>
    <xf numFmtId="188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200" fontId="2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9" fontId="0" fillId="0" borderId="0" xfId="19" applyFill="1" applyAlignment="1">
      <alignment/>
    </xf>
    <xf numFmtId="3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/>
    </xf>
    <xf numFmtId="191" fontId="0" fillId="0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9" fontId="0" fillId="0" borderId="9" xfId="19" applyBorder="1" applyAlignment="1">
      <alignment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191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9" fontId="0" fillId="0" borderId="1" xfId="19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13" xfId="0" applyNumberFormat="1" applyFont="1" applyFill="1" applyBorder="1" applyAlignment="1">
      <alignment/>
    </xf>
    <xf numFmtId="190" fontId="0" fillId="0" borderId="14" xfId="0" applyNumberFormat="1" applyFont="1" applyBorder="1" applyAlignment="1">
      <alignment/>
    </xf>
    <xf numFmtId="19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9" fontId="0" fillId="0" borderId="0" xfId="19" applyBorder="1" applyAlignment="1">
      <alignment/>
    </xf>
    <xf numFmtId="0" fontId="0" fillId="0" borderId="15" xfId="0" applyBorder="1" applyAlignment="1">
      <alignment/>
    </xf>
    <xf numFmtId="190" fontId="0" fillId="0" borderId="16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3" borderId="5" xfId="20" applyNumberFormat="1" applyFill="1" applyBorder="1">
      <alignment/>
      <protection locked="0"/>
    </xf>
    <xf numFmtId="3" fontId="0" fillId="3" borderId="0" xfId="20" applyNumberFormat="1" applyFill="1" applyBorder="1">
      <alignment/>
      <protection locked="0"/>
    </xf>
    <xf numFmtId="3" fontId="0" fillId="3" borderId="2" xfId="20" applyNumberFormat="1" applyFill="1" applyBorder="1">
      <alignment/>
      <protection locked="0"/>
    </xf>
    <xf numFmtId="3" fontId="0" fillId="3" borderId="1" xfId="20" applyNumberFormat="1" applyFill="1" applyBorder="1">
      <alignment/>
      <protection locked="0"/>
    </xf>
    <xf numFmtId="201" fontId="0" fillId="3" borderId="0" xfId="0" applyNumberFormat="1" applyFill="1" applyAlignment="1">
      <alignment/>
    </xf>
    <xf numFmtId="201" fontId="0" fillId="0" borderId="3" xfId="0" applyNumberFormat="1" applyBorder="1" applyAlignment="1">
      <alignment/>
    </xf>
    <xf numFmtId="201" fontId="0" fillId="2" borderId="0" xfId="0" applyNumberFormat="1" applyFill="1" applyAlignment="1">
      <alignment/>
    </xf>
    <xf numFmtId="201" fontId="0" fillId="2" borderId="2" xfId="0" applyNumberFormat="1" applyFill="1" applyBorder="1" applyAlignment="1">
      <alignment/>
    </xf>
    <xf numFmtId="201" fontId="0" fillId="0" borderId="0" xfId="0" applyNumberFormat="1" applyAlignment="1">
      <alignment/>
    </xf>
    <xf numFmtId="201" fontId="0" fillId="0" borderId="9" xfId="0" applyNumberFormat="1" applyBorder="1" applyAlignment="1">
      <alignment/>
    </xf>
    <xf numFmtId="201" fontId="0" fillId="0" borderId="1" xfId="0" applyNumberFormat="1" applyBorder="1" applyAlignment="1">
      <alignment/>
    </xf>
    <xf numFmtId="201" fontId="0" fillId="3" borderId="1" xfId="0" applyNumberFormat="1" applyFill="1" applyBorder="1" applyAlignment="1">
      <alignment/>
    </xf>
    <xf numFmtId="201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201" fontId="2" fillId="3" borderId="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200" fontId="0" fillId="0" borderId="0" xfId="0" applyNumberFormat="1" applyFont="1" applyAlignment="1">
      <alignment/>
    </xf>
    <xf numFmtId="190" fontId="0" fillId="0" borderId="0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90" fontId="0" fillId="0" borderId="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Fill="1" applyAlignment="1">
      <alignment/>
    </xf>
    <xf numFmtId="190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15" fillId="0" borderId="0" xfId="0" applyNumberFormat="1" applyFont="1" applyAlignment="1">
      <alignment/>
    </xf>
    <xf numFmtId="3" fontId="16" fillId="0" borderId="9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190" fontId="2" fillId="0" borderId="0" xfId="0" applyNumberFormat="1" applyFont="1" applyFill="1" applyBorder="1" applyAlignment="1" quotePrefix="1">
      <alignment horizontal="center"/>
    </xf>
    <xf numFmtId="3" fontId="16" fillId="0" borderId="1" xfId="0" applyNumberFormat="1" applyFon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etering_data_KAZ1-B1_09.09-02.10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9"/>
  <sheetViews>
    <sheetView tabSelected="1" workbookViewId="0" topLeftCell="A1">
      <pane ySplit="5" topLeftCell="BM57" activePane="bottomLeft" state="frozen"/>
      <selection pane="topLeft" activeCell="A1" sqref="A1"/>
      <selection pane="bottomLeft" activeCell="AF65" sqref="AF65"/>
    </sheetView>
  </sheetViews>
  <sheetFormatPr defaultColWidth="11.421875" defaultRowHeight="12.75"/>
  <cols>
    <col min="1" max="1" width="19.421875" style="6" customWidth="1"/>
    <col min="2" max="2" width="13.00390625" style="4" bestFit="1" customWidth="1"/>
    <col min="3" max="4" width="10.140625" style="4" customWidth="1"/>
    <col min="5" max="5" width="8.140625" style="0" customWidth="1"/>
    <col min="6" max="6" width="10.140625" style="0" bestFit="1" customWidth="1"/>
    <col min="7" max="7" width="11.00390625" style="0" customWidth="1"/>
    <col min="8" max="8" width="15.28125" style="4" bestFit="1" customWidth="1"/>
    <col min="9" max="9" width="12.140625" style="0" customWidth="1"/>
    <col min="10" max="10" width="10.28125" style="0" customWidth="1"/>
    <col min="11" max="11" width="11.28125" style="0" customWidth="1"/>
    <col min="14" max="14" width="13.421875" style="0" customWidth="1"/>
    <col min="15" max="15" width="12.7109375" style="0" customWidth="1"/>
    <col min="16" max="16" width="12.8515625" style="0" customWidth="1"/>
    <col min="19" max="19" width="16.8515625" style="0" customWidth="1"/>
    <col min="27" max="28" width="14.140625" style="0" customWidth="1"/>
    <col min="29" max="29" width="14.7109375" style="0" customWidth="1"/>
    <col min="33" max="33" width="15.8515625" style="0" customWidth="1"/>
    <col min="34" max="34" width="16.421875" style="0" customWidth="1"/>
    <col min="35" max="35" width="13.00390625" style="0" customWidth="1"/>
    <col min="43" max="43" width="13.421875" style="0" bestFit="1" customWidth="1"/>
  </cols>
  <sheetData>
    <row r="1" spans="1:8" ht="18">
      <c r="A1" s="1" t="s">
        <v>131</v>
      </c>
      <c r="B1"/>
      <c r="C1"/>
      <c r="D1"/>
      <c r="H1"/>
    </row>
    <row r="2" spans="1:42" ht="18">
      <c r="A2" s="1"/>
      <c r="B2"/>
      <c r="C2"/>
      <c r="D2"/>
      <c r="H2"/>
      <c r="K2" s="10" t="s">
        <v>40</v>
      </c>
      <c r="L2" s="10" t="s">
        <v>3</v>
      </c>
      <c r="M2" s="10" t="s">
        <v>4</v>
      </c>
      <c r="N2" s="10" t="s">
        <v>5</v>
      </c>
      <c r="O2" s="10" t="s">
        <v>6</v>
      </c>
      <c r="P2" s="10" t="s">
        <v>7</v>
      </c>
      <c r="Q2" s="11" t="s">
        <v>41</v>
      </c>
      <c r="R2" s="12" t="s">
        <v>42</v>
      </c>
      <c r="S2" s="11" t="s">
        <v>43</v>
      </c>
      <c r="T2" s="12" t="s">
        <v>44</v>
      </c>
      <c r="U2" s="11" t="s">
        <v>45</v>
      </c>
      <c r="V2" s="11" t="s">
        <v>46</v>
      </c>
      <c r="W2" s="10" t="s">
        <v>8</v>
      </c>
      <c r="X2" s="10" t="s">
        <v>9</v>
      </c>
      <c r="Y2" s="10" t="s">
        <v>10</v>
      </c>
      <c r="Z2" s="10" t="s">
        <v>11</v>
      </c>
      <c r="AA2" s="10" t="s">
        <v>12</v>
      </c>
      <c r="AB2" s="10" t="s">
        <v>13</v>
      </c>
      <c r="AC2" s="10" t="s">
        <v>14</v>
      </c>
      <c r="AD2" s="10" t="s">
        <v>15</v>
      </c>
      <c r="AE2" s="10" t="s">
        <v>17</v>
      </c>
      <c r="AF2" s="10" t="s">
        <v>18</v>
      </c>
      <c r="AG2" s="10" t="s">
        <v>19</v>
      </c>
      <c r="AH2" s="10" t="s">
        <v>20</v>
      </c>
      <c r="AI2" s="10" t="s">
        <v>21</v>
      </c>
      <c r="AJ2" s="10" t="s">
        <v>22</v>
      </c>
      <c r="AK2" s="10" t="s">
        <v>23</v>
      </c>
      <c r="AL2" s="10" t="s">
        <v>24</v>
      </c>
      <c r="AM2" s="10" t="s">
        <v>25</v>
      </c>
      <c r="AN2" s="10" t="s">
        <v>26</v>
      </c>
      <c r="AO2" s="10" t="s">
        <v>27</v>
      </c>
      <c r="AP2" s="10" t="s">
        <v>28</v>
      </c>
    </row>
    <row r="3" spans="1:44" ht="16.5">
      <c r="A3" s="3"/>
      <c r="B3" s="3"/>
      <c r="C3" s="3"/>
      <c r="D3" s="3"/>
      <c r="E3" s="3"/>
      <c r="F3" s="3"/>
      <c r="G3" s="3"/>
      <c r="H3" s="3"/>
      <c r="I3" s="3"/>
      <c r="J3" s="23" t="s">
        <v>104</v>
      </c>
      <c r="K3" s="23" t="s">
        <v>65</v>
      </c>
      <c r="L3" s="23" t="s">
        <v>66</v>
      </c>
      <c r="M3" s="23" t="s">
        <v>67</v>
      </c>
      <c r="N3" s="23" t="s">
        <v>68</v>
      </c>
      <c r="O3" s="23" t="s">
        <v>69</v>
      </c>
      <c r="P3" s="23" t="s">
        <v>70</v>
      </c>
      <c r="Q3" s="24" t="s">
        <v>71</v>
      </c>
      <c r="R3" s="23" t="s">
        <v>72</v>
      </c>
      <c r="S3" s="24" t="s">
        <v>73</v>
      </c>
      <c r="T3" s="23" t="s">
        <v>74</v>
      </c>
      <c r="U3" s="24" t="s">
        <v>75</v>
      </c>
      <c r="V3" s="24" t="s">
        <v>76</v>
      </c>
      <c r="W3" s="23" t="s">
        <v>77</v>
      </c>
      <c r="X3" s="23" t="s">
        <v>78</v>
      </c>
      <c r="Y3" s="23" t="s">
        <v>79</v>
      </c>
      <c r="Z3" s="23" t="s">
        <v>80</v>
      </c>
      <c r="AA3" s="23" t="s">
        <v>81</v>
      </c>
      <c r="AB3" s="23" t="s">
        <v>82</v>
      </c>
      <c r="AC3" s="23" t="s">
        <v>83</v>
      </c>
      <c r="AD3" s="23" t="s">
        <v>16</v>
      </c>
      <c r="AE3" s="23" t="s">
        <v>84</v>
      </c>
      <c r="AF3" s="23" t="s">
        <v>85</v>
      </c>
      <c r="AG3" s="23" t="s">
        <v>86</v>
      </c>
      <c r="AH3" s="23" t="s">
        <v>87</v>
      </c>
      <c r="AI3" s="23" t="s">
        <v>88</v>
      </c>
      <c r="AJ3" s="23" t="s">
        <v>84</v>
      </c>
      <c r="AK3" s="23" t="s">
        <v>80</v>
      </c>
      <c r="AL3" s="23" t="s">
        <v>89</v>
      </c>
      <c r="AM3" s="23" t="s">
        <v>90</v>
      </c>
      <c r="AN3" s="23" t="s">
        <v>91</v>
      </c>
      <c r="AO3" s="23" t="s">
        <v>92</v>
      </c>
      <c r="AP3" s="23" t="s">
        <v>117</v>
      </c>
      <c r="AQ3" s="23" t="s">
        <v>115</v>
      </c>
      <c r="AR3" s="23" t="s">
        <v>116</v>
      </c>
    </row>
    <row r="4" spans="1:44" ht="127.5">
      <c r="A4" s="2" t="s">
        <v>0</v>
      </c>
      <c r="B4" s="5" t="s">
        <v>107</v>
      </c>
      <c r="C4" s="5" t="s">
        <v>108</v>
      </c>
      <c r="D4" s="5" t="s">
        <v>109</v>
      </c>
      <c r="E4" s="5" t="s">
        <v>111</v>
      </c>
      <c r="F4" s="16" t="s">
        <v>112</v>
      </c>
      <c r="G4" s="16" t="s">
        <v>113</v>
      </c>
      <c r="H4" s="16" t="s">
        <v>114</v>
      </c>
      <c r="I4" s="15" t="s">
        <v>110</v>
      </c>
      <c r="J4" s="13" t="s">
        <v>105</v>
      </c>
      <c r="K4" s="13" t="s">
        <v>47</v>
      </c>
      <c r="L4" s="13" t="s">
        <v>48</v>
      </c>
      <c r="M4" s="13" t="s">
        <v>49</v>
      </c>
      <c r="N4" s="13" t="s">
        <v>50</v>
      </c>
      <c r="O4" s="13" t="s">
        <v>51</v>
      </c>
      <c r="P4" s="13" t="s">
        <v>93</v>
      </c>
      <c r="Q4" s="13" t="s">
        <v>52</v>
      </c>
      <c r="R4" s="13" t="s">
        <v>53</v>
      </c>
      <c r="S4" s="13" t="s">
        <v>54</v>
      </c>
      <c r="T4" s="13" t="s">
        <v>55</v>
      </c>
      <c r="U4" s="13" t="s">
        <v>56</v>
      </c>
      <c r="V4" s="13" t="s">
        <v>57</v>
      </c>
      <c r="W4" s="13" t="s">
        <v>58</v>
      </c>
      <c r="X4" s="13" t="s">
        <v>59</v>
      </c>
      <c r="Y4" s="13" t="s">
        <v>60</v>
      </c>
      <c r="Z4" s="13" t="s">
        <v>34</v>
      </c>
      <c r="AA4" s="13" t="s">
        <v>61</v>
      </c>
      <c r="AB4" s="13" t="s">
        <v>62</v>
      </c>
      <c r="AC4" s="13" t="s">
        <v>64</v>
      </c>
      <c r="AD4" s="13" t="s">
        <v>63</v>
      </c>
      <c r="AE4" s="13" t="s">
        <v>33</v>
      </c>
      <c r="AF4" s="13" t="s">
        <v>29</v>
      </c>
      <c r="AG4" s="13" t="s">
        <v>30</v>
      </c>
      <c r="AH4" s="13" t="s">
        <v>31</v>
      </c>
      <c r="AI4" s="13" t="s">
        <v>32</v>
      </c>
      <c r="AJ4" s="13" t="s">
        <v>33</v>
      </c>
      <c r="AK4" s="13" t="s">
        <v>34</v>
      </c>
      <c r="AL4" s="13" t="s">
        <v>35</v>
      </c>
      <c r="AM4" s="13" t="s">
        <v>36</v>
      </c>
      <c r="AN4" s="13" t="s">
        <v>37</v>
      </c>
      <c r="AO4" s="13" t="s">
        <v>38</v>
      </c>
      <c r="AP4" s="13" t="s">
        <v>39</v>
      </c>
      <c r="AQ4" s="13" t="s">
        <v>118</v>
      </c>
      <c r="AR4" s="13" t="s">
        <v>119</v>
      </c>
    </row>
    <row r="5" spans="1:44" s="7" customFormat="1" ht="26.25" thickBot="1">
      <c r="A5" s="35"/>
      <c r="B5" s="35" t="s">
        <v>106</v>
      </c>
      <c r="C5" s="35" t="s">
        <v>106</v>
      </c>
      <c r="D5" s="35" t="s">
        <v>106</v>
      </c>
      <c r="E5" s="35" t="s">
        <v>1</v>
      </c>
      <c r="F5" s="36" t="s">
        <v>2</v>
      </c>
      <c r="G5" s="36" t="s">
        <v>2</v>
      </c>
      <c r="H5" s="36" t="s">
        <v>2</v>
      </c>
      <c r="I5" s="36" t="s">
        <v>101</v>
      </c>
      <c r="J5" s="14" t="s">
        <v>94</v>
      </c>
      <c r="K5" s="14" t="s">
        <v>94</v>
      </c>
      <c r="L5" s="14" t="s">
        <v>94</v>
      </c>
      <c r="M5" s="14" t="s">
        <v>94</v>
      </c>
      <c r="N5" s="14" t="s">
        <v>94</v>
      </c>
      <c r="O5" s="14" t="s">
        <v>95</v>
      </c>
      <c r="P5" s="14" t="s">
        <v>94</v>
      </c>
      <c r="Q5" s="14" t="s">
        <v>96</v>
      </c>
      <c r="R5" s="14" t="s">
        <v>96</v>
      </c>
      <c r="S5" s="14" t="s">
        <v>1</v>
      </c>
      <c r="T5" s="14" t="s">
        <v>96</v>
      </c>
      <c r="U5" s="14" t="s">
        <v>96</v>
      </c>
      <c r="V5" s="14" t="s">
        <v>1</v>
      </c>
      <c r="W5" s="14" t="s">
        <v>96</v>
      </c>
      <c r="X5" s="14" t="s">
        <v>96</v>
      </c>
      <c r="Y5" s="14" t="s">
        <v>1</v>
      </c>
      <c r="Z5" s="14" t="s">
        <v>99</v>
      </c>
      <c r="AA5" s="14" t="s">
        <v>100</v>
      </c>
      <c r="AB5" s="14" t="s">
        <v>1</v>
      </c>
      <c r="AC5" s="14" t="s">
        <v>1</v>
      </c>
      <c r="AD5" s="14" t="s">
        <v>97</v>
      </c>
      <c r="AE5" s="14" t="s">
        <v>99</v>
      </c>
      <c r="AF5" s="14" t="s">
        <v>94</v>
      </c>
      <c r="AG5" s="14" t="s">
        <v>94</v>
      </c>
      <c r="AH5" s="14" t="s">
        <v>94</v>
      </c>
      <c r="AI5" s="14" t="s">
        <v>96</v>
      </c>
      <c r="AJ5" s="14" t="s">
        <v>99</v>
      </c>
      <c r="AK5" s="14" t="s">
        <v>99</v>
      </c>
      <c r="AL5" s="14" t="s">
        <v>95</v>
      </c>
      <c r="AM5" s="14" t="s">
        <v>95</v>
      </c>
      <c r="AN5" s="14" t="s">
        <v>98</v>
      </c>
      <c r="AO5" s="14" t="s">
        <v>102</v>
      </c>
      <c r="AP5" s="14" t="s">
        <v>1</v>
      </c>
      <c r="AQ5" s="54" t="s">
        <v>1</v>
      </c>
      <c r="AR5" s="54" t="s">
        <v>1</v>
      </c>
    </row>
    <row r="6" spans="1:44" ht="12.75">
      <c r="A6" s="75">
        <v>39448</v>
      </c>
      <c r="B6" s="71"/>
      <c r="C6" s="43"/>
      <c r="E6" s="47"/>
      <c r="F6" s="116">
        <v>855158</v>
      </c>
      <c r="G6" s="44"/>
      <c r="H6" s="4">
        <f>F6+G6</f>
        <v>855158</v>
      </c>
      <c r="I6" s="44">
        <f>F6*0.717/1000</f>
        <v>613.148286</v>
      </c>
      <c r="J6" s="4">
        <f>AF6-K6</f>
        <v>14022.136838347353</v>
      </c>
      <c r="K6" s="43">
        <f>L6+M6+N6</f>
        <v>1742.1075675974998</v>
      </c>
      <c r="L6" s="9">
        <f>O6*P6</f>
        <v>0</v>
      </c>
      <c r="M6" s="4">
        <f>(Q6+T6+W6)*(Z$6+AA6*AD6)</f>
        <v>1677.7269975675</v>
      </c>
      <c r="N6" s="47">
        <f>AE$6*(R6*(1-S$6)+U6*(1-V$6)+X6*(1-Y$6))</f>
        <v>64.38057003000006</v>
      </c>
      <c r="O6" s="45">
        <v>0</v>
      </c>
      <c r="P6" s="21">
        <v>0</v>
      </c>
      <c r="Q6" s="18">
        <v>0</v>
      </c>
      <c r="R6" s="18">
        <v>0</v>
      </c>
      <c r="S6" s="22">
        <v>0.995</v>
      </c>
      <c r="T6" s="18">
        <v>0</v>
      </c>
      <c r="U6" s="18">
        <v>0</v>
      </c>
      <c r="V6" s="22">
        <v>0.995</v>
      </c>
      <c r="W6" s="8">
        <f>X6*Y$6</f>
        <v>610.08254457</v>
      </c>
      <c r="X6" s="8">
        <f>I6</f>
        <v>613.148286</v>
      </c>
      <c r="Y6" s="20">
        <v>0.995</v>
      </c>
      <c r="Z6" s="19">
        <v>2.75</v>
      </c>
      <c r="AB6" s="17"/>
      <c r="AC6" s="18"/>
      <c r="AE6" s="19">
        <v>21</v>
      </c>
      <c r="AF6" s="4">
        <f>AG6+AH6</f>
        <v>15764.244405944853</v>
      </c>
      <c r="AG6" s="4">
        <f>AI6*AJ$6</f>
        <v>12876.114006</v>
      </c>
      <c r="AH6" s="4">
        <f>AL6*AN$6+AM6*AO$6/AP$6</f>
        <v>2888.130399944853</v>
      </c>
      <c r="AI6" s="4">
        <f>(R6+U6+X6)</f>
        <v>613.148286</v>
      </c>
      <c r="AJ6" s="4">
        <v>21</v>
      </c>
      <c r="AK6" s="4">
        <v>2.75</v>
      </c>
      <c r="AL6" s="4">
        <v>0</v>
      </c>
      <c r="AM6" s="55">
        <f>W6*13.899*$AQ$6</f>
        <v>3976.345246000861</v>
      </c>
      <c r="AN6">
        <v>0</v>
      </c>
      <c r="AO6">
        <v>0.3406</v>
      </c>
      <c r="AP6" s="126">
        <f>AQ6</f>
        <v>0.46893422499681925</v>
      </c>
      <c r="AQ6" s="126">
        <f>AQ75</f>
        <v>0.46893422499681925</v>
      </c>
      <c r="AR6">
        <v>0.985</v>
      </c>
    </row>
    <row r="7" spans="1:39" ht="12.75">
      <c r="A7" s="75">
        <v>39479</v>
      </c>
      <c r="B7" s="71"/>
      <c r="C7" s="43"/>
      <c r="E7" s="47"/>
      <c r="F7" s="116">
        <v>802527.55</v>
      </c>
      <c r="G7" s="44"/>
      <c r="H7" s="4">
        <f>F7+G7</f>
        <v>802527.55</v>
      </c>
      <c r="I7" s="44">
        <f>F7*0.717/1000</f>
        <v>575.41225335</v>
      </c>
      <c r="J7" s="4">
        <f>AF7-K7</f>
        <v>13159.148511320303</v>
      </c>
      <c r="K7" s="43">
        <f>L7+M7+N7</f>
        <v>1634.8900648306874</v>
      </c>
      <c r="L7" s="9">
        <f>O7*P7</f>
        <v>0</v>
      </c>
      <c r="M7" s="4">
        <f>(Q7+T7+W7)*(Z$6+AA7*AD7)</f>
        <v>1574.4717782289374</v>
      </c>
      <c r="N7" s="47">
        <f>AE$6*(R7*(1-S$6)+U7*(1-V$6)+X7*(1-Y$6))</f>
        <v>60.41828660175006</v>
      </c>
      <c r="O7" s="45"/>
      <c r="P7" s="21"/>
      <c r="Q7" s="18"/>
      <c r="R7" s="18"/>
      <c r="S7" s="22"/>
      <c r="T7" s="18"/>
      <c r="U7" s="18"/>
      <c r="V7" s="22"/>
      <c r="W7" s="8">
        <f aca="true" t="shared" si="0" ref="W7:W17">X7*Y$6</f>
        <v>572.53519208325</v>
      </c>
      <c r="X7" s="8">
        <f aca="true" t="shared" si="1" ref="X7:X17">I7</f>
        <v>575.41225335</v>
      </c>
      <c r="Y7" s="20"/>
      <c r="Z7" s="19"/>
      <c r="AB7" s="17"/>
      <c r="AC7" s="18"/>
      <c r="AE7" s="19"/>
      <c r="AF7" s="4">
        <f aca="true" t="shared" si="2" ref="AF7:AF17">AG7+AH7</f>
        <v>14794.038576150992</v>
      </c>
      <c r="AG7" s="4">
        <f aca="true" t="shared" si="3" ref="AG7:AG17">AI7*AJ$6</f>
        <v>12083.657320350001</v>
      </c>
      <c r="AH7" s="4">
        <f aca="true" t="shared" si="4" ref="AH7:AH16">AL7*AN$6+AM7*AO$6/AP$6</f>
        <v>2710.38125580099</v>
      </c>
      <c r="AI7" s="4">
        <f aca="true" t="shared" si="5" ref="AI7:AI17">(R7+U7+X7)</f>
        <v>575.41225335</v>
      </c>
      <c r="AJ7" s="4"/>
      <c r="AK7" s="4"/>
      <c r="AL7" s="4"/>
      <c r="AM7" s="55">
        <f>W7*13.899*$AQ$6</f>
        <v>3731.6222361566147</v>
      </c>
    </row>
    <row r="8" spans="1:39" ht="12.75">
      <c r="A8" s="75">
        <v>39508</v>
      </c>
      <c r="B8" s="71"/>
      <c r="C8" s="43"/>
      <c r="E8" s="47"/>
      <c r="F8" s="116">
        <v>764003</v>
      </c>
      <c r="G8" s="44"/>
      <c r="H8" s="4">
        <f aca="true" t="shared" si="6" ref="H8:H16">F8+G8</f>
        <v>764003</v>
      </c>
      <c r="I8" s="44">
        <f aca="true" t="shared" si="7" ref="I8:I16">F8*0.717/1000</f>
        <v>547.7901509999999</v>
      </c>
      <c r="J8" s="4">
        <f aca="true" t="shared" si="8" ref="J8:J16">AF8-K8</f>
        <v>12527.456459400359</v>
      </c>
      <c r="K8" s="43">
        <f aca="true" t="shared" si="9" ref="K8:K16">L8+M8+N8</f>
        <v>1556.4087665287498</v>
      </c>
      <c r="L8" s="9">
        <f aca="true" t="shared" si="10" ref="L8:L16">O8*P8</f>
        <v>0</v>
      </c>
      <c r="M8" s="4">
        <f aca="true" t="shared" si="11" ref="M8:M16">(Q8+T8+W8)*(Z$6+AA8*AD8)</f>
        <v>1498.8908006737497</v>
      </c>
      <c r="N8" s="47">
        <f aca="true" t="shared" si="12" ref="N8:N16">AE$6*(R8*(1-S$6)+U8*(1-V$6)+X8*(1-Y$6))</f>
        <v>57.51796585500004</v>
      </c>
      <c r="O8" s="45"/>
      <c r="P8" s="21"/>
      <c r="Q8" s="18"/>
      <c r="R8" s="18"/>
      <c r="S8" s="22"/>
      <c r="T8" s="18"/>
      <c r="U8" s="18"/>
      <c r="V8" s="22"/>
      <c r="W8" s="8">
        <f t="shared" si="0"/>
        <v>545.0512002449999</v>
      </c>
      <c r="X8" s="8">
        <f t="shared" si="1"/>
        <v>547.7901509999999</v>
      </c>
      <c r="Y8" s="20"/>
      <c r="Z8" s="19"/>
      <c r="AB8" s="17"/>
      <c r="AC8" s="18"/>
      <c r="AE8" s="19"/>
      <c r="AF8" s="4">
        <f t="shared" si="2"/>
        <v>14083.865225929108</v>
      </c>
      <c r="AG8" s="4">
        <f t="shared" si="3"/>
        <v>11503.593170999999</v>
      </c>
      <c r="AH8" s="4">
        <f t="shared" si="4"/>
        <v>2580.2720549291093</v>
      </c>
      <c r="AI8" s="4">
        <f t="shared" si="5"/>
        <v>547.7901509999999</v>
      </c>
      <c r="AJ8" s="4"/>
      <c r="AK8" s="4"/>
      <c r="AL8" s="4"/>
      <c r="AM8" s="55">
        <f aca="true" t="shared" si="13" ref="AM8:AM17">W8*13.899*$AQ$6</f>
        <v>3552.489361007434</v>
      </c>
    </row>
    <row r="9" spans="1:39" ht="12.75">
      <c r="A9" s="75">
        <v>39539</v>
      </c>
      <c r="B9" s="71"/>
      <c r="C9" s="43"/>
      <c r="E9" s="47"/>
      <c r="F9" s="116">
        <v>462020.5</v>
      </c>
      <c r="G9" s="44"/>
      <c r="H9" s="4">
        <f t="shared" si="6"/>
        <v>462020.5</v>
      </c>
      <c r="I9" s="44">
        <f t="shared" si="7"/>
        <v>331.26869849999997</v>
      </c>
      <c r="J9" s="4">
        <f t="shared" si="8"/>
        <v>7575.810169724967</v>
      </c>
      <c r="K9" s="43">
        <f t="shared" si="9"/>
        <v>941.2171896131249</v>
      </c>
      <c r="L9" s="9">
        <f t="shared" si="10"/>
        <v>0</v>
      </c>
      <c r="M9" s="4">
        <f t="shared" si="11"/>
        <v>906.4339762706248</v>
      </c>
      <c r="N9" s="47">
        <f t="shared" si="12"/>
        <v>34.78321334250003</v>
      </c>
      <c r="O9" s="45"/>
      <c r="P9" s="21"/>
      <c r="Q9" s="18"/>
      <c r="R9" s="18"/>
      <c r="S9" s="22"/>
      <c r="T9" s="18"/>
      <c r="U9" s="18"/>
      <c r="V9" s="22"/>
      <c r="W9" s="8">
        <f t="shared" si="0"/>
        <v>329.61235500749996</v>
      </c>
      <c r="X9" s="8">
        <f t="shared" si="1"/>
        <v>331.26869849999997</v>
      </c>
      <c r="Y9" s="20"/>
      <c r="Z9" s="19"/>
      <c r="AB9" s="17"/>
      <c r="AC9" s="18"/>
      <c r="AE9" s="19"/>
      <c r="AF9" s="4">
        <f t="shared" si="2"/>
        <v>8517.027359338092</v>
      </c>
      <c r="AG9" s="4">
        <f t="shared" si="3"/>
        <v>6956.6426685</v>
      </c>
      <c r="AH9" s="4">
        <f t="shared" si="4"/>
        <v>1560.3846908380915</v>
      </c>
      <c r="AI9" s="4">
        <f t="shared" si="5"/>
        <v>331.26869849999997</v>
      </c>
      <c r="AJ9" s="4"/>
      <c r="AK9" s="4"/>
      <c r="AL9" s="4"/>
      <c r="AM9" s="55">
        <f t="shared" si="13"/>
        <v>2148.319981488731</v>
      </c>
    </row>
    <row r="10" spans="1:39" ht="12.75">
      <c r="A10" s="75">
        <v>39569</v>
      </c>
      <c r="B10" s="71"/>
      <c r="C10" s="43"/>
      <c r="E10" s="47"/>
      <c r="F10" s="116">
        <v>360733</v>
      </c>
      <c r="G10" s="44"/>
      <c r="H10" s="4">
        <f t="shared" si="6"/>
        <v>360733</v>
      </c>
      <c r="I10" s="44">
        <f t="shared" si="7"/>
        <v>258.645561</v>
      </c>
      <c r="J10" s="4">
        <f t="shared" si="8"/>
        <v>5914.985871742479</v>
      </c>
      <c r="K10" s="43">
        <f t="shared" si="9"/>
        <v>734.8767001912499</v>
      </c>
      <c r="L10" s="9">
        <f t="shared" si="10"/>
        <v>0</v>
      </c>
      <c r="M10" s="4">
        <f t="shared" si="11"/>
        <v>707.71891628625</v>
      </c>
      <c r="N10" s="47">
        <f t="shared" si="12"/>
        <v>27.15778390500002</v>
      </c>
      <c r="O10" s="45"/>
      <c r="P10" s="21"/>
      <c r="Q10" s="18"/>
      <c r="R10" s="18"/>
      <c r="S10" s="22"/>
      <c r="T10" s="18"/>
      <c r="U10" s="18"/>
      <c r="V10" s="22"/>
      <c r="W10" s="8">
        <f t="shared" si="0"/>
        <v>257.35233319499997</v>
      </c>
      <c r="X10" s="8">
        <f t="shared" si="1"/>
        <v>258.645561</v>
      </c>
      <c r="Y10" s="20"/>
      <c r="Z10" s="19"/>
      <c r="AB10" s="17"/>
      <c r="AC10" s="18"/>
      <c r="AE10" s="19"/>
      <c r="AF10" s="4">
        <f t="shared" si="2"/>
        <v>6649.862571933729</v>
      </c>
      <c r="AG10" s="4">
        <f t="shared" si="3"/>
        <v>5431.556780999999</v>
      </c>
      <c r="AH10" s="4">
        <f t="shared" si="4"/>
        <v>1218.30579093373</v>
      </c>
      <c r="AI10" s="4">
        <f t="shared" si="5"/>
        <v>258.645561</v>
      </c>
      <c r="AJ10" s="4"/>
      <c r="AK10" s="4"/>
      <c r="AL10" s="4"/>
      <c r="AM10" s="55">
        <f>W10*13.899*$AQ$6</f>
        <v>1677.3496238421772</v>
      </c>
    </row>
    <row r="11" spans="1:39" ht="12.75">
      <c r="A11" s="75">
        <v>39600</v>
      </c>
      <c r="B11" s="71"/>
      <c r="C11" s="43"/>
      <c r="E11" s="47"/>
      <c r="F11" s="116">
        <v>151923.3</v>
      </c>
      <c r="G11" s="44"/>
      <c r="H11" s="4">
        <f t="shared" si="6"/>
        <v>151923.3</v>
      </c>
      <c r="I11" s="44">
        <f t="shared" si="7"/>
        <v>108.92900609999998</v>
      </c>
      <c r="J11" s="4">
        <f t="shared" si="8"/>
        <v>2491.1060897907705</v>
      </c>
      <c r="K11" s="43">
        <f t="shared" si="9"/>
        <v>309.4945385816249</v>
      </c>
      <c r="L11" s="9">
        <f t="shared" si="10"/>
        <v>0</v>
      </c>
      <c r="M11" s="4">
        <f t="shared" si="11"/>
        <v>298.0569929411249</v>
      </c>
      <c r="N11" s="47">
        <f t="shared" si="12"/>
        <v>11.437545640500007</v>
      </c>
      <c r="O11" s="45"/>
      <c r="P11" s="21"/>
      <c r="Q11" s="18"/>
      <c r="R11" s="18"/>
      <c r="S11" s="22"/>
      <c r="T11" s="18"/>
      <c r="U11" s="18"/>
      <c r="V11" s="22"/>
      <c r="W11" s="8">
        <f t="shared" si="0"/>
        <v>108.38436106949997</v>
      </c>
      <c r="X11" s="8">
        <f t="shared" si="1"/>
        <v>108.92900609999998</v>
      </c>
      <c r="Y11" s="20"/>
      <c r="Z11" s="19"/>
      <c r="AB11" s="17"/>
      <c r="AC11" s="18"/>
      <c r="AE11" s="19"/>
      <c r="AF11" s="4">
        <f t="shared" si="2"/>
        <v>2800.6006283723955</v>
      </c>
      <c r="AG11" s="4">
        <f t="shared" si="3"/>
        <v>2287.5091280999995</v>
      </c>
      <c r="AH11" s="4">
        <f t="shared" si="4"/>
        <v>513.0915002723962</v>
      </c>
      <c r="AI11" s="4">
        <f t="shared" si="5"/>
        <v>108.92900609999998</v>
      </c>
      <c r="AJ11" s="4"/>
      <c r="AK11" s="4"/>
      <c r="AL11" s="4"/>
      <c r="AM11" s="55">
        <f t="shared" si="13"/>
        <v>706.4185702662694</v>
      </c>
    </row>
    <row r="12" spans="1:39" ht="12.75">
      <c r="A12" s="75">
        <v>39630</v>
      </c>
      <c r="B12" s="71"/>
      <c r="C12" s="43"/>
      <c r="E12" s="47"/>
      <c r="F12" s="116">
        <v>110439</v>
      </c>
      <c r="G12" s="44"/>
      <c r="H12" s="4">
        <f t="shared" si="6"/>
        <v>110439</v>
      </c>
      <c r="I12" s="44">
        <f t="shared" si="7"/>
        <v>79.18476299999999</v>
      </c>
      <c r="J12" s="4">
        <f t="shared" si="8"/>
        <v>1810.8826325547361</v>
      </c>
      <c r="K12" s="43">
        <f t="shared" si="9"/>
        <v>224.98370787374998</v>
      </c>
      <c r="L12" s="9">
        <f t="shared" si="10"/>
        <v>0</v>
      </c>
      <c r="M12" s="4">
        <f t="shared" si="11"/>
        <v>216.66930775874997</v>
      </c>
      <c r="N12" s="47">
        <f t="shared" si="12"/>
        <v>8.314400115000007</v>
      </c>
      <c r="O12" s="45"/>
      <c r="P12" s="21"/>
      <c r="Q12" s="18"/>
      <c r="R12" s="18"/>
      <c r="S12" s="22"/>
      <c r="T12" s="18"/>
      <c r="U12" s="18"/>
      <c r="V12" s="22"/>
      <c r="W12" s="8">
        <f t="shared" si="0"/>
        <v>78.78883918499999</v>
      </c>
      <c r="X12" s="8">
        <f t="shared" si="1"/>
        <v>79.18476299999999</v>
      </c>
      <c r="Y12" s="20"/>
      <c r="Z12" s="19"/>
      <c r="AB12" s="17"/>
      <c r="AC12" s="18"/>
      <c r="AE12" s="19"/>
      <c r="AF12" s="4">
        <f t="shared" si="2"/>
        <v>2035.8663404284862</v>
      </c>
      <c r="AG12" s="4">
        <f t="shared" si="3"/>
        <v>1662.8800229999997</v>
      </c>
      <c r="AH12" s="4">
        <f t="shared" si="4"/>
        <v>372.9863174284864</v>
      </c>
      <c r="AI12" s="4">
        <f t="shared" si="5"/>
        <v>79.18476299999999</v>
      </c>
      <c r="AJ12" s="4"/>
      <c r="AK12" s="4"/>
      <c r="AL12" s="4"/>
      <c r="AM12" s="55">
        <f t="shared" si="13"/>
        <v>513.5233402752345</v>
      </c>
    </row>
    <row r="13" spans="1:39" ht="12.75">
      <c r="A13" s="75">
        <v>39661</v>
      </c>
      <c r="B13" s="71"/>
      <c r="C13" s="43"/>
      <c r="E13" s="47"/>
      <c r="F13" s="116">
        <v>106643</v>
      </c>
      <c r="G13" s="44"/>
      <c r="H13" s="4">
        <f t="shared" si="6"/>
        <v>106643</v>
      </c>
      <c r="I13" s="44">
        <f t="shared" si="7"/>
        <v>76.463031</v>
      </c>
      <c r="J13" s="4">
        <f t="shared" si="8"/>
        <v>1748.6391273330505</v>
      </c>
      <c r="K13" s="43">
        <f t="shared" si="9"/>
        <v>217.25058682875</v>
      </c>
      <c r="L13" s="9">
        <f t="shared" si="10"/>
        <v>0</v>
      </c>
      <c r="M13" s="4">
        <f t="shared" si="11"/>
        <v>209.22196857375</v>
      </c>
      <c r="N13" s="47">
        <f t="shared" si="12"/>
        <v>8.028618255000007</v>
      </c>
      <c r="O13" s="45"/>
      <c r="P13" s="21"/>
      <c r="Q13" s="18"/>
      <c r="R13" s="18"/>
      <c r="S13" s="22"/>
      <c r="T13" s="18"/>
      <c r="U13" s="18"/>
      <c r="V13" s="22"/>
      <c r="W13" s="8">
        <f t="shared" si="0"/>
        <v>76.080715845</v>
      </c>
      <c r="X13" s="8">
        <f t="shared" si="1"/>
        <v>76.463031</v>
      </c>
      <c r="Y13" s="20"/>
      <c r="Z13" s="19"/>
      <c r="AB13" s="17"/>
      <c r="AC13" s="18"/>
      <c r="AE13" s="19"/>
      <c r="AF13" s="4">
        <f t="shared" si="2"/>
        <v>1965.8897141618004</v>
      </c>
      <c r="AG13" s="4">
        <f t="shared" si="3"/>
        <v>1605.723651</v>
      </c>
      <c r="AH13" s="4">
        <f t="shared" si="4"/>
        <v>360.1660631618004</v>
      </c>
      <c r="AI13" s="4">
        <f t="shared" si="5"/>
        <v>76.463031</v>
      </c>
      <c r="AJ13" s="4"/>
      <c r="AK13" s="4"/>
      <c r="AL13" s="4"/>
      <c r="AM13" s="55">
        <f t="shared" si="13"/>
        <v>495.87255930397635</v>
      </c>
    </row>
    <row r="14" spans="1:39" ht="12.75">
      <c r="A14" s="75">
        <v>39692</v>
      </c>
      <c r="B14" s="71"/>
      <c r="C14" s="43"/>
      <c r="E14" s="47"/>
      <c r="F14" s="116">
        <v>120887.5</v>
      </c>
      <c r="G14" s="44"/>
      <c r="H14" s="4">
        <f t="shared" si="6"/>
        <v>120887.5</v>
      </c>
      <c r="I14" s="44">
        <f t="shared" si="7"/>
        <v>86.67633749999999</v>
      </c>
      <c r="J14" s="4">
        <f t="shared" si="8"/>
        <v>1982.2080446487264</v>
      </c>
      <c r="K14" s="43">
        <f t="shared" si="9"/>
        <v>246.26914392187496</v>
      </c>
      <c r="L14" s="9">
        <f t="shared" si="10"/>
        <v>0</v>
      </c>
      <c r="M14" s="4">
        <f t="shared" si="11"/>
        <v>237.16812848437496</v>
      </c>
      <c r="N14" s="47">
        <f t="shared" si="12"/>
        <v>9.101015437500006</v>
      </c>
      <c r="O14" s="45"/>
      <c r="P14" s="21"/>
      <c r="Q14" s="18"/>
      <c r="R14" s="18"/>
      <c r="S14" s="22"/>
      <c r="T14" s="18"/>
      <c r="U14" s="18"/>
      <c r="V14" s="22"/>
      <c r="W14" s="8">
        <f t="shared" si="0"/>
        <v>86.24295581249999</v>
      </c>
      <c r="X14" s="8">
        <f t="shared" si="1"/>
        <v>86.67633749999999</v>
      </c>
      <c r="Y14" s="20"/>
      <c r="Z14" s="19"/>
      <c r="AB14" s="17"/>
      <c r="AC14" s="18"/>
      <c r="AE14" s="19"/>
      <c r="AF14" s="4">
        <f t="shared" si="2"/>
        <v>2228.4771885706014</v>
      </c>
      <c r="AG14" s="4">
        <f t="shared" si="3"/>
        <v>1820.2030874999998</v>
      </c>
      <c r="AH14" s="4">
        <f t="shared" si="4"/>
        <v>408.27410107060143</v>
      </c>
      <c r="AI14" s="4">
        <f t="shared" si="5"/>
        <v>86.67633749999999</v>
      </c>
      <c r="AJ14" s="4"/>
      <c r="AK14" s="4"/>
      <c r="AL14" s="4"/>
      <c r="AM14" s="55">
        <f t="shared" si="13"/>
        <v>562.1071613969922</v>
      </c>
    </row>
    <row r="15" spans="1:39" ht="12.75">
      <c r="A15" s="75">
        <v>39722</v>
      </c>
      <c r="B15" s="71"/>
      <c r="C15" s="43"/>
      <c r="E15" s="47"/>
      <c r="F15" s="116">
        <v>105108.08333333333</v>
      </c>
      <c r="G15" s="44"/>
      <c r="H15" s="4">
        <f t="shared" si="6"/>
        <v>105108.08333333333</v>
      </c>
      <c r="I15" s="44">
        <f t="shared" si="7"/>
        <v>75.36249575</v>
      </c>
      <c r="J15" s="4">
        <f t="shared" si="8"/>
        <v>1723.470899315</v>
      </c>
      <c r="K15" s="43">
        <f t="shared" si="9"/>
        <v>214.1236910496875</v>
      </c>
      <c r="L15" s="9">
        <f t="shared" si="10"/>
        <v>0</v>
      </c>
      <c r="M15" s="4">
        <f t="shared" si="11"/>
        <v>206.2106289959375</v>
      </c>
      <c r="N15" s="47">
        <f t="shared" si="12"/>
        <v>7.913062053750006</v>
      </c>
      <c r="O15" s="45"/>
      <c r="P15" s="21"/>
      <c r="Q15" s="18"/>
      <c r="R15" s="18"/>
      <c r="S15" s="22"/>
      <c r="T15" s="18"/>
      <c r="U15" s="18"/>
      <c r="V15" s="22"/>
      <c r="W15" s="8">
        <f t="shared" si="0"/>
        <v>74.98568327125</v>
      </c>
      <c r="X15" s="8">
        <f t="shared" si="1"/>
        <v>75.36249575</v>
      </c>
      <c r="Y15" s="20"/>
      <c r="Z15" s="19"/>
      <c r="AB15" s="17"/>
      <c r="AC15" s="18"/>
      <c r="AE15" s="19"/>
      <c r="AF15" s="4">
        <f t="shared" si="2"/>
        <v>1937.5945903646875</v>
      </c>
      <c r="AG15" s="4">
        <f t="shared" si="3"/>
        <v>1582.61241075</v>
      </c>
      <c r="AH15" s="4">
        <f t="shared" si="4"/>
        <v>354.98217961468754</v>
      </c>
      <c r="AI15" s="4">
        <f t="shared" si="5"/>
        <v>75.36249575</v>
      </c>
      <c r="AJ15" s="4"/>
      <c r="AK15" s="4"/>
      <c r="AL15" s="4"/>
      <c r="AM15" s="55">
        <f t="shared" si="13"/>
        <v>488.7354471089113</v>
      </c>
    </row>
    <row r="16" spans="1:39" ht="12.75">
      <c r="A16" s="75">
        <v>39753</v>
      </c>
      <c r="B16" s="71"/>
      <c r="C16" s="43"/>
      <c r="E16" s="47"/>
      <c r="F16" s="116">
        <v>214583.6666666667</v>
      </c>
      <c r="G16" s="44"/>
      <c r="H16" s="4">
        <f t="shared" si="6"/>
        <v>214583.6666666667</v>
      </c>
      <c r="I16" s="44">
        <f t="shared" si="7"/>
        <v>153.856489</v>
      </c>
      <c r="J16" s="4">
        <f t="shared" si="8"/>
        <v>3518.5562636077957</v>
      </c>
      <c r="K16" s="43">
        <f t="shared" si="9"/>
        <v>437.1447493712501</v>
      </c>
      <c r="L16" s="9">
        <f t="shared" si="10"/>
        <v>0</v>
      </c>
      <c r="M16" s="4">
        <f t="shared" si="11"/>
        <v>420.9898180262501</v>
      </c>
      <c r="N16" s="47">
        <f t="shared" si="12"/>
        <v>16.154931345000016</v>
      </c>
      <c r="O16" s="45"/>
      <c r="P16" s="21"/>
      <c r="Q16" s="18"/>
      <c r="R16" s="18"/>
      <c r="S16" s="22"/>
      <c r="T16" s="18"/>
      <c r="U16" s="18"/>
      <c r="V16" s="22"/>
      <c r="W16" s="8">
        <f t="shared" si="0"/>
        <v>153.08720655500002</v>
      </c>
      <c r="X16" s="8">
        <f t="shared" si="1"/>
        <v>153.856489</v>
      </c>
      <c r="Y16" s="20"/>
      <c r="Z16" s="19"/>
      <c r="AB16" s="17"/>
      <c r="AC16" s="18"/>
      <c r="AE16" s="19"/>
      <c r="AF16" s="4">
        <f t="shared" si="2"/>
        <v>3955.701012979046</v>
      </c>
      <c r="AG16" s="4">
        <f t="shared" si="3"/>
        <v>3230.986269</v>
      </c>
      <c r="AH16" s="4">
        <f t="shared" si="4"/>
        <v>724.7147439790463</v>
      </c>
      <c r="AI16" s="4">
        <f t="shared" si="5"/>
        <v>153.856489</v>
      </c>
      <c r="AJ16" s="4"/>
      <c r="AK16" s="4"/>
      <c r="AL16" s="4"/>
      <c r="AM16" s="55">
        <f t="shared" si="13"/>
        <v>997.7790569923144</v>
      </c>
    </row>
    <row r="17" spans="1:39" ht="13.5" thickBot="1">
      <c r="A17" s="75">
        <v>39783</v>
      </c>
      <c r="B17" s="71"/>
      <c r="C17" s="43"/>
      <c r="E17" s="47"/>
      <c r="F17" s="116">
        <v>483930</v>
      </c>
      <c r="G17" s="44"/>
      <c r="H17" s="4">
        <f>F17+G17</f>
        <v>483930</v>
      </c>
      <c r="I17" s="44">
        <f>F17*0.717/1000</f>
        <v>346.97781</v>
      </c>
      <c r="J17" s="4">
        <f aca="true" t="shared" si="14" ref="J17:J30">AF17-K17</f>
        <v>7935.063087969046</v>
      </c>
      <c r="K17" s="43">
        <f aca="true" t="shared" si="15" ref="K17:K30">L17+M17+N17</f>
        <v>985.8507026625</v>
      </c>
      <c r="L17" s="9">
        <f aca="true" t="shared" si="16" ref="L17:L30">O17*P17</f>
        <v>0</v>
      </c>
      <c r="M17" s="4">
        <f aca="true" t="shared" si="17" ref="M17:M30">(Q17+T17+W17)*(Z$6+AA17*AD17)</f>
        <v>949.4180326124999</v>
      </c>
      <c r="N17" s="47">
        <f aca="true" t="shared" si="18" ref="N17:N30">AE$6*(R17*(1-S$6)+U17*(1-V$6)+X17*(1-Y$6))</f>
        <v>36.43267005000003</v>
      </c>
      <c r="O17" s="45"/>
      <c r="P17" s="21"/>
      <c r="Q17" s="18"/>
      <c r="R17" s="18"/>
      <c r="S17" s="22"/>
      <c r="T17" s="18"/>
      <c r="U17" s="18"/>
      <c r="V17" s="22"/>
      <c r="W17" s="8">
        <f t="shared" si="0"/>
        <v>345.24292095</v>
      </c>
      <c r="X17" s="8">
        <f t="shared" si="1"/>
        <v>346.97781</v>
      </c>
      <c r="Y17" s="20"/>
      <c r="Z17" s="19"/>
      <c r="AB17" s="17"/>
      <c r="AC17" s="18"/>
      <c r="AE17" s="19"/>
      <c r="AF17" s="4">
        <f t="shared" si="2"/>
        <v>8920.913790631546</v>
      </c>
      <c r="AG17" s="4">
        <f t="shared" si="3"/>
        <v>7286.534009999999</v>
      </c>
      <c r="AH17" s="4">
        <f>AL17*AN$6+AM17*AO$6/AP$6</f>
        <v>1634.3797806315474</v>
      </c>
      <c r="AI17" s="4">
        <f t="shared" si="5"/>
        <v>346.97781</v>
      </c>
      <c r="AJ17" s="4"/>
      <c r="AK17" s="4"/>
      <c r="AL17" s="4"/>
      <c r="AM17" s="55">
        <f t="shared" si="13"/>
        <v>2250.1955836198654</v>
      </c>
    </row>
    <row r="18" spans="1:44" ht="13.5" thickBot="1">
      <c r="A18" s="59" t="s">
        <v>127</v>
      </c>
      <c r="B18" s="60"/>
      <c r="C18" s="60"/>
      <c r="D18" s="60"/>
      <c r="E18" s="61"/>
      <c r="F18" s="60">
        <f aca="true" t="shared" si="19" ref="F18:N18">SUM(F6:F17)</f>
        <v>4537956.6</v>
      </c>
      <c r="G18" s="62"/>
      <c r="H18" s="60">
        <f t="shared" si="19"/>
        <v>4537956.6</v>
      </c>
      <c r="I18" s="60">
        <f t="shared" si="19"/>
        <v>3253.7148822000004</v>
      </c>
      <c r="J18" s="60">
        <f>SUM(J6:J17)</f>
        <v>74409.46399575459</v>
      </c>
      <c r="K18" s="60">
        <f t="shared" si="19"/>
        <v>9244.617409050748</v>
      </c>
      <c r="L18" s="60">
        <f t="shared" si="19"/>
        <v>0</v>
      </c>
      <c r="M18" s="60">
        <f t="shared" si="19"/>
        <v>8902.97734641975</v>
      </c>
      <c r="N18" s="62">
        <f t="shared" si="19"/>
        <v>341.6400626310003</v>
      </c>
      <c r="O18" s="63"/>
      <c r="P18" s="64"/>
      <c r="Q18" s="63"/>
      <c r="R18" s="63"/>
      <c r="S18" s="65"/>
      <c r="T18" s="63"/>
      <c r="U18" s="63"/>
      <c r="V18" s="65"/>
      <c r="W18" s="60">
        <f>SUM(W6:W17)</f>
        <v>3237.446307789</v>
      </c>
      <c r="X18" s="60">
        <f>SUM(X6:X17)</f>
        <v>3253.7148822000004</v>
      </c>
      <c r="Y18" s="66"/>
      <c r="Z18" s="67"/>
      <c r="AA18" s="60"/>
      <c r="AB18" s="68"/>
      <c r="AC18" s="60"/>
      <c r="AD18" s="60"/>
      <c r="AE18" s="67"/>
      <c r="AF18" s="60">
        <f>SUM(AF6:AF17)</f>
        <v>83654.08140480534</v>
      </c>
      <c r="AG18" s="60">
        <f>SUM(AG6:AG17)</f>
        <v>68328.0125262</v>
      </c>
      <c r="AH18" s="60">
        <f>SUM(AH6:AH17)</f>
        <v>15326.068878605336</v>
      </c>
      <c r="AI18" s="60">
        <f>SUM(AI6:AI17)</f>
        <v>3253.7148822000004</v>
      </c>
      <c r="AJ18" s="69"/>
      <c r="AK18" s="69"/>
      <c r="AL18" s="69"/>
      <c r="AM18" s="60">
        <f>SUM(AM6:AM17)</f>
        <v>21100.75816745938</v>
      </c>
      <c r="AN18" s="34"/>
      <c r="AO18" s="34"/>
      <c r="AP18" s="34"/>
      <c r="AQ18" s="34"/>
      <c r="AR18" s="70"/>
    </row>
    <row r="19" spans="1:43" ht="12.75">
      <c r="A19" s="75">
        <v>39814</v>
      </c>
      <c r="B19" s="71"/>
      <c r="C19" s="43"/>
      <c r="E19" s="47"/>
      <c r="F19" s="116">
        <v>451775.3333333334</v>
      </c>
      <c r="G19" s="44"/>
      <c r="H19" s="4">
        <f>F19+G19</f>
        <v>451775.3333333334</v>
      </c>
      <c r="I19" s="44">
        <f aca="true" t="shared" si="20" ref="I19:I30">F19*0.717/1000</f>
        <v>323.922914</v>
      </c>
      <c r="J19" s="4">
        <f t="shared" si="14"/>
        <v>7407.81884071714</v>
      </c>
      <c r="K19" s="43">
        <f t="shared" si="15"/>
        <v>920.3459794025</v>
      </c>
      <c r="L19" s="9">
        <f t="shared" si="16"/>
        <v>0</v>
      </c>
      <c r="M19" s="4">
        <f t="shared" si="17"/>
        <v>886.3340734325</v>
      </c>
      <c r="N19" s="47">
        <f t="shared" si="18"/>
        <v>34.01190597000003</v>
      </c>
      <c r="O19" s="45"/>
      <c r="P19" s="21"/>
      <c r="Q19" s="18"/>
      <c r="R19" s="18"/>
      <c r="S19" s="22"/>
      <c r="T19" s="18"/>
      <c r="U19" s="18"/>
      <c r="V19" s="22"/>
      <c r="W19" s="8">
        <f aca="true" t="shared" si="21" ref="W19:W30">X19*Y$6</f>
        <v>322.30329943</v>
      </c>
      <c r="X19" s="8">
        <f aca="true" t="shared" si="22" ref="X19:X30">I19</f>
        <v>323.922914</v>
      </c>
      <c r="Y19" s="20"/>
      <c r="Z19" s="19"/>
      <c r="AB19" s="17"/>
      <c r="AC19" s="18"/>
      <c r="AE19" s="19"/>
      <c r="AF19" s="4">
        <f>AG19+AH19</f>
        <v>8328.16482011964</v>
      </c>
      <c r="AG19" s="4">
        <f>AI19*AJ$6</f>
        <v>6802.381194</v>
      </c>
      <c r="AH19" s="4">
        <f>AL19*AN$6+AM19*AO$6/AP$6</f>
        <v>1525.7836261196405</v>
      </c>
      <c r="AI19" s="4">
        <f>(R19+U19+X19)</f>
        <v>323.922914</v>
      </c>
      <c r="AJ19" s="4"/>
      <c r="AK19" s="4"/>
      <c r="AL19" s="4"/>
      <c r="AM19" s="55">
        <f>W19*13.899*$AQ$6</f>
        <v>2100.681627208603</v>
      </c>
      <c r="AQ19" s="105"/>
    </row>
    <row r="20" spans="1:43" ht="12.75">
      <c r="A20" s="75">
        <v>39845</v>
      </c>
      <c r="B20" s="71"/>
      <c r="C20" s="43"/>
      <c r="E20" s="47"/>
      <c r="F20" s="116">
        <v>482976</v>
      </c>
      <c r="G20" s="44"/>
      <c r="H20" s="4">
        <f>F20+G20</f>
        <v>482976</v>
      </c>
      <c r="I20" s="44">
        <f t="shared" si="20"/>
        <v>346.29379199999994</v>
      </c>
      <c r="J20" s="4">
        <f t="shared" si="14"/>
        <v>7919.4202260139655</v>
      </c>
      <c r="K20" s="43">
        <f t="shared" si="15"/>
        <v>983.9072365199999</v>
      </c>
      <c r="L20" s="9">
        <f t="shared" si="16"/>
        <v>0</v>
      </c>
      <c r="M20" s="4">
        <f t="shared" si="17"/>
        <v>947.5463883599998</v>
      </c>
      <c r="N20" s="47">
        <f t="shared" si="18"/>
        <v>36.360848160000025</v>
      </c>
      <c r="O20" s="45"/>
      <c r="P20" s="21"/>
      <c r="Q20" s="18"/>
      <c r="R20" s="18"/>
      <c r="S20" s="22"/>
      <c r="T20" s="18"/>
      <c r="U20" s="18"/>
      <c r="V20" s="22"/>
      <c r="W20" s="8">
        <f t="shared" si="21"/>
        <v>344.5623230399999</v>
      </c>
      <c r="X20" s="8">
        <f t="shared" si="22"/>
        <v>346.29379199999994</v>
      </c>
      <c r="Y20" s="20"/>
      <c r="Z20" s="19"/>
      <c r="AB20" s="17"/>
      <c r="AC20" s="18"/>
      <c r="AE20" s="19"/>
      <c r="AF20" s="4">
        <f>AG20+AH20</f>
        <v>8903.327462533965</v>
      </c>
      <c r="AG20" s="4">
        <f>AI20*AJ$6</f>
        <v>7272.169631999999</v>
      </c>
      <c r="AH20" s="4">
        <f>AL20*AN$6+AM20*AO$6/AP$6</f>
        <v>1631.1578305339656</v>
      </c>
      <c r="AI20" s="4">
        <f>(R20+U20+X20)</f>
        <v>346.29379199999994</v>
      </c>
      <c r="AJ20" s="4"/>
      <c r="AK20" s="4"/>
      <c r="AL20" s="4"/>
      <c r="AM20" s="55">
        <f aca="true" t="shared" si="23" ref="AM20:AM28">W20*13.899*$AQ$6</f>
        <v>2245.75963919242</v>
      </c>
      <c r="AQ20" s="105"/>
    </row>
    <row r="21" spans="1:43" ht="12.75">
      <c r="A21" s="75">
        <v>39873</v>
      </c>
      <c r="B21" s="71"/>
      <c r="C21" s="43"/>
      <c r="E21" s="47"/>
      <c r="F21" s="116">
        <v>608688</v>
      </c>
      <c r="G21" s="44"/>
      <c r="H21" s="4">
        <f aca="true" t="shared" si="24" ref="H21:H30">F21+G21</f>
        <v>608688</v>
      </c>
      <c r="I21" s="44">
        <f t="shared" si="20"/>
        <v>436.42929599999997</v>
      </c>
      <c r="J21" s="4">
        <f t="shared" si="14"/>
        <v>9980.736224019389</v>
      </c>
      <c r="K21" s="43">
        <f t="shared" si="15"/>
        <v>1240.00473726</v>
      </c>
      <c r="L21" s="9">
        <f t="shared" si="16"/>
        <v>0</v>
      </c>
      <c r="M21" s="4">
        <f t="shared" si="17"/>
        <v>1194.1796611799998</v>
      </c>
      <c r="N21" s="47">
        <f t="shared" si="18"/>
        <v>45.82507608000004</v>
      </c>
      <c r="O21" s="45"/>
      <c r="P21" s="21"/>
      <c r="Q21" s="18"/>
      <c r="R21" s="18"/>
      <c r="S21" s="22"/>
      <c r="T21" s="18"/>
      <c r="U21" s="18"/>
      <c r="V21" s="22"/>
      <c r="W21" s="8">
        <f t="shared" si="21"/>
        <v>434.24714951999994</v>
      </c>
      <c r="X21" s="8">
        <f t="shared" si="22"/>
        <v>436.42929599999997</v>
      </c>
      <c r="Y21" s="20"/>
      <c r="Z21" s="19"/>
      <c r="AB21" s="17"/>
      <c r="AC21" s="18"/>
      <c r="AE21" s="19"/>
      <c r="AF21" s="4">
        <f aca="true" t="shared" si="25" ref="AF21:AF30">AG21+AH21</f>
        <v>11220.740961279389</v>
      </c>
      <c r="AG21" s="4">
        <f aca="true" t="shared" si="26" ref="AG21:AG30">AI21*AJ$6</f>
        <v>9165.015216</v>
      </c>
      <c r="AH21" s="4">
        <f aca="true" t="shared" si="27" ref="AH21:AH30">AL21*AN$6+AM21*AO$6/AP$6</f>
        <v>2055.7257452793897</v>
      </c>
      <c r="AI21" s="4">
        <f aca="true" t="shared" si="28" ref="AI21:AI30">(R21+U21+X21)</f>
        <v>436.42929599999997</v>
      </c>
      <c r="AJ21" s="4"/>
      <c r="AK21" s="4"/>
      <c r="AL21" s="4"/>
      <c r="AM21" s="55">
        <f t="shared" si="23"/>
        <v>2830.2999388391054</v>
      </c>
      <c r="AQ21" s="105"/>
    </row>
    <row r="22" spans="1:43" ht="12.75">
      <c r="A22" s="75">
        <v>39904</v>
      </c>
      <c r="B22" s="71"/>
      <c r="C22" s="43"/>
      <c r="E22" s="47"/>
      <c r="F22" s="116">
        <v>601248</v>
      </c>
      <c r="G22" s="44"/>
      <c r="H22" s="4">
        <f t="shared" si="24"/>
        <v>601248</v>
      </c>
      <c r="I22" s="44">
        <f t="shared" si="20"/>
        <v>431.094816</v>
      </c>
      <c r="J22" s="4">
        <f t="shared" si="14"/>
        <v>9858.741577325673</v>
      </c>
      <c r="K22" s="43">
        <f t="shared" si="15"/>
        <v>1224.84814596</v>
      </c>
      <c r="L22" s="9">
        <f t="shared" si="16"/>
        <v>0</v>
      </c>
      <c r="M22" s="4">
        <f t="shared" si="17"/>
        <v>1179.58319028</v>
      </c>
      <c r="N22" s="47">
        <f t="shared" si="18"/>
        <v>45.264955680000035</v>
      </c>
      <c r="O22" s="45"/>
      <c r="P22" s="21"/>
      <c r="Q22" s="18"/>
      <c r="R22" s="18"/>
      <c r="S22" s="22"/>
      <c r="T22" s="18"/>
      <c r="U22" s="18"/>
      <c r="V22" s="22"/>
      <c r="W22" s="8">
        <f t="shared" si="21"/>
        <v>428.93934192</v>
      </c>
      <c r="X22" s="8">
        <f t="shared" si="22"/>
        <v>431.094816</v>
      </c>
      <c r="Y22" s="20"/>
      <c r="Z22" s="19"/>
      <c r="AB22" s="17"/>
      <c r="AC22" s="18"/>
      <c r="AE22" s="19"/>
      <c r="AF22" s="4">
        <f t="shared" si="25"/>
        <v>11083.589723285673</v>
      </c>
      <c r="AG22" s="4">
        <f t="shared" si="26"/>
        <v>9052.991135999999</v>
      </c>
      <c r="AH22" s="4">
        <f t="shared" si="27"/>
        <v>2030.598587285675</v>
      </c>
      <c r="AI22" s="4">
        <f t="shared" si="28"/>
        <v>431.094816</v>
      </c>
      <c r="AJ22" s="4"/>
      <c r="AK22" s="4"/>
      <c r="AL22" s="4"/>
      <c r="AM22" s="55">
        <f t="shared" si="23"/>
        <v>2795.705152109348</v>
      </c>
      <c r="AQ22" s="105"/>
    </row>
    <row r="23" spans="1:43" ht="12.75">
      <c r="A23" s="75">
        <v>39934</v>
      </c>
      <c r="B23" s="71"/>
      <c r="C23" s="43"/>
      <c r="E23" s="47"/>
      <c r="F23" s="116">
        <v>189270.33333333334</v>
      </c>
      <c r="G23" s="44"/>
      <c r="H23" s="4">
        <f t="shared" si="24"/>
        <v>189270.33333333334</v>
      </c>
      <c r="I23" s="44">
        <f t="shared" si="20"/>
        <v>135.706829</v>
      </c>
      <c r="J23" s="4">
        <f t="shared" si="14"/>
        <v>3103.490247930343</v>
      </c>
      <c r="K23" s="43">
        <f t="shared" si="15"/>
        <v>385.57702789625</v>
      </c>
      <c r="L23" s="9">
        <f t="shared" si="16"/>
        <v>0</v>
      </c>
      <c r="M23" s="4">
        <f t="shared" si="17"/>
        <v>371.32781085125</v>
      </c>
      <c r="N23" s="47">
        <f t="shared" si="18"/>
        <v>14.249217045000014</v>
      </c>
      <c r="O23" s="45"/>
      <c r="P23" s="21"/>
      <c r="Q23" s="18"/>
      <c r="R23" s="18"/>
      <c r="S23" s="22"/>
      <c r="T23" s="18"/>
      <c r="U23" s="18"/>
      <c r="V23" s="22"/>
      <c r="W23" s="8">
        <f t="shared" si="21"/>
        <v>135.02829485499998</v>
      </c>
      <c r="X23" s="8">
        <f t="shared" si="22"/>
        <v>135.706829</v>
      </c>
      <c r="Y23" s="20"/>
      <c r="Z23" s="19"/>
      <c r="AB23" s="17"/>
      <c r="AC23" s="18"/>
      <c r="AE23" s="19"/>
      <c r="AF23" s="4">
        <f t="shared" si="25"/>
        <v>3489.067275826593</v>
      </c>
      <c r="AG23" s="4">
        <f t="shared" si="26"/>
        <v>2849.843409</v>
      </c>
      <c r="AH23" s="4">
        <f t="shared" si="27"/>
        <v>639.2238668265929</v>
      </c>
      <c r="AI23" s="4">
        <f t="shared" si="28"/>
        <v>135.706829</v>
      </c>
      <c r="AJ23" s="4"/>
      <c r="AK23" s="4"/>
      <c r="AL23" s="4"/>
      <c r="AM23" s="55">
        <f t="shared" si="23"/>
        <v>880.0761849377521</v>
      </c>
      <c r="AQ23" s="105"/>
    </row>
    <row r="24" spans="1:43" ht="12.75">
      <c r="A24" s="75">
        <v>39965</v>
      </c>
      <c r="B24" s="71"/>
      <c r="C24" s="43"/>
      <c r="E24" s="47"/>
      <c r="F24" s="116">
        <v>170823</v>
      </c>
      <c r="G24" s="44"/>
      <c r="H24" s="4">
        <f t="shared" si="24"/>
        <v>170823</v>
      </c>
      <c r="I24" s="44">
        <f t="shared" si="20"/>
        <v>122.480091</v>
      </c>
      <c r="J24" s="4">
        <f t="shared" si="14"/>
        <v>2801.006926365666</v>
      </c>
      <c r="K24" s="43">
        <f t="shared" si="15"/>
        <v>347.99655855375</v>
      </c>
      <c r="L24" s="9">
        <f t="shared" si="16"/>
        <v>0</v>
      </c>
      <c r="M24" s="4">
        <f t="shared" si="17"/>
        <v>335.13614899875</v>
      </c>
      <c r="N24" s="47">
        <f t="shared" si="18"/>
        <v>12.860409555000011</v>
      </c>
      <c r="O24" s="45"/>
      <c r="P24" s="21"/>
      <c r="Q24" s="18"/>
      <c r="R24" s="18"/>
      <c r="S24" s="22"/>
      <c r="T24" s="18"/>
      <c r="U24" s="18"/>
      <c r="V24" s="22"/>
      <c r="W24" s="8">
        <f t="shared" si="21"/>
        <v>121.867690545</v>
      </c>
      <c r="X24" s="8">
        <f t="shared" si="22"/>
        <v>122.480091</v>
      </c>
      <c r="Y24" s="20"/>
      <c r="Z24" s="19"/>
      <c r="AB24" s="17"/>
      <c r="AC24" s="18"/>
      <c r="AE24" s="19"/>
      <c r="AF24" s="4">
        <f t="shared" si="25"/>
        <v>3149.0034849194158</v>
      </c>
      <c r="AG24" s="4">
        <f t="shared" si="26"/>
        <v>2572.081911</v>
      </c>
      <c r="AH24" s="4">
        <f t="shared" si="27"/>
        <v>576.9215739194157</v>
      </c>
      <c r="AI24" s="4">
        <f t="shared" si="28"/>
        <v>122.480091</v>
      </c>
      <c r="AJ24" s="4"/>
      <c r="AK24" s="4"/>
      <c r="AL24" s="4"/>
      <c r="AM24" s="55">
        <f>W24*13.899*$AQ$6</f>
        <v>794.2990932173998</v>
      </c>
      <c r="AQ24" s="105"/>
    </row>
    <row r="25" spans="1:43" ht="12.75">
      <c r="A25" s="75">
        <v>39995</v>
      </c>
      <c r="B25" s="71"/>
      <c r="C25" s="43"/>
      <c r="E25" s="47"/>
      <c r="F25" s="116">
        <v>184998</v>
      </c>
      <c r="G25" s="44"/>
      <c r="H25" s="4">
        <f t="shared" si="24"/>
        <v>184998</v>
      </c>
      <c r="I25" s="44">
        <f t="shared" si="20"/>
        <v>132.643566</v>
      </c>
      <c r="J25" s="4">
        <f t="shared" si="14"/>
        <v>3033.4362431510713</v>
      </c>
      <c r="K25" s="43">
        <f t="shared" si="15"/>
        <v>376.87353189749996</v>
      </c>
      <c r="L25" s="9">
        <f t="shared" si="16"/>
        <v>0</v>
      </c>
      <c r="M25" s="4">
        <f t="shared" si="17"/>
        <v>362.94595746749997</v>
      </c>
      <c r="N25" s="47">
        <f t="shared" si="18"/>
        <v>13.927574430000012</v>
      </c>
      <c r="O25" s="45"/>
      <c r="P25" s="21"/>
      <c r="Q25" s="18"/>
      <c r="R25" s="18"/>
      <c r="S25" s="22"/>
      <c r="T25" s="18"/>
      <c r="U25" s="18"/>
      <c r="V25" s="22"/>
      <c r="W25" s="8">
        <f t="shared" si="21"/>
        <v>131.98034816999998</v>
      </c>
      <c r="X25" s="8">
        <f t="shared" si="22"/>
        <v>132.643566</v>
      </c>
      <c r="Y25" s="20"/>
      <c r="Z25" s="19"/>
      <c r="AB25" s="17"/>
      <c r="AC25" s="18"/>
      <c r="AE25" s="19"/>
      <c r="AF25" s="4">
        <f t="shared" si="25"/>
        <v>3410.3097750485713</v>
      </c>
      <c r="AG25" s="4">
        <f t="shared" si="26"/>
        <v>2785.514886</v>
      </c>
      <c r="AH25" s="4">
        <f t="shared" si="27"/>
        <v>624.7948890485711</v>
      </c>
      <c r="AI25" s="4">
        <f t="shared" si="28"/>
        <v>132.643566</v>
      </c>
      <c r="AJ25" s="4"/>
      <c r="AK25" s="4"/>
      <c r="AL25" s="4"/>
      <c r="AM25" s="55">
        <f t="shared" si="23"/>
        <v>860.2105316440555</v>
      </c>
      <c r="AQ25" s="105"/>
    </row>
    <row r="26" spans="1:46" ht="12.75">
      <c r="A26" s="75">
        <v>40026</v>
      </c>
      <c r="B26" s="71"/>
      <c r="C26" s="43"/>
      <c r="E26" s="47"/>
      <c r="F26" s="116">
        <v>55347</v>
      </c>
      <c r="G26" s="44"/>
      <c r="H26" s="4">
        <f t="shared" si="24"/>
        <v>55347</v>
      </c>
      <c r="I26" s="44">
        <f t="shared" si="20"/>
        <v>39.683799</v>
      </c>
      <c r="J26" s="4">
        <f t="shared" si="14"/>
        <v>907.5319503436921</v>
      </c>
      <c r="K26" s="43">
        <f t="shared" si="15"/>
        <v>112.75159390875001</v>
      </c>
      <c r="L26" s="9">
        <f t="shared" si="16"/>
        <v>0</v>
      </c>
      <c r="M26" s="4">
        <f t="shared" si="17"/>
        <v>108.58479501375001</v>
      </c>
      <c r="N26" s="47">
        <f t="shared" si="18"/>
        <v>4.166798895000004</v>
      </c>
      <c r="O26" s="45"/>
      <c r="P26" s="21"/>
      <c r="Q26" s="18"/>
      <c r="R26" s="18"/>
      <c r="S26" s="22"/>
      <c r="T26" s="18"/>
      <c r="U26" s="18"/>
      <c r="V26" s="22"/>
      <c r="W26" s="8">
        <f>X26*Y$6</f>
        <v>39.485380005</v>
      </c>
      <c r="X26" s="8">
        <f t="shared" si="22"/>
        <v>39.683799</v>
      </c>
      <c r="Y26" s="20"/>
      <c r="Z26" s="19"/>
      <c r="AB26" s="17"/>
      <c r="AC26" s="18"/>
      <c r="AE26" s="19"/>
      <c r="AF26" s="4">
        <f t="shared" si="25"/>
        <v>1020.2835442524421</v>
      </c>
      <c r="AG26" s="4">
        <f t="shared" si="26"/>
        <v>833.359779</v>
      </c>
      <c r="AH26" s="4">
        <f t="shared" si="27"/>
        <v>186.92376525244205</v>
      </c>
      <c r="AI26" s="4">
        <f t="shared" si="28"/>
        <v>39.683799</v>
      </c>
      <c r="AJ26" s="4"/>
      <c r="AK26" s="4"/>
      <c r="AL26" s="4"/>
      <c r="AM26" s="55">
        <f t="shared" si="23"/>
        <v>257.3545243456878</v>
      </c>
      <c r="AQ26" s="105"/>
      <c r="AS26" s="9"/>
      <c r="AT26" s="9"/>
    </row>
    <row r="27" spans="1:46" s="18" customFormat="1" ht="12.75">
      <c r="A27" s="86">
        <v>40057</v>
      </c>
      <c r="B27" s="71"/>
      <c r="C27" s="87"/>
      <c r="D27" s="55"/>
      <c r="E27" s="88"/>
      <c r="F27" s="106">
        <f>F43</f>
        <v>148118</v>
      </c>
      <c r="G27" s="89"/>
      <c r="H27" s="135">
        <f>H43</f>
        <v>148118</v>
      </c>
      <c r="I27" s="135">
        <f aca="true" t="shared" si="29" ref="I27:N27">I43</f>
        <v>106.200606</v>
      </c>
      <c r="J27" s="135">
        <f t="shared" si="29"/>
        <v>2428.710091260718</v>
      </c>
      <c r="K27" s="135">
        <f t="shared" si="29"/>
        <v>301.7424717975</v>
      </c>
      <c r="L27" s="135">
        <f t="shared" si="29"/>
        <v>0</v>
      </c>
      <c r="M27" s="135">
        <f t="shared" si="29"/>
        <v>290.5914081675</v>
      </c>
      <c r="N27" s="135">
        <f t="shared" si="29"/>
        <v>11.151063630000008</v>
      </c>
      <c r="O27" s="45"/>
      <c r="P27" s="21"/>
      <c r="S27" s="22"/>
      <c r="V27" s="22"/>
      <c r="W27" s="90">
        <f t="shared" si="21"/>
        <v>105.66960297</v>
      </c>
      <c r="X27" s="90">
        <f t="shared" si="22"/>
        <v>106.200606</v>
      </c>
      <c r="Y27" s="20"/>
      <c r="Z27" s="19"/>
      <c r="AB27" s="91"/>
      <c r="AE27" s="19"/>
      <c r="AF27" s="4">
        <f t="shared" si="25"/>
        <v>2730.452563058218</v>
      </c>
      <c r="AG27" s="4">
        <f t="shared" si="26"/>
        <v>2230.2127259999997</v>
      </c>
      <c r="AH27" s="4">
        <f t="shared" si="27"/>
        <v>500.2398370582182</v>
      </c>
      <c r="AI27" s="4">
        <f t="shared" si="28"/>
        <v>106.200606</v>
      </c>
      <c r="AJ27" s="55"/>
      <c r="AK27" s="55"/>
      <c r="AL27" s="55"/>
      <c r="AM27" s="55">
        <f t="shared" si="23"/>
        <v>688.7245458115992</v>
      </c>
      <c r="AO27"/>
      <c r="AQ27" s="105"/>
      <c r="AS27" s="87"/>
      <c r="AT27" s="87"/>
    </row>
    <row r="28" spans="1:46" ht="12.75">
      <c r="A28" s="75">
        <v>40087</v>
      </c>
      <c r="B28" s="71"/>
      <c r="C28" s="43"/>
      <c r="E28" s="47"/>
      <c r="F28" s="116">
        <v>432185</v>
      </c>
      <c r="G28" s="44"/>
      <c r="H28" s="4">
        <f t="shared" si="24"/>
        <v>432185</v>
      </c>
      <c r="I28" s="44">
        <f t="shared" si="20"/>
        <v>309.87664499999994</v>
      </c>
      <c r="J28" s="4">
        <f t="shared" si="14"/>
        <v>7086.593599640242</v>
      </c>
      <c r="K28" s="43">
        <f t="shared" si="15"/>
        <v>880.4370176062498</v>
      </c>
      <c r="L28" s="9">
        <f t="shared" si="16"/>
        <v>0</v>
      </c>
      <c r="M28" s="4">
        <f t="shared" si="17"/>
        <v>847.8999698812498</v>
      </c>
      <c r="N28" s="47">
        <f t="shared" si="18"/>
        <v>32.53704772500002</v>
      </c>
      <c r="O28" s="45"/>
      <c r="P28" s="21"/>
      <c r="Q28" s="18"/>
      <c r="R28" s="18"/>
      <c r="S28" s="22"/>
      <c r="T28" s="18"/>
      <c r="U28" s="18"/>
      <c r="V28" s="22"/>
      <c r="W28" s="8">
        <f t="shared" si="21"/>
        <v>308.32726177499995</v>
      </c>
      <c r="X28" s="8">
        <f t="shared" si="22"/>
        <v>309.87664499999994</v>
      </c>
      <c r="Y28" s="20"/>
      <c r="Z28" s="19"/>
      <c r="AB28" s="17"/>
      <c r="AC28" s="18"/>
      <c r="AE28" s="19"/>
      <c r="AF28" s="4">
        <f t="shared" si="25"/>
        <v>7967.030617246492</v>
      </c>
      <c r="AG28" s="4">
        <f t="shared" si="26"/>
        <v>6507.409544999999</v>
      </c>
      <c r="AH28" s="4">
        <f t="shared" si="27"/>
        <v>1459.6210722464928</v>
      </c>
      <c r="AI28" s="4">
        <f t="shared" si="28"/>
        <v>309.87664499999994</v>
      </c>
      <c r="AJ28" s="4"/>
      <c r="AK28" s="4"/>
      <c r="AL28" s="4"/>
      <c r="AM28" s="55">
        <f t="shared" si="23"/>
        <v>2009.5897718817832</v>
      </c>
      <c r="AN28" s="18"/>
      <c r="AQ28" s="105"/>
      <c r="AS28" s="87"/>
      <c r="AT28" s="87"/>
    </row>
    <row r="29" spans="1:46" ht="12.75">
      <c r="A29" s="136">
        <v>40118</v>
      </c>
      <c r="B29" s="71"/>
      <c r="C29" s="43"/>
      <c r="E29" s="47"/>
      <c r="F29" s="116">
        <v>898416</v>
      </c>
      <c r="G29" s="44"/>
      <c r="H29" s="4">
        <f t="shared" si="24"/>
        <v>898416</v>
      </c>
      <c r="I29" s="44">
        <f t="shared" si="20"/>
        <v>644.164272</v>
      </c>
      <c r="J29" s="4">
        <f t="shared" si="14"/>
        <v>14849.10133063192</v>
      </c>
      <c r="K29" s="43">
        <f t="shared" si="15"/>
        <v>1830.2317378199998</v>
      </c>
      <c r="L29" s="9">
        <f t="shared" si="16"/>
        <v>0</v>
      </c>
      <c r="M29" s="4">
        <f t="shared" si="17"/>
        <v>1762.5944892599998</v>
      </c>
      <c r="N29" s="47">
        <f t="shared" si="18"/>
        <v>67.63724856000006</v>
      </c>
      <c r="O29" s="45"/>
      <c r="P29" s="21"/>
      <c r="Q29" s="18"/>
      <c r="R29" s="18"/>
      <c r="S29" s="22"/>
      <c r="T29" s="18"/>
      <c r="U29" s="18"/>
      <c r="V29" s="22"/>
      <c r="W29" s="8">
        <f t="shared" si="21"/>
        <v>640.9434506399999</v>
      </c>
      <c r="X29" s="8">
        <f t="shared" si="22"/>
        <v>644.164272</v>
      </c>
      <c r="Y29" s="20"/>
      <c r="Z29" s="19"/>
      <c r="AB29" s="17"/>
      <c r="AC29" s="18"/>
      <c r="AE29" s="19"/>
      <c r="AF29" s="4">
        <f t="shared" si="25"/>
        <v>16679.33306845192</v>
      </c>
      <c r="AG29" s="4">
        <f t="shared" si="26"/>
        <v>13527.449712</v>
      </c>
      <c r="AH29" s="4">
        <f t="shared" si="27"/>
        <v>3151.8833564519196</v>
      </c>
      <c r="AI29" s="4">
        <f t="shared" si="28"/>
        <v>644.164272</v>
      </c>
      <c r="AJ29" s="4"/>
      <c r="AK29" s="4"/>
      <c r="AL29" s="4"/>
      <c r="AM29" s="135">
        <f>AM74</f>
        <v>4339.477331292291</v>
      </c>
      <c r="AN29" s="18"/>
      <c r="AQ29" s="105"/>
      <c r="AS29" s="87"/>
      <c r="AT29" s="87"/>
    </row>
    <row r="30" spans="1:46" ht="13.5" thickBot="1">
      <c r="A30" s="75">
        <v>40148</v>
      </c>
      <c r="B30" s="72"/>
      <c r="C30" s="31"/>
      <c r="E30" s="48"/>
      <c r="F30" s="117">
        <v>922078</v>
      </c>
      <c r="G30" s="73"/>
      <c r="H30" s="4">
        <f t="shared" si="24"/>
        <v>922078</v>
      </c>
      <c r="I30" s="32">
        <f t="shared" si="20"/>
        <v>661.129926</v>
      </c>
      <c r="J30" s="31">
        <f t="shared" si="14"/>
        <v>15380.302062570232</v>
      </c>
      <c r="K30" s="31">
        <f t="shared" si="15"/>
        <v>1878.4354022475002</v>
      </c>
      <c r="L30" s="30">
        <f t="shared" si="16"/>
        <v>0</v>
      </c>
      <c r="M30" s="31">
        <f t="shared" si="17"/>
        <v>1809.0167600175</v>
      </c>
      <c r="N30" s="48">
        <f t="shared" si="18"/>
        <v>69.41864223000006</v>
      </c>
      <c r="O30" s="25"/>
      <c r="P30" s="26"/>
      <c r="Q30" s="25"/>
      <c r="R30" s="25"/>
      <c r="S30" s="27"/>
      <c r="T30" s="25"/>
      <c r="U30" s="25"/>
      <c r="V30" s="27"/>
      <c r="W30" s="32">
        <f t="shared" si="21"/>
        <v>657.82427637</v>
      </c>
      <c r="X30" s="32">
        <f t="shared" si="22"/>
        <v>661.129926</v>
      </c>
      <c r="Y30" s="28"/>
      <c r="Z30" s="29"/>
      <c r="AA30" s="30"/>
      <c r="AB30" s="33"/>
      <c r="AC30" s="25"/>
      <c r="AD30" s="30"/>
      <c r="AE30" s="29"/>
      <c r="AF30" s="4">
        <f t="shared" si="25"/>
        <v>17258.737464817732</v>
      </c>
      <c r="AG30" s="4">
        <f t="shared" si="26"/>
        <v>13883.728446</v>
      </c>
      <c r="AH30" s="4">
        <f t="shared" si="27"/>
        <v>3375.009018817733</v>
      </c>
      <c r="AI30" s="4">
        <f t="shared" si="28"/>
        <v>661.129926</v>
      </c>
      <c r="AJ30" s="31"/>
      <c r="AK30" s="31"/>
      <c r="AL30" s="31"/>
      <c r="AM30" s="120">
        <v>4646.674217840778</v>
      </c>
      <c r="AN30" s="18"/>
      <c r="AO30" s="30"/>
      <c r="AP30" s="30"/>
      <c r="AQ30" s="122">
        <f>AM30/X30/13.899</f>
        <v>0.5056754317781098</v>
      </c>
      <c r="AR30" s="30"/>
      <c r="AS30" s="87"/>
      <c r="AT30" s="87"/>
    </row>
    <row r="31" spans="1:46" ht="13.5" thickBot="1">
      <c r="A31" s="59" t="s">
        <v>128</v>
      </c>
      <c r="B31" s="60"/>
      <c r="C31" s="60"/>
      <c r="D31" s="60"/>
      <c r="E31" s="61"/>
      <c r="F31" s="60">
        <f>SUM(F19:F30)</f>
        <v>5145922.666666667</v>
      </c>
      <c r="G31" s="62"/>
      <c r="H31" s="60">
        <f>SUM(H19:H30)</f>
        <v>5145922.666666667</v>
      </c>
      <c r="I31" s="60">
        <f aca="true" t="shared" si="30" ref="I31:N31">SUM(I19:I30)</f>
        <v>3689.6265519999997</v>
      </c>
      <c r="J31" s="60">
        <f>SUM(J19:J30)</f>
        <v>84756.88931997005</v>
      </c>
      <c r="K31" s="60">
        <f t="shared" si="30"/>
        <v>10483.151440869999</v>
      </c>
      <c r="L31" s="60">
        <f t="shared" si="30"/>
        <v>0</v>
      </c>
      <c r="M31" s="60">
        <f t="shared" si="30"/>
        <v>10095.74065291</v>
      </c>
      <c r="N31" s="62">
        <f t="shared" si="30"/>
        <v>387.41078796000033</v>
      </c>
      <c r="O31" s="63"/>
      <c r="P31" s="64"/>
      <c r="Q31" s="63"/>
      <c r="R31" s="63"/>
      <c r="S31" s="65"/>
      <c r="T31" s="63"/>
      <c r="U31" s="63"/>
      <c r="V31" s="65"/>
      <c r="W31" s="60">
        <f>SUM(W19:W30)</f>
        <v>3671.1784192399996</v>
      </c>
      <c r="X31" s="60">
        <f>SUM(X19:X30)</f>
        <v>3689.6265519999997</v>
      </c>
      <c r="Y31" s="66"/>
      <c r="Z31" s="67"/>
      <c r="AA31" s="60"/>
      <c r="AB31" s="68"/>
      <c r="AC31" s="60"/>
      <c r="AD31" s="60"/>
      <c r="AE31" s="67"/>
      <c r="AF31" s="60">
        <f>SUM(AF19:AF30)</f>
        <v>95240.04076084006</v>
      </c>
      <c r="AG31" s="60">
        <f>SUM(AG19:AG30)</f>
        <v>77482.15759199999</v>
      </c>
      <c r="AH31" s="60">
        <f>SUM(AH19:AH30)</f>
        <v>17757.883168840053</v>
      </c>
      <c r="AI31" s="60">
        <f>SUM(AI19:AI30)</f>
        <v>3689.6265519999997</v>
      </c>
      <c r="AJ31" s="69"/>
      <c r="AK31" s="69"/>
      <c r="AL31" s="69"/>
      <c r="AM31" s="60">
        <f>SUM(AM19:AM30)</f>
        <v>24448.85255832082</v>
      </c>
      <c r="AN31" s="34"/>
      <c r="AO31" s="34"/>
      <c r="AP31" s="34"/>
      <c r="AQ31" s="123"/>
      <c r="AR31" s="34"/>
      <c r="AS31" s="9"/>
      <c r="AT31" s="87"/>
    </row>
    <row r="32" spans="1:46" ht="12.75">
      <c r="A32" s="75">
        <v>40179</v>
      </c>
      <c r="E32" s="46"/>
      <c r="F32" s="4">
        <v>848177</v>
      </c>
      <c r="G32" s="8"/>
      <c r="H32" s="4">
        <f>F32+G32</f>
        <v>848177</v>
      </c>
      <c r="I32" s="8">
        <f>F32*0.717/1000</f>
        <v>608.142909</v>
      </c>
      <c r="J32" s="4">
        <f>AF32-K32</f>
        <v>14133.805082956866</v>
      </c>
      <c r="K32" s="4">
        <f>L32+M32+N32</f>
        <v>1727.88604019625</v>
      </c>
      <c r="L32">
        <f>O32*P32</f>
        <v>0</v>
      </c>
      <c r="M32" s="8">
        <f>(Q32+T32+W32)*(Z$6+AA32*AD32)</f>
        <v>1664.03103475125</v>
      </c>
      <c r="N32" s="46">
        <f>AE$6*(R32*(1-S$6)+U32*(1-V$6)+X32*(1-Y$6))</f>
        <v>63.85500544500006</v>
      </c>
      <c r="O32" s="18"/>
      <c r="P32" s="21"/>
      <c r="Q32" s="18"/>
      <c r="R32" s="18"/>
      <c r="S32" s="22"/>
      <c r="T32" s="18"/>
      <c r="U32" s="18"/>
      <c r="V32" s="22"/>
      <c r="W32" s="8">
        <f>X32*Y$6</f>
        <v>605.102194455</v>
      </c>
      <c r="X32" s="8">
        <f>I32</f>
        <v>608.142909</v>
      </c>
      <c r="Y32" s="20"/>
      <c r="Z32" s="19"/>
      <c r="AB32" s="17"/>
      <c r="AC32" s="18"/>
      <c r="AE32" s="19"/>
      <c r="AF32" s="4">
        <f>AG32+AH32</f>
        <v>15861.691123153116</v>
      </c>
      <c r="AG32" s="4">
        <f>AI32*AJ$6</f>
        <v>12771.001089000001</v>
      </c>
      <c r="AH32" s="4">
        <f>AL32*AN$6+AM32*AO$6/AP$6</f>
        <v>3090.6900341531136</v>
      </c>
      <c r="AI32" s="4">
        <f>(R32+U32+X32)</f>
        <v>608.142909</v>
      </c>
      <c r="AJ32" s="4"/>
      <c r="AK32" s="4"/>
      <c r="AL32" s="4"/>
      <c r="AM32" s="118">
        <v>4255.227057753914</v>
      </c>
      <c r="AQ32" s="122">
        <f>AM32/X32/13.899</f>
        <v>0.5034235603218427</v>
      </c>
      <c r="AS32" s="87"/>
      <c r="AT32" s="87"/>
    </row>
    <row r="33" spans="1:46" ht="12.75">
      <c r="A33" s="75">
        <v>40210</v>
      </c>
      <c r="E33" s="46"/>
      <c r="F33" s="4">
        <v>1452332</v>
      </c>
      <c r="G33" s="8"/>
      <c r="H33" s="4">
        <f>F33+G33</f>
        <v>1452332</v>
      </c>
      <c r="I33" s="8">
        <f>F33*0.717/1000</f>
        <v>1041.322044</v>
      </c>
      <c r="J33" s="4">
        <f>AF33-K33</f>
        <v>23805.290274415485</v>
      </c>
      <c r="K33" s="4">
        <f>L33+M33+N33</f>
        <v>2958.656257515</v>
      </c>
      <c r="L33">
        <f>O33*P33</f>
        <v>0</v>
      </c>
      <c r="M33" s="8">
        <f>(Q33+T33+W33)*(Z$6+AA33*AD33)</f>
        <v>2849.317442895</v>
      </c>
      <c r="N33" s="46">
        <f>AE$6*(R33*(1-S$6)+U33*(1-V$6)+X33*(1-Y$6))</f>
        <v>109.3388146200001</v>
      </c>
      <c r="O33" s="18"/>
      <c r="P33" s="21"/>
      <c r="Q33" s="18"/>
      <c r="R33" s="18"/>
      <c r="S33" s="22"/>
      <c r="T33" s="18"/>
      <c r="U33" s="18"/>
      <c r="V33" s="22"/>
      <c r="W33" s="8">
        <f>X33*Y$6</f>
        <v>1036.11543378</v>
      </c>
      <c r="X33" s="8">
        <f>I33</f>
        <v>1041.322044</v>
      </c>
      <c r="Y33" s="20"/>
      <c r="Z33" s="19"/>
      <c r="AB33" s="17"/>
      <c r="AC33" s="18"/>
      <c r="AE33" s="19"/>
      <c r="AF33" s="4">
        <f>AG33+AH33</f>
        <v>26763.946531930487</v>
      </c>
      <c r="AG33" s="4">
        <f>AI33*AJ$6</f>
        <v>21867.762924</v>
      </c>
      <c r="AH33" s="4">
        <f>AL33*AN$6+AM33*AO$6/AP$6</f>
        <v>4896.1836079304885</v>
      </c>
      <c r="AI33" s="4">
        <f>(R33+U33+X33)</f>
        <v>1041.322044</v>
      </c>
      <c r="AJ33" s="4"/>
      <c r="AK33" s="4"/>
      <c r="AL33" s="4"/>
      <c r="AM33" s="119">
        <v>6741.010175064632</v>
      </c>
      <c r="AQ33" s="122">
        <f>AM33/X33/13.899</f>
        <v>0.46575375567231664</v>
      </c>
      <c r="AS33" s="87"/>
      <c r="AT33" s="87"/>
    </row>
    <row r="34" spans="1:46" ht="13.5" thickBot="1">
      <c r="A34" s="75">
        <v>40238</v>
      </c>
      <c r="E34" s="46"/>
      <c r="F34" s="4">
        <v>1212819</v>
      </c>
      <c r="G34" s="8"/>
      <c r="H34" s="4">
        <f>F34+G34</f>
        <v>1212819</v>
      </c>
      <c r="I34" s="8">
        <f>F34*0.717/1000</f>
        <v>869.591223</v>
      </c>
      <c r="J34" s="4">
        <f>AF34-K34</f>
        <v>19375.913898472176</v>
      </c>
      <c r="K34" s="4">
        <f>L34+M34+N34</f>
        <v>2470.72606234875</v>
      </c>
      <c r="L34">
        <f>O34*P34</f>
        <v>0</v>
      </c>
      <c r="M34" s="8">
        <f>(Q34+T34+W34)*(Z$6+AA34*AD34)</f>
        <v>2379.41898393375</v>
      </c>
      <c r="N34" s="46">
        <f>AE$6*(R34*(1-S$6)+U34*(1-V$6)+X34*(1-Y$6))</f>
        <v>91.30707841500009</v>
      </c>
      <c r="O34" s="18"/>
      <c r="P34" s="21"/>
      <c r="Q34" s="18"/>
      <c r="R34" s="18"/>
      <c r="S34" s="22"/>
      <c r="T34" s="18"/>
      <c r="U34" s="18"/>
      <c r="V34" s="22"/>
      <c r="W34" s="8">
        <f>X34*Y$6</f>
        <v>865.243266885</v>
      </c>
      <c r="X34" s="8">
        <f>I34</f>
        <v>869.591223</v>
      </c>
      <c r="Y34" s="20"/>
      <c r="Z34" s="19"/>
      <c r="AB34" s="17"/>
      <c r="AC34" s="18"/>
      <c r="AE34" s="19"/>
      <c r="AF34" s="4">
        <f>AG34+AH34</f>
        <v>21846.639960820925</v>
      </c>
      <c r="AG34" s="4">
        <f>AI34*AJ$6</f>
        <v>18261.415683</v>
      </c>
      <c r="AH34" s="4">
        <f>AL34*AN$6+AM34*AO$6/AP$6</f>
        <v>3585.2242778209256</v>
      </c>
      <c r="AI34" s="4">
        <f>(R34+U34+X34)</f>
        <v>869.591223</v>
      </c>
      <c r="AJ34" s="4"/>
      <c r="AK34" s="4"/>
      <c r="AL34" s="4"/>
      <c r="AM34" s="120">
        <v>4936.096207163056</v>
      </c>
      <c r="AQ34" s="122">
        <f>AM34/X34/13.899</f>
        <v>0.40839922865190537</v>
      </c>
      <c r="AS34" s="87"/>
      <c r="AT34" s="87"/>
    </row>
    <row r="35" spans="1:44" ht="13.5" thickBot="1">
      <c r="A35" s="59" t="s">
        <v>129</v>
      </c>
      <c r="B35" s="60"/>
      <c r="C35" s="60"/>
      <c r="D35" s="60"/>
      <c r="E35" s="61"/>
      <c r="F35" s="60">
        <f>SUM(F32:F34)</f>
        <v>3513328</v>
      </c>
      <c r="G35" s="62"/>
      <c r="H35" s="60">
        <f>SUM(H32:H34)</f>
        <v>3513328</v>
      </c>
      <c r="I35" s="60">
        <f aca="true" t="shared" si="31" ref="I35:N35">SUM(I32:I34)</f>
        <v>2519.056176</v>
      </c>
      <c r="J35" s="60">
        <f>SUM(J32:J34)</f>
        <v>57315.00925584453</v>
      </c>
      <c r="K35" s="60">
        <f t="shared" si="31"/>
        <v>7157.26836006</v>
      </c>
      <c r="L35" s="60">
        <f t="shared" si="31"/>
        <v>0</v>
      </c>
      <c r="M35" s="60">
        <f t="shared" si="31"/>
        <v>6892.767461580001</v>
      </c>
      <c r="N35" s="62">
        <f t="shared" si="31"/>
        <v>264.5008984800003</v>
      </c>
      <c r="O35" s="63"/>
      <c r="P35" s="64"/>
      <c r="Q35" s="63"/>
      <c r="R35" s="63"/>
      <c r="S35" s="65"/>
      <c r="T35" s="63"/>
      <c r="U35" s="63"/>
      <c r="V35" s="65"/>
      <c r="W35" s="60">
        <f>SUM(W32:W34)</f>
        <v>2506.4608951200003</v>
      </c>
      <c r="X35" s="60">
        <f>SUM(X32:X34)</f>
        <v>2519.056176</v>
      </c>
      <c r="Y35" s="66"/>
      <c r="Z35" s="67"/>
      <c r="AA35" s="60"/>
      <c r="AB35" s="68"/>
      <c r="AC35" s="60"/>
      <c r="AD35" s="60"/>
      <c r="AE35" s="67"/>
      <c r="AF35" s="60">
        <f>SUM(AF32:AF34)</f>
        <v>64472.277615904524</v>
      </c>
      <c r="AG35" s="60">
        <f>SUM(AG32:AG34)</f>
        <v>52900.179696</v>
      </c>
      <c r="AH35" s="60">
        <f>SUM(AH32:AH34)</f>
        <v>11572.097919904529</v>
      </c>
      <c r="AI35" s="60">
        <f>SUM(AI32:AI34)</f>
        <v>2519.056176</v>
      </c>
      <c r="AJ35" s="69"/>
      <c r="AK35" s="69"/>
      <c r="AL35" s="69"/>
      <c r="AM35" s="60">
        <f>SUM(AM32:AM34)</f>
        <v>15932.333439981601</v>
      </c>
      <c r="AN35" s="34"/>
      <c r="AO35" s="34"/>
      <c r="AP35" s="34"/>
      <c r="AQ35" s="123"/>
      <c r="AR35" s="70"/>
    </row>
    <row r="36" spans="1:44" ht="18">
      <c r="A36" s="37" t="s">
        <v>130</v>
      </c>
      <c r="B36" s="39"/>
      <c r="C36" s="39"/>
      <c r="D36" s="39"/>
      <c r="E36" s="38"/>
      <c r="F36" s="38"/>
      <c r="G36" s="38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51"/>
      <c r="AO36" s="52"/>
      <c r="AP36" s="52"/>
      <c r="AQ36" s="124"/>
      <c r="AR36" s="52"/>
    </row>
    <row r="37" spans="1:44" ht="13.5" thickBot="1">
      <c r="A37" s="40" t="s">
        <v>103</v>
      </c>
      <c r="B37" s="42"/>
      <c r="C37" s="42"/>
      <c r="D37" s="42"/>
      <c r="E37" s="42"/>
      <c r="F37" s="42">
        <f aca="true" t="shared" si="32" ref="F37:N37">F18+F31+F35</f>
        <v>13197207.266666666</v>
      </c>
      <c r="G37" s="42"/>
      <c r="H37" s="42">
        <f t="shared" si="32"/>
        <v>13197207.266666666</v>
      </c>
      <c r="I37" s="42">
        <f t="shared" si="32"/>
        <v>9462.3976102</v>
      </c>
      <c r="J37" s="42">
        <f t="shared" si="32"/>
        <v>216481.36257156916</v>
      </c>
      <c r="K37" s="42">
        <f t="shared" si="32"/>
        <v>26885.037209980746</v>
      </c>
      <c r="L37" s="42">
        <f t="shared" si="32"/>
        <v>0</v>
      </c>
      <c r="M37" s="42">
        <f t="shared" si="32"/>
        <v>25891.485460909753</v>
      </c>
      <c r="N37" s="42">
        <f t="shared" si="32"/>
        <v>993.5517490710009</v>
      </c>
      <c r="O37" s="41"/>
      <c r="P37" s="41"/>
      <c r="Q37" s="41"/>
      <c r="R37" s="41"/>
      <c r="S37" s="41"/>
      <c r="T37" s="41"/>
      <c r="U37" s="41"/>
      <c r="V37" s="41"/>
      <c r="W37" s="42">
        <f>W18+W31+W35</f>
        <v>9415.085622149</v>
      </c>
      <c r="X37" s="42">
        <f>X18+X31+X35</f>
        <v>9462.3976102</v>
      </c>
      <c r="Y37" s="41"/>
      <c r="Z37" s="41"/>
      <c r="AA37" s="42"/>
      <c r="AB37" s="50"/>
      <c r="AC37" s="49"/>
      <c r="AD37" s="49"/>
      <c r="AE37" s="41"/>
      <c r="AF37" s="42">
        <f>AF18+AF31+AF35</f>
        <v>243366.39978154993</v>
      </c>
      <c r="AG37" s="42">
        <f>AG18+AG31+AG35</f>
        <v>198710.3498142</v>
      </c>
      <c r="AH37" s="42">
        <f>AH18+AH31+AH35</f>
        <v>44656.049967349914</v>
      </c>
      <c r="AI37" s="42">
        <f>AI18+AI31+AI35</f>
        <v>9462.3976102</v>
      </c>
      <c r="AJ37" s="41"/>
      <c r="AK37" s="41"/>
      <c r="AL37" s="41"/>
      <c r="AM37" s="42">
        <f>AM18+AM31+AM35</f>
        <v>61481.9441657618</v>
      </c>
      <c r="AN37" s="53"/>
      <c r="AO37" s="53"/>
      <c r="AP37" s="53"/>
      <c r="AQ37" s="125"/>
      <c r="AR37" s="53"/>
    </row>
    <row r="38" ht="12.75">
      <c r="AQ38" s="126"/>
    </row>
    <row r="39" spans="1:43" ht="12.75">
      <c r="A39" s="6" t="s">
        <v>145</v>
      </c>
      <c r="AQ39" s="126"/>
    </row>
    <row r="40" spans="1:43" ht="12.75">
      <c r="A40" s="6" t="s">
        <v>126</v>
      </c>
      <c r="AQ40" s="126"/>
    </row>
    <row r="41" spans="1:44" s="9" customFormat="1" ht="12.75">
      <c r="A41" s="138" t="s">
        <v>146</v>
      </c>
      <c r="B41" s="77"/>
      <c r="C41" s="77" t="s">
        <v>144</v>
      </c>
      <c r="D41" s="78" t="s">
        <v>132</v>
      </c>
      <c r="E41" s="79"/>
      <c r="F41" s="77">
        <v>58135</v>
      </c>
      <c r="G41" s="80"/>
      <c r="H41" s="77">
        <f>F41+G41</f>
        <v>58135</v>
      </c>
      <c r="I41" s="80">
        <f>F41*0.717/1000</f>
        <v>41.682795</v>
      </c>
      <c r="J41" s="113">
        <f>AF41-K41</f>
        <v>945.8313655019037</v>
      </c>
      <c r="K41" s="77">
        <f>L41+M41+N41</f>
        <v>118.43124129374999</v>
      </c>
      <c r="L41" s="79">
        <f>O41*P41</f>
        <v>0</v>
      </c>
      <c r="M41" s="77">
        <f>(Q41+T41+W41)*(Z$6+AA41*AD41)</f>
        <v>114.05454781875</v>
      </c>
      <c r="N41" s="81">
        <f>AE$6*(R41*(1-S$6)+U41*(1-V$6)+X41*(1-Y$6))</f>
        <v>4.376693475000003</v>
      </c>
      <c r="O41" s="79"/>
      <c r="P41" s="79"/>
      <c r="Q41" s="79"/>
      <c r="R41" s="79"/>
      <c r="S41" s="79"/>
      <c r="T41" s="79"/>
      <c r="U41" s="79"/>
      <c r="V41" s="79"/>
      <c r="W41" s="80">
        <f>X41*Y$6</f>
        <v>41.474381025</v>
      </c>
      <c r="X41" s="80">
        <f>I41</f>
        <v>41.682795</v>
      </c>
      <c r="Y41" s="95"/>
      <c r="Z41" s="96"/>
      <c r="AA41" s="79"/>
      <c r="AB41" s="97"/>
      <c r="AC41" s="98"/>
      <c r="AD41" s="79"/>
      <c r="AE41" s="96"/>
      <c r="AF41" s="77">
        <f>AG41+AH41</f>
        <v>1064.2626067956537</v>
      </c>
      <c r="AG41" s="77">
        <f>AI41*AJ$6</f>
        <v>875.3386949999999</v>
      </c>
      <c r="AH41" s="77">
        <f>AL41*AN$17+AM41*AO$6/AP$6</f>
        <v>188.92391179565377</v>
      </c>
      <c r="AI41" s="77">
        <f>(R41+U41+X41)</f>
        <v>41.682795</v>
      </c>
      <c r="AJ41" s="77"/>
      <c r="AK41" s="77"/>
      <c r="AL41" s="77"/>
      <c r="AM41" s="99">
        <f>AM27*11.33/30</f>
        <v>260.1083034681807</v>
      </c>
      <c r="AN41" s="79"/>
      <c r="AO41" s="79"/>
      <c r="AP41" s="79"/>
      <c r="AQ41" s="127"/>
      <c r="AR41" s="82"/>
    </row>
    <row r="42" spans="1:44" s="9" customFormat="1" ht="12.75">
      <c r="A42" s="112" t="s">
        <v>147</v>
      </c>
      <c r="B42" s="56"/>
      <c r="C42" s="56" t="s">
        <v>134</v>
      </c>
      <c r="D42" s="83" t="s">
        <v>133</v>
      </c>
      <c r="E42" s="3"/>
      <c r="F42" s="56">
        <v>89983</v>
      </c>
      <c r="G42" s="76"/>
      <c r="H42" s="56">
        <f>F42+G42</f>
        <v>89983</v>
      </c>
      <c r="I42" s="76">
        <f>F42*0.717/1000</f>
        <v>64.517811</v>
      </c>
      <c r="J42" s="114">
        <f>AF42-K42</f>
        <v>1482.8787257588142</v>
      </c>
      <c r="K42" s="56">
        <f>L42+M42+N42</f>
        <v>183.31123050375</v>
      </c>
      <c r="L42" s="3">
        <f>O42*P42</f>
        <v>0</v>
      </c>
      <c r="M42" s="56">
        <f>(Q42+T42+W42)*(Z$6+AA42*AD42)</f>
        <v>176.53686034875</v>
      </c>
      <c r="N42" s="84">
        <f>AE$6*(R42*(1-S$6)+U42*(1-V$6)+X42*(1-Y$6))</f>
        <v>6.774370155000005</v>
      </c>
      <c r="O42" s="3"/>
      <c r="P42" s="3"/>
      <c r="Q42" s="3"/>
      <c r="R42" s="3"/>
      <c r="S42" s="3"/>
      <c r="T42" s="3"/>
      <c r="U42" s="3"/>
      <c r="V42" s="3"/>
      <c r="W42" s="76">
        <f>X42*Y$6</f>
        <v>64.195221945</v>
      </c>
      <c r="X42" s="76">
        <f>I42</f>
        <v>64.517811</v>
      </c>
      <c r="Y42" s="100"/>
      <c r="Z42" s="101"/>
      <c r="AA42" s="3"/>
      <c r="AB42" s="102"/>
      <c r="AC42" s="103"/>
      <c r="AD42" s="3"/>
      <c r="AE42" s="101"/>
      <c r="AF42" s="56">
        <f>AG42+AH42</f>
        <v>1666.1899562625642</v>
      </c>
      <c r="AG42" s="56">
        <f>AI42*AJ$6</f>
        <v>1354.8740309999998</v>
      </c>
      <c r="AH42" s="56">
        <f>AL42*AN$17+AM42*AO$6/AP$6</f>
        <v>311.3159252625644</v>
      </c>
      <c r="AI42" s="56">
        <f>(R42+U42+X42)</f>
        <v>64.517811</v>
      </c>
      <c r="AJ42" s="56"/>
      <c r="AK42" s="56"/>
      <c r="AL42" s="56"/>
      <c r="AM42" s="104">
        <f>AM27-AM41</f>
        <v>428.61624234341855</v>
      </c>
      <c r="AN42" s="3"/>
      <c r="AO42" s="3"/>
      <c r="AP42" s="3"/>
      <c r="AQ42" s="128"/>
      <c r="AR42" s="85"/>
    </row>
    <row r="43" spans="1:43" ht="12.75">
      <c r="A43" s="6" t="s">
        <v>137</v>
      </c>
      <c r="B43"/>
      <c r="F43" s="4">
        <f>SUM(F41:F42)</f>
        <v>148118</v>
      </c>
      <c r="G43" s="4"/>
      <c r="H43" s="4">
        <f aca="true" t="shared" si="33" ref="H43:N43">SUM(H41:H42)</f>
        <v>148118</v>
      </c>
      <c r="I43" s="4">
        <f t="shared" si="33"/>
        <v>106.200606</v>
      </c>
      <c r="J43" s="115">
        <f t="shared" si="33"/>
        <v>2428.710091260718</v>
      </c>
      <c r="K43" s="4">
        <f t="shared" si="33"/>
        <v>301.7424717975</v>
      </c>
      <c r="L43" s="4">
        <f t="shared" si="33"/>
        <v>0</v>
      </c>
      <c r="M43" s="4">
        <f t="shared" si="33"/>
        <v>290.5914081675</v>
      </c>
      <c r="N43" s="4">
        <f t="shared" si="33"/>
        <v>11.151063630000008</v>
      </c>
      <c r="O43" s="4"/>
      <c r="P43" s="4"/>
      <c r="Q43" s="4"/>
      <c r="R43" s="4"/>
      <c r="S43" s="4"/>
      <c r="T43" s="4"/>
      <c r="U43" s="4"/>
      <c r="V43" s="4"/>
      <c r="W43" s="4">
        <f>SUM(W41:W42)</f>
        <v>105.66960297</v>
      </c>
      <c r="X43" s="4">
        <f>SUM(X41:X42)</f>
        <v>106.200606</v>
      </c>
      <c r="Y43" s="4"/>
      <c r="Z43" s="4"/>
      <c r="AA43" s="4"/>
      <c r="AB43" s="4"/>
      <c r="AC43" s="4"/>
      <c r="AD43" s="4"/>
      <c r="AE43" s="4"/>
      <c r="AF43" s="4">
        <f>SUM(AF41:AF42)</f>
        <v>2730.452563058218</v>
      </c>
      <c r="AG43" s="4">
        <f>SUM(AG41:AG42)</f>
        <v>2230.2127259999997</v>
      </c>
      <c r="AH43" s="4">
        <f>SUM(AH41:AH42)</f>
        <v>500.2398370582182</v>
      </c>
      <c r="AI43" s="4">
        <f>SUM(AI41:AI42)</f>
        <v>106.200606</v>
      </c>
      <c r="AJ43" s="4"/>
      <c r="AK43" s="4"/>
      <c r="AL43" s="4"/>
      <c r="AM43" s="4">
        <f>SUM(AM41:AM42)</f>
        <v>688.7245458115992</v>
      </c>
      <c r="AQ43" s="126"/>
    </row>
    <row r="45" spans="2:11" ht="12.75">
      <c r="B45"/>
      <c r="F45" s="4"/>
      <c r="G45" s="131"/>
      <c r="H45" s="58"/>
      <c r="I45" s="131"/>
      <c r="J45" s="145" t="s">
        <v>120</v>
      </c>
      <c r="K45" s="131"/>
    </row>
    <row r="46" spans="2:11" ht="12.75">
      <c r="B46"/>
      <c r="G46" s="131" t="s">
        <v>141</v>
      </c>
      <c r="H46" s="154" t="s">
        <v>148</v>
      </c>
      <c r="I46" s="154"/>
      <c r="J46" s="143">
        <v>0.1676</v>
      </c>
      <c r="K46" s="131"/>
    </row>
    <row r="47" spans="2:11" ht="12.75">
      <c r="B47"/>
      <c r="G47" s="131" t="s">
        <v>142</v>
      </c>
      <c r="H47" s="154" t="s">
        <v>149</v>
      </c>
      <c r="I47" s="154"/>
      <c r="J47" s="143">
        <v>0.1347</v>
      </c>
      <c r="K47" s="131"/>
    </row>
    <row r="48" spans="2:11" ht="12.75">
      <c r="B48"/>
      <c r="D48"/>
      <c r="E48" s="4"/>
      <c r="G48" s="131" t="s">
        <v>125</v>
      </c>
      <c r="H48" s="155" t="s">
        <v>150</v>
      </c>
      <c r="I48" s="155"/>
      <c r="J48" s="144">
        <v>0.1035</v>
      </c>
      <c r="K48" s="131"/>
    </row>
    <row r="49" spans="7:11" ht="12.75">
      <c r="G49" s="131"/>
      <c r="H49" s="146"/>
      <c r="I49" s="147" t="s">
        <v>121</v>
      </c>
      <c r="J49" s="146">
        <f>J55-J61</f>
        <v>28111.36257156916</v>
      </c>
      <c r="K49" s="148" t="s">
        <v>94</v>
      </c>
    </row>
    <row r="50" spans="7:11" ht="12.75">
      <c r="G50" s="2"/>
      <c r="H50" s="92"/>
      <c r="I50" s="93" t="s">
        <v>122</v>
      </c>
      <c r="J50" s="92">
        <f>J61</f>
        <v>188370</v>
      </c>
      <c r="K50" s="2" t="s">
        <v>94</v>
      </c>
    </row>
    <row r="51" spans="1:5" s="9" customFormat="1" ht="12.75">
      <c r="A51" s="74" t="s">
        <v>139</v>
      </c>
      <c r="C51" s="56"/>
      <c r="E51" s="43"/>
    </row>
    <row r="52" spans="1:44" s="9" customFormat="1" ht="12.75">
      <c r="A52" s="138" t="s">
        <v>148</v>
      </c>
      <c r="B52" s="77"/>
      <c r="C52" s="43" t="s">
        <v>155</v>
      </c>
      <c r="D52" s="77"/>
      <c r="E52" s="77"/>
      <c r="F52" s="77">
        <f>SUM(F6:F13)</f>
        <v>3613447.3499999996</v>
      </c>
      <c r="G52" s="77"/>
      <c r="H52" s="77">
        <f aca="true" t="shared" si="34" ref="H52:N52">SUM(H6:H13)</f>
        <v>3613447.3499999996</v>
      </c>
      <c r="I52" s="77">
        <f t="shared" si="34"/>
        <v>2590.84174995</v>
      </c>
      <c r="J52" s="77">
        <f t="shared" si="34"/>
        <v>59250.16570021402</v>
      </c>
      <c r="K52" s="77">
        <f t="shared" si="34"/>
        <v>7361.229122045436</v>
      </c>
      <c r="L52" s="77">
        <f t="shared" si="34"/>
        <v>0</v>
      </c>
      <c r="M52" s="77">
        <f t="shared" si="34"/>
        <v>7089.1907383006865</v>
      </c>
      <c r="N52" s="77">
        <f t="shared" si="34"/>
        <v>272.03838374475026</v>
      </c>
      <c r="O52" s="79"/>
      <c r="P52" s="79"/>
      <c r="Q52" s="79"/>
      <c r="R52" s="79"/>
      <c r="S52" s="79"/>
      <c r="T52" s="79"/>
      <c r="U52" s="79"/>
      <c r="V52" s="79"/>
      <c r="W52" s="77">
        <f>SUM(W6:W13)</f>
        <v>2577.88754120025</v>
      </c>
      <c r="X52" s="77">
        <f>SUM(X6:X13)</f>
        <v>2590.84174995</v>
      </c>
      <c r="Y52" s="79"/>
      <c r="Z52" s="79"/>
      <c r="AA52" s="79"/>
      <c r="AB52" s="79"/>
      <c r="AC52" s="79"/>
      <c r="AD52" s="79"/>
      <c r="AE52" s="79"/>
      <c r="AF52" s="77">
        <f>SUM(AF6:AF13)</f>
        <v>66611.39482225946</v>
      </c>
      <c r="AG52" s="77">
        <f>SUM(AG6:AG13)</f>
        <v>54407.67674894999</v>
      </c>
      <c r="AH52" s="77">
        <f>SUM(AH6:AH13)</f>
        <v>12203.718073309454</v>
      </c>
      <c r="AI52" s="77">
        <f>SUM(AI6:AI13)</f>
        <v>2590.84174995</v>
      </c>
      <c r="AJ52" s="79"/>
      <c r="AK52" s="79"/>
      <c r="AL52" s="79"/>
      <c r="AM52" s="77">
        <f>SUM(AM6:AM13)</f>
        <v>16801.940918341297</v>
      </c>
      <c r="AN52" s="79"/>
      <c r="AO52" s="79"/>
      <c r="AP52" s="79"/>
      <c r="AQ52" s="79"/>
      <c r="AR52" s="82"/>
    </row>
    <row r="53" spans="1:44" s="9" customFormat="1" ht="12.75">
      <c r="A53" s="139" t="s">
        <v>149</v>
      </c>
      <c r="B53" s="43"/>
      <c r="C53" s="43" t="s">
        <v>144</v>
      </c>
      <c r="D53" s="43"/>
      <c r="E53" s="43"/>
      <c r="F53" s="43">
        <f>SUM(F19:F26,F14:F17)+F41</f>
        <v>3727769.916666667</v>
      </c>
      <c r="G53" s="43"/>
      <c r="H53" s="43">
        <f aca="true" t="shared" si="35" ref="H53:N53">SUM(H19:H26,H14:H17)+H41</f>
        <v>3727769.916666667</v>
      </c>
      <c r="I53" s="43">
        <f t="shared" si="35"/>
        <v>2672.81103025</v>
      </c>
      <c r="J53" s="43">
        <f t="shared" si="35"/>
        <v>61117.3118969094</v>
      </c>
      <c r="K53" s="43">
        <f t="shared" si="35"/>
        <v>7594.124339697812</v>
      </c>
      <c r="L53" s="43">
        <f t="shared" si="35"/>
        <v>0</v>
      </c>
      <c r="M53" s="43">
        <f t="shared" si="35"/>
        <v>7313.479181521562</v>
      </c>
      <c r="N53" s="43">
        <f t="shared" si="35"/>
        <v>280.6451581762503</v>
      </c>
      <c r="W53" s="43">
        <f>SUM(W19:W26,W14:W17)+W41</f>
        <v>2659.4469750987505</v>
      </c>
      <c r="X53" s="43">
        <f>SUM(X19:X26,X14:X17)+X41</f>
        <v>2672.81103025</v>
      </c>
      <c r="AF53" s="43">
        <f>SUM(AF19:AF26,AF14:AF17)+AF41</f>
        <v>68711.43623660723</v>
      </c>
      <c r="AG53" s="43">
        <f>SUM(AG19:AG26,AG14:AG17)+AG41</f>
        <v>56129.031635249994</v>
      </c>
      <c r="AH53" s="43">
        <f>SUM(AH19:AH26,AH14:AH17)+AH41</f>
        <v>12582.404601357228</v>
      </c>
      <c r="AI53" s="43">
        <f>SUM(AI19:AI26,AI14:AI17)+AI41</f>
        <v>2672.81103025</v>
      </c>
      <c r="AM53" s="43">
        <f>SUM(AM19:AM26,AM14:AM17)+AM41</f>
        <v>17323.312244080636</v>
      </c>
      <c r="AR53" s="111"/>
    </row>
    <row r="54" spans="1:44" s="9" customFormat="1" ht="12.75">
      <c r="A54" s="112" t="s">
        <v>150</v>
      </c>
      <c r="B54" s="56"/>
      <c r="C54" s="56" t="s">
        <v>134</v>
      </c>
      <c r="D54" s="56"/>
      <c r="E54" s="56"/>
      <c r="F54" s="56">
        <f>SUM(F28:F30,F32:F34)+F42</f>
        <v>5855990</v>
      </c>
      <c r="G54" s="56"/>
      <c r="H54" s="56">
        <f aca="true" t="shared" si="36" ref="H54:N54">SUM(H28:H30,H32:H34)+H42</f>
        <v>5855990</v>
      </c>
      <c r="I54" s="56">
        <f t="shared" si="36"/>
        <v>4198.74483</v>
      </c>
      <c r="J54" s="56">
        <f t="shared" si="36"/>
        <v>96113.88497444574</v>
      </c>
      <c r="K54" s="56">
        <f t="shared" si="36"/>
        <v>11929.683748237501</v>
      </c>
      <c r="L54" s="56">
        <f t="shared" si="36"/>
        <v>0</v>
      </c>
      <c r="M54" s="56">
        <f t="shared" si="36"/>
        <v>11488.8155410875</v>
      </c>
      <c r="N54" s="56">
        <f t="shared" si="36"/>
        <v>440.8682071500004</v>
      </c>
      <c r="O54" s="3"/>
      <c r="P54" s="3"/>
      <c r="Q54" s="3"/>
      <c r="R54" s="3"/>
      <c r="S54" s="3"/>
      <c r="T54" s="3"/>
      <c r="U54" s="3"/>
      <c r="V54" s="3"/>
      <c r="W54" s="56">
        <f>SUM(W28:W30,W32:W34)+W42</f>
        <v>4177.75110585</v>
      </c>
      <c r="X54" s="56">
        <f>SUM(X28:X30,X32:X34)+X42</f>
        <v>4198.74483</v>
      </c>
      <c r="Y54" s="3"/>
      <c r="Z54" s="3"/>
      <c r="AA54" s="3"/>
      <c r="AB54" s="3"/>
      <c r="AC54" s="3"/>
      <c r="AD54" s="3"/>
      <c r="AE54" s="3"/>
      <c r="AF54" s="56">
        <f>SUM(AF28:AF30,AF32:AF34)+AF42</f>
        <v>108043.56872268324</v>
      </c>
      <c r="AG54" s="56">
        <f>SUM(AG28:AG30,AG32:AG34)+AG42</f>
        <v>88173.64142999999</v>
      </c>
      <c r="AH54" s="56">
        <f>SUM(AH28:AH30,AH32:AH34)+AH42</f>
        <v>19869.927292683235</v>
      </c>
      <c r="AI54" s="56">
        <f>SUM(AI28:AI30,AI32:AI34)+AI42</f>
        <v>4198.74483</v>
      </c>
      <c r="AJ54" s="3"/>
      <c r="AK54" s="3"/>
      <c r="AL54" s="3"/>
      <c r="AM54" s="56">
        <f>SUM(AM28:AM30,AM32:AM34)+AM42</f>
        <v>27356.69100333987</v>
      </c>
      <c r="AN54" s="3"/>
      <c r="AO54" s="3"/>
      <c r="AP54" s="3"/>
      <c r="AQ54" s="3"/>
      <c r="AR54" s="85"/>
    </row>
    <row r="55" spans="1:39" s="9" customFormat="1" ht="12.75">
      <c r="A55" s="74" t="s">
        <v>123</v>
      </c>
      <c r="B55" s="92"/>
      <c r="C55" s="92"/>
      <c r="D55" s="92"/>
      <c r="E55" s="92"/>
      <c r="F55" s="92">
        <f>SUM(F52:F54)</f>
        <v>13197207.266666666</v>
      </c>
      <c r="G55" s="92"/>
      <c r="H55" s="92">
        <f aca="true" t="shared" si="37" ref="H55:N55">SUM(H52:H54)</f>
        <v>13197207.266666666</v>
      </c>
      <c r="I55" s="92">
        <f t="shared" si="37"/>
        <v>9462.3976102</v>
      </c>
      <c r="J55" s="92">
        <f t="shared" si="37"/>
        <v>216481.36257156916</v>
      </c>
      <c r="K55" s="92">
        <f t="shared" si="37"/>
        <v>26885.03720998075</v>
      </c>
      <c r="L55" s="92">
        <f t="shared" si="37"/>
        <v>0</v>
      </c>
      <c r="M55" s="92">
        <f t="shared" si="37"/>
        <v>25891.48546090975</v>
      </c>
      <c r="N55" s="92">
        <f t="shared" si="37"/>
        <v>993.551749071001</v>
      </c>
      <c r="W55" s="92">
        <f>SUM(W52:W54)</f>
        <v>9415.085622149001</v>
      </c>
      <c r="X55" s="92">
        <f>SUM(X52:X54)</f>
        <v>9462.3976102</v>
      </c>
      <c r="Y55" s="92"/>
      <c r="Z55" s="92"/>
      <c r="AA55" s="92"/>
      <c r="AB55" s="92"/>
      <c r="AC55" s="92"/>
      <c r="AD55" s="92"/>
      <c r="AE55" s="92"/>
      <c r="AF55" s="92">
        <f>SUM(AF52:AF54)</f>
        <v>243366.39978154993</v>
      </c>
      <c r="AG55" s="92">
        <f>SUM(AG52:AG54)</f>
        <v>198710.34981419996</v>
      </c>
      <c r="AH55" s="92">
        <f>SUM(AH52:AH54)</f>
        <v>44656.049967349914</v>
      </c>
      <c r="AI55" s="92">
        <f>SUM(AI52:AI54)</f>
        <v>9462.3976102</v>
      </c>
      <c r="AM55" s="92">
        <f>SUM(AM52:AM54)</f>
        <v>61481.9441657618</v>
      </c>
    </row>
    <row r="56" spans="1:8" s="9" customFormat="1" ht="12.75">
      <c r="A56" s="74"/>
      <c r="C56" s="43"/>
      <c r="D56" s="43"/>
      <c r="E56" s="43"/>
      <c r="F56" s="43"/>
      <c r="G56" s="43"/>
      <c r="H56" s="43"/>
    </row>
    <row r="57" spans="1:5" s="9" customFormat="1" ht="12.75">
      <c r="A57" s="74" t="s">
        <v>140</v>
      </c>
      <c r="C57" s="56"/>
      <c r="E57" s="43"/>
    </row>
    <row r="58" spans="1:44" s="9" customFormat="1" ht="12.75">
      <c r="A58" s="138" t="s">
        <v>148</v>
      </c>
      <c r="B58" s="79"/>
      <c r="C58" s="43" t="s">
        <v>155</v>
      </c>
      <c r="D58" s="79"/>
      <c r="E58" s="77"/>
      <c r="F58" s="77">
        <f>F52*(1-$J$46)</f>
        <v>3007833.5741399997</v>
      </c>
      <c r="G58" s="79"/>
      <c r="H58" s="77">
        <f aca="true" t="shared" si="38" ref="H58:N58">H52*(1-$J$46)</f>
        <v>3007833.5741399997</v>
      </c>
      <c r="I58" s="77">
        <f t="shared" si="38"/>
        <v>2156.61667265838</v>
      </c>
      <c r="J58" s="77">
        <f t="shared" si="38"/>
        <v>49319.83792885815</v>
      </c>
      <c r="K58" s="77">
        <f t="shared" si="38"/>
        <v>6127.487121190621</v>
      </c>
      <c r="L58" s="77">
        <f t="shared" si="38"/>
        <v>0</v>
      </c>
      <c r="M58" s="77">
        <f t="shared" si="38"/>
        <v>5901.042370561491</v>
      </c>
      <c r="N58" s="77">
        <f t="shared" si="38"/>
        <v>226.4447506291301</v>
      </c>
      <c r="O58" s="79"/>
      <c r="P58" s="79"/>
      <c r="Q58" s="79"/>
      <c r="R58" s="79"/>
      <c r="S58" s="79"/>
      <c r="T58" s="79"/>
      <c r="U58" s="79"/>
      <c r="V58" s="79"/>
      <c r="W58" s="77">
        <f>W52*(1-$J$46)</f>
        <v>2145.833589295088</v>
      </c>
      <c r="X58" s="77">
        <f>X52*(1-$J$46)</f>
        <v>2156.61667265838</v>
      </c>
      <c r="Y58" s="79"/>
      <c r="Z58" s="79"/>
      <c r="AA58" s="79"/>
      <c r="AB58" s="79"/>
      <c r="AC58" s="79"/>
      <c r="AD58" s="79"/>
      <c r="AE58" s="79"/>
      <c r="AF58" s="77">
        <f>AF52*(1-$J$46)</f>
        <v>55447.32505004878</v>
      </c>
      <c r="AG58" s="77">
        <f>AG52*(1-$J$46)</f>
        <v>45288.95012582598</v>
      </c>
      <c r="AH58" s="77">
        <f>AH52*(1-$J$46)</f>
        <v>10158.37492422279</v>
      </c>
      <c r="AI58" s="77">
        <f>AI52*(1-$J$46)</f>
        <v>2156.61667265838</v>
      </c>
      <c r="AJ58" s="79"/>
      <c r="AK58" s="79"/>
      <c r="AL58" s="79"/>
      <c r="AM58" s="77">
        <f>AM52*(1-$J$46)</f>
        <v>13985.935620427297</v>
      </c>
      <c r="AN58" s="79"/>
      <c r="AO58" s="79"/>
      <c r="AP58" s="79"/>
      <c r="AQ58" s="79"/>
      <c r="AR58" s="82"/>
    </row>
    <row r="59" spans="1:44" s="9" customFormat="1" ht="12.75">
      <c r="A59" s="139" t="s">
        <v>149</v>
      </c>
      <c r="B59" s="43"/>
      <c r="C59" s="43" t="s">
        <v>144</v>
      </c>
      <c r="D59" s="43"/>
      <c r="E59" s="43"/>
      <c r="F59" s="43">
        <f>F53*(1-$J$47)</f>
        <v>3225639.3088916666</v>
      </c>
      <c r="G59" s="43"/>
      <c r="H59" s="43">
        <f aca="true" t="shared" si="39" ref="H59:N59">H53*(1-$J$47)</f>
        <v>3225639.3088916666</v>
      </c>
      <c r="I59" s="43">
        <f t="shared" si="39"/>
        <v>2312.783384475325</v>
      </c>
      <c r="J59" s="43">
        <f t="shared" si="39"/>
        <v>52884.8099843957</v>
      </c>
      <c r="K59" s="43">
        <f t="shared" si="39"/>
        <v>6571.195791140516</v>
      </c>
      <c r="L59" s="43">
        <f t="shared" si="39"/>
        <v>0</v>
      </c>
      <c r="M59" s="43">
        <f t="shared" si="39"/>
        <v>6328.353535770608</v>
      </c>
      <c r="N59" s="43">
        <f t="shared" si="39"/>
        <v>242.84225536990937</v>
      </c>
      <c r="W59" s="43">
        <f>W53*(1-$J$47)</f>
        <v>2301.2194675529486</v>
      </c>
      <c r="X59" s="43">
        <f>X53*(1-$J$47)</f>
        <v>2312.783384475325</v>
      </c>
      <c r="Y59" s="108"/>
      <c r="Z59" s="109"/>
      <c r="AB59" s="110"/>
      <c r="AC59" s="45"/>
      <c r="AE59" s="109"/>
      <c r="AF59" s="43">
        <f>AF53*(1-$J$47)</f>
        <v>59456.005775536236</v>
      </c>
      <c r="AG59" s="43">
        <f>AG53*(1-$J$47)</f>
        <v>48568.451073981814</v>
      </c>
      <c r="AH59" s="43">
        <f>AH53*(1-$J$47)</f>
        <v>10887.554701554409</v>
      </c>
      <c r="AI59" s="43">
        <f>AI53*(1-$J$47)</f>
        <v>2312.783384475325</v>
      </c>
      <c r="AJ59" s="43"/>
      <c r="AK59" s="43"/>
      <c r="AL59" s="43"/>
      <c r="AM59" s="43">
        <f>AM53*(1-$J$47)</f>
        <v>14989.862084802973</v>
      </c>
      <c r="AR59" s="111"/>
    </row>
    <row r="60" spans="1:44" s="9" customFormat="1" ht="12.75">
      <c r="A60" s="112" t="s">
        <v>150</v>
      </c>
      <c r="B60" s="56"/>
      <c r="C60" s="56" t="s">
        <v>134</v>
      </c>
      <c r="D60" s="56"/>
      <c r="E60" s="56"/>
      <c r="F60" s="56">
        <f>F54*(1-$J$48)</f>
        <v>5249895.035</v>
      </c>
      <c r="G60" s="56"/>
      <c r="H60" s="56">
        <f aca="true" t="shared" si="40" ref="H60:N60">H54*(1-$J$48)</f>
        <v>5249895.035</v>
      </c>
      <c r="I60" s="56">
        <f t="shared" si="40"/>
        <v>3764.1747400949994</v>
      </c>
      <c r="J60" s="56">
        <f t="shared" si="40"/>
        <v>86166.0978795906</v>
      </c>
      <c r="K60" s="56">
        <f t="shared" si="40"/>
        <v>10694.96148029492</v>
      </c>
      <c r="L60" s="56">
        <f t="shared" si="40"/>
        <v>0</v>
      </c>
      <c r="M60" s="56">
        <f t="shared" si="40"/>
        <v>10299.723132584944</v>
      </c>
      <c r="N60" s="56">
        <f t="shared" si="40"/>
        <v>395.23834770997536</v>
      </c>
      <c r="O60" s="3"/>
      <c r="P60" s="3"/>
      <c r="Q60" s="3"/>
      <c r="R60" s="3"/>
      <c r="S60" s="3"/>
      <c r="T60" s="3"/>
      <c r="U60" s="3"/>
      <c r="V60" s="3"/>
      <c r="W60" s="56">
        <f>W54*(1-$J$48)</f>
        <v>3745.353866394525</v>
      </c>
      <c r="X60" s="56">
        <f>X54*(1-$J$48)</f>
        <v>3764.1747400949994</v>
      </c>
      <c r="Y60" s="100"/>
      <c r="Z60" s="101"/>
      <c r="AA60" s="3"/>
      <c r="AB60" s="102"/>
      <c r="AC60" s="103"/>
      <c r="AD60" s="3"/>
      <c r="AE60" s="101"/>
      <c r="AF60" s="56">
        <f>AF54*(1-$J$48)</f>
        <v>96861.05935988552</v>
      </c>
      <c r="AG60" s="56">
        <f>AG54*(1-$J$48)</f>
        <v>79047.66954199498</v>
      </c>
      <c r="AH60" s="56">
        <f>AH54*(1-$J$48)</f>
        <v>17813.38981789052</v>
      </c>
      <c r="AI60" s="56">
        <f>AI54*(1-$J$48)</f>
        <v>3764.1747400949994</v>
      </c>
      <c r="AJ60" s="56"/>
      <c r="AK60" s="56"/>
      <c r="AL60" s="56"/>
      <c r="AM60" s="56">
        <f>AM54*(1-$J$48)</f>
        <v>24525.27348449419</v>
      </c>
      <c r="AN60" s="3"/>
      <c r="AO60" s="3"/>
      <c r="AP60" s="3"/>
      <c r="AQ60" s="3"/>
      <c r="AR60" s="85"/>
    </row>
    <row r="61" spans="1:39" s="9" customFormat="1" ht="12.75">
      <c r="A61" s="74" t="s">
        <v>124</v>
      </c>
      <c r="B61" s="92"/>
      <c r="C61" s="92"/>
      <c r="D61" s="92"/>
      <c r="E61" s="92"/>
      <c r="F61" s="92">
        <f>SUM(F58:F60)</f>
        <v>11483367.918031666</v>
      </c>
      <c r="G61" s="92"/>
      <c r="H61" s="92">
        <f aca="true" t="shared" si="41" ref="H61:N61">SUM(H58:H60)</f>
        <v>11483367.918031666</v>
      </c>
      <c r="I61" s="92">
        <f t="shared" si="41"/>
        <v>8233.574797228704</v>
      </c>
      <c r="J61" s="92">
        <v>188370</v>
      </c>
      <c r="K61" s="92">
        <f t="shared" si="41"/>
        <v>23393.644392626054</v>
      </c>
      <c r="L61" s="92">
        <f t="shared" si="41"/>
        <v>0</v>
      </c>
      <c r="M61" s="92">
        <f t="shared" si="41"/>
        <v>22529.119038917044</v>
      </c>
      <c r="N61" s="92">
        <f t="shared" si="41"/>
        <v>864.5253537090148</v>
      </c>
      <c r="O61" s="92"/>
      <c r="P61" s="92"/>
      <c r="Q61" s="92"/>
      <c r="R61" s="92"/>
      <c r="S61" s="92"/>
      <c r="T61" s="92"/>
      <c r="U61" s="92"/>
      <c r="V61" s="92"/>
      <c r="W61" s="92">
        <f>SUM(W58:W60)</f>
        <v>8192.406923242563</v>
      </c>
      <c r="X61" s="92">
        <f>SUM(X58:X60)</f>
        <v>8233.574797228704</v>
      </c>
      <c r="Y61" s="92"/>
      <c r="AF61" s="92">
        <f>SUM(AF58:AF60)</f>
        <v>211764.39018547052</v>
      </c>
      <c r="AG61" s="92">
        <f>SUM(AG58:AG60)</f>
        <v>172905.07074180277</v>
      </c>
      <c r="AH61" s="92">
        <f>SUM(AH58:AH60)</f>
        <v>38859.319443667715</v>
      </c>
      <c r="AI61" s="92">
        <f>SUM(AI58:AI60)</f>
        <v>8233.574797228704</v>
      </c>
      <c r="AM61" s="92">
        <f>SUM(AM58:AM60)</f>
        <v>53501.07118972446</v>
      </c>
    </row>
    <row r="62" spans="1:8" s="9" customFormat="1" ht="12.75">
      <c r="A62" s="137"/>
      <c r="B62" s="43"/>
      <c r="C62" s="43"/>
      <c r="D62" s="43"/>
      <c r="H62" s="43"/>
    </row>
    <row r="63" spans="1:5" s="9" customFormat="1" ht="12.75">
      <c r="A63" s="74" t="s">
        <v>143</v>
      </c>
      <c r="C63" s="43"/>
      <c r="E63" s="43"/>
    </row>
    <row r="64" spans="1:44" s="9" customFormat="1" ht="12.75">
      <c r="A64" s="94" t="str">
        <f>A18</f>
        <v>Total 2008</v>
      </c>
      <c r="B64" s="77"/>
      <c r="C64" s="77"/>
      <c r="D64" s="77"/>
      <c r="E64" s="77"/>
      <c r="F64" s="77">
        <f>F18*(1-$J$46)</f>
        <v>3777395.0738399997</v>
      </c>
      <c r="G64" s="77"/>
      <c r="H64" s="77">
        <f aca="true" t="shared" si="42" ref="H64:N64">H18*(1-$J$46)</f>
        <v>3777395.0738399997</v>
      </c>
      <c r="I64" s="77">
        <f t="shared" si="42"/>
        <v>2708.3922679432803</v>
      </c>
      <c r="J64" s="150">
        <f t="shared" si="42"/>
        <v>61938.43783006612</v>
      </c>
      <c r="K64" s="150">
        <f t="shared" si="42"/>
        <v>7695.219531293843</v>
      </c>
      <c r="L64" s="77">
        <f t="shared" si="42"/>
        <v>0</v>
      </c>
      <c r="M64" s="77">
        <f t="shared" si="42"/>
        <v>7410.8383431597995</v>
      </c>
      <c r="N64" s="77">
        <f t="shared" si="42"/>
        <v>284.3811881340447</v>
      </c>
      <c r="O64" s="79"/>
      <c r="P64" s="79"/>
      <c r="Q64" s="79"/>
      <c r="R64" s="79"/>
      <c r="S64" s="79"/>
      <c r="T64" s="79"/>
      <c r="U64" s="79"/>
      <c r="V64" s="79"/>
      <c r="W64" s="77">
        <f>W18*(1-$J$46)</f>
        <v>2694.8503066035637</v>
      </c>
      <c r="X64" s="77">
        <f>X18*(1-$J$46)</f>
        <v>2708.3922679432803</v>
      </c>
      <c r="Y64" s="95"/>
      <c r="Z64" s="96"/>
      <c r="AA64" s="79"/>
      <c r="AB64" s="97"/>
      <c r="AC64" s="98"/>
      <c r="AD64" s="79"/>
      <c r="AE64" s="96"/>
      <c r="AF64" s="150">
        <v>69633</v>
      </c>
      <c r="AG64" s="77">
        <f>AG18*(1-$J$46)</f>
        <v>56876.23762680888</v>
      </c>
      <c r="AH64" s="77">
        <f>AH18*(1-$J$46)</f>
        <v>12757.419734551082</v>
      </c>
      <c r="AI64" s="77">
        <f>AI18*(1-$J$46)</f>
        <v>2708.3922679432803</v>
      </c>
      <c r="AJ64" s="77"/>
      <c r="AK64" s="77"/>
      <c r="AL64" s="77"/>
      <c r="AM64" s="77">
        <f>AM18*(1-$J$46)</f>
        <v>17564.271098593188</v>
      </c>
      <c r="AN64" s="79"/>
      <c r="AO64" s="79"/>
      <c r="AP64" s="79"/>
      <c r="AQ64" s="79"/>
      <c r="AR64" s="82"/>
    </row>
    <row r="65" spans="1:44" s="9" customFormat="1" ht="12.75">
      <c r="A65" s="107" t="str">
        <f>A31</f>
        <v>Total 2009</v>
      </c>
      <c r="B65" s="43"/>
      <c r="C65" s="43"/>
      <c r="D65" s="43"/>
      <c r="E65" s="43"/>
      <c r="F65" s="43">
        <f>F61-F64-F66</f>
        <v>4556274.2921916675</v>
      </c>
      <c r="G65" s="43"/>
      <c r="H65" s="43">
        <f aca="true" t="shared" si="43" ref="H65:N65">H61-H64-H66</f>
        <v>4556274.2921916675</v>
      </c>
      <c r="I65" s="43">
        <f t="shared" si="43"/>
        <v>3266.8486675014246</v>
      </c>
      <c r="J65" s="151">
        <f t="shared" si="43"/>
        <v>75048.65637206926</v>
      </c>
      <c r="K65" s="151">
        <f t="shared" si="43"/>
        <v>9281.924861332212</v>
      </c>
      <c r="L65" s="43">
        <f t="shared" si="43"/>
        <v>0</v>
      </c>
      <c r="M65" s="43">
        <f t="shared" si="43"/>
        <v>8938.914666450775</v>
      </c>
      <c r="N65" s="43">
        <f t="shared" si="43"/>
        <v>343.0191100876499</v>
      </c>
      <c r="W65" s="43">
        <f>W61-W64-W66</f>
        <v>3250.5144241639186</v>
      </c>
      <c r="X65" s="43">
        <f>X61-X64-X66</f>
        <v>3266.8486675014246</v>
      </c>
      <c r="Y65" s="108"/>
      <c r="Z65" s="109"/>
      <c r="AB65" s="110"/>
      <c r="AC65" s="45"/>
      <c r="AE65" s="109"/>
      <c r="AF65" s="151">
        <f>AF61-AF64-AF66</f>
        <v>84331.39018547052</v>
      </c>
      <c r="AG65" s="43">
        <f>AG61-AG64-AG66</f>
        <v>68603.8220175299</v>
      </c>
      <c r="AH65" s="43">
        <f>AH61-AH64-AH66</f>
        <v>15727.51392392222</v>
      </c>
      <c r="AI65" s="43">
        <f>AI61-AI64-AI66</f>
        <v>3266.8486675014246</v>
      </c>
      <c r="AJ65" s="43"/>
      <c r="AK65" s="43"/>
      <c r="AL65" s="43"/>
      <c r="AM65" s="43">
        <f>AM61-AM64-AM66+0.1</f>
        <v>21653.563162187762</v>
      </c>
      <c r="AR65" s="111"/>
    </row>
    <row r="66" spans="1:44" s="9" customFormat="1" ht="12.75">
      <c r="A66" s="112" t="str">
        <f>A35</f>
        <v>Total 2010</v>
      </c>
      <c r="B66" s="56"/>
      <c r="C66" s="56"/>
      <c r="D66" s="56"/>
      <c r="E66" s="56"/>
      <c r="F66" s="56">
        <f>F35*(1-$J$48)</f>
        <v>3149698.5519999997</v>
      </c>
      <c r="G66" s="56"/>
      <c r="H66" s="56">
        <f aca="true" t="shared" si="44" ref="H66:N66">H35*(1-$J$48)</f>
        <v>3149698.5519999997</v>
      </c>
      <c r="I66" s="56">
        <f t="shared" si="44"/>
        <v>2258.333861784</v>
      </c>
      <c r="J66" s="152">
        <f t="shared" si="44"/>
        <v>51382.90579786462</v>
      </c>
      <c r="K66" s="156">
        <v>6416.5</v>
      </c>
      <c r="L66" s="56">
        <f t="shared" si="44"/>
        <v>0</v>
      </c>
      <c r="M66" s="56">
        <f t="shared" si="44"/>
        <v>6179.36602930647</v>
      </c>
      <c r="N66" s="56">
        <f t="shared" si="44"/>
        <v>237.12505548732022</v>
      </c>
      <c r="O66" s="3"/>
      <c r="P66" s="3"/>
      <c r="Q66" s="3"/>
      <c r="R66" s="3"/>
      <c r="S66" s="3"/>
      <c r="T66" s="3"/>
      <c r="U66" s="3"/>
      <c r="V66" s="3"/>
      <c r="W66" s="56">
        <f>W35*(1-$J$48)</f>
        <v>2247.0421924750804</v>
      </c>
      <c r="X66" s="56">
        <f>X35*(1-$J$48)</f>
        <v>2258.333861784</v>
      </c>
      <c r="Y66" s="100"/>
      <c r="Z66" s="101"/>
      <c r="AA66" s="3"/>
      <c r="AB66" s="102"/>
      <c r="AC66" s="103"/>
      <c r="AD66" s="3"/>
      <c r="AE66" s="101"/>
      <c r="AF66" s="152">
        <v>57800</v>
      </c>
      <c r="AG66" s="56">
        <f>AG35*(1-$J$48)</f>
        <v>47425.011097464</v>
      </c>
      <c r="AH66" s="56">
        <f>AH35*(1-$J$48)</f>
        <v>10374.38578519441</v>
      </c>
      <c r="AI66" s="56">
        <f>AI35*(1-$J$48)</f>
        <v>2258.333861784</v>
      </c>
      <c r="AJ66" s="56"/>
      <c r="AK66" s="56"/>
      <c r="AL66" s="56"/>
      <c r="AM66" s="56">
        <f>AM35*(1-$J$48)</f>
        <v>14283.336928943505</v>
      </c>
      <c r="AN66" s="3"/>
      <c r="AO66" s="3"/>
      <c r="AP66" s="3"/>
      <c r="AQ66" s="3"/>
      <c r="AR66" s="85"/>
    </row>
    <row r="67" spans="1:39" s="9" customFormat="1" ht="12.75">
      <c r="A67" s="74" t="s">
        <v>124</v>
      </c>
      <c r="B67" s="92"/>
      <c r="C67" s="92"/>
      <c r="D67" s="92"/>
      <c r="E67" s="92"/>
      <c r="F67" s="92">
        <f>SUM(F64:F66)</f>
        <v>11483367.918031666</v>
      </c>
      <c r="G67" s="92"/>
      <c r="H67" s="92">
        <f aca="true" t="shared" si="45" ref="H67:N67">SUM(H64:H66)</f>
        <v>11483367.918031666</v>
      </c>
      <c r="I67" s="92">
        <f t="shared" si="45"/>
        <v>8233.574797228704</v>
      </c>
      <c r="J67" s="153">
        <f t="shared" si="45"/>
        <v>188370.00000000003</v>
      </c>
      <c r="K67" s="153">
        <f t="shared" si="45"/>
        <v>23393.644392626054</v>
      </c>
      <c r="L67" s="92">
        <f t="shared" si="45"/>
        <v>0</v>
      </c>
      <c r="M67" s="92">
        <f t="shared" si="45"/>
        <v>22529.119038917044</v>
      </c>
      <c r="N67" s="92">
        <f t="shared" si="45"/>
        <v>864.5253537090148</v>
      </c>
      <c r="O67" s="92"/>
      <c r="P67" s="92"/>
      <c r="Q67" s="92"/>
      <c r="R67" s="92"/>
      <c r="S67" s="92"/>
      <c r="T67" s="92"/>
      <c r="U67" s="92"/>
      <c r="V67" s="92"/>
      <c r="W67" s="92">
        <f>SUM(W64:W66)</f>
        <v>8192.406923242563</v>
      </c>
      <c r="X67" s="92">
        <f>SUM(X64:X66)</f>
        <v>8233.574797228704</v>
      </c>
      <c r="Y67" s="92"/>
      <c r="AF67" s="153">
        <f>SUM(AF64:AF66)</f>
        <v>211764.39018547052</v>
      </c>
      <c r="AG67" s="92">
        <f>SUM(AG64:AG66)</f>
        <v>172905.0707418028</v>
      </c>
      <c r="AH67" s="92">
        <f>SUM(AH64:AH66)</f>
        <v>38859.319443667715</v>
      </c>
      <c r="AI67" s="92">
        <f>SUM(AI64:AI66)</f>
        <v>8233.574797228704</v>
      </c>
      <c r="AM67" s="92">
        <f>SUM(AM64:AM66)</f>
        <v>53501.17118972445</v>
      </c>
    </row>
    <row r="70" spans="1:44" ht="13.5" thickBot="1">
      <c r="A70" s="140"/>
      <c r="B70" s="31"/>
      <c r="C70" s="31"/>
      <c r="D70" s="31"/>
      <c r="E70" s="30"/>
      <c r="F70" s="30"/>
      <c r="G70" s="30"/>
      <c r="H70" s="3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3" ht="12.75">
      <c r="A71" s="6" t="s">
        <v>153</v>
      </c>
      <c r="AQ71" s="126"/>
    </row>
    <row r="72" spans="1:44" s="9" customFormat="1" ht="12.75">
      <c r="A72" s="141" t="s">
        <v>135</v>
      </c>
      <c r="B72" s="77"/>
      <c r="C72" s="77" t="s">
        <v>154</v>
      </c>
      <c r="D72" s="78" t="s">
        <v>152</v>
      </c>
      <c r="E72" s="79"/>
      <c r="F72" s="77">
        <v>323019</v>
      </c>
      <c r="G72" s="80"/>
      <c r="H72" s="77">
        <f>F72+G72</f>
        <v>323019</v>
      </c>
      <c r="I72" s="80">
        <f>F72*0.717/1000</f>
        <v>231.604623</v>
      </c>
      <c r="J72" s="113">
        <f>AF72-K72</f>
        <v>5296.5845134888805</v>
      </c>
      <c r="K72" s="77">
        <f>L72+M72+N72</f>
        <v>658.0466350987501</v>
      </c>
      <c r="L72" s="79">
        <f>O72*P72</f>
        <v>0</v>
      </c>
      <c r="M72" s="77">
        <f>(Q72+T72+W72)*(Z$6+AA72*AD72)</f>
        <v>633.7281496837501</v>
      </c>
      <c r="N72" s="81">
        <f>AE$6*(R72*(1-S$6)+U72*(1-V$6)+X72*(1-Y$6))</f>
        <v>24.318485415000023</v>
      </c>
      <c r="O72" s="79"/>
      <c r="P72" s="79"/>
      <c r="Q72" s="79"/>
      <c r="R72" s="79"/>
      <c r="S72" s="79"/>
      <c r="T72" s="79"/>
      <c r="U72" s="79"/>
      <c r="V72" s="79"/>
      <c r="W72" s="80">
        <f>X72*Y$6</f>
        <v>230.446599885</v>
      </c>
      <c r="X72" s="80">
        <f>I72</f>
        <v>231.604623</v>
      </c>
      <c r="Y72" s="95"/>
      <c r="Z72" s="96"/>
      <c r="AA72" s="79"/>
      <c r="AB72" s="97"/>
      <c r="AC72" s="98"/>
      <c r="AD72" s="79"/>
      <c r="AE72" s="96"/>
      <c r="AF72" s="77">
        <f>AG72+AH72</f>
        <v>5954.63114858763</v>
      </c>
      <c r="AG72" s="77">
        <f>AI72*AJ$6</f>
        <v>4863.697083</v>
      </c>
      <c r="AH72" s="77">
        <f>AL72*AN$17+AM72*AO$6/AP$6</f>
        <v>1090.9340655876301</v>
      </c>
      <c r="AI72" s="77">
        <f>(R72+U72+X72)</f>
        <v>231.604623</v>
      </c>
      <c r="AJ72" s="77"/>
      <c r="AK72" s="77"/>
      <c r="AL72" s="77"/>
      <c r="AM72" s="77">
        <f>W72*13.899*$AQ$6</f>
        <v>1501.9856740134014</v>
      </c>
      <c r="AN72" s="79"/>
      <c r="AO72" s="79"/>
      <c r="AP72" s="79"/>
      <c r="AQ72" s="127"/>
      <c r="AR72" s="82"/>
    </row>
    <row r="73" spans="1:44" s="9" customFormat="1" ht="12.75">
      <c r="A73" s="142" t="s">
        <v>136</v>
      </c>
      <c r="B73" s="56"/>
      <c r="C73" s="56" t="s">
        <v>134</v>
      </c>
      <c r="D73" s="83" t="s">
        <v>133</v>
      </c>
      <c r="E73" s="3"/>
      <c r="F73" s="56">
        <v>575397</v>
      </c>
      <c r="G73" s="76"/>
      <c r="H73" s="56">
        <f>F73+G73</f>
        <v>575397</v>
      </c>
      <c r="I73" s="76">
        <f>F73*0.717/1000</f>
        <v>412.559649</v>
      </c>
      <c r="J73" s="114">
        <f>AF73-K73</f>
        <v>9552.516817143038</v>
      </c>
      <c r="K73" s="56">
        <f>L73+M73+N73</f>
        <v>1172.18510272125</v>
      </c>
      <c r="L73" s="3">
        <f>O73*P73</f>
        <v>0</v>
      </c>
      <c r="M73" s="56">
        <f>(Q73+T73+W73)*(Z$6+AA73*AD73)</f>
        <v>1128.8663395762499</v>
      </c>
      <c r="N73" s="84">
        <f>AE$6*(R73*(1-S$6)+U73*(1-V$6)+X73*(1-Y$6))</f>
        <v>43.318763145000034</v>
      </c>
      <c r="O73" s="3"/>
      <c r="P73" s="3"/>
      <c r="Q73" s="3"/>
      <c r="R73" s="3"/>
      <c r="S73" s="3"/>
      <c r="T73" s="3"/>
      <c r="U73" s="3"/>
      <c r="V73" s="3"/>
      <c r="W73" s="76">
        <f>X73*Y$6</f>
        <v>410.49685075499997</v>
      </c>
      <c r="X73" s="76">
        <f>I73</f>
        <v>412.559649</v>
      </c>
      <c r="Y73" s="100"/>
      <c r="Z73" s="101"/>
      <c r="AA73" s="3"/>
      <c r="AB73" s="102"/>
      <c r="AC73" s="103"/>
      <c r="AD73" s="3"/>
      <c r="AE73" s="101"/>
      <c r="AF73" s="56">
        <f>AG73+AH73</f>
        <v>10724.701919864288</v>
      </c>
      <c r="AG73" s="56">
        <f>AI73*AJ$6</f>
        <v>8663.752628999999</v>
      </c>
      <c r="AH73" s="56">
        <f>AL73*AN$17+AM73*AO$6/AP$6</f>
        <v>2060.9492908642897</v>
      </c>
      <c r="AI73" s="56">
        <f>(R73+U73+X73)</f>
        <v>412.559649</v>
      </c>
      <c r="AJ73" s="56"/>
      <c r="AK73" s="56"/>
      <c r="AL73" s="56"/>
      <c r="AM73" s="121">
        <v>2837.4916572788893</v>
      </c>
      <c r="AN73" s="3"/>
      <c r="AO73" s="3"/>
      <c r="AP73" s="3"/>
      <c r="AQ73" s="129">
        <f>AM73/X73/13.899</f>
        <v>0.4948394203186309</v>
      </c>
      <c r="AR73" s="85"/>
    </row>
    <row r="74" spans="1:43" ht="12.75">
      <c r="A74" s="6" t="s">
        <v>138</v>
      </c>
      <c r="B74"/>
      <c r="F74" s="4"/>
      <c r="G74" s="4"/>
      <c r="H74" s="4">
        <f aca="true" t="shared" si="46" ref="H74:N74">SUM(H72:H73)</f>
        <v>898416</v>
      </c>
      <c r="I74" s="4">
        <f t="shared" si="46"/>
        <v>644.164272</v>
      </c>
      <c r="J74" s="115">
        <f t="shared" si="46"/>
        <v>14849.101330631918</v>
      </c>
      <c r="K74" s="4">
        <f t="shared" si="46"/>
        <v>1830.23173782</v>
      </c>
      <c r="L74" s="4">
        <f t="shared" si="46"/>
        <v>0</v>
      </c>
      <c r="M74" s="4">
        <f t="shared" si="46"/>
        <v>1762.59448926</v>
      </c>
      <c r="N74" s="4">
        <f t="shared" si="46"/>
        <v>67.63724856000006</v>
      </c>
      <c r="O74" s="4"/>
      <c r="P74" s="4"/>
      <c r="Q74" s="4"/>
      <c r="R74" s="4"/>
      <c r="S74" s="4"/>
      <c r="T74" s="4"/>
      <c r="U74" s="4"/>
      <c r="V74" s="4"/>
      <c r="W74" s="4">
        <f>SUM(W72:W73)</f>
        <v>640.94345064</v>
      </c>
      <c r="X74" s="4">
        <f>SUM(X72:X73)</f>
        <v>644.164272</v>
      </c>
      <c r="Y74" s="4"/>
      <c r="Z74" s="4"/>
      <c r="AA74" s="4"/>
      <c r="AB74" s="4"/>
      <c r="AC74" s="4"/>
      <c r="AD74" s="4"/>
      <c r="AE74" s="4"/>
      <c r="AF74" s="4">
        <f>SUM(AF72:AF73)</f>
        <v>16679.333068451917</v>
      </c>
      <c r="AG74" s="4">
        <f>SUM(AG72:AG73)</f>
        <v>13527.449711999998</v>
      </c>
      <c r="AH74" s="4">
        <f>SUM(AH72:AH73)</f>
        <v>3151.88335645192</v>
      </c>
      <c r="AI74" s="4">
        <f>SUM(AI72:AI73)</f>
        <v>644.164272</v>
      </c>
      <c r="AJ74" s="4"/>
      <c r="AK74" s="4"/>
      <c r="AL74" s="4"/>
      <c r="AM74" s="4">
        <f>SUM(AM72:AM73)</f>
        <v>4339.477331292291</v>
      </c>
      <c r="AQ74" s="130"/>
    </row>
    <row r="75" spans="1:43" s="131" customFormat="1" ht="12.75">
      <c r="A75" s="57" t="s">
        <v>151</v>
      </c>
      <c r="C75" s="58"/>
      <c r="D75" s="58"/>
      <c r="F75" s="58"/>
      <c r="G75" s="58"/>
      <c r="H75" s="58"/>
      <c r="I75" s="58"/>
      <c r="J75" s="132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>
        <f>X35+X30+X73</f>
        <v>3592.745751</v>
      </c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133">
        <f>AM35+AM30+AM73</f>
        <v>23416.499315101268</v>
      </c>
      <c r="AQ75" s="134">
        <f>AM75/X75/13.899</f>
        <v>0.46893422499681925</v>
      </c>
    </row>
    <row r="76" ht="12.75">
      <c r="J76" s="4"/>
    </row>
    <row r="77" ht="12.75">
      <c r="J77" s="4"/>
    </row>
    <row r="78" ht="12.75">
      <c r="J78" s="149"/>
    </row>
    <row r="79" ht="12.75">
      <c r="J79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6" ht="12.75">
      <c r="J86" s="4"/>
    </row>
    <row r="87" ht="12.75">
      <c r="J87" s="4"/>
    </row>
    <row r="88" ht="12.75">
      <c r="J88" s="4"/>
    </row>
    <row r="89" ht="12.75">
      <c r="J89" s="4"/>
    </row>
  </sheetData>
  <mergeCells count="3">
    <mergeCell ref="H46:I46"/>
    <mergeCell ref="H47:I47"/>
    <mergeCell ref="H48:I48"/>
  </mergeCells>
  <printOptions horizontalCentered="1"/>
  <pageMargins left="0.6299212598425197" right="0.4330708661417323" top="0.43" bottom="0.52" header="0.3" footer="0.3"/>
  <pageSetup fitToHeight="1" fitToWidth="1" horizontalDpi="600" verticalDpi="600" orientation="portrait" paperSize="9" scale="71" r:id="rId3"/>
  <headerFooter alignWithMargins="0">
    <oddFooter>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emissions-Trader ET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Hadulla</dc:creator>
  <cp:keywords/>
  <dc:description/>
  <cp:lastModifiedBy>Mitarbeiter</cp:lastModifiedBy>
  <cp:lastPrinted>2010-09-23T12:35:19Z</cp:lastPrinted>
  <dcterms:created xsi:type="dcterms:W3CDTF">2008-12-06T07:55:45Z</dcterms:created>
  <dcterms:modified xsi:type="dcterms:W3CDTF">2010-10-05T14:45:47Z</dcterms:modified>
  <cp:category/>
  <cp:version/>
  <cp:contentType/>
  <cp:contentStatus/>
</cp:coreProperties>
</file>