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735" windowHeight="8130" activeTab="1"/>
  </bookViews>
  <sheets>
    <sheet name="Auxiliary values" sheetId="1" r:id="rId1"/>
    <sheet name="Model" sheetId="2" r:id="rId2"/>
    <sheet name="Investment" sheetId="3" r:id="rId3"/>
    <sheet name="DR" sheetId="4" r:id="rId4"/>
    <sheet name="SA Inv+10%" sheetId="5" r:id="rId5"/>
    <sheet name="SA Inv-10%" sheetId="6" r:id="rId6"/>
    <sheet name="SA El+10%" sheetId="7" r:id="rId7"/>
    <sheet name="SA El-10%" sheetId="8" r:id="rId8"/>
    <sheet name="SA El_g+10%" sheetId="9" r:id="rId9"/>
    <sheet name="SA El_g-10%" sheetId="10" r:id="rId10"/>
  </sheets>
  <definedNames/>
  <calcPr fullCalcOnLoad="1"/>
</workbook>
</file>

<file path=xl/comments10.xml><?xml version="1.0" encoding="utf-8"?>
<comments xmlns="http://schemas.openxmlformats.org/spreadsheetml/2006/main">
  <authors>
    <author>Denis Rzhanov</author>
  </authors>
  <commentList>
    <comment ref="B7" authorId="0">
      <text>
        <r>
          <rPr>
            <b/>
            <sz val="8"/>
            <rFont val="Tahoma"/>
            <family val="2"/>
          </rPr>
          <t>Denis Rzhanov:</t>
        </r>
        <r>
          <rPr>
            <sz val="8"/>
            <rFont val="Tahoma"/>
            <family val="2"/>
          </rPr>
          <t xml:space="preserve">
For sensetivity analyze</t>
        </r>
      </text>
    </comment>
  </commentList>
</comments>
</file>

<file path=xl/comments5.xml><?xml version="1.0" encoding="utf-8"?>
<comments xmlns="http://schemas.openxmlformats.org/spreadsheetml/2006/main">
  <authors>
    <author>Denis Rzhanov</author>
  </authors>
  <commentList>
    <comment ref="B7" authorId="0">
      <text>
        <r>
          <rPr>
            <b/>
            <sz val="8"/>
            <rFont val="Tahoma"/>
            <family val="2"/>
          </rPr>
          <t>Denis Rzhanov:</t>
        </r>
        <r>
          <rPr>
            <sz val="8"/>
            <rFont val="Tahoma"/>
            <family val="2"/>
          </rPr>
          <t xml:space="preserve">
For sensetivity analyze</t>
        </r>
      </text>
    </comment>
  </commentList>
</comments>
</file>

<file path=xl/comments6.xml><?xml version="1.0" encoding="utf-8"?>
<comments xmlns="http://schemas.openxmlformats.org/spreadsheetml/2006/main">
  <authors>
    <author>Denis Rzhanov</author>
  </authors>
  <commentList>
    <comment ref="B7" authorId="0">
      <text>
        <r>
          <rPr>
            <b/>
            <sz val="8"/>
            <rFont val="Tahoma"/>
            <family val="2"/>
          </rPr>
          <t>Denis Rzhanov:</t>
        </r>
        <r>
          <rPr>
            <sz val="8"/>
            <rFont val="Tahoma"/>
            <family val="2"/>
          </rPr>
          <t xml:space="preserve">
For sensetivity analyze</t>
        </r>
      </text>
    </comment>
  </commentList>
</comments>
</file>

<file path=xl/comments7.xml><?xml version="1.0" encoding="utf-8"?>
<comments xmlns="http://schemas.openxmlformats.org/spreadsheetml/2006/main">
  <authors>
    <author>Denis Rzhanov</author>
  </authors>
  <commentList>
    <comment ref="B7" authorId="0">
      <text>
        <r>
          <rPr>
            <b/>
            <sz val="8"/>
            <rFont val="Tahoma"/>
            <family val="2"/>
          </rPr>
          <t>Denis Rzhanov:</t>
        </r>
        <r>
          <rPr>
            <sz val="8"/>
            <rFont val="Tahoma"/>
            <family val="2"/>
          </rPr>
          <t xml:space="preserve">
For sensetivity analyze</t>
        </r>
      </text>
    </comment>
  </commentList>
</comments>
</file>

<file path=xl/comments8.xml><?xml version="1.0" encoding="utf-8"?>
<comments xmlns="http://schemas.openxmlformats.org/spreadsheetml/2006/main">
  <authors>
    <author>Denis Rzhanov</author>
  </authors>
  <commentList>
    <comment ref="B7" authorId="0">
      <text>
        <r>
          <rPr>
            <b/>
            <sz val="8"/>
            <rFont val="Tahoma"/>
            <family val="2"/>
          </rPr>
          <t>Denis Rzhanov:</t>
        </r>
        <r>
          <rPr>
            <sz val="8"/>
            <rFont val="Tahoma"/>
            <family val="2"/>
          </rPr>
          <t xml:space="preserve">
For sensetivity analyze</t>
        </r>
      </text>
    </comment>
  </commentList>
</comments>
</file>

<file path=xl/comments9.xml><?xml version="1.0" encoding="utf-8"?>
<comments xmlns="http://schemas.openxmlformats.org/spreadsheetml/2006/main">
  <authors>
    <author>Denis Rzhanov</author>
  </authors>
  <commentList>
    <comment ref="B7" authorId="0">
      <text>
        <r>
          <rPr>
            <b/>
            <sz val="8"/>
            <rFont val="Tahoma"/>
            <family val="2"/>
          </rPr>
          <t>Denis Rzhanov:</t>
        </r>
        <r>
          <rPr>
            <sz val="8"/>
            <rFont val="Tahoma"/>
            <family val="2"/>
          </rPr>
          <t xml:space="preserve">
For sensetivity analyze</t>
        </r>
      </text>
    </comment>
  </commentList>
</comments>
</file>

<file path=xl/sharedStrings.xml><?xml version="1.0" encoding="utf-8"?>
<sst xmlns="http://schemas.openxmlformats.org/spreadsheetml/2006/main" count="486" uniqueCount="110">
  <si>
    <t>th. m3</t>
  </si>
  <si>
    <t>Gcal</t>
  </si>
  <si>
    <t>t</t>
  </si>
  <si>
    <t>Electricity generation by first turbine (back pressure one)</t>
  </si>
  <si>
    <t>Electricity generation by second turbine (condensing one)</t>
  </si>
  <si>
    <t>MW</t>
  </si>
  <si>
    <t>Units</t>
  </si>
  <si>
    <t>Parameter</t>
  </si>
  <si>
    <t>Electricity consumption from the grid</t>
  </si>
  <si>
    <t>Baseline emissions due to electricity consumption</t>
  </si>
  <si>
    <t>t CO2</t>
  </si>
  <si>
    <t xml:space="preserve">BASELINE  </t>
  </si>
  <si>
    <t>PROJECT LINE</t>
  </si>
  <si>
    <t>EMISSION REDUCTION</t>
  </si>
  <si>
    <t>Leakages due to n. gas combustion at the Zaporozhstal</t>
  </si>
  <si>
    <t>Auxiliary values</t>
  </si>
  <si>
    <t>Emission factor for electricity substitution</t>
  </si>
  <si>
    <t>t CO2/MWh</t>
  </si>
  <si>
    <t>Emission factor for natural gas</t>
  </si>
  <si>
    <t>Average NCV for natural gas</t>
  </si>
  <si>
    <t>kcal/m3</t>
  </si>
  <si>
    <t>kg СО2 eq/GJ</t>
  </si>
  <si>
    <t>Average NCV for COG</t>
  </si>
  <si>
    <t>Average annual number of working hours</t>
  </si>
  <si>
    <t>h</t>
  </si>
  <si>
    <t>Under supplying of COG for Zaporozhstal</t>
  </si>
  <si>
    <t>Natural gas equivalent of the under supplied COG for Zaporozhstal</t>
  </si>
  <si>
    <t xml:space="preserve">Temperature </t>
  </si>
  <si>
    <t>Pressure</t>
  </si>
  <si>
    <t>Boiler capacity</t>
  </si>
  <si>
    <t>Enthalpy</t>
  </si>
  <si>
    <t>kJ/kg</t>
  </si>
  <si>
    <t>kgf/cm2</t>
  </si>
  <si>
    <t>t/h</t>
  </si>
  <si>
    <t>Gcal/h</t>
  </si>
  <si>
    <t>C</t>
  </si>
  <si>
    <t>Boilers parameters</t>
  </si>
  <si>
    <t>Back pressure turbine parameters</t>
  </si>
  <si>
    <t>Maximum turbine capacity</t>
  </si>
  <si>
    <t>Minimum turbine capacity</t>
  </si>
  <si>
    <t>Electricity generation</t>
  </si>
  <si>
    <t>Steam input</t>
  </si>
  <si>
    <t>Condence turbine parameters (electricity + steam)</t>
  </si>
  <si>
    <t>Steam output</t>
  </si>
  <si>
    <t>Boilers efficiency</t>
  </si>
  <si>
    <t>Electricity demand</t>
  </si>
  <si>
    <t>Time period</t>
  </si>
  <si>
    <t>Discount factor</t>
  </si>
  <si>
    <t>Year</t>
  </si>
  <si>
    <t>Investment</t>
  </si>
  <si>
    <t>kEUR</t>
  </si>
  <si>
    <t>Cash flow</t>
  </si>
  <si>
    <t>DCF</t>
  </si>
  <si>
    <t>NPV</t>
  </si>
  <si>
    <t>ERUs under the project</t>
  </si>
  <si>
    <t>Price ERU</t>
  </si>
  <si>
    <t>EUR</t>
  </si>
  <si>
    <t>Revenue from ERU sale</t>
  </si>
  <si>
    <t>Cash flow with ERU revenue</t>
  </si>
  <si>
    <t>Electricity  price</t>
  </si>
  <si>
    <t>kUAH</t>
  </si>
  <si>
    <t>UAH/MW</t>
  </si>
  <si>
    <t>k UAH</t>
  </si>
  <si>
    <t>Electricity generation net price</t>
  </si>
  <si>
    <t>Electricity generation cost</t>
  </si>
  <si>
    <t>Discount rate</t>
  </si>
  <si>
    <t>Electricity savings costs</t>
  </si>
  <si>
    <t>Electricity savings amount</t>
  </si>
  <si>
    <t>Exchange rate UAH/EUR</t>
  </si>
  <si>
    <t>Increasing of electricity price</t>
  </si>
  <si>
    <t>Investment change rate</t>
  </si>
  <si>
    <t>Superheated steam consumption by the second turbine</t>
  </si>
  <si>
    <t xml:space="preserve">Second turbine steam output </t>
  </si>
  <si>
    <t>Electricity for auxiliary needs</t>
  </si>
  <si>
    <t xml:space="preserve">Project emissions </t>
  </si>
  <si>
    <t>Discounted Cash flow</t>
  </si>
  <si>
    <t>EMISSION REDUCTION 2013-2020</t>
  </si>
  <si>
    <t>Electricity price</t>
  </si>
  <si>
    <t>+10%</t>
  </si>
  <si>
    <t>-10%</t>
  </si>
  <si>
    <t>Variable</t>
  </si>
  <si>
    <t>Rate</t>
  </si>
  <si>
    <t>SENSITIVITY ANALYSIS</t>
  </si>
  <si>
    <t>Inflation in Ukraine 2000 - 2004</t>
  </si>
  <si>
    <t>Source: http://ukrstat.gov.ua/control/uk/localfiles/display/operativ/operativ2008/ct/cn_rik/icsR/iscR_u/isc_tp_rik_u.htm</t>
  </si>
  <si>
    <t>Inflation rate</t>
  </si>
  <si>
    <t>Real interest rate in Ukraine in 2004</t>
  </si>
  <si>
    <t>Nominal interest rate in UAH</t>
  </si>
  <si>
    <t>Inflation</t>
  </si>
  <si>
    <t>Real interest rate</t>
  </si>
  <si>
    <t>Condence turbine parameters (electricity only)</t>
  </si>
  <si>
    <t>-</t>
  </si>
  <si>
    <t>Name of work</t>
  </si>
  <si>
    <t>Start date</t>
  </si>
  <si>
    <t>duration, days</t>
  </si>
  <si>
    <t>End date</t>
  </si>
  <si>
    <t>Project designing</t>
  </si>
  <si>
    <t>Decision making</t>
  </si>
  <si>
    <t>Installation of backpressure turbine</t>
  </si>
  <si>
    <t>Installation of condensing turbine</t>
  </si>
  <si>
    <t>Preparation works</t>
  </si>
  <si>
    <t>GJ</t>
  </si>
  <si>
    <t>Increasing of electricity generation price</t>
  </si>
  <si>
    <t>Electricity generation price</t>
  </si>
  <si>
    <t>Weight of two tourbines</t>
  </si>
  <si>
    <t>Price of scrap (based on 2005 year)</t>
  </si>
  <si>
    <t>UAH/t</t>
  </si>
  <si>
    <t>Scrap value</t>
  </si>
  <si>
    <t>Price of scrap</t>
  </si>
  <si>
    <t xml:space="preserve">Average loan rate in UAH reported by the National Bank of Ukraine on the 5th of November 2004 http://www.bank.gov.ua/Fin_ryn/Pot_tend/2004/2004.zip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</si>
</sst>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,\-"/>
    <numFmt numFmtId="165" formatCode="#,##0.00_ ;[Red]\-#,##0.00\ "/>
    <numFmt numFmtId="166" formatCode="0_);\(0\)"/>
    <numFmt numFmtId="167" formatCode="0.0%"/>
    <numFmt numFmtId="168" formatCode="#,##0.0"/>
    <numFmt numFmtId="169" formatCode="_-* #,##0.00[$€-1]_-;\-* #,##0.00[$€-1]_-;_-* &quot;-&quot;??[$€-1]_-"/>
    <numFmt numFmtId="170" formatCode="dd/mm/yyyy;@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b/>
      <sz val="10"/>
      <name val="Arial"/>
      <family val="2"/>
    </font>
    <font>
      <sz val="10"/>
      <name val="Arial Cyr"/>
      <family val="0"/>
    </font>
    <font>
      <b/>
      <i/>
      <u val="single"/>
      <sz val="10"/>
      <name val="Arial"/>
      <family val="2"/>
    </font>
    <font>
      <sz val="11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2"/>
      <name val="Cambria"/>
      <family val="2"/>
    </font>
    <font>
      <u val="single"/>
      <sz val="11"/>
      <color indexed="12"/>
      <name val="Calibri"/>
      <family val="2"/>
    </font>
    <font>
      <u val="single"/>
      <sz val="9"/>
      <name val="Calibri"/>
      <family val="2"/>
    </font>
    <font>
      <b/>
      <sz val="15"/>
      <color indexed="56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1"/>
      <color indexed="62"/>
      <name val="Calibri"/>
      <family val="2"/>
    </font>
    <font>
      <b/>
      <sz val="11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yr"/>
      <family val="0"/>
    </font>
    <font>
      <sz val="10"/>
      <name val="Arial"/>
      <family val="2"/>
    </font>
    <font>
      <b/>
      <sz val="11"/>
      <color indexed="10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.5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CC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rgb="FF0000CC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 style="thin"/>
      <bottom style="thin"/>
    </border>
    <border>
      <left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/>
    </border>
  </borders>
  <cellStyleXfs count="78">
    <xf numFmtId="169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169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69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169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169" fontId="49" fillId="0" borderId="0" applyNumberFormat="0" applyFill="0" applyBorder="0" applyAlignment="0" applyProtection="0"/>
    <xf numFmtId="0" fontId="50" fillId="30" borderId="1" applyNumberFormat="0" applyAlignment="0" applyProtection="0"/>
    <xf numFmtId="169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169" fontId="0" fillId="0" borderId="0">
      <alignment/>
      <protection/>
    </xf>
    <xf numFmtId="169" fontId="5" fillId="0" borderId="0">
      <alignment/>
      <protection/>
    </xf>
    <xf numFmtId="0" fontId="0" fillId="32" borderId="7" applyNumberFormat="0" applyFont="0" applyAlignment="0" applyProtection="0"/>
    <xf numFmtId="169" fontId="0" fillId="32" borderId="7" applyNumberFormat="0" applyFont="0" applyAlignment="0" applyProtection="0"/>
    <xf numFmtId="0" fontId="53" fillId="27" borderId="8" applyNumberFormat="0" applyAlignment="0" applyProtection="0"/>
    <xf numFmtId="169" fontId="5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169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69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69" fontId="5" fillId="0" borderId="0">
      <alignment/>
      <protection/>
    </xf>
    <xf numFmtId="43" fontId="27" fillId="0" borderId="0" applyFont="0" applyFill="0" applyBorder="0" applyAlignment="0" applyProtection="0"/>
  </cellStyleXfs>
  <cellXfs count="255">
    <xf numFmtId="169" fontId="0" fillId="0" borderId="0" xfId="0" applyFont="1" applyAlignment="1">
      <alignment/>
    </xf>
    <xf numFmtId="169" fontId="0" fillId="0" borderId="10" xfId="0" applyBorder="1" applyAlignment="1">
      <alignment/>
    </xf>
    <xf numFmtId="169" fontId="0" fillId="0" borderId="10" xfId="0" applyBorder="1" applyAlignment="1">
      <alignment horizontal="center"/>
    </xf>
    <xf numFmtId="169" fontId="55" fillId="0" borderId="0" xfId="0" applyFont="1" applyAlignment="1">
      <alignment horizontal="center" vertical="center"/>
    </xf>
    <xf numFmtId="169" fontId="0" fillId="0" borderId="11" xfId="0" applyBorder="1" applyAlignment="1">
      <alignment wrapText="1"/>
    </xf>
    <xf numFmtId="169" fontId="55" fillId="0" borderId="12" xfId="0" applyFont="1" applyBorder="1" applyAlignment="1">
      <alignment horizontal="center" vertical="center"/>
    </xf>
    <xf numFmtId="169" fontId="0" fillId="0" borderId="13" xfId="0" applyBorder="1" applyAlignment="1">
      <alignment horizontal="center"/>
    </xf>
    <xf numFmtId="169" fontId="0" fillId="0" borderId="14" xfId="0" applyBorder="1" applyAlignment="1">
      <alignment/>
    </xf>
    <xf numFmtId="169" fontId="0" fillId="0" borderId="11" xfId="0" applyBorder="1" applyAlignment="1">
      <alignment/>
    </xf>
    <xf numFmtId="169" fontId="0" fillId="0" borderId="15" xfId="0" applyBorder="1" applyAlignment="1">
      <alignment wrapText="1"/>
    </xf>
    <xf numFmtId="169" fontId="0" fillId="0" borderId="16" xfId="0" applyBorder="1" applyAlignment="1">
      <alignment horizontal="center" vertical="center"/>
    </xf>
    <xf numFmtId="169" fontId="0" fillId="0" borderId="13" xfId="0" applyBorder="1" applyAlignment="1">
      <alignment horizontal="center" vertical="center"/>
    </xf>
    <xf numFmtId="169" fontId="0" fillId="0" borderId="17" xfId="0" applyBorder="1" applyAlignment="1">
      <alignment horizontal="center" vertical="center"/>
    </xf>
    <xf numFmtId="169" fontId="0" fillId="0" borderId="18" xfId="0" applyBorder="1" applyAlignment="1">
      <alignment horizontal="center" vertical="center"/>
    </xf>
    <xf numFmtId="169" fontId="0" fillId="0" borderId="15" xfId="0" applyFill="1" applyBorder="1" applyAlignment="1">
      <alignment wrapText="1"/>
    </xf>
    <xf numFmtId="169" fontId="0" fillId="0" borderId="16" xfId="0" applyFill="1" applyBorder="1" applyAlignment="1">
      <alignment horizontal="center" vertical="center"/>
    </xf>
    <xf numFmtId="169" fontId="0" fillId="0" borderId="19" xfId="0" applyFill="1" applyBorder="1" applyAlignment="1">
      <alignment/>
    </xf>
    <xf numFmtId="169" fontId="0" fillId="0" borderId="15" xfId="0" applyFont="1" applyBorder="1" applyAlignment="1">
      <alignment/>
    </xf>
    <xf numFmtId="169" fontId="0" fillId="0" borderId="19" xfId="0" applyBorder="1" applyAlignment="1">
      <alignment wrapText="1"/>
    </xf>
    <xf numFmtId="3" fontId="0" fillId="0" borderId="20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33" borderId="15" xfId="0" applyNumberFormat="1" applyFill="1" applyBorder="1" applyAlignment="1">
      <alignment horizontal="center"/>
    </xf>
    <xf numFmtId="3" fontId="0" fillId="33" borderId="11" xfId="0" applyNumberFormat="1" applyFill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33" borderId="19" xfId="0" applyNumberFormat="1" applyFill="1" applyBorder="1" applyAlignment="1">
      <alignment horizontal="center"/>
    </xf>
    <xf numFmtId="3" fontId="0" fillId="33" borderId="25" xfId="0" applyNumberFormat="1" applyFill="1" applyBorder="1" applyAlignment="1">
      <alignment horizontal="center"/>
    </xf>
    <xf numFmtId="169" fontId="0" fillId="0" borderId="26" xfId="0" applyBorder="1" applyAlignment="1">
      <alignment/>
    </xf>
    <xf numFmtId="2" fontId="0" fillId="0" borderId="13" xfId="0" applyNumberFormat="1" applyBorder="1" applyAlignment="1">
      <alignment horizontal="center"/>
    </xf>
    <xf numFmtId="169" fontId="0" fillId="0" borderId="27" xfId="0" applyBorder="1" applyAlignment="1">
      <alignment/>
    </xf>
    <xf numFmtId="169" fontId="0" fillId="0" borderId="23" xfId="0" applyBorder="1" applyAlignment="1">
      <alignment/>
    </xf>
    <xf numFmtId="169" fontId="0" fillId="0" borderId="28" xfId="0" applyBorder="1" applyAlignment="1">
      <alignment horizontal="left" vertical="center"/>
    </xf>
    <xf numFmtId="3" fontId="0" fillId="33" borderId="10" xfId="0" applyNumberFormat="1" applyFill="1" applyBorder="1" applyAlignment="1">
      <alignment horizontal="center"/>
    </xf>
    <xf numFmtId="3" fontId="0" fillId="33" borderId="14" xfId="0" applyNumberFormat="1" applyFill="1" applyBorder="1" applyAlignment="1">
      <alignment horizontal="center"/>
    </xf>
    <xf numFmtId="3" fontId="0" fillId="33" borderId="16" xfId="0" applyNumberFormat="1" applyFill="1" applyBorder="1" applyAlignment="1">
      <alignment horizontal="center"/>
    </xf>
    <xf numFmtId="3" fontId="0" fillId="33" borderId="13" xfId="0" applyNumberFormat="1" applyFill="1" applyBorder="1" applyAlignment="1">
      <alignment horizontal="center"/>
    </xf>
    <xf numFmtId="3" fontId="0" fillId="33" borderId="23" xfId="0" applyNumberFormat="1" applyFill="1" applyBorder="1" applyAlignment="1">
      <alignment horizontal="center"/>
    </xf>
    <xf numFmtId="3" fontId="0" fillId="33" borderId="18" xfId="0" applyNumberFormat="1" applyFill="1" applyBorder="1" applyAlignment="1">
      <alignment horizontal="center"/>
    </xf>
    <xf numFmtId="3" fontId="0" fillId="33" borderId="29" xfId="0" applyNumberFormat="1" applyFill="1" applyBorder="1" applyAlignment="1">
      <alignment horizontal="center"/>
    </xf>
    <xf numFmtId="3" fontId="0" fillId="33" borderId="17" xfId="0" applyNumberFormat="1" applyFill="1" applyBorder="1" applyAlignment="1">
      <alignment horizontal="center"/>
    </xf>
    <xf numFmtId="169" fontId="0" fillId="0" borderId="0" xfId="0" applyBorder="1" applyAlignment="1">
      <alignment/>
    </xf>
    <xf numFmtId="169" fontId="0" fillId="0" borderId="0" xfId="0" applyBorder="1" applyAlignment="1">
      <alignment/>
    </xf>
    <xf numFmtId="169" fontId="0" fillId="0" borderId="10" xfId="0" applyFill="1" applyBorder="1" applyAlignment="1">
      <alignment horizontal="center" vertical="center"/>
    </xf>
    <xf numFmtId="169" fontId="0" fillId="0" borderId="11" xfId="0" applyFill="1" applyBorder="1" applyAlignment="1">
      <alignment/>
    </xf>
    <xf numFmtId="169" fontId="0" fillId="0" borderId="14" xfId="0" applyBorder="1" applyAlignment="1">
      <alignment horizontal="center"/>
    </xf>
    <xf numFmtId="169" fontId="0" fillId="0" borderId="10" xfId="0" applyFill="1" applyBorder="1" applyAlignment="1">
      <alignment horizontal="center"/>
    </xf>
    <xf numFmtId="169" fontId="0" fillId="0" borderId="23" xfId="0" applyFill="1" applyBorder="1" applyAlignment="1">
      <alignment horizontal="center"/>
    </xf>
    <xf numFmtId="169" fontId="55" fillId="0" borderId="12" xfId="0" applyFont="1" applyFill="1" applyBorder="1" applyAlignment="1">
      <alignment wrapText="1"/>
    </xf>
    <xf numFmtId="169" fontId="55" fillId="0" borderId="30" xfId="0" applyFont="1" applyFill="1" applyBorder="1" applyAlignment="1">
      <alignment horizontal="center" vertical="center"/>
    </xf>
    <xf numFmtId="169" fontId="55" fillId="0" borderId="0" xfId="0" applyFont="1" applyAlignment="1">
      <alignment/>
    </xf>
    <xf numFmtId="3" fontId="0" fillId="33" borderId="31" xfId="0" applyNumberFormat="1" applyFill="1" applyBorder="1" applyAlignment="1">
      <alignment horizontal="center"/>
    </xf>
    <xf numFmtId="3" fontId="0" fillId="33" borderId="32" xfId="0" applyNumberFormat="1" applyFill="1" applyBorder="1" applyAlignment="1">
      <alignment horizontal="center"/>
    </xf>
    <xf numFmtId="164" fontId="57" fillId="34" borderId="33" xfId="0" applyNumberFormat="1" applyFont="1" applyFill="1" applyBorder="1" applyAlignment="1">
      <alignment horizontal="center"/>
    </xf>
    <xf numFmtId="164" fontId="57" fillId="34" borderId="10" xfId="0" applyNumberFormat="1" applyFont="1" applyFill="1" applyBorder="1" applyAlignment="1">
      <alignment horizontal="center"/>
    </xf>
    <xf numFmtId="164" fontId="0" fillId="34" borderId="34" xfId="0" applyNumberFormat="1" applyFill="1" applyBorder="1" applyAlignment="1">
      <alignment horizontal="center"/>
    </xf>
    <xf numFmtId="164" fontId="57" fillId="34" borderId="35" xfId="0" applyNumberFormat="1" applyFont="1" applyFill="1" applyBorder="1" applyAlignment="1">
      <alignment horizontal="center"/>
    </xf>
    <xf numFmtId="164" fontId="57" fillId="34" borderId="12" xfId="0" applyNumberFormat="1" applyFont="1" applyFill="1" applyBorder="1" applyAlignment="1">
      <alignment horizontal="center"/>
    </xf>
    <xf numFmtId="164" fontId="57" fillId="34" borderId="14" xfId="0" applyNumberFormat="1" applyFont="1" applyFill="1" applyBorder="1" applyAlignment="1">
      <alignment horizontal="center"/>
    </xf>
    <xf numFmtId="164" fontId="57" fillId="34" borderId="23" xfId="0" applyNumberFormat="1" applyFont="1" applyFill="1" applyBorder="1" applyAlignment="1">
      <alignment horizontal="center"/>
    </xf>
    <xf numFmtId="165" fontId="0" fillId="0" borderId="0" xfId="0" applyNumberFormat="1" applyAlignment="1">
      <alignment/>
    </xf>
    <xf numFmtId="169" fontId="0" fillId="0" borderId="0" xfId="0" applyFill="1" applyBorder="1" applyAlignment="1">
      <alignment/>
    </xf>
    <xf numFmtId="169" fontId="4" fillId="0" borderId="0" xfId="0" applyFont="1" applyAlignment="1">
      <alignment/>
    </xf>
    <xf numFmtId="169" fontId="0" fillId="0" borderId="0" xfId="0" applyAlignment="1">
      <alignment horizontal="center"/>
    </xf>
    <xf numFmtId="165" fontId="4" fillId="0" borderId="0" xfId="0" applyNumberFormat="1" applyFont="1" applyAlignment="1">
      <alignment/>
    </xf>
    <xf numFmtId="165" fontId="0" fillId="0" borderId="0" xfId="44" applyNumberFormat="1" applyFont="1" applyAlignment="1">
      <alignment/>
    </xf>
    <xf numFmtId="165" fontId="5" fillId="0" borderId="0" xfId="76" applyNumberFormat="1" applyBorder="1">
      <alignment/>
      <protection/>
    </xf>
    <xf numFmtId="169" fontId="6" fillId="0" borderId="36" xfId="0" applyFont="1" applyFill="1" applyBorder="1" applyAlignment="1">
      <alignment/>
    </xf>
    <xf numFmtId="169" fontId="6" fillId="0" borderId="37" xfId="0" applyFont="1" applyBorder="1" applyAlignment="1">
      <alignment horizontal="center"/>
    </xf>
    <xf numFmtId="165" fontId="6" fillId="0" borderId="38" xfId="44" applyNumberFormat="1" applyFont="1" applyBorder="1" applyAlignment="1">
      <alignment/>
    </xf>
    <xf numFmtId="165" fontId="0" fillId="0" borderId="39" xfId="44" applyNumberFormat="1" applyFont="1" applyBorder="1" applyAlignment="1">
      <alignment/>
    </xf>
    <xf numFmtId="165" fontId="5" fillId="0" borderId="39" xfId="76" applyNumberFormat="1" applyBorder="1">
      <alignment/>
      <protection/>
    </xf>
    <xf numFmtId="165" fontId="4" fillId="0" borderId="39" xfId="0" applyNumberFormat="1" applyFont="1" applyBorder="1" applyAlignment="1">
      <alignment/>
    </xf>
    <xf numFmtId="165" fontId="0" fillId="0" borderId="0" xfId="44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5" fontId="6" fillId="0" borderId="38" xfId="0" applyNumberFormat="1" applyFont="1" applyBorder="1" applyAlignment="1">
      <alignment/>
    </xf>
    <xf numFmtId="169" fontId="55" fillId="10" borderId="0" xfId="0" applyFont="1" applyFill="1" applyAlignment="1">
      <alignment/>
    </xf>
    <xf numFmtId="169" fontId="0" fillId="10" borderId="0" xfId="0" applyFill="1" applyAlignment="1">
      <alignment/>
    </xf>
    <xf numFmtId="165" fontId="55" fillId="0" borderId="0" xfId="44" applyNumberFormat="1" applyFont="1" applyAlignment="1">
      <alignment/>
    </xf>
    <xf numFmtId="165" fontId="5" fillId="0" borderId="10" xfId="76" applyNumberFormat="1" applyBorder="1" applyAlignment="1">
      <alignment/>
      <protection/>
    </xf>
    <xf numFmtId="169" fontId="4" fillId="10" borderId="0" xfId="0" applyFont="1" applyFill="1" applyAlignment="1">
      <alignment horizontal="center"/>
    </xf>
    <xf numFmtId="9" fontId="0" fillId="0" borderId="0" xfId="69" applyFont="1" applyBorder="1" applyAlignment="1">
      <alignment/>
    </xf>
    <xf numFmtId="169" fontId="0" fillId="0" borderId="34" xfId="0" applyFill="1" applyBorder="1" applyAlignment="1">
      <alignment/>
    </xf>
    <xf numFmtId="169" fontId="0" fillId="0" borderId="40" xfId="0" applyBorder="1" applyAlignment="1">
      <alignment/>
    </xf>
    <xf numFmtId="165" fontId="0" fillId="0" borderId="40" xfId="0" applyNumberFormat="1" applyBorder="1" applyAlignment="1">
      <alignment/>
    </xf>
    <xf numFmtId="169" fontId="0" fillId="0" borderId="39" xfId="0" applyBorder="1" applyAlignment="1">
      <alignment/>
    </xf>
    <xf numFmtId="1" fontId="0" fillId="0" borderId="0" xfId="69" applyNumberFormat="1" applyFont="1" applyBorder="1" applyAlignment="1">
      <alignment/>
    </xf>
    <xf numFmtId="169" fontId="0" fillId="0" borderId="41" xfId="0" applyFill="1" applyBorder="1" applyAlignment="1">
      <alignment/>
    </xf>
    <xf numFmtId="169" fontId="0" fillId="0" borderId="42" xfId="0" applyFill="1" applyBorder="1" applyAlignment="1">
      <alignment/>
    </xf>
    <xf numFmtId="9" fontId="0" fillId="0" borderId="43" xfId="69" applyFont="1" applyBorder="1" applyAlignment="1">
      <alignment horizontal="center"/>
    </xf>
    <xf numFmtId="9" fontId="0" fillId="0" borderId="44" xfId="69" applyFont="1" applyBorder="1" applyAlignment="1">
      <alignment horizontal="center"/>
    </xf>
    <xf numFmtId="165" fontId="0" fillId="0" borderId="10" xfId="0" applyNumberFormat="1" applyBorder="1" applyAlignment="1">
      <alignment/>
    </xf>
    <xf numFmtId="166" fontId="55" fillId="10" borderId="15" xfId="44" applyNumberFormat="1" applyFont="1" applyFill="1" applyBorder="1" applyAlignment="1">
      <alignment horizontal="center"/>
    </xf>
    <xf numFmtId="166" fontId="55" fillId="10" borderId="14" xfId="44" applyNumberFormat="1" applyFont="1" applyFill="1" applyBorder="1" applyAlignment="1">
      <alignment horizontal="center"/>
    </xf>
    <xf numFmtId="166" fontId="55" fillId="10" borderId="16" xfId="44" applyNumberFormat="1" applyFont="1" applyFill="1" applyBorder="1" applyAlignment="1">
      <alignment horizontal="center"/>
    </xf>
    <xf numFmtId="165" fontId="5" fillId="0" borderId="11" xfId="76" applyNumberFormat="1" applyBorder="1" applyAlignment="1">
      <alignment/>
      <protection/>
    </xf>
    <xf numFmtId="165" fontId="5" fillId="0" borderId="13" xfId="76" applyNumberFormat="1" applyBorder="1" applyAlignment="1">
      <alignment/>
      <protection/>
    </xf>
    <xf numFmtId="165" fontId="4" fillId="0" borderId="19" xfId="0" applyNumberFormat="1" applyFont="1" applyBorder="1" applyAlignment="1">
      <alignment/>
    </xf>
    <xf numFmtId="165" fontId="4" fillId="0" borderId="23" xfId="0" applyNumberFormat="1" applyFont="1" applyBorder="1" applyAlignment="1">
      <alignment/>
    </xf>
    <xf numFmtId="165" fontId="4" fillId="0" borderId="18" xfId="0" applyNumberFormat="1" applyFon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3" xfId="0" applyNumberFormat="1" applyBorder="1" applyAlignment="1">
      <alignment/>
    </xf>
    <xf numFmtId="2" fontId="0" fillId="0" borderId="0" xfId="69" applyNumberFormat="1" applyFont="1" applyBorder="1" applyAlignment="1">
      <alignment/>
    </xf>
    <xf numFmtId="169" fontId="0" fillId="0" borderId="32" xfId="0" applyBorder="1" applyAlignment="1">
      <alignment horizontal="center" vertical="center"/>
    </xf>
    <xf numFmtId="164" fontId="57" fillId="34" borderId="29" xfId="0" applyNumberFormat="1" applyFont="1" applyFill="1" applyBorder="1" applyAlignment="1">
      <alignment horizontal="center"/>
    </xf>
    <xf numFmtId="3" fontId="0" fillId="33" borderId="45" xfId="0" applyNumberFormat="1" applyFill="1" applyBorder="1" applyAlignment="1">
      <alignment horizontal="center"/>
    </xf>
    <xf numFmtId="164" fontId="57" fillId="34" borderId="21" xfId="0" applyNumberFormat="1" applyFont="1" applyFill="1" applyBorder="1" applyAlignment="1">
      <alignment horizontal="center"/>
    </xf>
    <xf numFmtId="164" fontId="57" fillId="34" borderId="34" xfId="0" applyNumberFormat="1" applyFont="1" applyFill="1" applyBorder="1" applyAlignment="1">
      <alignment horizontal="center"/>
    </xf>
    <xf numFmtId="164" fontId="57" fillId="34" borderId="24" xfId="0" applyNumberFormat="1" applyFont="1" applyFill="1" applyBorder="1" applyAlignment="1">
      <alignment horizontal="center"/>
    </xf>
    <xf numFmtId="164" fontId="57" fillId="34" borderId="46" xfId="0" applyNumberFormat="1" applyFont="1" applyFill="1" applyBorder="1" applyAlignment="1">
      <alignment horizontal="center"/>
    </xf>
    <xf numFmtId="3" fontId="0" fillId="35" borderId="14" xfId="0" applyNumberFormat="1" applyFill="1" applyBorder="1" applyAlignment="1">
      <alignment horizontal="center"/>
    </xf>
    <xf numFmtId="169" fontId="0" fillId="0" borderId="19" xfId="0" applyFill="1" applyBorder="1" applyAlignment="1">
      <alignment wrapText="1"/>
    </xf>
    <xf numFmtId="3" fontId="55" fillId="33" borderId="23" xfId="0" applyNumberFormat="1" applyFont="1" applyFill="1" applyBorder="1" applyAlignment="1">
      <alignment horizontal="center"/>
    </xf>
    <xf numFmtId="3" fontId="55" fillId="33" borderId="18" xfId="0" applyNumberFormat="1" applyFont="1" applyFill="1" applyBorder="1" applyAlignment="1">
      <alignment horizontal="center"/>
    </xf>
    <xf numFmtId="3" fontId="55" fillId="33" borderId="19" xfId="0" applyNumberFormat="1" applyFont="1" applyFill="1" applyBorder="1" applyAlignment="1">
      <alignment horizontal="center"/>
    </xf>
    <xf numFmtId="164" fontId="57" fillId="34" borderId="22" xfId="0" applyNumberFormat="1" applyFont="1" applyFill="1" applyBorder="1" applyAlignment="1">
      <alignment horizontal="center"/>
    </xf>
    <xf numFmtId="169" fontId="0" fillId="0" borderId="18" xfId="0" applyFill="1" applyBorder="1" applyAlignment="1">
      <alignment horizontal="center" vertical="center"/>
    </xf>
    <xf numFmtId="169" fontId="0" fillId="0" borderId="15" xfId="0" applyBorder="1" applyAlignment="1">
      <alignment horizontal="left" vertical="center" wrapText="1"/>
    </xf>
    <xf numFmtId="164" fontId="57" fillId="34" borderId="47" xfId="0" applyNumberFormat="1" applyFont="1" applyFill="1" applyBorder="1" applyAlignment="1">
      <alignment horizontal="center"/>
    </xf>
    <xf numFmtId="164" fontId="57" fillId="34" borderId="48" xfId="0" applyNumberFormat="1" applyFont="1" applyFill="1" applyBorder="1" applyAlignment="1">
      <alignment horizontal="center"/>
    </xf>
    <xf numFmtId="3" fontId="55" fillId="33" borderId="12" xfId="0" applyNumberFormat="1" applyFont="1" applyFill="1" applyBorder="1" applyAlignment="1">
      <alignment horizontal="center" vertical="center"/>
    </xf>
    <xf numFmtId="3" fontId="55" fillId="33" borderId="47" xfId="0" applyNumberFormat="1" applyFont="1" applyFill="1" applyBorder="1" applyAlignment="1">
      <alignment horizontal="center" vertical="center"/>
    </xf>
    <xf numFmtId="3" fontId="55" fillId="33" borderId="30" xfId="0" applyNumberFormat="1" applyFont="1" applyFill="1" applyBorder="1" applyAlignment="1">
      <alignment horizontal="center" vertical="center"/>
    </xf>
    <xf numFmtId="164" fontId="57" fillId="34" borderId="49" xfId="0" applyNumberFormat="1" applyFont="1" applyFill="1" applyBorder="1" applyAlignment="1">
      <alignment horizontal="center"/>
    </xf>
    <xf numFmtId="164" fontId="57" fillId="34" borderId="31" xfId="0" applyNumberFormat="1" applyFont="1" applyFill="1" applyBorder="1" applyAlignment="1">
      <alignment horizontal="center"/>
    </xf>
    <xf numFmtId="164" fontId="57" fillId="34" borderId="50" xfId="0" applyNumberFormat="1" applyFont="1" applyFill="1" applyBorder="1" applyAlignment="1">
      <alignment horizontal="center"/>
    </xf>
    <xf numFmtId="3" fontId="0" fillId="35" borderId="20" xfId="0" applyNumberFormat="1" applyFill="1" applyBorder="1" applyAlignment="1">
      <alignment horizontal="center"/>
    </xf>
    <xf numFmtId="3" fontId="0" fillId="35" borderId="21" xfId="0" applyNumberFormat="1" applyFill="1" applyBorder="1" applyAlignment="1">
      <alignment horizontal="center"/>
    </xf>
    <xf numFmtId="169" fontId="7" fillId="0" borderId="15" xfId="0" applyFont="1" applyBorder="1" applyAlignment="1">
      <alignment horizontal="left" vertical="center" wrapText="1"/>
    </xf>
    <xf numFmtId="164" fontId="57" fillId="34" borderId="20" xfId="0" applyNumberFormat="1" applyFont="1" applyFill="1" applyBorder="1" applyAlignment="1">
      <alignment horizontal="center"/>
    </xf>
    <xf numFmtId="169" fontId="7" fillId="0" borderId="19" xfId="0" applyFont="1" applyBorder="1" applyAlignment="1">
      <alignment horizontal="left" vertical="center" wrapText="1"/>
    </xf>
    <xf numFmtId="169" fontId="55" fillId="0" borderId="47" xfId="0" applyFont="1" applyFill="1" applyBorder="1" applyAlignment="1">
      <alignment horizontal="center" vertical="center"/>
    </xf>
    <xf numFmtId="3" fontId="7" fillId="33" borderId="26" xfId="0" applyNumberFormat="1" applyFont="1" applyFill="1" applyBorder="1" applyAlignment="1">
      <alignment horizontal="center"/>
    </xf>
    <xf numFmtId="3" fontId="7" fillId="33" borderId="10" xfId="0" applyNumberFormat="1" applyFont="1" applyFill="1" applyBorder="1" applyAlignment="1">
      <alignment horizontal="center"/>
    </xf>
    <xf numFmtId="3" fontId="7" fillId="33" borderId="51" xfId="0" applyNumberFormat="1" applyFont="1" applyFill="1" applyBorder="1" applyAlignment="1">
      <alignment horizontal="center"/>
    </xf>
    <xf numFmtId="169" fontId="6" fillId="0" borderId="0" xfId="0" applyFont="1" applyBorder="1" applyAlignment="1">
      <alignment horizontal="center"/>
    </xf>
    <xf numFmtId="10" fontId="0" fillId="0" borderId="0" xfId="69" applyNumberFormat="1" applyFont="1" applyBorder="1" applyAlignment="1">
      <alignment/>
    </xf>
    <xf numFmtId="9" fontId="0" fillId="0" borderId="0" xfId="69" applyFont="1" applyBorder="1" applyAlignment="1">
      <alignment horizontal="center"/>
    </xf>
    <xf numFmtId="169" fontId="58" fillId="0" borderId="12" xfId="0" applyFont="1" applyBorder="1" applyAlignment="1">
      <alignment horizontal="center"/>
    </xf>
    <xf numFmtId="169" fontId="58" fillId="0" borderId="48" xfId="0" applyFont="1" applyBorder="1" applyAlignment="1">
      <alignment horizontal="center"/>
    </xf>
    <xf numFmtId="9" fontId="59" fillId="0" borderId="50" xfId="0" applyNumberFormat="1" applyFont="1" applyBorder="1" applyAlignment="1" quotePrefix="1">
      <alignment horizontal="center"/>
    </xf>
    <xf numFmtId="169" fontId="59" fillId="0" borderId="34" xfId="0" applyFont="1" applyBorder="1" applyAlignment="1" quotePrefix="1">
      <alignment horizontal="center"/>
    </xf>
    <xf numFmtId="9" fontId="59" fillId="0" borderId="34" xfId="0" applyNumberFormat="1" applyFont="1" applyBorder="1" applyAlignment="1" quotePrefix="1">
      <alignment horizontal="center"/>
    </xf>
    <xf numFmtId="169" fontId="59" fillId="0" borderId="24" xfId="0" applyFont="1" applyBorder="1" applyAlignment="1" quotePrefix="1">
      <alignment horizontal="center"/>
    </xf>
    <xf numFmtId="169" fontId="58" fillId="10" borderId="0" xfId="0" applyFont="1" applyFill="1" applyAlignment="1">
      <alignment/>
    </xf>
    <xf numFmtId="169" fontId="7" fillId="0" borderId="0" xfId="63" applyFont="1" applyBorder="1">
      <alignment/>
      <protection/>
    </xf>
    <xf numFmtId="169" fontId="7" fillId="10" borderId="52" xfId="63" applyFont="1" applyFill="1" applyBorder="1">
      <alignment/>
      <protection/>
    </xf>
    <xf numFmtId="169" fontId="7" fillId="0" borderId="0" xfId="63" applyFont="1" applyFill="1" applyBorder="1">
      <alignment/>
      <protection/>
    </xf>
    <xf numFmtId="169" fontId="20" fillId="10" borderId="53" xfId="63" applyFont="1" applyFill="1" applyBorder="1">
      <alignment/>
      <protection/>
    </xf>
    <xf numFmtId="169" fontId="17" fillId="10" borderId="0" xfId="58" applyFont="1" applyFill="1" applyBorder="1" applyAlignment="1" applyProtection="1">
      <alignment/>
      <protection/>
    </xf>
    <xf numFmtId="169" fontId="7" fillId="10" borderId="0" xfId="63" applyFont="1" applyFill="1" applyBorder="1">
      <alignment/>
      <protection/>
    </xf>
    <xf numFmtId="169" fontId="7" fillId="0" borderId="15" xfId="60" applyFont="1" applyFill="1" applyBorder="1" applyAlignment="1">
      <alignment/>
    </xf>
    <xf numFmtId="169" fontId="7" fillId="0" borderId="19" xfId="60" applyFont="1" applyFill="1" applyBorder="1" applyAlignment="1">
      <alignment/>
    </xf>
    <xf numFmtId="169" fontId="7" fillId="0" borderId="15" xfId="63" applyFont="1" applyBorder="1">
      <alignment/>
      <protection/>
    </xf>
    <xf numFmtId="169" fontId="7" fillId="0" borderId="11" xfId="63" applyFont="1" applyBorder="1">
      <alignment/>
      <protection/>
    </xf>
    <xf numFmtId="169" fontId="15" fillId="10" borderId="43" xfId="72" applyFont="1" applyFill="1" applyBorder="1" applyAlignment="1">
      <alignment/>
    </xf>
    <xf numFmtId="169" fontId="7" fillId="0" borderId="19" xfId="63" applyFont="1" applyBorder="1">
      <alignment/>
      <protection/>
    </xf>
    <xf numFmtId="169" fontId="6" fillId="0" borderId="0" xfId="0" applyFont="1" applyFill="1" applyBorder="1" applyAlignment="1">
      <alignment/>
    </xf>
    <xf numFmtId="169" fontId="55" fillId="0" borderId="54" xfId="0" applyFont="1" applyBorder="1" applyAlignment="1">
      <alignment horizontal="center"/>
    </xf>
    <xf numFmtId="165" fontId="13" fillId="0" borderId="55" xfId="44" applyNumberFormat="1" applyFont="1" applyBorder="1" applyAlignment="1">
      <alignment horizontal="center" vertical="center"/>
    </xf>
    <xf numFmtId="165" fontId="13" fillId="0" borderId="56" xfId="44" applyNumberFormat="1" applyFont="1" applyBorder="1" applyAlignment="1">
      <alignment horizontal="center" vertical="center"/>
    </xf>
    <xf numFmtId="165" fontId="13" fillId="0" borderId="57" xfId="44" applyNumberFormat="1" applyFont="1" applyBorder="1" applyAlignment="1">
      <alignment horizontal="center" vertical="center"/>
    </xf>
    <xf numFmtId="169" fontId="19" fillId="10" borderId="41" xfId="72" applyFont="1" applyFill="1" applyBorder="1" applyAlignment="1">
      <alignment/>
    </xf>
    <xf numFmtId="167" fontId="7" fillId="0" borderId="23" xfId="60" applyNumberFormat="1" applyFont="1" applyFill="1" applyBorder="1" applyAlignment="1">
      <alignment horizontal="center"/>
    </xf>
    <xf numFmtId="10" fontId="22" fillId="0" borderId="16" xfId="42" applyNumberFormat="1" applyFont="1" applyFill="1" applyBorder="1" applyAlignment="1">
      <alignment horizontal="center"/>
    </xf>
    <xf numFmtId="10" fontId="22" fillId="0" borderId="13" xfId="42" applyNumberFormat="1" applyFont="1" applyFill="1" applyBorder="1" applyAlignment="1">
      <alignment horizontal="center"/>
    </xf>
    <xf numFmtId="164" fontId="57" fillId="34" borderId="26" xfId="0" applyNumberFormat="1" applyFont="1" applyFill="1" applyBorder="1" applyAlignment="1">
      <alignment horizontal="center"/>
    </xf>
    <xf numFmtId="164" fontId="57" fillId="34" borderId="58" xfId="0" applyNumberFormat="1" applyFont="1" applyFill="1" applyBorder="1" applyAlignment="1">
      <alignment horizontal="center"/>
    </xf>
    <xf numFmtId="164" fontId="57" fillId="34" borderId="27" xfId="0" applyNumberFormat="1" applyFont="1" applyFill="1" applyBorder="1" applyAlignment="1">
      <alignment horizontal="center"/>
    </xf>
    <xf numFmtId="169" fontId="0" fillId="0" borderId="0" xfId="0" applyFill="1" applyAlignment="1">
      <alignment/>
    </xf>
    <xf numFmtId="169" fontId="26" fillId="0" borderId="12" xfId="0" applyFont="1" applyFill="1" applyBorder="1" applyAlignment="1">
      <alignment horizontal="center" vertical="center" wrapText="1"/>
    </xf>
    <xf numFmtId="169" fontId="26" fillId="0" borderId="47" xfId="0" applyFont="1" applyFill="1" applyBorder="1" applyAlignment="1">
      <alignment horizontal="center" vertical="center" wrapText="1"/>
    </xf>
    <xf numFmtId="169" fontId="26" fillId="0" borderId="30" xfId="0" applyFont="1" applyFill="1" applyBorder="1" applyAlignment="1">
      <alignment horizontal="center" vertical="center" wrapText="1"/>
    </xf>
    <xf numFmtId="169" fontId="0" fillId="0" borderId="11" xfId="0" applyFill="1" applyBorder="1" applyAlignment="1">
      <alignment wrapText="1"/>
    </xf>
    <xf numFmtId="14" fontId="5" fillId="0" borderId="10" xfId="0" applyNumberFormat="1" applyFont="1" applyFill="1" applyBorder="1" applyAlignment="1">
      <alignment horizontal="center" vertical="center"/>
    </xf>
    <xf numFmtId="14" fontId="5" fillId="0" borderId="13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168" fontId="0" fillId="0" borderId="0" xfId="0" applyNumberFormat="1" applyFill="1" applyAlignment="1">
      <alignment/>
    </xf>
    <xf numFmtId="14" fontId="5" fillId="0" borderId="34" xfId="0" applyNumberFormat="1" applyFont="1" applyFill="1" applyBorder="1" applyAlignment="1">
      <alignment horizontal="center" vertical="center"/>
    </xf>
    <xf numFmtId="14" fontId="5" fillId="0" borderId="14" xfId="0" applyNumberFormat="1" applyFont="1" applyFill="1" applyBorder="1" applyAlignment="1">
      <alignment horizontal="center" vertical="center"/>
    </xf>
    <xf numFmtId="14" fontId="5" fillId="0" borderId="16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169" fontId="0" fillId="0" borderId="25" xfId="0" applyFill="1" applyBorder="1" applyAlignment="1">
      <alignment wrapText="1"/>
    </xf>
    <xf numFmtId="14" fontId="5" fillId="0" borderId="59" xfId="0" applyNumberFormat="1" applyFont="1" applyFill="1" applyBorder="1" applyAlignment="1">
      <alignment horizontal="center" vertical="center"/>
    </xf>
    <xf numFmtId="14" fontId="5" fillId="0" borderId="60" xfId="0" applyNumberFormat="1" applyFont="1" applyFill="1" applyBorder="1" applyAlignment="1">
      <alignment horizontal="center" vertical="center"/>
    </xf>
    <xf numFmtId="10" fontId="60" fillId="0" borderId="18" xfId="68" applyNumberFormat="1" applyFont="1" applyFill="1" applyBorder="1" applyAlignment="1">
      <alignment horizontal="center"/>
    </xf>
    <xf numFmtId="169" fontId="0" fillId="0" borderId="41" xfId="0" applyFill="1" applyBorder="1" applyAlignment="1">
      <alignment wrapText="1"/>
    </xf>
    <xf numFmtId="164" fontId="7" fillId="0" borderId="0" xfId="0" applyNumberFormat="1" applyFont="1" applyFill="1" applyBorder="1" applyAlignment="1">
      <alignment horizontal="center"/>
    </xf>
    <xf numFmtId="3" fontId="7" fillId="33" borderId="11" xfId="0" applyNumberFormat="1" applyFont="1" applyFill="1" applyBorder="1" applyAlignment="1">
      <alignment horizontal="center"/>
    </xf>
    <xf numFmtId="1" fontId="4" fillId="10" borderId="0" xfId="0" applyNumberFormat="1" applyFont="1" applyFill="1" applyAlignment="1">
      <alignment horizontal="center"/>
    </xf>
    <xf numFmtId="0" fontId="55" fillId="10" borderId="0" xfId="0" applyNumberFormat="1" applyFont="1" applyFill="1" applyAlignment="1">
      <alignment/>
    </xf>
    <xf numFmtId="0" fontId="0" fillId="10" borderId="0" xfId="0" applyNumberFormat="1" applyFill="1" applyAlignment="1">
      <alignment/>
    </xf>
    <xf numFmtId="0" fontId="4" fillId="10" borderId="0" xfId="0" applyNumberFormat="1" applyFont="1" applyFill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Border="1" applyAlignment="1">
      <alignment/>
    </xf>
    <xf numFmtId="0" fontId="55" fillId="0" borderId="30" xfId="0" applyNumberFormat="1" applyFont="1" applyBorder="1" applyAlignment="1">
      <alignment horizontal="center" vertical="center"/>
    </xf>
    <xf numFmtId="0" fontId="55" fillId="0" borderId="61" xfId="0" applyNumberFormat="1" applyFont="1" applyFill="1" applyBorder="1" applyAlignment="1">
      <alignment horizontal="center" vertical="center"/>
    </xf>
    <xf numFmtId="0" fontId="55" fillId="0" borderId="62" xfId="0" applyNumberFormat="1" applyFont="1" applyFill="1" applyBorder="1" applyAlignment="1">
      <alignment horizontal="center" vertical="center"/>
    </xf>
    <xf numFmtId="0" fontId="55" fillId="0" borderId="63" xfId="0" applyNumberFormat="1" applyFont="1" applyFill="1" applyBorder="1" applyAlignment="1">
      <alignment horizontal="center" vertical="center"/>
    </xf>
    <xf numFmtId="0" fontId="55" fillId="33" borderId="64" xfId="0" applyNumberFormat="1" applyFont="1" applyFill="1" applyBorder="1" applyAlignment="1">
      <alignment horizontal="center" vertical="center"/>
    </xf>
    <xf numFmtId="0" fontId="55" fillId="33" borderId="62" xfId="0" applyNumberFormat="1" applyFont="1" applyFill="1" applyBorder="1" applyAlignment="1">
      <alignment horizontal="center" vertical="center"/>
    </xf>
    <xf numFmtId="0" fontId="55" fillId="33" borderId="65" xfId="0" applyNumberFormat="1" applyFont="1" applyFill="1" applyBorder="1" applyAlignment="1">
      <alignment horizontal="center" vertical="center"/>
    </xf>
    <xf numFmtId="0" fontId="0" fillId="0" borderId="16" xfId="0" applyNumberForma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0" fillId="0" borderId="13" xfId="0" applyNumberForma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61" fillId="0" borderId="13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Fill="1" applyAlignment="1">
      <alignment/>
    </xf>
    <xf numFmtId="0" fontId="26" fillId="0" borderId="47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59" xfId="0" applyNumberFormat="1" applyFont="1" applyFill="1" applyBorder="1" applyAlignment="1">
      <alignment horizontal="center" vertical="center"/>
    </xf>
    <xf numFmtId="0" fontId="7" fillId="0" borderId="14" xfId="60" applyNumberFormat="1" applyFont="1" applyFill="1" applyBorder="1" applyAlignment="1">
      <alignment horizontal="center"/>
    </xf>
    <xf numFmtId="0" fontId="58" fillId="0" borderId="0" xfId="0" applyNumberFormat="1" applyFont="1" applyFill="1" applyBorder="1" applyAlignment="1">
      <alignment/>
    </xf>
    <xf numFmtId="0" fontId="55" fillId="0" borderId="0" xfId="0" applyNumberFormat="1" applyFont="1" applyBorder="1" applyAlignment="1">
      <alignment horizontal="center"/>
    </xf>
    <xf numFmtId="0" fontId="6" fillId="0" borderId="0" xfId="44" applyNumberFormat="1" applyFont="1" applyBorder="1" applyAlignment="1">
      <alignment/>
    </xf>
    <xf numFmtId="0" fontId="0" fillId="0" borderId="0" xfId="69" applyNumberFormat="1" applyFont="1" applyBorder="1" applyAlignment="1">
      <alignment horizontal="center" vertical="center"/>
    </xf>
    <xf numFmtId="0" fontId="13" fillId="0" borderId="0" xfId="44" applyNumberFormat="1" applyFont="1" applyBorder="1" applyAlignment="1">
      <alignment horizontal="center" vertical="center"/>
    </xf>
    <xf numFmtId="0" fontId="0" fillId="0" borderId="0" xfId="69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4" fillId="0" borderId="0" xfId="69" applyNumberFormat="1" applyFont="1" applyBorder="1" applyAlignment="1">
      <alignment/>
    </xf>
    <xf numFmtId="169" fontId="44" fillId="0" borderId="0" xfId="50" applyNumberFormat="1" applyAlignment="1">
      <alignment/>
    </xf>
    <xf numFmtId="169" fontId="7" fillId="10" borderId="43" xfId="63" applyFont="1" applyFill="1" applyBorder="1">
      <alignment/>
      <protection/>
    </xf>
    <xf numFmtId="169" fontId="7" fillId="10" borderId="66" xfId="63" applyFont="1" applyFill="1" applyBorder="1">
      <alignment/>
      <protection/>
    </xf>
    <xf numFmtId="0" fontId="7" fillId="0" borderId="16" xfId="60" applyNumberFormat="1" applyFont="1" applyFill="1" applyBorder="1" applyAlignment="1">
      <alignment horizontal="center"/>
    </xf>
    <xf numFmtId="167" fontId="7" fillId="0" borderId="18" xfId="60" applyNumberFormat="1" applyFont="1" applyFill="1" applyBorder="1" applyAlignment="1">
      <alignment horizontal="center"/>
    </xf>
    <xf numFmtId="169" fontId="0" fillId="0" borderId="64" xfId="0" applyBorder="1" applyAlignment="1">
      <alignment horizontal="left" vertical="center" wrapText="1"/>
    </xf>
    <xf numFmtId="169" fontId="0" fillId="0" borderId="45" xfId="0" applyBorder="1" applyAlignment="1">
      <alignment horizontal="left" vertical="center" wrapText="1"/>
    </xf>
    <xf numFmtId="169" fontId="55" fillId="10" borderId="0" xfId="0" applyFont="1" applyFill="1" applyBorder="1" applyAlignment="1">
      <alignment horizontal="left"/>
    </xf>
    <xf numFmtId="169" fontId="0" fillId="0" borderId="64" xfId="0" applyBorder="1" applyAlignment="1">
      <alignment horizontal="left" vertical="center"/>
    </xf>
    <xf numFmtId="169" fontId="0" fillId="0" borderId="45" xfId="0" applyBorder="1" applyAlignment="1">
      <alignment horizontal="left" vertical="center"/>
    </xf>
    <xf numFmtId="3" fontId="55" fillId="33" borderId="47" xfId="0" applyNumberFormat="1" applyFont="1" applyFill="1" applyBorder="1" applyAlignment="1">
      <alignment horizontal="center" vertical="center"/>
    </xf>
    <xf numFmtId="3" fontId="55" fillId="33" borderId="30" xfId="0" applyNumberFormat="1" applyFont="1" applyFill="1" applyBorder="1" applyAlignment="1">
      <alignment horizontal="center" vertical="center"/>
    </xf>
    <xf numFmtId="169" fontId="55" fillId="0" borderId="12" xfId="0" applyFont="1" applyFill="1" applyBorder="1" applyAlignment="1">
      <alignment horizontal="center" wrapText="1"/>
    </xf>
    <xf numFmtId="169" fontId="55" fillId="0" borderId="47" xfId="0" applyFont="1" applyFill="1" applyBorder="1" applyAlignment="1">
      <alignment horizontal="center" wrapText="1"/>
    </xf>
    <xf numFmtId="3" fontId="55" fillId="33" borderId="42" xfId="0" applyNumberFormat="1" applyFont="1" applyFill="1" applyBorder="1" applyAlignment="1">
      <alignment horizontal="center" vertical="center"/>
    </xf>
    <xf numFmtId="3" fontId="55" fillId="33" borderId="39" xfId="0" applyNumberFormat="1" applyFont="1" applyFill="1" applyBorder="1" applyAlignment="1">
      <alignment horizontal="center" vertical="center"/>
    </xf>
    <xf numFmtId="3" fontId="55" fillId="33" borderId="44" xfId="0" applyNumberFormat="1" applyFont="1" applyFill="1" applyBorder="1" applyAlignment="1">
      <alignment horizontal="center" vertical="center"/>
    </xf>
    <xf numFmtId="169" fontId="55" fillId="12" borderId="41" xfId="0" applyFont="1" applyFill="1" applyBorder="1" applyAlignment="1">
      <alignment horizontal="center"/>
    </xf>
    <xf numFmtId="169" fontId="55" fillId="12" borderId="52" xfId="0" applyFont="1" applyFill="1" applyBorder="1" applyAlignment="1">
      <alignment horizontal="center"/>
    </xf>
    <xf numFmtId="169" fontId="55" fillId="12" borderId="43" xfId="0" applyFont="1" applyFill="1" applyBorder="1" applyAlignment="1">
      <alignment horizontal="center"/>
    </xf>
    <xf numFmtId="169" fontId="55" fillId="12" borderId="53" xfId="0" applyFont="1" applyFill="1" applyBorder="1" applyAlignment="1">
      <alignment horizontal="center"/>
    </xf>
    <xf numFmtId="169" fontId="55" fillId="12" borderId="0" xfId="0" applyFont="1" applyFill="1" applyBorder="1" applyAlignment="1">
      <alignment horizontal="center"/>
    </xf>
    <xf numFmtId="169" fontId="55" fillId="12" borderId="66" xfId="0" applyFont="1" applyFill="1" applyBorder="1" applyAlignment="1">
      <alignment horizontal="center"/>
    </xf>
    <xf numFmtId="169" fontId="7" fillId="0" borderId="45" xfId="0" applyFont="1" applyBorder="1" applyAlignment="1">
      <alignment horizontal="left" vertical="center" wrapText="1"/>
    </xf>
    <xf numFmtId="169" fontId="7" fillId="0" borderId="11" xfId="0" applyFont="1" applyBorder="1" applyAlignment="1">
      <alignment horizontal="left" vertical="center" wrapText="1"/>
    </xf>
    <xf numFmtId="169" fontId="7" fillId="0" borderId="25" xfId="0" applyFont="1" applyBorder="1" applyAlignment="1">
      <alignment horizontal="left" vertical="center" wrapText="1"/>
    </xf>
    <xf numFmtId="169" fontId="59" fillId="0" borderId="11" xfId="0" applyFont="1" applyBorder="1" applyAlignment="1">
      <alignment horizontal="left" vertical="center"/>
    </xf>
    <xf numFmtId="169" fontId="59" fillId="0" borderId="19" xfId="0" applyFont="1" applyBorder="1" applyAlignment="1">
      <alignment horizontal="left" vertical="center"/>
    </xf>
    <xf numFmtId="169" fontId="59" fillId="0" borderId="45" xfId="0" applyFont="1" applyBorder="1" applyAlignment="1">
      <alignment horizontal="left" vertical="center"/>
    </xf>
    <xf numFmtId="169" fontId="59" fillId="0" borderId="25" xfId="0" applyFont="1" applyBorder="1" applyAlignment="1">
      <alignment horizontal="left" vertical="center"/>
    </xf>
  </cellXfs>
  <cellStyles count="64">
    <cellStyle name="Normal" xfId="0"/>
    <cellStyle name="20% - Accent1" xfId="15"/>
    <cellStyle name="20% - Accent1 2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alculation 2" xfId="42"/>
    <cellStyle name="Check Cell" xfId="43"/>
    <cellStyle name="Comma" xfId="44"/>
    <cellStyle name="Comma [0]" xfId="45"/>
    <cellStyle name="Comma 2" xfId="46"/>
    <cellStyle name="Currency" xfId="47"/>
    <cellStyle name="Currency [0]" xfId="48"/>
    <cellStyle name="Euro" xfId="49"/>
    <cellStyle name="Explanatory Text" xfId="50"/>
    <cellStyle name="Explanatory Text 2" xfId="51"/>
    <cellStyle name="Good" xfId="52"/>
    <cellStyle name="Heading 1" xfId="53"/>
    <cellStyle name="Heading 1 2" xfId="54"/>
    <cellStyle name="Heading 2" xfId="55"/>
    <cellStyle name="Heading 3" xfId="56"/>
    <cellStyle name="Heading 4" xfId="57"/>
    <cellStyle name="Hyperlink" xfId="58"/>
    <cellStyle name="Input" xfId="59"/>
    <cellStyle name="Input 2" xfId="60"/>
    <cellStyle name="Linked Cell" xfId="61"/>
    <cellStyle name="Neutral" xfId="62"/>
    <cellStyle name="Normal 2" xfId="63"/>
    <cellStyle name="Normal 3" xfId="64"/>
    <cellStyle name="Note" xfId="65"/>
    <cellStyle name="Note 2" xfId="66"/>
    <cellStyle name="Output" xfId="67"/>
    <cellStyle name="Output 2" xfId="68"/>
    <cellStyle name="Percent" xfId="69"/>
    <cellStyle name="Percent 2" xfId="70"/>
    <cellStyle name="Title" xfId="71"/>
    <cellStyle name="Title 2" xfId="72"/>
    <cellStyle name="Total" xfId="73"/>
    <cellStyle name="Total 2" xfId="74"/>
    <cellStyle name="Warning Text" xfId="75"/>
    <cellStyle name="Обычный_2_Elets_model_7_IG" xfId="76"/>
    <cellStyle name="Финансовый_Investment par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00425"/>
          <c:w val="0.96725"/>
          <c:h val="0.66725"/>
        </c:manualLayout>
      </c:layout>
      <c:barChart>
        <c:barDir val="bar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'Auxiliary values'!$B$44:$B$49</c:f>
              <c:strCache/>
            </c:strRef>
          </c:cat>
          <c:val>
            <c:numRef>
              <c:f>'Auxiliary values'!$C$44:$C$49</c:f>
              <c:numCache/>
            </c:numRef>
          </c:val>
        </c:ser>
        <c:ser>
          <c:idx val="1"/>
          <c:order val="1"/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cat>
            <c:strRef>
              <c:f>'Auxiliary values'!$B$44:$B$49</c:f>
              <c:strCache/>
            </c:strRef>
          </c:cat>
          <c:val>
            <c:numRef>
              <c:f>'Auxiliary values'!$D$44:$D$49</c:f>
              <c:numCache/>
            </c:numRef>
          </c:val>
        </c:ser>
        <c:overlap val="100"/>
        <c:gapWidth val="50"/>
        <c:axId val="14636857"/>
        <c:axId val="64622850"/>
      </c:barChart>
      <c:catAx>
        <c:axId val="14636857"/>
        <c:scaling>
          <c:orientation val="maxMin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622850"/>
        <c:crossesAt val="0"/>
        <c:auto val="0"/>
        <c:lblOffset val="100"/>
        <c:tickLblSkip val="1"/>
        <c:noMultiLvlLbl val="0"/>
      </c:catAx>
      <c:valAx>
        <c:axId val="64622850"/>
        <c:scaling>
          <c:orientation val="minMax"/>
          <c:max val="40330"/>
          <c:min val="37987"/>
        </c:scaling>
        <c:axPos val="t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dd/mm/yyyy;@" sourceLinked="0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636857"/>
        <c:crosses val="max"/>
        <c:crossBetween val="between"/>
        <c:dispUnits/>
        <c:majorUnit val="90"/>
        <c:minorUnit val="9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49</xdr:row>
      <xdr:rowOff>114300</xdr:rowOff>
    </xdr:from>
    <xdr:to>
      <xdr:col>5</xdr:col>
      <xdr:colOff>2409825</xdr:colOff>
      <xdr:row>62</xdr:row>
      <xdr:rowOff>142875</xdr:rowOff>
    </xdr:to>
    <xdr:graphicFrame>
      <xdr:nvGraphicFramePr>
        <xdr:cNvPr id="1" name="Chart 14"/>
        <xdr:cNvGraphicFramePr/>
      </xdr:nvGraphicFramePr>
      <xdr:xfrm>
        <a:off x="38100" y="10096500"/>
        <a:ext cx="649605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67"/>
  <sheetViews>
    <sheetView zoomScale="85" zoomScaleNormal="85" zoomScalePageLayoutView="0" workbookViewId="0" topLeftCell="A1">
      <selection activeCell="H6" sqref="H6"/>
    </sheetView>
  </sheetViews>
  <sheetFormatPr defaultColWidth="9.140625" defaultRowHeight="15"/>
  <cols>
    <col min="1" max="1" width="2.8515625" style="0" customWidth="1"/>
    <col min="2" max="2" width="27.57421875" style="0" customWidth="1"/>
    <col min="3" max="3" width="10.140625" style="0" bestFit="1" customWidth="1"/>
    <col min="4" max="4" width="10.57421875" style="194" customWidth="1"/>
    <col min="5" max="5" width="10.7109375" style="0" bestFit="1" customWidth="1"/>
    <col min="6" max="6" width="38.00390625" style="0" customWidth="1"/>
    <col min="7" max="7" width="12.8515625" style="0" customWidth="1"/>
    <col min="8" max="8" width="11.140625" style="194" customWidth="1"/>
  </cols>
  <sheetData>
    <row r="2" spans="2:6" ht="15.75" thickBot="1">
      <c r="B2" s="232" t="s">
        <v>36</v>
      </c>
      <c r="C2" s="232"/>
      <c r="D2" s="232"/>
      <c r="F2" s="77" t="s">
        <v>15</v>
      </c>
    </row>
    <row r="3" spans="2:8" ht="15">
      <c r="B3" s="233" t="s">
        <v>29</v>
      </c>
      <c r="C3" s="7" t="s">
        <v>33</v>
      </c>
      <c r="D3" s="204">
        <v>85</v>
      </c>
      <c r="F3" s="17" t="s">
        <v>19</v>
      </c>
      <c r="G3" s="46" t="s">
        <v>20</v>
      </c>
      <c r="H3" s="204">
        <v>7910</v>
      </c>
    </row>
    <row r="4" spans="2:8" ht="15">
      <c r="B4" s="234"/>
      <c r="C4" s="1" t="s">
        <v>34</v>
      </c>
      <c r="D4" s="30">
        <f>(D3*D7/1000)/4.187</f>
        <v>67.30516001910676</v>
      </c>
      <c r="F4" s="8" t="s">
        <v>22</v>
      </c>
      <c r="G4" s="2" t="s">
        <v>20</v>
      </c>
      <c r="H4" s="205">
        <f>3996</f>
        <v>3996</v>
      </c>
    </row>
    <row r="5" spans="2:8" ht="15">
      <c r="B5" s="29" t="s">
        <v>27</v>
      </c>
      <c r="C5" s="1" t="s">
        <v>35</v>
      </c>
      <c r="D5" s="207">
        <v>440</v>
      </c>
      <c r="F5" s="8" t="s">
        <v>18</v>
      </c>
      <c r="G5" s="44" t="s">
        <v>21</v>
      </c>
      <c r="H5" s="206">
        <v>56.1</v>
      </c>
    </row>
    <row r="6" spans="2:8" ht="15">
      <c r="B6" s="29" t="s">
        <v>28</v>
      </c>
      <c r="C6" s="1" t="s">
        <v>32</v>
      </c>
      <c r="D6" s="207">
        <v>35</v>
      </c>
      <c r="F6" s="8" t="s">
        <v>16</v>
      </c>
      <c r="G6" s="2" t="s">
        <v>17</v>
      </c>
      <c r="H6" s="207">
        <v>0.896</v>
      </c>
    </row>
    <row r="7" spans="2:8" ht="15.75" thickBot="1">
      <c r="B7" s="31" t="s">
        <v>30</v>
      </c>
      <c r="C7" s="32" t="s">
        <v>31</v>
      </c>
      <c r="D7" s="208">
        <v>3315.373</v>
      </c>
      <c r="F7" s="45" t="s">
        <v>23</v>
      </c>
      <c r="G7" s="47" t="s">
        <v>24</v>
      </c>
      <c r="H7" s="207">
        <v>8760</v>
      </c>
    </row>
    <row r="8" spans="2:8" ht="15.75" thickBot="1">
      <c r="B8" s="42"/>
      <c r="C8" s="43"/>
      <c r="D8" s="210"/>
      <c r="F8" s="16" t="s">
        <v>44</v>
      </c>
      <c r="G8" s="48"/>
      <c r="H8" s="208">
        <v>0.85</v>
      </c>
    </row>
    <row r="10" spans="2:4" ht="15.75" thickBot="1">
      <c r="B10" s="232" t="s">
        <v>37</v>
      </c>
      <c r="C10" s="232"/>
      <c r="D10" s="232"/>
    </row>
    <row r="11" spans="2:8" ht="15">
      <c r="B11" s="233" t="s">
        <v>38</v>
      </c>
      <c r="C11" s="7" t="s">
        <v>33</v>
      </c>
      <c r="D11" s="204">
        <v>83</v>
      </c>
      <c r="F11" s="233" t="s">
        <v>39</v>
      </c>
      <c r="G11" s="7" t="s">
        <v>33</v>
      </c>
      <c r="H11" s="204">
        <v>42</v>
      </c>
    </row>
    <row r="12" spans="2:8" ht="15">
      <c r="B12" s="234"/>
      <c r="C12" s="1" t="s">
        <v>34</v>
      </c>
      <c r="D12" s="30">
        <f>(D11*D16/1000)/4.187</f>
        <v>60.7134989252448</v>
      </c>
      <c r="F12" s="234"/>
      <c r="G12" s="1" t="s">
        <v>34</v>
      </c>
      <c r="H12" s="30">
        <f>(H11*H16/1000)/4.187</f>
        <v>30.722493432051582</v>
      </c>
    </row>
    <row r="13" spans="2:8" ht="15">
      <c r="B13" s="33" t="s">
        <v>40</v>
      </c>
      <c r="C13" s="1" t="s">
        <v>5</v>
      </c>
      <c r="D13" s="207">
        <v>6</v>
      </c>
      <c r="F13" s="33" t="s">
        <v>40</v>
      </c>
      <c r="G13" s="1" t="s">
        <v>5</v>
      </c>
      <c r="H13" s="207">
        <v>2</v>
      </c>
    </row>
    <row r="14" spans="2:8" ht="15">
      <c r="B14" s="29" t="s">
        <v>27</v>
      </c>
      <c r="C14" s="1" t="s">
        <v>35</v>
      </c>
      <c r="D14" s="207">
        <v>300</v>
      </c>
      <c r="F14" s="29" t="s">
        <v>27</v>
      </c>
      <c r="G14" s="1" t="s">
        <v>35</v>
      </c>
      <c r="H14" s="207">
        <v>300</v>
      </c>
    </row>
    <row r="15" spans="2:8" ht="15">
      <c r="B15" s="29" t="s">
        <v>28</v>
      </c>
      <c r="C15" s="1" t="s">
        <v>32</v>
      </c>
      <c r="D15" s="207">
        <v>5.5</v>
      </c>
      <c r="F15" s="29" t="s">
        <v>28</v>
      </c>
      <c r="G15" s="1" t="s">
        <v>32</v>
      </c>
      <c r="H15" s="207">
        <v>5.5</v>
      </c>
    </row>
    <row r="16" spans="2:8" ht="15.75" thickBot="1">
      <c r="B16" s="31" t="s">
        <v>30</v>
      </c>
      <c r="C16" s="32" t="s">
        <v>31</v>
      </c>
      <c r="D16" s="208">
        <v>3062.74</v>
      </c>
      <c r="F16" s="31" t="s">
        <v>30</v>
      </c>
      <c r="G16" s="32" t="s">
        <v>31</v>
      </c>
      <c r="H16" s="208">
        <v>3062.74</v>
      </c>
    </row>
    <row r="18" spans="2:8" ht="15.75" thickBot="1">
      <c r="B18" s="232" t="s">
        <v>42</v>
      </c>
      <c r="C18" s="232"/>
      <c r="D18" s="232"/>
      <c r="F18" s="232" t="s">
        <v>42</v>
      </c>
      <c r="G18" s="232"/>
      <c r="H18" s="232"/>
    </row>
    <row r="19" spans="2:8" ht="15" customHeight="1">
      <c r="B19" s="230" t="s">
        <v>41</v>
      </c>
      <c r="C19" s="7" t="s">
        <v>33</v>
      </c>
      <c r="D19" s="204">
        <v>53</v>
      </c>
      <c r="F19" s="230" t="s">
        <v>43</v>
      </c>
      <c r="G19" s="7" t="s">
        <v>33</v>
      </c>
      <c r="H19" s="204">
        <v>40</v>
      </c>
    </row>
    <row r="20" spans="2:8" ht="15">
      <c r="B20" s="231"/>
      <c r="C20" s="1" t="s">
        <v>34</v>
      </c>
      <c r="D20" s="30">
        <f>(D19*D24/1000)/4.187</f>
        <v>41.96674683544303</v>
      </c>
      <c r="F20" s="231"/>
      <c r="G20" s="1" t="s">
        <v>34</v>
      </c>
      <c r="H20" s="30">
        <f>(H19*H24/1000)/4.187</f>
        <v>29.259517554334842</v>
      </c>
    </row>
    <row r="21" spans="2:8" ht="15">
      <c r="B21" s="33" t="s">
        <v>40</v>
      </c>
      <c r="C21" s="1" t="s">
        <v>5</v>
      </c>
      <c r="D21" s="209">
        <v>6</v>
      </c>
      <c r="F21" s="33" t="s">
        <v>40</v>
      </c>
      <c r="G21" s="1" t="s">
        <v>5</v>
      </c>
      <c r="H21" s="209">
        <v>6</v>
      </c>
    </row>
    <row r="22" spans="2:8" ht="15">
      <c r="B22" s="29" t="s">
        <v>27</v>
      </c>
      <c r="C22" s="1" t="s">
        <v>35</v>
      </c>
      <c r="D22" s="207">
        <v>440</v>
      </c>
      <c r="F22" s="29" t="s">
        <v>27</v>
      </c>
      <c r="G22" s="1" t="s">
        <v>35</v>
      </c>
      <c r="H22" s="207">
        <v>300</v>
      </c>
    </row>
    <row r="23" spans="2:8" ht="15">
      <c r="B23" s="29" t="s">
        <v>28</v>
      </c>
      <c r="C23" s="1" t="s">
        <v>32</v>
      </c>
      <c r="D23" s="207">
        <v>35</v>
      </c>
      <c r="F23" s="29" t="s">
        <v>28</v>
      </c>
      <c r="G23" s="1" t="s">
        <v>32</v>
      </c>
      <c r="H23" s="207">
        <v>5.5</v>
      </c>
    </row>
    <row r="24" spans="2:8" ht="15.75" thickBot="1">
      <c r="B24" s="31" t="s">
        <v>30</v>
      </c>
      <c r="C24" s="32" t="s">
        <v>31</v>
      </c>
      <c r="D24" s="208">
        <v>3315.373</v>
      </c>
      <c r="F24" s="31" t="s">
        <v>30</v>
      </c>
      <c r="G24" s="32" t="s">
        <v>31</v>
      </c>
      <c r="H24" s="208">
        <v>3062.74</v>
      </c>
    </row>
    <row r="25" spans="2:8" ht="15">
      <c r="B25" s="42"/>
      <c r="C25" s="43"/>
      <c r="D25" s="210"/>
      <c r="F25" s="42"/>
      <c r="G25" s="43"/>
      <c r="H25" s="210"/>
    </row>
    <row r="26" spans="2:8" ht="15.75" thickBot="1">
      <c r="B26" s="232" t="s">
        <v>42</v>
      </c>
      <c r="C26" s="232"/>
      <c r="D26" s="232"/>
      <c r="F26" s="232" t="s">
        <v>42</v>
      </c>
      <c r="G26" s="232"/>
      <c r="H26" s="232"/>
    </row>
    <row r="27" spans="2:8" ht="15" customHeight="1">
      <c r="B27" s="230" t="s">
        <v>41</v>
      </c>
      <c r="C27" s="7" t="s">
        <v>33</v>
      </c>
      <c r="D27" s="204">
        <v>34</v>
      </c>
      <c r="F27" s="230" t="s">
        <v>43</v>
      </c>
      <c r="G27" s="7" t="s">
        <v>33</v>
      </c>
      <c r="H27" s="204">
        <v>24</v>
      </c>
    </row>
    <row r="28" spans="2:8" ht="15">
      <c r="B28" s="231"/>
      <c r="C28" s="1" t="s">
        <v>34</v>
      </c>
      <c r="D28" s="30">
        <f>(D27*D32/1000)/4.187</f>
        <v>26.922064007642703</v>
      </c>
      <c r="F28" s="231"/>
      <c r="G28" s="1" t="s">
        <v>34</v>
      </c>
      <c r="H28" s="30">
        <f>(H27*H32/1000)/4.187</f>
        <v>17.555710532600905</v>
      </c>
    </row>
    <row r="29" spans="2:8" ht="15">
      <c r="B29" s="33" t="s">
        <v>40</v>
      </c>
      <c r="C29" s="1" t="s">
        <v>5</v>
      </c>
      <c r="D29" s="209">
        <v>4</v>
      </c>
      <c r="F29" s="33" t="s">
        <v>40</v>
      </c>
      <c r="G29" s="1" t="s">
        <v>5</v>
      </c>
      <c r="H29" s="209">
        <v>4</v>
      </c>
    </row>
    <row r="30" spans="2:8" ht="15">
      <c r="B30" s="29" t="s">
        <v>27</v>
      </c>
      <c r="C30" s="1" t="s">
        <v>35</v>
      </c>
      <c r="D30" s="207">
        <v>440</v>
      </c>
      <c r="F30" s="29" t="s">
        <v>27</v>
      </c>
      <c r="G30" s="1" t="s">
        <v>35</v>
      </c>
      <c r="H30" s="207">
        <v>300</v>
      </c>
    </row>
    <row r="31" spans="2:8" ht="15">
      <c r="B31" s="29" t="s">
        <v>28</v>
      </c>
      <c r="C31" s="1" t="s">
        <v>32</v>
      </c>
      <c r="D31" s="207">
        <v>35</v>
      </c>
      <c r="F31" s="29" t="s">
        <v>28</v>
      </c>
      <c r="G31" s="1" t="s">
        <v>32</v>
      </c>
      <c r="H31" s="207">
        <v>5.5</v>
      </c>
    </row>
    <row r="32" spans="2:8" ht="15.75" thickBot="1">
      <c r="B32" s="31" t="s">
        <v>30</v>
      </c>
      <c r="C32" s="32" t="s">
        <v>31</v>
      </c>
      <c r="D32" s="208">
        <v>3315.373</v>
      </c>
      <c r="F32" s="31" t="s">
        <v>30</v>
      </c>
      <c r="G32" s="32" t="s">
        <v>31</v>
      </c>
      <c r="H32" s="208">
        <v>3062.74</v>
      </c>
    </row>
    <row r="34" spans="2:8" ht="15.75" thickBot="1">
      <c r="B34" s="232" t="s">
        <v>90</v>
      </c>
      <c r="C34" s="232"/>
      <c r="D34" s="232"/>
      <c r="F34" s="232" t="s">
        <v>90</v>
      </c>
      <c r="G34" s="232"/>
      <c r="H34" s="232"/>
    </row>
    <row r="35" spans="2:8" ht="15">
      <c r="B35" s="230" t="s">
        <v>41</v>
      </c>
      <c r="C35" s="7" t="s">
        <v>33</v>
      </c>
      <c r="D35" s="204">
        <v>25</v>
      </c>
      <c r="F35" s="230" t="s">
        <v>43</v>
      </c>
      <c r="G35" s="7" t="s">
        <v>33</v>
      </c>
      <c r="H35" s="204">
        <v>0</v>
      </c>
    </row>
    <row r="36" spans="2:8" ht="15">
      <c r="B36" s="231"/>
      <c r="C36" s="1" t="s">
        <v>34</v>
      </c>
      <c r="D36" s="30">
        <f>(D35*D40/1000)/4.187</f>
        <v>19.79563529973728</v>
      </c>
      <c r="F36" s="231"/>
      <c r="G36" s="1" t="s">
        <v>34</v>
      </c>
      <c r="H36" s="207">
        <f>(H35*H40/1000)/4.187</f>
        <v>0</v>
      </c>
    </row>
    <row r="37" spans="2:8" ht="15">
      <c r="B37" s="33" t="s">
        <v>40</v>
      </c>
      <c r="C37" s="1" t="s">
        <v>5</v>
      </c>
      <c r="D37" s="207">
        <v>6</v>
      </c>
      <c r="F37" s="33" t="s">
        <v>40</v>
      </c>
      <c r="G37" s="1" t="s">
        <v>5</v>
      </c>
      <c r="H37" s="207">
        <v>6</v>
      </c>
    </row>
    <row r="38" spans="2:8" ht="15">
      <c r="B38" s="29" t="s">
        <v>27</v>
      </c>
      <c r="C38" s="1" t="s">
        <v>35</v>
      </c>
      <c r="D38" s="207">
        <v>440</v>
      </c>
      <c r="F38" s="29" t="s">
        <v>27</v>
      </c>
      <c r="G38" s="1" t="s">
        <v>35</v>
      </c>
      <c r="H38" s="207" t="s">
        <v>91</v>
      </c>
    </row>
    <row r="39" spans="2:8" ht="15">
      <c r="B39" s="29" t="s">
        <v>28</v>
      </c>
      <c r="C39" s="1" t="s">
        <v>32</v>
      </c>
      <c r="D39" s="207">
        <v>35</v>
      </c>
      <c r="F39" s="29" t="s">
        <v>28</v>
      </c>
      <c r="G39" s="1" t="s">
        <v>32</v>
      </c>
      <c r="H39" s="207" t="s">
        <v>91</v>
      </c>
    </row>
    <row r="40" spans="2:8" ht="15.75" thickBot="1">
      <c r="B40" s="31" t="s">
        <v>30</v>
      </c>
      <c r="C40" s="32" t="s">
        <v>31</v>
      </c>
      <c r="D40" s="208">
        <v>3315.373</v>
      </c>
      <c r="F40" s="31" t="s">
        <v>30</v>
      </c>
      <c r="G40" s="32" t="s">
        <v>31</v>
      </c>
      <c r="H40" s="208">
        <v>3062.74</v>
      </c>
    </row>
    <row r="42" spans="4:8" s="170" customFormat="1" ht="15.75" thickBot="1">
      <c r="D42" s="211"/>
      <c r="H42" s="211"/>
    </row>
    <row r="43" spans="2:8" s="170" customFormat="1" ht="26.25" thickBot="1">
      <c r="B43" s="171" t="s">
        <v>92</v>
      </c>
      <c r="C43" s="172" t="s">
        <v>93</v>
      </c>
      <c r="D43" s="212" t="s">
        <v>94</v>
      </c>
      <c r="E43" s="173" t="s">
        <v>95</v>
      </c>
      <c r="H43" s="211"/>
    </row>
    <row r="44" spans="2:8" s="170" customFormat="1" ht="15">
      <c r="B44" s="14" t="s">
        <v>96</v>
      </c>
      <c r="C44" s="180">
        <v>38139</v>
      </c>
      <c r="D44" s="213">
        <f aca="true" t="shared" si="0" ref="D44:D49">E44-C44</f>
        <v>183</v>
      </c>
      <c r="E44" s="181">
        <v>38322</v>
      </c>
      <c r="H44" s="211"/>
    </row>
    <row r="45" spans="2:8" s="170" customFormat="1" ht="15">
      <c r="B45" s="174" t="s">
        <v>97</v>
      </c>
      <c r="C45" s="175">
        <v>38384</v>
      </c>
      <c r="D45" s="214">
        <f t="shared" si="0"/>
        <v>28</v>
      </c>
      <c r="E45" s="176">
        <v>38412</v>
      </c>
      <c r="H45" s="211"/>
    </row>
    <row r="46" spans="2:8" s="170" customFormat="1" ht="15">
      <c r="B46" s="174" t="s">
        <v>100</v>
      </c>
      <c r="C46" s="179">
        <v>38412</v>
      </c>
      <c r="D46" s="214">
        <f t="shared" si="0"/>
        <v>911</v>
      </c>
      <c r="E46" s="176">
        <v>39323</v>
      </c>
      <c r="H46" s="211"/>
    </row>
    <row r="47" spans="2:8" s="170" customFormat="1" ht="30">
      <c r="B47" s="174" t="s">
        <v>98</v>
      </c>
      <c r="C47" s="175">
        <v>39323</v>
      </c>
      <c r="D47" s="214">
        <f t="shared" si="0"/>
        <v>184</v>
      </c>
      <c r="E47" s="176">
        <v>39507</v>
      </c>
      <c r="H47" s="211"/>
    </row>
    <row r="48" spans="2:8" s="170" customFormat="1" ht="15">
      <c r="B48" s="183" t="s">
        <v>100</v>
      </c>
      <c r="C48" s="175">
        <v>39507</v>
      </c>
      <c r="D48" s="214">
        <f t="shared" si="0"/>
        <v>553</v>
      </c>
      <c r="E48" s="176">
        <f>C49</f>
        <v>40060</v>
      </c>
      <c r="H48" s="211"/>
    </row>
    <row r="49" spans="2:8" s="170" customFormat="1" ht="30.75" thickBot="1">
      <c r="B49" s="112" t="s">
        <v>99</v>
      </c>
      <c r="C49" s="184">
        <f>E49-(356/2)</f>
        <v>40060</v>
      </c>
      <c r="D49" s="215">
        <f t="shared" si="0"/>
        <v>178</v>
      </c>
      <c r="E49" s="185">
        <v>40238</v>
      </c>
      <c r="H49" s="211"/>
    </row>
    <row r="50" spans="4:8" s="170" customFormat="1" ht="15">
      <c r="D50" s="211"/>
      <c r="E50" s="177"/>
      <c r="H50" s="211"/>
    </row>
    <row r="51" spans="2:8" s="170" customFormat="1" ht="15">
      <c r="B51" s="178"/>
      <c r="D51" s="211"/>
      <c r="E51" s="177"/>
      <c r="H51" s="211"/>
    </row>
    <row r="52" spans="2:8" s="170" customFormat="1" ht="15">
      <c r="B52" s="178"/>
      <c r="D52" s="211"/>
      <c r="E52" s="177"/>
      <c r="H52" s="211"/>
    </row>
    <row r="53" spans="2:8" s="170" customFormat="1" ht="15">
      <c r="B53" s="178"/>
      <c r="D53" s="211"/>
      <c r="E53" s="177"/>
      <c r="H53" s="211"/>
    </row>
    <row r="54" spans="4:8" s="170" customFormat="1" ht="15">
      <c r="D54" s="211"/>
      <c r="E54" s="177"/>
      <c r="H54" s="211"/>
    </row>
    <row r="55" spans="2:8" s="170" customFormat="1" ht="15">
      <c r="B55" s="178"/>
      <c r="D55" s="211"/>
      <c r="H55" s="211"/>
    </row>
    <row r="56" spans="4:8" s="170" customFormat="1" ht="15">
      <c r="D56" s="211"/>
      <c r="H56" s="211"/>
    </row>
    <row r="57" spans="4:8" s="170" customFormat="1" ht="15">
      <c r="D57" s="211"/>
      <c r="H57" s="211"/>
    </row>
    <row r="58" spans="4:8" s="170" customFormat="1" ht="15">
      <c r="D58" s="211"/>
      <c r="H58" s="211"/>
    </row>
    <row r="59" spans="4:8" s="170" customFormat="1" ht="15">
      <c r="D59" s="211"/>
      <c r="H59" s="211"/>
    </row>
    <row r="60" spans="4:8" s="170" customFormat="1" ht="15">
      <c r="D60" s="211"/>
      <c r="H60" s="211"/>
    </row>
    <row r="61" spans="3:5" ht="15">
      <c r="C61" s="43"/>
      <c r="D61" s="196"/>
      <c r="E61" s="43"/>
    </row>
    <row r="62" spans="3:5" ht="15">
      <c r="C62" s="182"/>
      <c r="D62" s="196"/>
      <c r="E62" s="43"/>
    </row>
    <row r="63" spans="3:5" ht="15">
      <c r="C63" s="182"/>
      <c r="D63" s="196"/>
      <c r="E63" s="43"/>
    </row>
    <row r="64" spans="3:5" ht="15">
      <c r="C64" s="43"/>
      <c r="D64" s="196"/>
      <c r="E64" s="43"/>
    </row>
    <row r="65" spans="3:5" ht="15">
      <c r="C65" s="43"/>
      <c r="D65" s="196"/>
      <c r="E65" s="43"/>
    </row>
    <row r="66" spans="3:5" ht="15">
      <c r="C66" s="43"/>
      <c r="D66" s="196"/>
      <c r="E66" s="43"/>
    </row>
    <row r="67" spans="3:5" ht="15">
      <c r="C67" s="43"/>
      <c r="D67" s="196"/>
      <c r="E67" s="43"/>
    </row>
  </sheetData>
  <sheetProtection/>
  <mergeCells count="17">
    <mergeCell ref="B34:D34"/>
    <mergeCell ref="F34:H34"/>
    <mergeCell ref="B35:B36"/>
    <mergeCell ref="F35:F36"/>
    <mergeCell ref="B27:B28"/>
    <mergeCell ref="F27:F28"/>
    <mergeCell ref="B19:B20"/>
    <mergeCell ref="F19:F20"/>
    <mergeCell ref="B26:D26"/>
    <mergeCell ref="B2:D2"/>
    <mergeCell ref="B18:D18"/>
    <mergeCell ref="B3:B4"/>
    <mergeCell ref="B11:B12"/>
    <mergeCell ref="F11:F12"/>
    <mergeCell ref="F18:H18"/>
    <mergeCell ref="B10:D10"/>
    <mergeCell ref="F26:H2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37"/>
  <sheetViews>
    <sheetView zoomScale="75" zoomScaleNormal="75" zoomScalePageLayoutView="0" workbookViewId="0" topLeftCell="A1">
      <selection activeCell="B29" sqref="B29"/>
    </sheetView>
  </sheetViews>
  <sheetFormatPr defaultColWidth="9.140625" defaultRowHeight="15"/>
  <cols>
    <col min="1" max="1" width="31.8515625" style="0" bestFit="1" customWidth="1"/>
    <col min="2" max="2" width="11.7109375" style="0" bestFit="1" customWidth="1"/>
    <col min="3" max="3" width="7.8515625" style="0" customWidth="1"/>
    <col min="4" max="5" width="12.00390625" style="0" bestFit="1" customWidth="1"/>
    <col min="6" max="7" width="11.57421875" style="0" bestFit="1" customWidth="1"/>
    <col min="8" max="8" width="11.00390625" style="0" bestFit="1" customWidth="1"/>
    <col min="9" max="9" width="11.57421875" style="0" bestFit="1" customWidth="1"/>
    <col min="10" max="18" width="12.140625" style="0" bestFit="1" customWidth="1"/>
    <col min="19" max="24" width="10.7109375" style="0" bestFit="1" customWidth="1"/>
  </cols>
  <sheetData>
    <row r="1" spans="1:3" ht="15">
      <c r="A1" s="43"/>
      <c r="B1" s="43"/>
      <c r="C1" s="43"/>
    </row>
    <row r="2" spans="1:24" s="194" customFormat="1" ht="15">
      <c r="A2" s="195" t="s">
        <v>46</v>
      </c>
      <c r="B2" s="196"/>
      <c r="C2" s="196"/>
      <c r="D2" s="196">
        <v>0</v>
      </c>
      <c r="E2" s="196">
        <v>1</v>
      </c>
      <c r="F2" s="196">
        <v>2</v>
      </c>
      <c r="G2" s="196">
        <v>3</v>
      </c>
      <c r="H2" s="196">
        <v>4</v>
      </c>
      <c r="I2" s="196">
        <v>5</v>
      </c>
      <c r="J2" s="196">
        <v>6</v>
      </c>
      <c r="K2" s="196">
        <v>7</v>
      </c>
      <c r="L2" s="196">
        <v>8</v>
      </c>
      <c r="M2" s="196">
        <v>9</v>
      </c>
      <c r="N2" s="196">
        <v>10</v>
      </c>
      <c r="O2" s="196">
        <v>11</v>
      </c>
      <c r="P2" s="196">
        <v>12</v>
      </c>
      <c r="Q2" s="196">
        <v>13</v>
      </c>
      <c r="R2" s="196">
        <v>14</v>
      </c>
      <c r="S2" s="196">
        <v>15</v>
      </c>
      <c r="T2" s="196">
        <v>16</v>
      </c>
      <c r="U2" s="196">
        <v>17</v>
      </c>
      <c r="V2" s="196">
        <v>18</v>
      </c>
      <c r="W2" s="196">
        <v>19</v>
      </c>
      <c r="X2" s="196">
        <v>20</v>
      </c>
    </row>
    <row r="3" spans="1:24" ht="15">
      <c r="A3" s="83" t="s">
        <v>47</v>
      </c>
      <c r="B3" s="84"/>
      <c r="C3" s="84"/>
      <c r="D3" s="85">
        <f aca="true" t="shared" si="0" ref="D3:X3">1/(1+$B$4)^D2</f>
        <v>1</v>
      </c>
      <c r="E3" s="85">
        <f t="shared" si="0"/>
        <v>0.9276595744680852</v>
      </c>
      <c r="F3" s="85">
        <f t="shared" si="0"/>
        <v>0.860552286102309</v>
      </c>
      <c r="G3" s="85">
        <f t="shared" si="0"/>
        <v>0.7982995675332059</v>
      </c>
      <c r="H3" s="85">
        <f t="shared" si="0"/>
        <v>0.7405502371159103</v>
      </c>
      <c r="I3" s="85">
        <f t="shared" si="0"/>
        <v>0.6869785178351849</v>
      </c>
      <c r="J3" s="85">
        <f t="shared" si="0"/>
        <v>0.6372821995237036</v>
      </c>
      <c r="K3" s="85">
        <f t="shared" si="0"/>
        <v>0.5911809340262442</v>
      </c>
      <c r="L3" s="85">
        <f t="shared" si="0"/>
        <v>0.5484146536924309</v>
      </c>
      <c r="M3" s="85">
        <f t="shared" si="0"/>
        <v>0.5087421042763828</v>
      </c>
      <c r="N3" s="85">
        <f t="shared" si="0"/>
        <v>0.4719394839670275</v>
      </c>
      <c r="O3" s="85">
        <f t="shared" si="0"/>
        <v>0.4377991808715404</v>
      </c>
      <c r="P3" s="85">
        <f t="shared" si="0"/>
        <v>0.40612860182976956</v>
      </c>
      <c r="Q3" s="85">
        <f t="shared" si="0"/>
        <v>0.37674908595272244</v>
      </c>
      <c r="R3" s="85">
        <f t="shared" si="0"/>
        <v>0.34949489675614254</v>
      </c>
      <c r="S3" s="85">
        <f t="shared" si="0"/>
        <v>0.32421228720357054</v>
      </c>
      <c r="T3" s="85">
        <f t="shared" si="0"/>
        <v>0.30075863238458894</v>
      </c>
      <c r="U3" s="85">
        <f t="shared" si="0"/>
        <v>0.2790016249354911</v>
      </c>
      <c r="V3" s="85">
        <f t="shared" si="0"/>
        <v>0.258818528663562</v>
      </c>
      <c r="W3" s="85">
        <f t="shared" si="0"/>
        <v>0.24009548616449577</v>
      </c>
      <c r="X3" s="85">
        <f t="shared" si="0"/>
        <v>0.22272687652706424</v>
      </c>
    </row>
    <row r="4" spans="1:24" ht="15">
      <c r="A4" s="62" t="s">
        <v>65</v>
      </c>
      <c r="B4" s="137">
        <f>Investment!B4</f>
        <v>0.07798165137614665</v>
      </c>
      <c r="C4" s="82"/>
      <c r="D4" s="43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</row>
    <row r="5" spans="1:24" ht="15">
      <c r="A5" s="62" t="s">
        <v>68</v>
      </c>
      <c r="B5" s="103">
        <f>Investment!B5</f>
        <v>6.83</v>
      </c>
      <c r="C5" s="87"/>
      <c r="D5" s="43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</row>
    <row r="6" spans="1:24" ht="15.75" thickBot="1">
      <c r="A6" s="62"/>
      <c r="B6" s="82"/>
      <c r="C6" s="82"/>
      <c r="D6" s="43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</row>
    <row r="7" spans="1:24" ht="30">
      <c r="A7" s="187" t="s">
        <v>102</v>
      </c>
      <c r="B7" s="90">
        <v>-0.1</v>
      </c>
      <c r="C7" s="138"/>
      <c r="D7" s="43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</row>
    <row r="8" spans="1:24" ht="15.75" thickBot="1">
      <c r="A8" s="89" t="s">
        <v>70</v>
      </c>
      <c r="B8" s="91">
        <v>0</v>
      </c>
      <c r="C8" s="138"/>
      <c r="D8" s="43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</row>
    <row r="10" spans="1:24" s="194" customFormat="1" ht="15">
      <c r="A10" s="191" t="s">
        <v>48</v>
      </c>
      <c r="B10" s="192"/>
      <c r="C10" s="192"/>
      <c r="D10" s="193">
        <v>2005</v>
      </c>
      <c r="E10" s="193">
        <v>2006</v>
      </c>
      <c r="F10" s="193">
        <v>2007</v>
      </c>
      <c r="G10" s="193">
        <v>2008</v>
      </c>
      <c r="H10" s="193">
        <v>2009</v>
      </c>
      <c r="I10" s="193">
        <v>2010</v>
      </c>
      <c r="J10" s="193">
        <v>2011</v>
      </c>
      <c r="K10" s="193">
        <v>2012</v>
      </c>
      <c r="L10" s="193">
        <v>2013</v>
      </c>
      <c r="M10" s="193">
        <v>2014</v>
      </c>
      <c r="N10" s="193">
        <v>2015</v>
      </c>
      <c r="O10" s="193">
        <v>2016</v>
      </c>
      <c r="P10" s="193">
        <v>2017</v>
      </c>
      <c r="Q10" s="193">
        <v>2018</v>
      </c>
      <c r="R10" s="193">
        <v>2019</v>
      </c>
      <c r="S10" s="193">
        <v>2020</v>
      </c>
      <c r="T10" s="193">
        <v>2021</v>
      </c>
      <c r="U10" s="193">
        <v>2022</v>
      </c>
      <c r="V10" s="193">
        <v>2023</v>
      </c>
      <c r="W10" s="193">
        <v>2024</v>
      </c>
      <c r="X10" s="193">
        <v>2025</v>
      </c>
    </row>
    <row r="11" spans="5:24" ht="15"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</row>
    <row r="12" spans="1:21" ht="15">
      <c r="A12" t="s">
        <v>49</v>
      </c>
      <c r="B12" s="64" t="s">
        <v>60</v>
      </c>
      <c r="C12" s="64"/>
      <c r="D12" s="65">
        <f>Investment!D9+Investment!D9*$B$8</f>
        <v>-23251</v>
      </c>
      <c r="E12" s="65"/>
      <c r="F12" s="65">
        <f>Investment!F9+Investment!F9*$B$8</f>
        <v>-49784</v>
      </c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>
        <f>K12</f>
        <v>0</v>
      </c>
    </row>
    <row r="13" spans="2:20" ht="15">
      <c r="B13" s="64"/>
      <c r="C13" s="64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</row>
    <row r="14" spans="1:24" ht="15">
      <c r="A14" t="s">
        <v>67</v>
      </c>
      <c r="B14" s="64" t="s">
        <v>5</v>
      </c>
      <c r="C14" s="64"/>
      <c r="D14" s="65">
        <f>Investment!D11</f>
        <v>0</v>
      </c>
      <c r="E14" s="65">
        <f>Investment!E11</f>
        <v>0</v>
      </c>
      <c r="F14" s="65">
        <f>Investment!F11</f>
        <v>0</v>
      </c>
      <c r="G14" s="65">
        <f>Investment!G11</f>
        <v>40658.926</v>
      </c>
      <c r="H14" s="65">
        <f>Investment!H11</f>
        <v>48074.594</v>
      </c>
      <c r="I14" s="65">
        <f>Investment!I11</f>
        <v>78840</v>
      </c>
      <c r="J14" s="65">
        <f>Investment!J11</f>
        <v>105120</v>
      </c>
      <c r="K14" s="65">
        <f>Investment!K11</f>
        <v>105120</v>
      </c>
      <c r="L14" s="65">
        <f>Investment!L11</f>
        <v>105120</v>
      </c>
      <c r="M14" s="65">
        <f>Investment!M11</f>
        <v>105120</v>
      </c>
      <c r="N14" s="65">
        <f>Investment!N11</f>
        <v>105120</v>
      </c>
      <c r="O14" s="65">
        <f>Investment!O11</f>
        <v>105120</v>
      </c>
      <c r="P14" s="65">
        <f>Investment!P11</f>
        <v>105120</v>
      </c>
      <c r="Q14" s="65">
        <f>Investment!Q11</f>
        <v>105120</v>
      </c>
      <c r="R14" s="65">
        <f>Investment!R11</f>
        <v>105120</v>
      </c>
      <c r="S14" s="65">
        <f>Investment!S11</f>
        <v>105120</v>
      </c>
      <c r="T14" s="65">
        <f>Investment!T11</f>
        <v>105120</v>
      </c>
      <c r="U14" s="65">
        <f>Investment!U11</f>
        <v>105120</v>
      </c>
      <c r="V14" s="65">
        <f>Investment!V11</f>
        <v>105120</v>
      </c>
      <c r="W14" s="65">
        <f>Investment!W11</f>
        <v>105120</v>
      </c>
      <c r="X14" s="65">
        <f>Investment!X11</f>
        <v>105120</v>
      </c>
    </row>
    <row r="15" spans="1:24" ht="15">
      <c r="A15" t="s">
        <v>59</v>
      </c>
      <c r="B15" s="64" t="s">
        <v>61</v>
      </c>
      <c r="C15" s="64"/>
      <c r="D15" s="65">
        <f>Investment!D12</f>
        <v>144.2</v>
      </c>
      <c r="E15" s="65">
        <f>Investment!E12</f>
        <v>144.2</v>
      </c>
      <c r="F15" s="65">
        <f>Investment!F12</f>
        <v>144.2</v>
      </c>
      <c r="G15" s="65">
        <f>Investment!G12</f>
        <v>144.2</v>
      </c>
      <c r="H15" s="65">
        <f>Investment!H12</f>
        <v>144.2</v>
      </c>
      <c r="I15" s="65">
        <f>Investment!I12</f>
        <v>144.2</v>
      </c>
      <c r="J15" s="65">
        <f>Investment!J12</f>
        <v>144.2</v>
      </c>
      <c r="K15" s="65">
        <f>Investment!K12</f>
        <v>144.2</v>
      </c>
      <c r="L15" s="65">
        <f>Investment!L12</f>
        <v>144.2</v>
      </c>
      <c r="M15" s="65">
        <f>Investment!M12</f>
        <v>144.2</v>
      </c>
      <c r="N15" s="65">
        <f>Investment!N12</f>
        <v>144.2</v>
      </c>
      <c r="O15" s="65">
        <f>Investment!O12</f>
        <v>144.2</v>
      </c>
      <c r="P15" s="65">
        <f>Investment!P12</f>
        <v>144.2</v>
      </c>
      <c r="Q15" s="65">
        <f>Investment!Q12</f>
        <v>144.2</v>
      </c>
      <c r="R15" s="65">
        <f>Investment!R12</f>
        <v>144.2</v>
      </c>
      <c r="S15" s="65">
        <f>Investment!S12</f>
        <v>144.2</v>
      </c>
      <c r="T15" s="65">
        <f>Investment!T12</f>
        <v>144.2</v>
      </c>
      <c r="U15" s="65">
        <f>Investment!U12</f>
        <v>144.2</v>
      </c>
      <c r="V15" s="65">
        <f>Investment!V12</f>
        <v>144.2</v>
      </c>
      <c r="W15" s="65">
        <f>Investment!W12</f>
        <v>144.2</v>
      </c>
      <c r="X15" s="65">
        <f>Investment!X12</f>
        <v>144.2</v>
      </c>
    </row>
    <row r="16" spans="1:24" ht="15">
      <c r="A16" t="s">
        <v>66</v>
      </c>
      <c r="B16" s="64" t="s">
        <v>60</v>
      </c>
      <c r="C16" s="64"/>
      <c r="D16" s="65">
        <f>D15*D14/1000</f>
        <v>0</v>
      </c>
      <c r="E16" s="65">
        <f>E15*E14/1000</f>
        <v>0</v>
      </c>
      <c r="F16" s="65">
        <f>F15*F14/1000</f>
        <v>0</v>
      </c>
      <c r="G16" s="65">
        <f>G15*G14/1000</f>
        <v>5863.0171291999995</v>
      </c>
      <c r="H16" s="65">
        <f aca="true" t="shared" si="1" ref="H16:X16">H15*H14/1000</f>
        <v>6932.3564547999995</v>
      </c>
      <c r="I16" s="65">
        <f t="shared" si="1"/>
        <v>11368.728</v>
      </c>
      <c r="J16" s="65">
        <f t="shared" si="1"/>
        <v>15158.303999999998</v>
      </c>
      <c r="K16" s="65">
        <f t="shared" si="1"/>
        <v>15158.303999999998</v>
      </c>
      <c r="L16" s="65">
        <f t="shared" si="1"/>
        <v>15158.303999999998</v>
      </c>
      <c r="M16" s="65">
        <f t="shared" si="1"/>
        <v>15158.303999999998</v>
      </c>
      <c r="N16" s="65">
        <f t="shared" si="1"/>
        <v>15158.303999999998</v>
      </c>
      <c r="O16" s="65">
        <f t="shared" si="1"/>
        <v>15158.303999999998</v>
      </c>
      <c r="P16" s="65">
        <f t="shared" si="1"/>
        <v>15158.303999999998</v>
      </c>
      <c r="Q16" s="65">
        <f t="shared" si="1"/>
        <v>15158.303999999998</v>
      </c>
      <c r="R16" s="65">
        <f t="shared" si="1"/>
        <v>15158.303999999998</v>
      </c>
      <c r="S16" s="65">
        <f t="shared" si="1"/>
        <v>15158.303999999998</v>
      </c>
      <c r="T16" s="65">
        <f t="shared" si="1"/>
        <v>15158.303999999998</v>
      </c>
      <c r="U16" s="65">
        <f t="shared" si="1"/>
        <v>15158.303999999998</v>
      </c>
      <c r="V16" s="65">
        <f t="shared" si="1"/>
        <v>15158.303999999998</v>
      </c>
      <c r="W16" s="65">
        <f t="shared" si="1"/>
        <v>15158.303999999998</v>
      </c>
      <c r="X16" s="65">
        <f t="shared" si="1"/>
        <v>15158.303999999998</v>
      </c>
    </row>
    <row r="17" spans="2:24" ht="15">
      <c r="B17" s="64"/>
      <c r="C17" s="64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</row>
    <row r="18" spans="1:24" ht="15">
      <c r="A18" t="s">
        <v>63</v>
      </c>
      <c r="B18" s="64" t="s">
        <v>61</v>
      </c>
      <c r="C18" s="64"/>
      <c r="D18" s="65">
        <f>Investment!D15</f>
        <v>0</v>
      </c>
      <c r="E18" s="65">
        <f>Investment!E15</f>
        <v>0</v>
      </c>
      <c r="F18" s="65">
        <f>Investment!F15</f>
        <v>0</v>
      </c>
      <c r="G18" s="65">
        <f>Investment!G15+Investment!G15*$B$7</f>
        <v>85.26586620926243</v>
      </c>
      <c r="H18" s="65">
        <f>Investment!H15+Investment!H15*$B$7</f>
        <v>85.26586620926243</v>
      </c>
      <c r="I18" s="65">
        <f>Investment!I15+Investment!I15*$B$7</f>
        <v>72.04116638078901</v>
      </c>
      <c r="J18" s="65">
        <f>Investment!J15+Investment!J15*$B$7</f>
        <v>72.04116638078901</v>
      </c>
      <c r="K18" s="65">
        <f>Investment!K15+Investment!K15*$B$7</f>
        <v>72.04116638078901</v>
      </c>
      <c r="L18" s="65">
        <f>Investment!L15+Investment!L15*$B$7</f>
        <v>72.04116638078901</v>
      </c>
      <c r="M18" s="65">
        <f>Investment!M15+Investment!M15*$B$7</f>
        <v>72.04116638078901</v>
      </c>
      <c r="N18" s="65">
        <f>Investment!N15+Investment!N15*$B$7</f>
        <v>72.04116638078901</v>
      </c>
      <c r="O18" s="65">
        <f>Investment!O15+Investment!O15*$B$7</f>
        <v>72.04116638078901</v>
      </c>
      <c r="P18" s="65">
        <f>Investment!P15+Investment!P15*$B$7</f>
        <v>72.04116638078901</v>
      </c>
      <c r="Q18" s="65">
        <f>Investment!Q15+Investment!Q15*$B$7</f>
        <v>72.04116638078901</v>
      </c>
      <c r="R18" s="65">
        <f>Investment!R15+Investment!R15*$B$7</f>
        <v>72.04116638078901</v>
      </c>
      <c r="S18" s="65">
        <f>Investment!S15+Investment!S15*$B$7</f>
        <v>72.04116638078901</v>
      </c>
      <c r="T18" s="65">
        <f>Investment!T15+Investment!T15*$B$7</f>
        <v>72.04116638078901</v>
      </c>
      <c r="U18" s="65">
        <f>Investment!U15+Investment!U15*$B$7</f>
        <v>72.04116638078901</v>
      </c>
      <c r="V18" s="65">
        <f>Investment!V15+Investment!V15*$B$7</f>
        <v>72.04116638078901</v>
      </c>
      <c r="W18" s="65">
        <f>Investment!W15+Investment!W15*$B$7</f>
        <v>72.04116638078901</v>
      </c>
      <c r="X18" s="65">
        <f>Investment!X15+Investment!X15*$B$7</f>
        <v>72.04116638078901</v>
      </c>
    </row>
    <row r="19" spans="1:24" ht="15">
      <c r="A19" t="s">
        <v>64</v>
      </c>
      <c r="B19" s="64" t="s">
        <v>62</v>
      </c>
      <c r="C19" s="64"/>
      <c r="D19" s="65">
        <f>-D18*D14/1000</f>
        <v>0</v>
      </c>
      <c r="E19" s="65">
        <f>-E18*E14/1000</f>
        <v>0</v>
      </c>
      <c r="F19" s="65">
        <f aca="true" t="shared" si="2" ref="F19:X19">-F18*F14/1000</f>
        <v>0</v>
      </c>
      <c r="G19" s="65">
        <f t="shared" si="2"/>
        <v>-3466.818544528301</v>
      </c>
      <c r="H19" s="65">
        <f t="shared" si="2"/>
        <v>-4099.12190006861</v>
      </c>
      <c r="I19" s="65">
        <f t="shared" si="2"/>
        <v>-5679.7255574614055</v>
      </c>
      <c r="J19" s="65">
        <f t="shared" si="2"/>
        <v>-7572.967409948541</v>
      </c>
      <c r="K19" s="65">
        <f t="shared" si="2"/>
        <v>-7572.967409948541</v>
      </c>
      <c r="L19" s="65">
        <f t="shared" si="2"/>
        <v>-7572.967409948541</v>
      </c>
      <c r="M19" s="65">
        <f t="shared" si="2"/>
        <v>-7572.967409948541</v>
      </c>
      <c r="N19" s="65">
        <f t="shared" si="2"/>
        <v>-7572.967409948541</v>
      </c>
      <c r="O19" s="65">
        <f t="shared" si="2"/>
        <v>-7572.967409948541</v>
      </c>
      <c r="P19" s="65">
        <f t="shared" si="2"/>
        <v>-7572.967409948541</v>
      </c>
      <c r="Q19" s="65">
        <f t="shared" si="2"/>
        <v>-7572.967409948541</v>
      </c>
      <c r="R19" s="65">
        <f t="shared" si="2"/>
        <v>-7572.967409948541</v>
      </c>
      <c r="S19" s="65">
        <f t="shared" si="2"/>
        <v>-7572.967409948541</v>
      </c>
      <c r="T19" s="65">
        <f t="shared" si="2"/>
        <v>-7572.967409948541</v>
      </c>
      <c r="U19" s="65">
        <f t="shared" si="2"/>
        <v>-7572.967409948541</v>
      </c>
      <c r="V19" s="65">
        <f t="shared" si="2"/>
        <v>-7572.967409948541</v>
      </c>
      <c r="W19" s="65">
        <f t="shared" si="2"/>
        <v>-7572.967409948541</v>
      </c>
      <c r="X19" s="65">
        <f t="shared" si="2"/>
        <v>-7572.967409948541</v>
      </c>
    </row>
    <row r="20" spans="2:24" ht="15">
      <c r="B20" s="64"/>
      <c r="C20" s="64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</row>
    <row r="21" spans="1:24" ht="15">
      <c r="A21" t="s">
        <v>104</v>
      </c>
      <c r="B21" s="64" t="s">
        <v>2</v>
      </c>
      <c r="C21" s="65"/>
      <c r="D21" s="65">
        <f>Investment!D18</f>
        <v>90.368</v>
      </c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>
        <f>Investment!X18</f>
        <v>90.368</v>
      </c>
    </row>
    <row r="22" spans="1:24" ht="15">
      <c r="A22" t="s">
        <v>105</v>
      </c>
      <c r="B22" s="64" t="s">
        <v>106</v>
      </c>
      <c r="C22" s="65"/>
      <c r="D22" s="65">
        <f>Investment!D19</f>
        <v>2305.125</v>
      </c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>
        <f>Investment!X19</f>
        <v>2305.125</v>
      </c>
    </row>
    <row r="23" spans="1:24" ht="15">
      <c r="A23" t="s">
        <v>107</v>
      </c>
      <c r="B23" s="64" t="s">
        <v>62</v>
      </c>
      <c r="C23" s="65"/>
      <c r="D23" s="188">
        <f>Investment!D20</f>
        <v>0</v>
      </c>
      <c r="E23" s="188">
        <f>Investment!E20</f>
        <v>0</v>
      </c>
      <c r="F23" s="188">
        <f>Investment!F20</f>
        <v>0</v>
      </c>
      <c r="G23" s="188">
        <f>Investment!G20</f>
        <v>0</v>
      </c>
      <c r="H23" s="188">
        <f>Investment!H20</f>
        <v>0</v>
      </c>
      <c r="I23" s="188">
        <f>Investment!I20</f>
        <v>0</v>
      </c>
      <c r="J23" s="188">
        <f>Investment!J20</f>
        <v>0</v>
      </c>
      <c r="K23" s="188">
        <f>Investment!K20</f>
        <v>0</v>
      </c>
      <c r="L23" s="188">
        <f>Investment!L20</f>
        <v>0</v>
      </c>
      <c r="M23" s="188">
        <f>Investment!M20</f>
        <v>0</v>
      </c>
      <c r="N23" s="188">
        <f>Investment!N20</f>
        <v>0</v>
      </c>
      <c r="O23" s="188">
        <f>Investment!O20</f>
        <v>0</v>
      </c>
      <c r="P23" s="188">
        <f>Investment!P20</f>
        <v>0</v>
      </c>
      <c r="Q23" s="188">
        <f>Investment!Q20</f>
        <v>0</v>
      </c>
      <c r="R23" s="188">
        <f>Investment!R20</f>
        <v>0</v>
      </c>
      <c r="S23" s="188">
        <f>Investment!S20</f>
        <v>0</v>
      </c>
      <c r="T23" s="188">
        <f>Investment!T20</f>
        <v>0</v>
      </c>
      <c r="U23" s="188">
        <f>Investment!U20</f>
        <v>0</v>
      </c>
      <c r="V23" s="188">
        <f>Investment!V20</f>
        <v>0</v>
      </c>
      <c r="W23" s="188">
        <f>Investment!W20</f>
        <v>0</v>
      </c>
      <c r="X23" s="65">
        <f>Investment!X20</f>
        <v>208.30953599999998</v>
      </c>
    </row>
    <row r="24" spans="2:20" ht="15">
      <c r="B24" s="64"/>
      <c r="C24" s="64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</row>
    <row r="25" spans="1:24" ht="15">
      <c r="A25" s="62" t="s">
        <v>51</v>
      </c>
      <c r="B25" s="64" t="s">
        <v>60</v>
      </c>
      <c r="C25" s="64"/>
      <c r="D25" s="79">
        <f aca="true" t="shared" si="3" ref="D25:X25">D12+D16+D19+D23</f>
        <v>-23251</v>
      </c>
      <c r="E25" s="79">
        <f t="shared" si="3"/>
        <v>0</v>
      </c>
      <c r="F25" s="79">
        <f t="shared" si="3"/>
        <v>-49784</v>
      </c>
      <c r="G25" s="79">
        <f t="shared" si="3"/>
        <v>2396.1985846716984</v>
      </c>
      <c r="H25" s="79">
        <f t="shared" si="3"/>
        <v>2833.23455473139</v>
      </c>
      <c r="I25" s="79">
        <f t="shared" si="3"/>
        <v>5689.002442538594</v>
      </c>
      <c r="J25" s="79">
        <f t="shared" si="3"/>
        <v>7585.336590051457</v>
      </c>
      <c r="K25" s="79">
        <f t="shared" si="3"/>
        <v>7585.336590051457</v>
      </c>
      <c r="L25" s="79">
        <f t="shared" si="3"/>
        <v>7585.336590051457</v>
      </c>
      <c r="M25" s="79">
        <f t="shared" si="3"/>
        <v>7585.336590051457</v>
      </c>
      <c r="N25" s="79">
        <f t="shared" si="3"/>
        <v>7585.336590051457</v>
      </c>
      <c r="O25" s="79">
        <f t="shared" si="3"/>
        <v>7585.336590051457</v>
      </c>
      <c r="P25" s="79">
        <f t="shared" si="3"/>
        <v>7585.336590051457</v>
      </c>
      <c r="Q25" s="79">
        <f t="shared" si="3"/>
        <v>7585.336590051457</v>
      </c>
      <c r="R25" s="79">
        <f t="shared" si="3"/>
        <v>7585.336590051457</v>
      </c>
      <c r="S25" s="79">
        <f t="shared" si="3"/>
        <v>7585.336590051457</v>
      </c>
      <c r="T25" s="79">
        <f t="shared" si="3"/>
        <v>7585.336590051457</v>
      </c>
      <c r="U25" s="79">
        <f t="shared" si="3"/>
        <v>7585.336590051457</v>
      </c>
      <c r="V25" s="79">
        <f t="shared" si="3"/>
        <v>7585.336590051457</v>
      </c>
      <c r="W25" s="79">
        <f t="shared" si="3"/>
        <v>7585.336590051457</v>
      </c>
      <c r="X25" s="79">
        <f t="shared" si="3"/>
        <v>7793.646126051457</v>
      </c>
    </row>
    <row r="26" spans="1:24" ht="15.75" thickBot="1">
      <c r="A26" s="62" t="s">
        <v>75</v>
      </c>
      <c r="B26" s="64" t="s">
        <v>60</v>
      </c>
      <c r="C26" s="64"/>
      <c r="D26" s="79">
        <f aca="true" t="shared" si="4" ref="D26:X26">D25*D3</f>
        <v>-23251</v>
      </c>
      <c r="E26" s="79">
        <f t="shared" si="4"/>
        <v>0</v>
      </c>
      <c r="F26" s="79">
        <f t="shared" si="4"/>
        <v>-42841.73501131735</v>
      </c>
      <c r="G26" s="79">
        <f t="shared" si="4"/>
        <v>1912.8842938670969</v>
      </c>
      <c r="H26" s="79">
        <f t="shared" si="4"/>
        <v>2098.1525213113214</v>
      </c>
      <c r="I26" s="79">
        <f t="shared" si="4"/>
        <v>3908.22246593591</v>
      </c>
      <c r="J26" s="79">
        <f t="shared" si="4"/>
        <v>4833.999986235622</v>
      </c>
      <c r="K26" s="79">
        <f t="shared" si="4"/>
        <v>4484.306370210066</v>
      </c>
      <c r="L26" s="79">
        <f t="shared" si="4"/>
        <v>4159.909739173595</v>
      </c>
      <c r="M26" s="79">
        <f t="shared" si="4"/>
        <v>3858.9800984674202</v>
      </c>
      <c r="N26" s="79">
        <f t="shared" si="4"/>
        <v>3579.8198360250967</v>
      </c>
      <c r="O26" s="79">
        <f t="shared" si="4"/>
        <v>3320.8541457594515</v>
      </c>
      <c r="P26" s="79">
        <f t="shared" si="4"/>
        <v>3080.6221437257905</v>
      </c>
      <c r="Q26" s="79">
        <f t="shared" si="4"/>
        <v>2857.768626945627</v>
      </c>
      <c r="R26" s="79">
        <f t="shared" si="4"/>
        <v>2651.0364284006246</v>
      </c>
      <c r="S26" s="79">
        <f t="shared" si="4"/>
        <v>2459.2593250695154</v>
      </c>
      <c r="T26" s="79">
        <f t="shared" si="4"/>
        <v>2281.355459000658</v>
      </c>
      <c r="U26" s="79">
        <f t="shared" si="4"/>
        <v>2116.3212343069936</v>
      </c>
      <c r="V26" s="79">
        <f t="shared" si="4"/>
        <v>1963.2256556549985</v>
      </c>
      <c r="W26" s="79">
        <f t="shared" si="4"/>
        <v>1821.2050763097432</v>
      </c>
      <c r="X26" s="79">
        <f t="shared" si="4"/>
        <v>1735.8544584126955</v>
      </c>
    </row>
    <row r="27" spans="1:24" ht="15.75" thickBot="1">
      <c r="A27" s="68" t="s">
        <v>53</v>
      </c>
      <c r="B27" s="69" t="s">
        <v>60</v>
      </c>
      <c r="C27" s="136"/>
      <c r="D27" s="70">
        <f>SUM(D26:X26)</f>
        <v>-12968.957146505125</v>
      </c>
      <c r="E27" s="86"/>
      <c r="F27" s="71"/>
      <c r="G27" s="71"/>
      <c r="H27" s="71"/>
      <c r="I27" s="72"/>
      <c r="J27" s="72"/>
      <c r="K27" s="72"/>
      <c r="L27" s="72"/>
      <c r="M27" s="72"/>
      <c r="N27" s="73"/>
      <c r="O27" s="73"/>
      <c r="P27" s="73"/>
      <c r="Q27" s="73"/>
      <c r="R27" s="73"/>
      <c r="S27" s="73"/>
      <c r="T27" s="73"/>
      <c r="U27" s="86"/>
      <c r="V27" s="86"/>
      <c r="W27" s="86"/>
      <c r="X27" s="86"/>
    </row>
    <row r="28" spans="1:20" ht="15.75" thickBot="1">
      <c r="A28" s="158"/>
      <c r="B28" s="136"/>
      <c r="C28" s="136"/>
      <c r="D28" s="137"/>
      <c r="G28" s="74"/>
      <c r="H28" s="74"/>
      <c r="I28" s="67"/>
      <c r="J28" s="67"/>
      <c r="K28" s="67"/>
      <c r="L28" s="67"/>
      <c r="M28" s="67"/>
      <c r="N28" s="75"/>
      <c r="O28" s="75"/>
      <c r="P28" s="75"/>
      <c r="Q28" s="75"/>
      <c r="R28" s="75"/>
      <c r="S28" s="75"/>
      <c r="T28" s="75"/>
    </row>
    <row r="29" spans="1:20" ht="15">
      <c r="A29" s="43"/>
      <c r="B29" s="64"/>
      <c r="C29" s="64"/>
      <c r="E29" s="66"/>
      <c r="F29" s="66"/>
      <c r="G29" s="93">
        <v>2008</v>
      </c>
      <c r="H29" s="94">
        <v>2009</v>
      </c>
      <c r="I29" s="94">
        <v>2010</v>
      </c>
      <c r="J29" s="94">
        <v>2011</v>
      </c>
      <c r="K29" s="95">
        <v>2012</v>
      </c>
      <c r="L29" s="93">
        <v>2013</v>
      </c>
      <c r="M29" s="94">
        <v>2014</v>
      </c>
      <c r="N29" s="94">
        <v>2015</v>
      </c>
      <c r="O29" s="94">
        <v>2016</v>
      </c>
      <c r="P29" s="94">
        <v>2017</v>
      </c>
      <c r="Q29" s="94">
        <v>2018</v>
      </c>
      <c r="R29" s="94">
        <v>2019</v>
      </c>
      <c r="S29" s="95">
        <v>2020</v>
      </c>
      <c r="T29" s="65"/>
    </row>
    <row r="30" spans="1:20" ht="15">
      <c r="A30" s="62" t="s">
        <v>54</v>
      </c>
      <c r="B30" s="64" t="s">
        <v>2</v>
      </c>
      <c r="C30" s="64"/>
      <c r="E30" s="66"/>
      <c r="G30" s="96">
        <f>Model!L20</f>
        <v>36016</v>
      </c>
      <c r="H30" s="80">
        <f>Model!M20</f>
        <v>42567</v>
      </c>
      <c r="I30" s="80">
        <f>Model!N20</f>
        <v>49038</v>
      </c>
      <c r="J30" s="80">
        <f>Model!O20</f>
        <v>64815</v>
      </c>
      <c r="K30" s="97">
        <f>Model!P20</f>
        <v>64815</v>
      </c>
      <c r="L30" s="96">
        <f>Investment!L27</f>
        <v>64815</v>
      </c>
      <c r="M30" s="80">
        <f>Investment!M27</f>
        <v>64815</v>
      </c>
      <c r="N30" s="80">
        <f>Investment!N27</f>
        <v>64815</v>
      </c>
      <c r="O30" s="80">
        <f>Investment!O27</f>
        <v>64815</v>
      </c>
      <c r="P30" s="80">
        <f>Investment!P27</f>
        <v>64815</v>
      </c>
      <c r="Q30" s="80">
        <f>Investment!Q27</f>
        <v>64815</v>
      </c>
      <c r="R30" s="80">
        <f>Investment!R27</f>
        <v>64815</v>
      </c>
      <c r="S30" s="97">
        <f>Investment!S27</f>
        <v>64815</v>
      </c>
      <c r="T30" s="65"/>
    </row>
    <row r="31" spans="1:20" ht="15">
      <c r="A31" s="62" t="s">
        <v>55</v>
      </c>
      <c r="B31" s="64" t="s">
        <v>56</v>
      </c>
      <c r="C31" s="64"/>
      <c r="E31" s="66"/>
      <c r="G31" s="96">
        <f>Investment!G28</f>
        <v>12</v>
      </c>
      <c r="H31" s="80">
        <f>Investment!H28</f>
        <v>12</v>
      </c>
      <c r="I31" s="80">
        <f>Investment!I28</f>
        <v>12</v>
      </c>
      <c r="J31" s="80">
        <f>Investment!J28</f>
        <v>12</v>
      </c>
      <c r="K31" s="97">
        <f>Investment!K28</f>
        <v>12</v>
      </c>
      <c r="L31" s="96">
        <f>Investment!L28</f>
        <v>12</v>
      </c>
      <c r="M31" s="80">
        <f>Investment!M28</f>
        <v>12</v>
      </c>
      <c r="N31" s="80">
        <f>Investment!N28</f>
        <v>12</v>
      </c>
      <c r="O31" s="80">
        <f>Investment!O28</f>
        <v>12</v>
      </c>
      <c r="P31" s="80">
        <f>Investment!P28</f>
        <v>12</v>
      </c>
      <c r="Q31" s="80">
        <f>Investment!Q28</f>
        <v>12</v>
      </c>
      <c r="R31" s="80">
        <f>Investment!R28</f>
        <v>12</v>
      </c>
      <c r="S31" s="97">
        <f>Investment!S28</f>
        <v>12</v>
      </c>
      <c r="T31" s="65"/>
    </row>
    <row r="32" spans="1:20" ht="15.75" thickBot="1">
      <c r="A32" s="62" t="s">
        <v>57</v>
      </c>
      <c r="B32" s="64" t="s">
        <v>50</v>
      </c>
      <c r="C32" s="64"/>
      <c r="E32" s="66"/>
      <c r="G32" s="98">
        <f>G30*G31*$B$5/1000</f>
        <v>2951.87136</v>
      </c>
      <c r="H32" s="99">
        <f>H30*H31*$B$5/1000</f>
        <v>3488.79132</v>
      </c>
      <c r="I32" s="99">
        <f>I30*I31*$B$5/1000</f>
        <v>4019.15448</v>
      </c>
      <c r="J32" s="99">
        <f>J30*J31*$B$5/1000</f>
        <v>5312.2374</v>
      </c>
      <c r="K32" s="100">
        <f>K30*K31*$B$5/1000</f>
        <v>5312.2374</v>
      </c>
      <c r="L32" s="98">
        <f aca="true" t="shared" si="5" ref="L32:S32">L30*L31*$B$5/1000</f>
        <v>5312.2374</v>
      </c>
      <c r="M32" s="99">
        <f t="shared" si="5"/>
        <v>5312.2374</v>
      </c>
      <c r="N32" s="99">
        <f t="shared" si="5"/>
        <v>5312.2374</v>
      </c>
      <c r="O32" s="99">
        <f t="shared" si="5"/>
        <v>5312.2374</v>
      </c>
      <c r="P32" s="99">
        <f t="shared" si="5"/>
        <v>5312.2374</v>
      </c>
      <c r="Q32" s="99">
        <f t="shared" si="5"/>
        <v>5312.2374</v>
      </c>
      <c r="R32" s="99">
        <f t="shared" si="5"/>
        <v>5312.2374</v>
      </c>
      <c r="S32" s="100">
        <f t="shared" si="5"/>
        <v>5312.2374</v>
      </c>
      <c r="T32" s="65"/>
    </row>
    <row r="33" spans="2:20" ht="15">
      <c r="B33" s="64"/>
      <c r="C33" s="64"/>
      <c r="E33" s="65"/>
      <c r="F33" s="65"/>
      <c r="G33" s="65"/>
      <c r="H33" s="65"/>
      <c r="I33" s="65"/>
      <c r="J33" s="65"/>
      <c r="P33" s="65"/>
      <c r="Q33" s="65"/>
      <c r="R33" s="65"/>
      <c r="S33" s="65"/>
      <c r="T33" s="65"/>
    </row>
    <row r="34" spans="1:24" ht="15">
      <c r="A34" t="s">
        <v>58</v>
      </c>
      <c r="B34" s="64" t="s">
        <v>50</v>
      </c>
      <c r="C34" s="64"/>
      <c r="D34" s="65">
        <f aca="true" t="shared" si="6" ref="D34:X34">D12+D16+D19+D23+D32</f>
        <v>-23251</v>
      </c>
      <c r="E34" s="65">
        <f t="shared" si="6"/>
        <v>0</v>
      </c>
      <c r="F34" s="65">
        <f t="shared" si="6"/>
        <v>-49784</v>
      </c>
      <c r="G34" s="65">
        <f t="shared" si="6"/>
        <v>5348.069944671699</v>
      </c>
      <c r="H34" s="65">
        <f t="shared" si="6"/>
        <v>6322.025874731389</v>
      </c>
      <c r="I34" s="65">
        <f t="shared" si="6"/>
        <v>9708.156922538594</v>
      </c>
      <c r="J34" s="65">
        <f t="shared" si="6"/>
        <v>12897.573990051456</v>
      </c>
      <c r="K34" s="65">
        <f t="shared" si="6"/>
        <v>12897.573990051456</v>
      </c>
      <c r="L34" s="65">
        <f t="shared" si="6"/>
        <v>12897.573990051456</v>
      </c>
      <c r="M34" s="65">
        <f t="shared" si="6"/>
        <v>12897.573990051456</v>
      </c>
      <c r="N34" s="65">
        <f t="shared" si="6"/>
        <v>12897.573990051456</v>
      </c>
      <c r="O34" s="65">
        <f t="shared" si="6"/>
        <v>12897.573990051456</v>
      </c>
      <c r="P34" s="65">
        <f t="shared" si="6"/>
        <v>12897.573990051456</v>
      </c>
      <c r="Q34" s="65">
        <f t="shared" si="6"/>
        <v>12897.573990051456</v>
      </c>
      <c r="R34" s="65">
        <f t="shared" si="6"/>
        <v>12897.573990051456</v>
      </c>
      <c r="S34" s="65">
        <f t="shared" si="6"/>
        <v>12897.573990051456</v>
      </c>
      <c r="T34" s="65">
        <f t="shared" si="6"/>
        <v>7585.336590051457</v>
      </c>
      <c r="U34" s="65">
        <f t="shared" si="6"/>
        <v>7585.336590051457</v>
      </c>
      <c r="V34" s="65">
        <f t="shared" si="6"/>
        <v>7585.336590051457</v>
      </c>
      <c r="W34" s="65">
        <f t="shared" si="6"/>
        <v>7585.336590051457</v>
      </c>
      <c r="X34" s="65">
        <f t="shared" si="6"/>
        <v>7793.646126051457</v>
      </c>
    </row>
    <row r="35" spans="1:24" ht="15.75" thickBot="1">
      <c r="A35" s="62" t="s">
        <v>75</v>
      </c>
      <c r="B35" s="64" t="s">
        <v>50</v>
      </c>
      <c r="C35" s="64"/>
      <c r="D35" s="65">
        <f aca="true" t="shared" si="7" ref="D35:X35">D34*D3</f>
        <v>-23251</v>
      </c>
      <c r="E35" s="65">
        <f t="shared" si="7"/>
        <v>0</v>
      </c>
      <c r="F35" s="65">
        <f t="shared" si="7"/>
        <v>-42841.73501131735</v>
      </c>
      <c r="G35" s="65">
        <f t="shared" si="7"/>
        <v>4269.361923968753</v>
      </c>
      <c r="H35" s="65">
        <f t="shared" si="7"/>
        <v>4681.777760585251</v>
      </c>
      <c r="I35" s="65">
        <f t="shared" si="7"/>
        <v>6669.295253556954</v>
      </c>
      <c r="J35" s="65">
        <f t="shared" si="7"/>
        <v>8219.394320899703</v>
      </c>
      <c r="K35" s="65">
        <f t="shared" si="7"/>
        <v>7624.799838111213</v>
      </c>
      <c r="L35" s="65">
        <f t="shared" si="7"/>
        <v>7073.218573226574</v>
      </c>
      <c r="M35" s="65">
        <f t="shared" si="7"/>
        <v>6561.538931759121</v>
      </c>
      <c r="N35" s="65">
        <f t="shared" si="7"/>
        <v>6086.87441329144</v>
      </c>
      <c r="O35" s="65">
        <f t="shared" si="7"/>
        <v>5646.547328074613</v>
      </c>
      <c r="P35" s="65">
        <f t="shared" si="7"/>
        <v>5238.073691575601</v>
      </c>
      <c r="Q35" s="65">
        <f t="shared" si="7"/>
        <v>4859.1492117594935</v>
      </c>
      <c r="R35" s="65">
        <f t="shared" si="7"/>
        <v>4507.636290057743</v>
      </c>
      <c r="S35" s="65">
        <f t="shared" si="7"/>
        <v>4181.551962691864</v>
      </c>
      <c r="T35" s="65">
        <f t="shared" si="7"/>
        <v>2281.355459000658</v>
      </c>
      <c r="U35" s="65">
        <f t="shared" si="7"/>
        <v>2116.3212343069936</v>
      </c>
      <c r="V35" s="65">
        <f t="shared" si="7"/>
        <v>1963.2256556549985</v>
      </c>
      <c r="W35" s="65">
        <f t="shared" si="7"/>
        <v>1821.2050763097432</v>
      </c>
      <c r="X35" s="65">
        <f t="shared" si="7"/>
        <v>1735.8544584126955</v>
      </c>
    </row>
    <row r="36" spans="1:20" ht="15.75" thickBot="1">
      <c r="A36" s="68" t="s">
        <v>53</v>
      </c>
      <c r="B36" s="69" t="s">
        <v>50</v>
      </c>
      <c r="C36" s="136"/>
      <c r="D36" s="76">
        <f>SUM(D35:X35)</f>
        <v>19444.446371926053</v>
      </c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</row>
    <row r="37" ht="15">
      <c r="C37" s="43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P27"/>
  <sheetViews>
    <sheetView tabSelected="1" zoomScale="90" zoomScaleNormal="90" zoomScalePageLayoutView="0" workbookViewId="0" topLeftCell="A1">
      <selection activeCell="L20" sqref="L20:P20"/>
    </sheetView>
  </sheetViews>
  <sheetFormatPr defaultColWidth="9.140625" defaultRowHeight="15"/>
  <cols>
    <col min="1" max="1" width="2.57421875" style="0" customWidth="1"/>
    <col min="2" max="2" width="36.00390625" style="0" customWidth="1"/>
    <col min="3" max="3" width="12.421875" style="0" customWidth="1"/>
    <col min="4" max="11" width="11.00390625" style="0" bestFit="1" customWidth="1"/>
    <col min="12" max="12" width="9.7109375" style="0" customWidth="1"/>
    <col min="13" max="16" width="10.28125" style="0" customWidth="1"/>
  </cols>
  <sheetData>
    <row r="1" ht="8.25" customHeight="1" thickBot="1"/>
    <row r="2" spans="2:16" ht="24" customHeight="1" thickBot="1">
      <c r="B2" s="5" t="s">
        <v>7</v>
      </c>
      <c r="C2" s="197" t="s">
        <v>6</v>
      </c>
      <c r="D2" s="198">
        <v>2000</v>
      </c>
      <c r="E2" s="199">
        <v>2001</v>
      </c>
      <c r="F2" s="199">
        <v>2002</v>
      </c>
      <c r="G2" s="199">
        <v>2003</v>
      </c>
      <c r="H2" s="199">
        <v>2004</v>
      </c>
      <c r="I2" s="199">
        <v>2005</v>
      </c>
      <c r="J2" s="199">
        <v>2006</v>
      </c>
      <c r="K2" s="200">
        <v>2007</v>
      </c>
      <c r="L2" s="201">
        <v>2008</v>
      </c>
      <c r="M2" s="202">
        <v>2009</v>
      </c>
      <c r="N2" s="202">
        <v>2010</v>
      </c>
      <c r="O2" s="202">
        <v>2011</v>
      </c>
      <c r="P2" s="203">
        <v>2012</v>
      </c>
    </row>
    <row r="3" spans="2:16" s="3" customFormat="1" ht="15.75" thickBot="1">
      <c r="B3" s="242" t="s">
        <v>11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4"/>
    </row>
    <row r="4" spans="2:16" ht="15">
      <c r="B4" s="9" t="s">
        <v>8</v>
      </c>
      <c r="C4" s="10" t="s">
        <v>5</v>
      </c>
      <c r="D4" s="19">
        <f aca="true" t="shared" si="0" ref="D4:J4">D11</f>
        <v>138486.26</v>
      </c>
      <c r="E4" s="20">
        <f t="shared" si="0"/>
        <v>132228.08</v>
      </c>
      <c r="F4" s="20">
        <f t="shared" si="0"/>
        <v>100950.65</v>
      </c>
      <c r="G4" s="20">
        <f t="shared" si="0"/>
        <v>128105.68</v>
      </c>
      <c r="H4" s="20">
        <f t="shared" si="0"/>
        <v>142733.73</v>
      </c>
      <c r="I4" s="20">
        <f t="shared" si="0"/>
        <v>147039.22</v>
      </c>
      <c r="J4" s="20">
        <f t="shared" si="0"/>
        <v>148978.84</v>
      </c>
      <c r="K4" s="21">
        <f>K11+K9+K8</f>
        <v>141647.28</v>
      </c>
      <c r="L4" s="22">
        <f>L11+L9+L8-L10</f>
        <v>150232.226</v>
      </c>
      <c r="M4" s="35">
        <f>M11+M9+M8-M10</f>
        <v>157113.6</v>
      </c>
      <c r="N4" s="35">
        <f>N11+N9+N8-N10</f>
        <v>155080</v>
      </c>
      <c r="O4" s="35">
        <f>O11+O9+O8-O10</f>
        <v>154080</v>
      </c>
      <c r="P4" s="36">
        <f>P11+P9+P8-P10</f>
        <v>154080</v>
      </c>
    </row>
    <row r="5" spans="2:16" ht="30.75" thickBot="1">
      <c r="B5" s="112" t="s">
        <v>9</v>
      </c>
      <c r="C5" s="117" t="s">
        <v>10</v>
      </c>
      <c r="D5" s="116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109">
        <v>0</v>
      </c>
      <c r="L5" s="115">
        <f>ROUND(((L8+L9-L10)*'Auxiliary values'!$H$6),0)</f>
        <v>36016</v>
      </c>
      <c r="M5" s="113">
        <f>ROUND(((M8+M9-M10)*'Auxiliary values'!$H$6),0)</f>
        <v>42567</v>
      </c>
      <c r="N5" s="113">
        <f>ROUND(((N8+N9-N10)*'Auxiliary values'!$H$6),0)</f>
        <v>68311</v>
      </c>
      <c r="O5" s="113">
        <f>ROUND(((O8+O9-O10)*'Auxiliary values'!$H$6),0)</f>
        <v>90962</v>
      </c>
      <c r="P5" s="114">
        <f>ROUND(((P8+P9-P10)*'Auxiliary values'!$H$6),0)</f>
        <v>90962</v>
      </c>
    </row>
    <row r="6" spans="2:16" ht="15.75" thickBot="1">
      <c r="B6" s="245" t="s">
        <v>12</v>
      </c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7"/>
    </row>
    <row r="7" spans="2:16" ht="15">
      <c r="B7" s="118" t="s">
        <v>45</v>
      </c>
      <c r="C7" s="10" t="s">
        <v>5</v>
      </c>
      <c r="D7" s="127">
        <f aca="true" t="shared" si="1" ref="D7:K7">D8+D11</f>
        <v>138486.26</v>
      </c>
      <c r="E7" s="111">
        <f t="shared" si="1"/>
        <v>132228.08</v>
      </c>
      <c r="F7" s="111">
        <f t="shared" si="1"/>
        <v>100950.65</v>
      </c>
      <c r="G7" s="111">
        <f t="shared" si="1"/>
        <v>128105.68</v>
      </c>
      <c r="H7" s="111">
        <f t="shared" si="1"/>
        <v>142733.73</v>
      </c>
      <c r="I7" s="111">
        <f t="shared" si="1"/>
        <v>147039.22</v>
      </c>
      <c r="J7" s="111">
        <f t="shared" si="1"/>
        <v>148978.84</v>
      </c>
      <c r="K7" s="128">
        <f t="shared" si="1"/>
        <v>141647.28</v>
      </c>
      <c r="L7" s="22">
        <f>L8+L10+L11</f>
        <v>151158.226</v>
      </c>
      <c r="M7" s="35">
        <f>18*'Auxiliary values'!$H$7</f>
        <v>157680</v>
      </c>
      <c r="N7" s="35">
        <f>18*'Auxiliary values'!$H$7</f>
        <v>157680</v>
      </c>
      <c r="O7" s="35">
        <f>18*'Auxiliary values'!$H$7</f>
        <v>157680</v>
      </c>
      <c r="P7" s="36">
        <f>18*'Auxiliary values'!$H$7</f>
        <v>157680</v>
      </c>
    </row>
    <row r="8" spans="2:16" ht="30">
      <c r="B8" s="4" t="s">
        <v>3</v>
      </c>
      <c r="C8" s="6" t="s">
        <v>5</v>
      </c>
      <c r="D8" s="54">
        <v>0</v>
      </c>
      <c r="E8" s="55">
        <v>0</v>
      </c>
      <c r="F8" s="55">
        <v>0</v>
      </c>
      <c r="G8" s="55">
        <v>0</v>
      </c>
      <c r="H8" s="55">
        <v>0</v>
      </c>
      <c r="I8" s="55">
        <v>0</v>
      </c>
      <c r="J8" s="55">
        <v>0</v>
      </c>
      <c r="K8" s="56">
        <v>0</v>
      </c>
      <c r="L8" s="189">
        <v>40658.926</v>
      </c>
      <c r="M8" s="134">
        <v>48074.594</v>
      </c>
      <c r="N8" s="34">
        <f>5*'Auxiliary values'!$H$7</f>
        <v>43800</v>
      </c>
      <c r="O8" s="34">
        <f>6*'Auxiliary values'!$H$7</f>
        <v>52560</v>
      </c>
      <c r="P8" s="37">
        <f>6*'Auxiliary values'!$H$7</f>
        <v>52560</v>
      </c>
    </row>
    <row r="9" spans="2:16" ht="30">
      <c r="B9" s="4" t="s">
        <v>4</v>
      </c>
      <c r="C9" s="6" t="s">
        <v>5</v>
      </c>
      <c r="D9" s="54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6">
        <v>0</v>
      </c>
      <c r="L9" s="167">
        <v>0</v>
      </c>
      <c r="M9" s="55">
        <v>0</v>
      </c>
      <c r="N9" s="34">
        <f>4*'Auxiliary values'!$H$7</f>
        <v>35040</v>
      </c>
      <c r="O9" s="34">
        <f>6*'Auxiliary values'!$H$7</f>
        <v>52560</v>
      </c>
      <c r="P9" s="37">
        <f>6*'Auxiliary values'!$H$7</f>
        <v>52560</v>
      </c>
    </row>
    <row r="10" spans="2:16" ht="15">
      <c r="B10" s="4" t="s">
        <v>73</v>
      </c>
      <c r="C10" s="6" t="s">
        <v>5</v>
      </c>
      <c r="D10" s="54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6">
        <v>0</v>
      </c>
      <c r="L10" s="133">
        <v>463</v>
      </c>
      <c r="M10" s="134">
        <v>566.4</v>
      </c>
      <c r="N10" s="134">
        <v>2600</v>
      </c>
      <c r="O10" s="134">
        <v>3600</v>
      </c>
      <c r="P10" s="135">
        <v>3600</v>
      </c>
    </row>
    <row r="11" spans="2:16" ht="15.75" thickBot="1">
      <c r="B11" s="18" t="s">
        <v>8</v>
      </c>
      <c r="C11" s="13" t="s">
        <v>5</v>
      </c>
      <c r="D11" s="24">
        <v>138486.26</v>
      </c>
      <c r="E11" s="25">
        <v>132228.08</v>
      </c>
      <c r="F11" s="25">
        <v>100950.65</v>
      </c>
      <c r="G11" s="25">
        <v>128105.68</v>
      </c>
      <c r="H11" s="25">
        <v>142733.73</v>
      </c>
      <c r="I11" s="25">
        <v>147039.22</v>
      </c>
      <c r="J11" s="25">
        <v>148978.84</v>
      </c>
      <c r="K11" s="26">
        <v>141647.28</v>
      </c>
      <c r="L11" s="28">
        <v>110036.3</v>
      </c>
      <c r="M11" s="40">
        <f>M7-M8-M9</f>
        <v>109605.406</v>
      </c>
      <c r="N11" s="40">
        <f>N7-N8-N9</f>
        <v>78840</v>
      </c>
      <c r="O11" s="40">
        <f>O7-O8-O9</f>
        <v>52560</v>
      </c>
      <c r="P11" s="41">
        <f>P7-P8-P9</f>
        <v>52560</v>
      </c>
    </row>
    <row r="12" spans="2:16" ht="30">
      <c r="B12" s="129" t="s">
        <v>71</v>
      </c>
      <c r="C12" s="11" t="s">
        <v>1</v>
      </c>
      <c r="D12" s="130">
        <v>0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107">
        <v>0</v>
      </c>
      <c r="L12" s="168">
        <v>0</v>
      </c>
      <c r="M12" s="59">
        <v>0</v>
      </c>
      <c r="N12" s="35">
        <f>'Auxiliary values'!$D$28*'Auxiliary values'!$H$7*4.187</f>
        <v>987450.6943200001</v>
      </c>
      <c r="O12" s="35">
        <f>'Auxiliary values'!$D$20*'Auxiliary values'!$H$7*4.187</f>
        <v>1539261.37644</v>
      </c>
      <c r="P12" s="36">
        <f>O12</f>
        <v>1539261.37644</v>
      </c>
    </row>
    <row r="13" spans="2:16" ht="15.75" thickBot="1">
      <c r="B13" s="131" t="s">
        <v>72</v>
      </c>
      <c r="C13" s="13" t="s">
        <v>101</v>
      </c>
      <c r="D13" s="116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109">
        <v>0</v>
      </c>
      <c r="L13" s="169">
        <v>0</v>
      </c>
      <c r="M13" s="60">
        <v>0</v>
      </c>
      <c r="N13" s="38">
        <f>'Auxiliary values'!$H$28*'Auxiliary values'!$H$7*4.187</f>
        <v>643910.4576</v>
      </c>
      <c r="O13" s="38">
        <f>'Auxiliary values'!$H$20*'Auxiliary values'!$H$7*4.187</f>
        <v>1073184.096</v>
      </c>
      <c r="P13" s="39">
        <f>O13</f>
        <v>1073184.096</v>
      </c>
    </row>
    <row r="14" spans="2:16" ht="15">
      <c r="B14" s="248" t="s">
        <v>25</v>
      </c>
      <c r="C14" s="104" t="s">
        <v>0</v>
      </c>
      <c r="D14" s="124">
        <v>0</v>
      </c>
      <c r="E14" s="125">
        <v>0</v>
      </c>
      <c r="F14" s="125">
        <v>0</v>
      </c>
      <c r="G14" s="125">
        <v>0</v>
      </c>
      <c r="H14" s="125">
        <v>0</v>
      </c>
      <c r="I14" s="125">
        <v>0</v>
      </c>
      <c r="J14" s="125">
        <v>0</v>
      </c>
      <c r="K14" s="126">
        <v>0</v>
      </c>
      <c r="L14" s="106">
        <f>L15/'Auxiliary values'!$H$4*1000</f>
        <v>0</v>
      </c>
      <c r="M14" s="52">
        <f>M15/'Auxiliary values'!$H$4*1000</f>
        <v>0</v>
      </c>
      <c r="N14" s="52">
        <f>N15/'Auxiliary values'!$H$4*1000/4.187</f>
        <v>20532.84695729884</v>
      </c>
      <c r="O14" s="52">
        <f>O15/'Auxiliary values'!$H$4*1000/4.187</f>
        <v>27856.688814441386</v>
      </c>
      <c r="P14" s="53">
        <f>P15/'Auxiliary values'!$H$4*1000/4.187</f>
        <v>27856.688814441386</v>
      </c>
    </row>
    <row r="15" spans="2:16" ht="15">
      <c r="B15" s="249"/>
      <c r="C15" s="11" t="s">
        <v>101</v>
      </c>
      <c r="D15" s="54">
        <f>D14*'Auxiliary values'!$H$4/1000</f>
        <v>0</v>
      </c>
      <c r="E15" s="55">
        <f>E14*'Auxiliary values'!$H$4/1000</f>
        <v>0</v>
      </c>
      <c r="F15" s="55">
        <f>F14*'Auxiliary values'!$H$4/1000</f>
        <v>0</v>
      </c>
      <c r="G15" s="55">
        <f>G14*'Auxiliary values'!$H$4/1000</f>
        <v>0</v>
      </c>
      <c r="H15" s="55">
        <f>H14*'Auxiliary values'!$H$4/1000</f>
        <v>0</v>
      </c>
      <c r="I15" s="55">
        <f>I14*'Auxiliary values'!$H$4/1000</f>
        <v>0</v>
      </c>
      <c r="J15" s="55">
        <f>J14*'Auxiliary values'!$H$4/1000</f>
        <v>0</v>
      </c>
      <c r="K15" s="108">
        <f>K14*'Auxiliary values'!$H$4/1000</f>
        <v>0</v>
      </c>
      <c r="L15" s="23">
        <f>(L12-L13)</f>
        <v>0</v>
      </c>
      <c r="M15" s="34">
        <f>(M12-M13)</f>
        <v>0</v>
      </c>
      <c r="N15" s="34">
        <f>(N12-N13)</f>
        <v>343540.23672000016</v>
      </c>
      <c r="O15" s="34">
        <f>(O12-O13)</f>
        <v>466077.2804400001</v>
      </c>
      <c r="P15" s="37">
        <f>(P12-P13)</f>
        <v>466077.2804400001</v>
      </c>
    </row>
    <row r="16" spans="2:16" ht="15">
      <c r="B16" s="249" t="s">
        <v>26</v>
      </c>
      <c r="C16" s="11" t="s">
        <v>0</v>
      </c>
      <c r="D16" s="54">
        <f>D17/'Auxiliary values'!$H$3*1000</f>
        <v>0</v>
      </c>
      <c r="E16" s="55">
        <f>E17/'Auxiliary values'!$H$3*1000</f>
        <v>0</v>
      </c>
      <c r="F16" s="55">
        <f>F17/'Auxiliary values'!$H$3*1000</f>
        <v>0</v>
      </c>
      <c r="G16" s="55">
        <f>G17/'Auxiliary values'!$H$3*1000</f>
        <v>0</v>
      </c>
      <c r="H16" s="55">
        <f>H17/'Auxiliary values'!$H$3*1000</f>
        <v>0</v>
      </c>
      <c r="I16" s="55">
        <f>I17/'Auxiliary values'!$H$3*1000</f>
        <v>0</v>
      </c>
      <c r="J16" s="55">
        <f>J17/'Auxiliary values'!$H$3*1000</f>
        <v>0</v>
      </c>
      <c r="K16" s="108">
        <f>K17/'Auxiliary values'!$H$3*1000</f>
        <v>0</v>
      </c>
      <c r="L16" s="23">
        <f>L17/'Auxiliary values'!$H$3*1000</f>
        <v>0</v>
      </c>
      <c r="M16" s="34">
        <f>M17/'Auxiliary values'!$H$3*1000</f>
        <v>0</v>
      </c>
      <c r="N16" s="34">
        <f>N17/'Auxiliary values'!$H$3*1000/4.187</f>
        <v>10372.851636076633</v>
      </c>
      <c r="O16" s="34">
        <f>O17/'Auxiliary values'!$H$3*1000/4.187</f>
        <v>14072.734323958</v>
      </c>
      <c r="P16" s="37">
        <f>P17/'Auxiliary values'!$H$3*1000/4.187</f>
        <v>14072.734323958</v>
      </c>
    </row>
    <row r="17" spans="2:16" ht="15.75" thickBot="1">
      <c r="B17" s="250"/>
      <c r="C17" s="12" t="s">
        <v>101</v>
      </c>
      <c r="D17" s="57">
        <f>D15</f>
        <v>0</v>
      </c>
      <c r="E17" s="105">
        <f aca="true" t="shared" si="2" ref="E17:P17">E15</f>
        <v>0</v>
      </c>
      <c r="F17" s="105">
        <f t="shared" si="2"/>
        <v>0</v>
      </c>
      <c r="G17" s="105">
        <f t="shared" si="2"/>
        <v>0</v>
      </c>
      <c r="H17" s="105">
        <f t="shared" si="2"/>
        <v>0</v>
      </c>
      <c r="I17" s="105">
        <f t="shared" si="2"/>
        <v>0</v>
      </c>
      <c r="J17" s="105">
        <f t="shared" si="2"/>
        <v>0</v>
      </c>
      <c r="K17" s="110">
        <f t="shared" si="2"/>
        <v>0</v>
      </c>
      <c r="L17" s="28">
        <f t="shared" si="2"/>
        <v>0</v>
      </c>
      <c r="M17" s="40">
        <f t="shared" si="2"/>
        <v>0</v>
      </c>
      <c r="N17" s="40">
        <f t="shared" si="2"/>
        <v>343540.23672000016</v>
      </c>
      <c r="O17" s="40">
        <f>O15</f>
        <v>466077.2804400001</v>
      </c>
      <c r="P17" s="41">
        <f t="shared" si="2"/>
        <v>466077.2804400001</v>
      </c>
    </row>
    <row r="18" spans="2:16" ht="15">
      <c r="B18" s="14" t="s">
        <v>74</v>
      </c>
      <c r="C18" s="15" t="s">
        <v>10</v>
      </c>
      <c r="D18" s="130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107">
        <v>0</v>
      </c>
      <c r="L18" s="22">
        <v>0</v>
      </c>
      <c r="M18" s="35">
        <v>0</v>
      </c>
      <c r="N18" s="35">
        <v>0</v>
      </c>
      <c r="O18" s="35">
        <v>0</v>
      </c>
      <c r="P18" s="36">
        <v>0</v>
      </c>
    </row>
    <row r="19" spans="2:16" ht="30.75" thickBot="1">
      <c r="B19" s="112" t="s">
        <v>14</v>
      </c>
      <c r="C19" s="117" t="s">
        <v>10</v>
      </c>
      <c r="D19" s="116">
        <f>D17*4.187*'Auxiliary values'!$H$5/1000</f>
        <v>0</v>
      </c>
      <c r="E19" s="60">
        <f>E17*4.187*'Auxiliary values'!$H$5/1000</f>
        <v>0</v>
      </c>
      <c r="F19" s="60">
        <f>F17*4.187*'Auxiliary values'!$H$5/1000</f>
        <v>0</v>
      </c>
      <c r="G19" s="60">
        <f>G17*4.187*'Auxiliary values'!$H$5/1000</f>
        <v>0</v>
      </c>
      <c r="H19" s="60">
        <f>H17*4.187*'Auxiliary values'!$H$5/1000</f>
        <v>0</v>
      </c>
      <c r="I19" s="60">
        <f>I17*4.187*'Auxiliary values'!$H$5/1000</f>
        <v>0</v>
      </c>
      <c r="J19" s="60">
        <f>J17*4.187*'Auxiliary values'!$H$5/1000</f>
        <v>0</v>
      </c>
      <c r="K19" s="109">
        <f>K17*4.187*'Auxiliary values'!$H$5/1000</f>
        <v>0</v>
      </c>
      <c r="L19" s="27">
        <f>ROUND(L17*'Auxiliary values'!$H$5/1000,0)</f>
        <v>0</v>
      </c>
      <c r="M19" s="38">
        <f>ROUND(M17*'Auxiliary values'!$H$5/1000,0)</f>
        <v>0</v>
      </c>
      <c r="N19" s="38">
        <f>ROUND(N17*'Auxiliary values'!$H$5/1000,0)</f>
        <v>19273</v>
      </c>
      <c r="O19" s="38">
        <f>ROUND(O17*'Auxiliary values'!$H$5/1000,0)</f>
        <v>26147</v>
      </c>
      <c r="P19" s="39">
        <f>ROUND(P17*'Auxiliary values'!$H$5/1000,0)</f>
        <v>26147</v>
      </c>
    </row>
    <row r="20" spans="2:16" s="51" customFormat="1" ht="23.25" customHeight="1" thickBot="1">
      <c r="B20" s="49" t="s">
        <v>13</v>
      </c>
      <c r="C20" s="50" t="s">
        <v>10</v>
      </c>
      <c r="D20" s="58">
        <f aca="true" t="shared" si="3" ref="D20:P20">D5-D18-D19</f>
        <v>0</v>
      </c>
      <c r="E20" s="119">
        <f t="shared" si="3"/>
        <v>0</v>
      </c>
      <c r="F20" s="119">
        <f t="shared" si="3"/>
        <v>0</v>
      </c>
      <c r="G20" s="119">
        <f t="shared" si="3"/>
        <v>0</v>
      </c>
      <c r="H20" s="119">
        <f t="shared" si="3"/>
        <v>0</v>
      </c>
      <c r="I20" s="119">
        <f t="shared" si="3"/>
        <v>0</v>
      </c>
      <c r="J20" s="119">
        <f t="shared" si="3"/>
        <v>0</v>
      </c>
      <c r="K20" s="120">
        <f t="shared" si="3"/>
        <v>0</v>
      </c>
      <c r="L20" s="121">
        <f t="shared" si="3"/>
        <v>36016</v>
      </c>
      <c r="M20" s="122">
        <f t="shared" si="3"/>
        <v>42567</v>
      </c>
      <c r="N20" s="122">
        <f t="shared" si="3"/>
        <v>49038</v>
      </c>
      <c r="O20" s="122">
        <f t="shared" si="3"/>
        <v>64815</v>
      </c>
      <c r="P20" s="123">
        <f t="shared" si="3"/>
        <v>64815</v>
      </c>
    </row>
    <row r="21" spans="12:16" ht="15.75" thickBot="1">
      <c r="L21" s="239">
        <f>SUM(L20:P20)</f>
        <v>257251</v>
      </c>
      <c r="M21" s="240"/>
      <c r="N21" s="240"/>
      <c r="O21" s="240"/>
      <c r="P21" s="241"/>
    </row>
    <row r="22" ht="10.5" customHeight="1" thickBot="1"/>
    <row r="23" spans="8:16" ht="15.75" customHeight="1" thickBot="1">
      <c r="H23" s="237" t="s">
        <v>76</v>
      </c>
      <c r="I23" s="238"/>
      <c r="J23" s="238"/>
      <c r="K23" s="132" t="s">
        <v>10</v>
      </c>
      <c r="L23" s="235">
        <f>P20*8</f>
        <v>518520</v>
      </c>
      <c r="M23" s="235"/>
      <c r="N23" s="235"/>
      <c r="O23" s="235"/>
      <c r="P23" s="236"/>
    </row>
    <row r="26" spans="6:8" ht="15">
      <c r="F26" s="43"/>
      <c r="G26" s="43"/>
      <c r="H26" s="43"/>
    </row>
    <row r="27" spans="6:8" ht="15">
      <c r="F27" s="43"/>
      <c r="G27" s="43"/>
      <c r="H27" s="43"/>
    </row>
  </sheetData>
  <sheetProtection/>
  <mergeCells count="7">
    <mergeCell ref="L23:P23"/>
    <mergeCell ref="H23:J23"/>
    <mergeCell ref="L21:P21"/>
    <mergeCell ref="B3:P3"/>
    <mergeCell ref="B6:P6"/>
    <mergeCell ref="B14:B15"/>
    <mergeCell ref="B16:B17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9"/>
  <sheetViews>
    <sheetView zoomScale="80" zoomScaleNormal="80" zoomScalePageLayoutView="0" workbookViewId="0" topLeftCell="A1">
      <selection activeCell="G44" sqref="G44"/>
    </sheetView>
  </sheetViews>
  <sheetFormatPr defaultColWidth="9.140625" defaultRowHeight="15"/>
  <cols>
    <col min="1" max="1" width="31.8515625" style="0" bestFit="1" customWidth="1"/>
    <col min="2" max="2" width="11.57421875" style="0" bestFit="1" customWidth="1"/>
    <col min="3" max="3" width="12.7109375" style="0" customWidth="1"/>
    <col min="4" max="4" width="12.00390625" style="0" customWidth="1"/>
    <col min="5" max="5" width="12.00390625" style="0" bestFit="1" customWidth="1"/>
    <col min="6" max="6" width="11.57421875" style="0" bestFit="1" customWidth="1"/>
    <col min="7" max="7" width="15.140625" style="0" bestFit="1" customWidth="1"/>
    <col min="8" max="8" width="11.421875" style="0" customWidth="1"/>
    <col min="9" max="9" width="11.57421875" style="0" bestFit="1" customWidth="1"/>
    <col min="10" max="24" width="12.140625" style="0" bestFit="1" customWidth="1"/>
  </cols>
  <sheetData>
    <row r="1" spans="1:2" ht="15">
      <c r="A1" s="43"/>
      <c r="B1" s="43"/>
    </row>
    <row r="2" spans="1:24" s="194" customFormat="1" ht="15">
      <c r="A2" s="195" t="s">
        <v>46</v>
      </c>
      <c r="B2" s="196"/>
      <c r="C2" s="196"/>
      <c r="D2" s="196">
        <v>0</v>
      </c>
      <c r="E2" s="196">
        <v>1</v>
      </c>
      <c r="F2" s="196">
        <v>2</v>
      </c>
      <c r="G2" s="196">
        <v>3</v>
      </c>
      <c r="H2" s="196">
        <v>4</v>
      </c>
      <c r="I2" s="196">
        <v>5</v>
      </c>
      <c r="J2" s="196">
        <v>6</v>
      </c>
      <c r="K2" s="196">
        <v>7</v>
      </c>
      <c r="L2" s="196">
        <v>8</v>
      </c>
      <c r="M2" s="196">
        <v>9</v>
      </c>
      <c r="N2" s="196">
        <v>10</v>
      </c>
      <c r="O2" s="196">
        <v>11</v>
      </c>
      <c r="P2" s="196">
        <v>12</v>
      </c>
      <c r="Q2" s="196">
        <v>13</v>
      </c>
      <c r="R2" s="196">
        <v>14</v>
      </c>
      <c r="S2" s="196">
        <v>15</v>
      </c>
      <c r="T2" s="196">
        <v>16</v>
      </c>
      <c r="U2" s="196">
        <v>17</v>
      </c>
      <c r="V2" s="196">
        <v>18</v>
      </c>
      <c r="W2" s="196">
        <v>19</v>
      </c>
      <c r="X2" s="196">
        <v>20</v>
      </c>
    </row>
    <row r="3" spans="1:24" ht="15">
      <c r="A3" s="83" t="s">
        <v>47</v>
      </c>
      <c r="B3" s="84"/>
      <c r="C3" s="85"/>
      <c r="D3" s="85">
        <f aca="true" t="shared" si="0" ref="D3:X3">1/(1+$B$4)^D2</f>
        <v>1</v>
      </c>
      <c r="E3" s="85">
        <f t="shared" si="0"/>
        <v>0.9276595744680852</v>
      </c>
      <c r="F3" s="85">
        <f t="shared" si="0"/>
        <v>0.860552286102309</v>
      </c>
      <c r="G3" s="85">
        <f t="shared" si="0"/>
        <v>0.7982995675332059</v>
      </c>
      <c r="H3" s="85">
        <f t="shared" si="0"/>
        <v>0.7405502371159103</v>
      </c>
      <c r="I3" s="85">
        <f t="shared" si="0"/>
        <v>0.6869785178351849</v>
      </c>
      <c r="J3" s="85">
        <f t="shared" si="0"/>
        <v>0.6372821995237036</v>
      </c>
      <c r="K3" s="85">
        <f t="shared" si="0"/>
        <v>0.5911809340262442</v>
      </c>
      <c r="L3" s="85">
        <f t="shared" si="0"/>
        <v>0.5484146536924309</v>
      </c>
      <c r="M3" s="85">
        <f t="shared" si="0"/>
        <v>0.5087421042763828</v>
      </c>
      <c r="N3" s="85">
        <f t="shared" si="0"/>
        <v>0.4719394839670275</v>
      </c>
      <c r="O3" s="85">
        <f t="shared" si="0"/>
        <v>0.4377991808715404</v>
      </c>
      <c r="P3" s="85">
        <f t="shared" si="0"/>
        <v>0.40612860182976956</v>
      </c>
      <c r="Q3" s="85">
        <f t="shared" si="0"/>
        <v>0.37674908595272244</v>
      </c>
      <c r="R3" s="85">
        <f t="shared" si="0"/>
        <v>0.34949489675614254</v>
      </c>
      <c r="S3" s="85">
        <f t="shared" si="0"/>
        <v>0.32421228720357054</v>
      </c>
      <c r="T3" s="85">
        <f t="shared" si="0"/>
        <v>0.30075863238458894</v>
      </c>
      <c r="U3" s="85">
        <f t="shared" si="0"/>
        <v>0.2790016249354911</v>
      </c>
      <c r="V3" s="85">
        <f t="shared" si="0"/>
        <v>0.258818528663562</v>
      </c>
      <c r="W3" s="85">
        <f t="shared" si="0"/>
        <v>0.24009548616449577</v>
      </c>
      <c r="X3" s="85">
        <f t="shared" si="0"/>
        <v>0.22272687652706424</v>
      </c>
    </row>
    <row r="4" spans="1:23" ht="15">
      <c r="A4" s="62" t="s">
        <v>65</v>
      </c>
      <c r="B4" s="137">
        <f>'DR'!C11</f>
        <v>0.07798165137614665</v>
      </c>
      <c r="C4" s="43"/>
      <c r="D4" s="43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1:23" ht="15">
      <c r="A5" s="62" t="s">
        <v>68</v>
      </c>
      <c r="B5" s="103">
        <v>6.83</v>
      </c>
      <c r="C5" s="43"/>
      <c r="D5" s="43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</row>
    <row r="7" spans="1:24" ht="15">
      <c r="A7" s="77" t="s">
        <v>48</v>
      </c>
      <c r="B7" s="78"/>
      <c r="C7" s="81"/>
      <c r="D7" s="190">
        <v>2005</v>
      </c>
      <c r="E7" s="190">
        <v>2006</v>
      </c>
      <c r="F7" s="190">
        <v>2007</v>
      </c>
      <c r="G7" s="190">
        <v>2008</v>
      </c>
      <c r="H7" s="190">
        <v>2009</v>
      </c>
      <c r="I7" s="190">
        <v>2010</v>
      </c>
      <c r="J7" s="190">
        <v>2011</v>
      </c>
      <c r="K7" s="190">
        <v>2012</v>
      </c>
      <c r="L7" s="190">
        <v>2013</v>
      </c>
      <c r="M7" s="190">
        <v>2014</v>
      </c>
      <c r="N7" s="190">
        <v>2015</v>
      </c>
      <c r="O7" s="190">
        <v>2016</v>
      </c>
      <c r="P7" s="190">
        <v>2017</v>
      </c>
      <c r="Q7" s="190">
        <v>2018</v>
      </c>
      <c r="R7" s="190">
        <v>2019</v>
      </c>
      <c r="S7" s="190">
        <v>2020</v>
      </c>
      <c r="T7" s="190">
        <v>2021</v>
      </c>
      <c r="U7" s="190">
        <v>2022</v>
      </c>
      <c r="V7" s="190">
        <v>2023</v>
      </c>
      <c r="W7" s="190">
        <v>2024</v>
      </c>
      <c r="X7" s="190">
        <v>2025</v>
      </c>
    </row>
    <row r="8" spans="5:23" ht="15"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</row>
    <row r="9" spans="1:20" ht="15">
      <c r="A9" t="s">
        <v>49</v>
      </c>
      <c r="B9" s="64" t="s">
        <v>60</v>
      </c>
      <c r="C9" s="65"/>
      <c r="D9" s="65">
        <f>-23251</f>
        <v>-23251</v>
      </c>
      <c r="F9" s="65">
        <f>-49784</f>
        <v>-49784</v>
      </c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</row>
    <row r="10" spans="2:20" ht="15">
      <c r="B10" s="64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</row>
    <row r="11" spans="1:24" ht="15">
      <c r="A11" t="s">
        <v>67</v>
      </c>
      <c r="B11" s="64" t="s">
        <v>5</v>
      </c>
      <c r="C11" s="65"/>
      <c r="D11" s="65">
        <v>0</v>
      </c>
      <c r="E11" s="65">
        <v>0</v>
      </c>
      <c r="F11" s="65">
        <v>0</v>
      </c>
      <c r="G11" s="65">
        <f>Model!L8+Model!L9</f>
        <v>40658.926</v>
      </c>
      <c r="H11" s="65">
        <f>Model!M8+Model!M9</f>
        <v>48074.594</v>
      </c>
      <c r="I11" s="65">
        <f>Model!N8+Model!N9</f>
        <v>78840</v>
      </c>
      <c r="J11" s="65">
        <f>Model!O8+Model!O9</f>
        <v>105120</v>
      </c>
      <c r="K11" s="65">
        <f>Model!P8+Model!P9</f>
        <v>105120</v>
      </c>
      <c r="L11" s="65">
        <f>K11</f>
        <v>105120</v>
      </c>
      <c r="M11" s="65">
        <f aca="true" t="shared" si="1" ref="M11:X11">L11</f>
        <v>105120</v>
      </c>
      <c r="N11" s="65">
        <f t="shared" si="1"/>
        <v>105120</v>
      </c>
      <c r="O11" s="65">
        <f t="shared" si="1"/>
        <v>105120</v>
      </c>
      <c r="P11" s="65">
        <f t="shared" si="1"/>
        <v>105120</v>
      </c>
      <c r="Q11" s="65">
        <f t="shared" si="1"/>
        <v>105120</v>
      </c>
      <c r="R11" s="65">
        <f t="shared" si="1"/>
        <v>105120</v>
      </c>
      <c r="S11" s="65">
        <f t="shared" si="1"/>
        <v>105120</v>
      </c>
      <c r="T11" s="65">
        <f t="shared" si="1"/>
        <v>105120</v>
      </c>
      <c r="U11" s="65">
        <f t="shared" si="1"/>
        <v>105120</v>
      </c>
      <c r="V11" s="65">
        <f t="shared" si="1"/>
        <v>105120</v>
      </c>
      <c r="W11" s="65">
        <f t="shared" si="1"/>
        <v>105120</v>
      </c>
      <c r="X11" s="65">
        <f t="shared" si="1"/>
        <v>105120</v>
      </c>
    </row>
    <row r="12" spans="1:24" ht="15">
      <c r="A12" t="s">
        <v>59</v>
      </c>
      <c r="B12" s="64" t="s">
        <v>61</v>
      </c>
      <c r="C12" s="65"/>
      <c r="D12" s="65">
        <v>144.2</v>
      </c>
      <c r="E12" s="65">
        <f>D12</f>
        <v>144.2</v>
      </c>
      <c r="F12" s="65">
        <f>E12</f>
        <v>144.2</v>
      </c>
      <c r="G12" s="65">
        <f>F12</f>
        <v>144.2</v>
      </c>
      <c r="H12" s="65">
        <f>G12</f>
        <v>144.2</v>
      </c>
      <c r="I12" s="65">
        <f>H12</f>
        <v>144.2</v>
      </c>
      <c r="J12" s="65">
        <f aca="true" t="shared" si="2" ref="J12:X12">I12</f>
        <v>144.2</v>
      </c>
      <c r="K12" s="65">
        <f t="shared" si="2"/>
        <v>144.2</v>
      </c>
      <c r="L12" s="65">
        <f t="shared" si="2"/>
        <v>144.2</v>
      </c>
      <c r="M12" s="65">
        <f t="shared" si="2"/>
        <v>144.2</v>
      </c>
      <c r="N12" s="65">
        <f t="shared" si="2"/>
        <v>144.2</v>
      </c>
      <c r="O12" s="65">
        <f t="shared" si="2"/>
        <v>144.2</v>
      </c>
      <c r="P12" s="65">
        <f t="shared" si="2"/>
        <v>144.2</v>
      </c>
      <c r="Q12" s="65">
        <f t="shared" si="2"/>
        <v>144.2</v>
      </c>
      <c r="R12" s="65">
        <f t="shared" si="2"/>
        <v>144.2</v>
      </c>
      <c r="S12" s="65">
        <f t="shared" si="2"/>
        <v>144.2</v>
      </c>
      <c r="T12" s="65">
        <f t="shared" si="2"/>
        <v>144.2</v>
      </c>
      <c r="U12" s="65">
        <f t="shared" si="2"/>
        <v>144.2</v>
      </c>
      <c r="V12" s="65">
        <f t="shared" si="2"/>
        <v>144.2</v>
      </c>
      <c r="W12" s="65">
        <f t="shared" si="2"/>
        <v>144.2</v>
      </c>
      <c r="X12" s="65">
        <f t="shared" si="2"/>
        <v>144.2</v>
      </c>
    </row>
    <row r="13" spans="1:24" ht="15">
      <c r="A13" t="s">
        <v>66</v>
      </c>
      <c r="B13" s="64" t="s">
        <v>60</v>
      </c>
      <c r="C13" s="65"/>
      <c r="D13" s="65">
        <v>0</v>
      </c>
      <c r="E13" s="65">
        <v>0</v>
      </c>
      <c r="F13" s="65">
        <v>0</v>
      </c>
      <c r="G13" s="65">
        <f>G12*G11/1000</f>
        <v>5863.0171291999995</v>
      </c>
      <c r="H13" s="65">
        <f aca="true" t="shared" si="3" ref="H13:W13">H12*H11/1000</f>
        <v>6932.3564547999995</v>
      </c>
      <c r="I13" s="65">
        <f t="shared" si="3"/>
        <v>11368.728</v>
      </c>
      <c r="J13" s="65">
        <f t="shared" si="3"/>
        <v>15158.303999999998</v>
      </c>
      <c r="K13" s="65">
        <f t="shared" si="3"/>
        <v>15158.303999999998</v>
      </c>
      <c r="L13" s="65">
        <f t="shared" si="3"/>
        <v>15158.303999999998</v>
      </c>
      <c r="M13" s="65">
        <f t="shared" si="3"/>
        <v>15158.303999999998</v>
      </c>
      <c r="N13" s="65">
        <f t="shared" si="3"/>
        <v>15158.303999999998</v>
      </c>
      <c r="O13" s="65">
        <f t="shared" si="3"/>
        <v>15158.303999999998</v>
      </c>
      <c r="P13" s="65">
        <f t="shared" si="3"/>
        <v>15158.303999999998</v>
      </c>
      <c r="Q13" s="65">
        <f t="shared" si="3"/>
        <v>15158.303999999998</v>
      </c>
      <c r="R13" s="65">
        <f t="shared" si="3"/>
        <v>15158.303999999998</v>
      </c>
      <c r="S13" s="65">
        <f t="shared" si="3"/>
        <v>15158.303999999998</v>
      </c>
      <c r="T13" s="65">
        <f t="shared" si="3"/>
        <v>15158.303999999998</v>
      </c>
      <c r="U13" s="65">
        <f t="shared" si="3"/>
        <v>15158.303999999998</v>
      </c>
      <c r="V13" s="65">
        <f t="shared" si="3"/>
        <v>15158.303999999998</v>
      </c>
      <c r="W13" s="65">
        <f t="shared" si="3"/>
        <v>15158.303999999998</v>
      </c>
      <c r="X13" s="65">
        <f>X12*X11/1000</f>
        <v>15158.303999999998</v>
      </c>
    </row>
    <row r="14" spans="2:24" ht="15">
      <c r="B14" s="64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</row>
    <row r="15" spans="1:24" ht="15">
      <c r="A15" t="s">
        <v>63</v>
      </c>
      <c r="B15" s="64" t="s">
        <v>61</v>
      </c>
      <c r="C15" s="65"/>
      <c r="D15" s="65">
        <v>0</v>
      </c>
      <c r="E15" s="65">
        <v>0</v>
      </c>
      <c r="F15" s="65">
        <v>0</v>
      </c>
      <c r="G15" s="65">
        <f>165.7/1.749</f>
        <v>94.73985134362492</v>
      </c>
      <c r="H15" s="65">
        <f>G15</f>
        <v>94.73985134362492</v>
      </c>
      <c r="I15" s="65">
        <f>140/1.749</f>
        <v>80.0457404230989</v>
      </c>
      <c r="J15" s="65">
        <f aca="true" t="shared" si="4" ref="J15:X15">I15</f>
        <v>80.0457404230989</v>
      </c>
      <c r="K15" s="65">
        <f t="shared" si="4"/>
        <v>80.0457404230989</v>
      </c>
      <c r="L15" s="65">
        <f t="shared" si="4"/>
        <v>80.0457404230989</v>
      </c>
      <c r="M15" s="65">
        <f t="shared" si="4"/>
        <v>80.0457404230989</v>
      </c>
      <c r="N15" s="65">
        <f t="shared" si="4"/>
        <v>80.0457404230989</v>
      </c>
      <c r="O15" s="65">
        <f t="shared" si="4"/>
        <v>80.0457404230989</v>
      </c>
      <c r="P15" s="65">
        <f t="shared" si="4"/>
        <v>80.0457404230989</v>
      </c>
      <c r="Q15" s="65">
        <f t="shared" si="4"/>
        <v>80.0457404230989</v>
      </c>
      <c r="R15" s="65">
        <f t="shared" si="4"/>
        <v>80.0457404230989</v>
      </c>
      <c r="S15" s="65">
        <f t="shared" si="4"/>
        <v>80.0457404230989</v>
      </c>
      <c r="T15" s="65">
        <f t="shared" si="4"/>
        <v>80.0457404230989</v>
      </c>
      <c r="U15" s="65">
        <f t="shared" si="4"/>
        <v>80.0457404230989</v>
      </c>
      <c r="V15" s="65">
        <f t="shared" si="4"/>
        <v>80.0457404230989</v>
      </c>
      <c r="W15" s="65">
        <f t="shared" si="4"/>
        <v>80.0457404230989</v>
      </c>
      <c r="X15" s="65">
        <f t="shared" si="4"/>
        <v>80.0457404230989</v>
      </c>
    </row>
    <row r="16" spans="1:24" ht="15">
      <c r="A16" t="s">
        <v>64</v>
      </c>
      <c r="B16" s="64" t="s">
        <v>62</v>
      </c>
      <c r="C16" s="65"/>
      <c r="D16" s="65">
        <f>-D15*D11/1000</f>
        <v>0</v>
      </c>
      <c r="E16" s="65">
        <f>-E15*E11/1000</f>
        <v>0</v>
      </c>
      <c r="F16" s="65">
        <f aca="true" t="shared" si="5" ref="F16:W16">-F15*F11/1000</f>
        <v>0</v>
      </c>
      <c r="G16" s="65">
        <f t="shared" si="5"/>
        <v>-3852.020605031446</v>
      </c>
      <c r="H16" s="65">
        <f t="shared" si="5"/>
        <v>-4554.579888965122</v>
      </c>
      <c r="I16" s="65">
        <f t="shared" si="5"/>
        <v>-6310.806174957118</v>
      </c>
      <c r="J16" s="65">
        <f t="shared" si="5"/>
        <v>-8414.408233276157</v>
      </c>
      <c r="K16" s="65">
        <f t="shared" si="5"/>
        <v>-8414.408233276157</v>
      </c>
      <c r="L16" s="65">
        <f t="shared" si="5"/>
        <v>-8414.408233276157</v>
      </c>
      <c r="M16" s="65">
        <f t="shared" si="5"/>
        <v>-8414.408233276157</v>
      </c>
      <c r="N16" s="65">
        <f t="shared" si="5"/>
        <v>-8414.408233276157</v>
      </c>
      <c r="O16" s="65">
        <f t="shared" si="5"/>
        <v>-8414.408233276157</v>
      </c>
      <c r="P16" s="65">
        <f t="shared" si="5"/>
        <v>-8414.408233276157</v>
      </c>
      <c r="Q16" s="65">
        <f t="shared" si="5"/>
        <v>-8414.408233276157</v>
      </c>
      <c r="R16" s="65">
        <f t="shared" si="5"/>
        <v>-8414.408233276157</v>
      </c>
      <c r="S16" s="65">
        <f t="shared" si="5"/>
        <v>-8414.408233276157</v>
      </c>
      <c r="T16" s="65">
        <f t="shared" si="5"/>
        <v>-8414.408233276157</v>
      </c>
      <c r="U16" s="65">
        <f t="shared" si="5"/>
        <v>-8414.408233276157</v>
      </c>
      <c r="V16" s="65">
        <f t="shared" si="5"/>
        <v>-8414.408233276157</v>
      </c>
      <c r="W16" s="65">
        <f t="shared" si="5"/>
        <v>-8414.408233276157</v>
      </c>
      <c r="X16" s="65">
        <f>-X15*X11/1000</f>
        <v>-8414.408233276157</v>
      </c>
    </row>
    <row r="17" spans="2:24" ht="15">
      <c r="B17" s="64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</row>
    <row r="18" spans="1:24" ht="15">
      <c r="A18" t="s">
        <v>104</v>
      </c>
      <c r="B18" s="64" t="s">
        <v>2</v>
      </c>
      <c r="C18" s="65"/>
      <c r="D18" s="65">
        <f>42.87+47.498</f>
        <v>90.368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>
        <f>D18</f>
        <v>90.368</v>
      </c>
    </row>
    <row r="19" spans="1:24" ht="15">
      <c r="A19" t="s">
        <v>108</v>
      </c>
      <c r="B19" s="64" t="s">
        <v>106</v>
      </c>
      <c r="C19" s="65"/>
      <c r="D19" s="65">
        <f>250*1.35*$B$5</f>
        <v>2305.125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>
        <f>D19</f>
        <v>2305.125</v>
      </c>
    </row>
    <row r="20" spans="1:24" ht="15">
      <c r="A20" t="s">
        <v>107</v>
      </c>
      <c r="B20" s="64" t="s">
        <v>62</v>
      </c>
      <c r="C20" s="65"/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65">
        <f>X18*X19/1000</f>
        <v>208.30953599999998</v>
      </c>
    </row>
    <row r="21" spans="2:20" ht="15">
      <c r="B21" s="64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</row>
    <row r="22" spans="1:24" ht="15">
      <c r="A22" s="62" t="s">
        <v>51</v>
      </c>
      <c r="B22" s="64" t="s">
        <v>60</v>
      </c>
      <c r="C22" s="79"/>
      <c r="D22" s="79">
        <f aca="true" t="shared" si="6" ref="D22:X22">D9+D13+D16+D20</f>
        <v>-23251</v>
      </c>
      <c r="E22" s="79">
        <f t="shared" si="6"/>
        <v>0</v>
      </c>
      <c r="F22" s="79">
        <f t="shared" si="6"/>
        <v>-49784</v>
      </c>
      <c r="G22" s="79">
        <f t="shared" si="6"/>
        <v>2010.9965241685536</v>
      </c>
      <c r="H22" s="79">
        <f t="shared" si="6"/>
        <v>2377.776565834877</v>
      </c>
      <c r="I22" s="79">
        <f t="shared" si="6"/>
        <v>5057.921825042881</v>
      </c>
      <c r="J22" s="79">
        <f t="shared" si="6"/>
        <v>6743.895766723841</v>
      </c>
      <c r="K22" s="79">
        <f t="shared" si="6"/>
        <v>6743.895766723841</v>
      </c>
      <c r="L22" s="79">
        <f t="shared" si="6"/>
        <v>6743.895766723841</v>
      </c>
      <c r="M22" s="79">
        <f t="shared" si="6"/>
        <v>6743.895766723841</v>
      </c>
      <c r="N22" s="79">
        <f t="shared" si="6"/>
        <v>6743.895766723841</v>
      </c>
      <c r="O22" s="79">
        <f t="shared" si="6"/>
        <v>6743.895766723841</v>
      </c>
      <c r="P22" s="79">
        <f t="shared" si="6"/>
        <v>6743.895766723841</v>
      </c>
      <c r="Q22" s="79">
        <f t="shared" si="6"/>
        <v>6743.895766723841</v>
      </c>
      <c r="R22" s="79">
        <f t="shared" si="6"/>
        <v>6743.895766723841</v>
      </c>
      <c r="S22" s="79">
        <f t="shared" si="6"/>
        <v>6743.895766723841</v>
      </c>
      <c r="T22" s="79">
        <f t="shared" si="6"/>
        <v>6743.895766723841</v>
      </c>
      <c r="U22" s="79">
        <f t="shared" si="6"/>
        <v>6743.895766723841</v>
      </c>
      <c r="V22" s="79">
        <f t="shared" si="6"/>
        <v>6743.895766723841</v>
      </c>
      <c r="W22" s="79">
        <f t="shared" si="6"/>
        <v>6743.895766723841</v>
      </c>
      <c r="X22" s="79">
        <f t="shared" si="6"/>
        <v>6952.205302723841</v>
      </c>
    </row>
    <row r="23" spans="1:24" ht="15.75" thickBot="1">
      <c r="A23" s="62" t="s">
        <v>52</v>
      </c>
      <c r="B23" s="64" t="s">
        <v>60</v>
      </c>
      <c r="C23" s="79"/>
      <c r="D23" s="79">
        <f aca="true" t="shared" si="7" ref="D23:X23">D22*D3</f>
        <v>-23251</v>
      </c>
      <c r="E23" s="79">
        <f t="shared" si="7"/>
        <v>0</v>
      </c>
      <c r="F23" s="79">
        <f t="shared" si="7"/>
        <v>-42841.73501131735</v>
      </c>
      <c r="G23" s="79">
        <f t="shared" si="7"/>
        <v>1605.3776555545364</v>
      </c>
      <c r="H23" s="79">
        <f t="shared" si="7"/>
        <v>1760.862999637673</v>
      </c>
      <c r="I23" s="79">
        <f t="shared" si="7"/>
        <v>3474.6836386941923</v>
      </c>
      <c r="J23" s="79">
        <f t="shared" si="7"/>
        <v>4297.764727576363</v>
      </c>
      <c r="K23" s="79">
        <f t="shared" si="7"/>
        <v>3986.8625983474344</v>
      </c>
      <c r="L23" s="79">
        <f t="shared" si="7"/>
        <v>3698.451261445706</v>
      </c>
      <c r="M23" s="79">
        <f t="shared" si="7"/>
        <v>3430.9037233836766</v>
      </c>
      <c r="N23" s="79">
        <f t="shared" si="7"/>
        <v>3182.7106880750707</v>
      </c>
      <c r="O23" s="79">
        <f t="shared" si="7"/>
        <v>2952.4720425547466</v>
      </c>
      <c r="P23" s="79">
        <f t="shared" si="7"/>
        <v>2738.8889586252553</v>
      </c>
      <c r="Q23" s="79">
        <f t="shared" si="7"/>
        <v>2540.756565873641</v>
      </c>
      <c r="R23" s="79">
        <f t="shared" si="7"/>
        <v>2356.9571547253354</v>
      </c>
      <c r="S23" s="79">
        <f t="shared" si="7"/>
        <v>2186.4538711920136</v>
      </c>
      <c r="T23" s="79">
        <f t="shared" si="7"/>
        <v>2028.2848677440813</v>
      </c>
      <c r="U23" s="79">
        <f t="shared" si="7"/>
        <v>1881.5578773115312</v>
      </c>
      <c r="V23" s="79">
        <f t="shared" si="7"/>
        <v>1745.4451798038888</v>
      </c>
      <c r="W23" s="79">
        <f t="shared" si="7"/>
        <v>1619.1789327542456</v>
      </c>
      <c r="X23" s="79">
        <f t="shared" si="7"/>
        <v>1548.442972050574</v>
      </c>
    </row>
    <row r="24" spans="1:24" ht="15.75" thickBot="1">
      <c r="A24" s="68" t="s">
        <v>53</v>
      </c>
      <c r="B24" s="69" t="s">
        <v>60</v>
      </c>
      <c r="D24" s="70">
        <f>SUM(D23:X23)</f>
        <v>-19056.679295967384</v>
      </c>
      <c r="E24" s="86"/>
      <c r="F24" s="71"/>
      <c r="G24" s="71"/>
      <c r="H24" s="71"/>
      <c r="I24" s="72"/>
      <c r="J24" s="72"/>
      <c r="K24" s="72"/>
      <c r="L24" s="72"/>
      <c r="M24" s="72"/>
      <c r="N24" s="73"/>
      <c r="O24" s="73"/>
      <c r="P24" s="73"/>
      <c r="Q24" s="73"/>
      <c r="R24" s="73"/>
      <c r="S24" s="73"/>
      <c r="T24" s="73"/>
      <c r="U24" s="86"/>
      <c r="V24" s="86"/>
      <c r="W24" s="86"/>
      <c r="X24" s="86"/>
    </row>
    <row r="25" spans="1:20" ht="15.75" thickBot="1">
      <c r="A25" s="158"/>
      <c r="B25" s="136"/>
      <c r="C25" s="43"/>
      <c r="D25" s="137"/>
      <c r="G25" s="74"/>
      <c r="H25" s="74"/>
      <c r="I25" s="67"/>
      <c r="J25" s="67"/>
      <c r="K25" s="67"/>
      <c r="L25" s="67"/>
      <c r="M25" s="67"/>
      <c r="N25" s="75"/>
      <c r="O25" s="75"/>
      <c r="P25" s="75"/>
      <c r="Q25" s="75"/>
      <c r="R25" s="75"/>
      <c r="S25" s="75"/>
      <c r="T25" s="75"/>
    </row>
    <row r="26" spans="1:20" ht="15">
      <c r="A26" s="43"/>
      <c r="B26" s="64"/>
      <c r="E26" s="66"/>
      <c r="F26" s="66"/>
      <c r="G26" s="93">
        <v>2008</v>
      </c>
      <c r="H26" s="94">
        <v>2009</v>
      </c>
      <c r="I26" s="94">
        <v>2010</v>
      </c>
      <c r="J26" s="94">
        <v>2011</v>
      </c>
      <c r="K26" s="95">
        <v>2012</v>
      </c>
      <c r="L26" s="93">
        <v>2013</v>
      </c>
      <c r="M26" s="94">
        <v>2014</v>
      </c>
      <c r="N26" s="94">
        <v>2015</v>
      </c>
      <c r="O26" s="94">
        <v>2016</v>
      </c>
      <c r="P26" s="94">
        <v>2017</v>
      </c>
      <c r="Q26" s="94">
        <v>2018</v>
      </c>
      <c r="R26" s="94">
        <v>2019</v>
      </c>
      <c r="S26" s="95">
        <v>2020</v>
      </c>
      <c r="T26" s="65"/>
    </row>
    <row r="27" spans="1:20" ht="15">
      <c r="A27" s="62" t="s">
        <v>54</v>
      </c>
      <c r="B27" s="64" t="s">
        <v>2</v>
      </c>
      <c r="E27" s="66"/>
      <c r="G27" s="96">
        <f>Model!L20</f>
        <v>36016</v>
      </c>
      <c r="H27" s="80">
        <f>Model!M20</f>
        <v>42567</v>
      </c>
      <c r="I27" s="80">
        <f>Model!N20</f>
        <v>49038</v>
      </c>
      <c r="J27" s="80">
        <f>Model!O20</f>
        <v>64815</v>
      </c>
      <c r="K27" s="97">
        <f>Model!P20</f>
        <v>64815</v>
      </c>
      <c r="L27" s="101">
        <f>K27</f>
        <v>64815</v>
      </c>
      <c r="M27" s="92">
        <f aca="true" t="shared" si="8" ref="M27:S27">L27</f>
        <v>64815</v>
      </c>
      <c r="N27" s="92">
        <f t="shared" si="8"/>
        <v>64815</v>
      </c>
      <c r="O27" s="92">
        <f t="shared" si="8"/>
        <v>64815</v>
      </c>
      <c r="P27" s="92">
        <f t="shared" si="8"/>
        <v>64815</v>
      </c>
      <c r="Q27" s="92">
        <f t="shared" si="8"/>
        <v>64815</v>
      </c>
      <c r="R27" s="92">
        <f t="shared" si="8"/>
        <v>64815</v>
      </c>
      <c r="S27" s="102">
        <f t="shared" si="8"/>
        <v>64815</v>
      </c>
      <c r="T27" s="65"/>
    </row>
    <row r="28" spans="1:20" ht="15">
      <c r="A28" s="62" t="s">
        <v>55</v>
      </c>
      <c r="B28" s="64" t="s">
        <v>56</v>
      </c>
      <c r="E28" s="66"/>
      <c r="G28" s="96">
        <v>12</v>
      </c>
      <c r="H28" s="80">
        <f>G28</f>
        <v>12</v>
      </c>
      <c r="I28" s="80">
        <f>H28</f>
        <v>12</v>
      </c>
      <c r="J28" s="80">
        <f>I28</f>
        <v>12</v>
      </c>
      <c r="K28" s="97">
        <f>J28</f>
        <v>12</v>
      </c>
      <c r="L28" s="96">
        <f aca="true" t="shared" si="9" ref="L28:S28">K28</f>
        <v>12</v>
      </c>
      <c r="M28" s="80">
        <f t="shared" si="9"/>
        <v>12</v>
      </c>
      <c r="N28" s="80">
        <f t="shared" si="9"/>
        <v>12</v>
      </c>
      <c r="O28" s="80">
        <f t="shared" si="9"/>
        <v>12</v>
      </c>
      <c r="P28" s="80">
        <f t="shared" si="9"/>
        <v>12</v>
      </c>
      <c r="Q28" s="80">
        <f t="shared" si="9"/>
        <v>12</v>
      </c>
      <c r="R28" s="80">
        <f t="shared" si="9"/>
        <v>12</v>
      </c>
      <c r="S28" s="97">
        <f t="shared" si="9"/>
        <v>12</v>
      </c>
      <c r="T28" s="65"/>
    </row>
    <row r="29" spans="1:20" ht="15.75" thickBot="1">
      <c r="A29" s="62" t="s">
        <v>57</v>
      </c>
      <c r="B29" s="64" t="s">
        <v>62</v>
      </c>
      <c r="E29" s="66"/>
      <c r="G29" s="98">
        <f>G27*G28*$B$5/1000</f>
        <v>2951.87136</v>
      </c>
      <c r="H29" s="99">
        <f aca="true" t="shared" si="10" ref="H29:S29">H27*H28*$B$5/1000</f>
        <v>3488.79132</v>
      </c>
      <c r="I29" s="99">
        <f t="shared" si="10"/>
        <v>4019.15448</v>
      </c>
      <c r="J29" s="99">
        <f t="shared" si="10"/>
        <v>5312.2374</v>
      </c>
      <c r="K29" s="100">
        <f t="shared" si="10"/>
        <v>5312.2374</v>
      </c>
      <c r="L29" s="98">
        <f t="shared" si="10"/>
        <v>5312.2374</v>
      </c>
      <c r="M29" s="99">
        <f t="shared" si="10"/>
        <v>5312.2374</v>
      </c>
      <c r="N29" s="99">
        <f t="shared" si="10"/>
        <v>5312.2374</v>
      </c>
      <c r="O29" s="99">
        <f t="shared" si="10"/>
        <v>5312.2374</v>
      </c>
      <c r="P29" s="99">
        <f t="shared" si="10"/>
        <v>5312.2374</v>
      </c>
      <c r="Q29" s="99">
        <f t="shared" si="10"/>
        <v>5312.2374</v>
      </c>
      <c r="R29" s="99">
        <f t="shared" si="10"/>
        <v>5312.2374</v>
      </c>
      <c r="S29" s="100">
        <f t="shared" si="10"/>
        <v>5312.2374</v>
      </c>
      <c r="T29" s="65"/>
    </row>
    <row r="30" spans="2:20" ht="15">
      <c r="B30" s="64"/>
      <c r="E30" s="65"/>
      <c r="F30" s="65"/>
      <c r="G30" s="65"/>
      <c r="H30" s="65"/>
      <c r="I30" s="65"/>
      <c r="J30" s="65"/>
      <c r="P30" s="65"/>
      <c r="Q30" s="65"/>
      <c r="R30" s="65"/>
      <c r="S30" s="65"/>
      <c r="T30" s="65"/>
    </row>
    <row r="31" spans="1:24" ht="15">
      <c r="A31" t="s">
        <v>58</v>
      </c>
      <c r="B31" s="64" t="s">
        <v>60</v>
      </c>
      <c r="C31" s="65"/>
      <c r="D31" s="65">
        <f aca="true" t="shared" si="11" ref="D31:X31">D9+D13+D16+D20+D29</f>
        <v>-23251</v>
      </c>
      <c r="E31" s="65">
        <f t="shared" si="11"/>
        <v>0</v>
      </c>
      <c r="F31" s="65">
        <f t="shared" si="11"/>
        <v>-49784</v>
      </c>
      <c r="G31" s="65">
        <f t="shared" si="11"/>
        <v>4962.867884168554</v>
      </c>
      <c r="H31" s="65">
        <f t="shared" si="11"/>
        <v>5866.5678858348765</v>
      </c>
      <c r="I31" s="65">
        <f t="shared" si="11"/>
        <v>9077.076305042881</v>
      </c>
      <c r="J31" s="65">
        <f t="shared" si="11"/>
        <v>12056.133166723841</v>
      </c>
      <c r="K31" s="65">
        <f t="shared" si="11"/>
        <v>12056.133166723841</v>
      </c>
      <c r="L31" s="65">
        <f t="shared" si="11"/>
        <v>12056.133166723841</v>
      </c>
      <c r="M31" s="65">
        <f t="shared" si="11"/>
        <v>12056.133166723841</v>
      </c>
      <c r="N31" s="65">
        <f t="shared" si="11"/>
        <v>12056.133166723841</v>
      </c>
      <c r="O31" s="65">
        <f t="shared" si="11"/>
        <v>12056.133166723841</v>
      </c>
      <c r="P31" s="65">
        <f t="shared" si="11"/>
        <v>12056.133166723841</v>
      </c>
      <c r="Q31" s="65">
        <f t="shared" si="11"/>
        <v>12056.133166723841</v>
      </c>
      <c r="R31" s="65">
        <f t="shared" si="11"/>
        <v>12056.133166723841</v>
      </c>
      <c r="S31" s="65">
        <f t="shared" si="11"/>
        <v>12056.133166723841</v>
      </c>
      <c r="T31" s="65">
        <f t="shared" si="11"/>
        <v>6743.895766723841</v>
      </c>
      <c r="U31" s="65">
        <f t="shared" si="11"/>
        <v>6743.895766723841</v>
      </c>
      <c r="V31" s="65">
        <f t="shared" si="11"/>
        <v>6743.895766723841</v>
      </c>
      <c r="W31" s="65">
        <f t="shared" si="11"/>
        <v>6743.895766723841</v>
      </c>
      <c r="X31" s="65">
        <f t="shared" si="11"/>
        <v>6952.205302723841</v>
      </c>
    </row>
    <row r="32" spans="1:24" ht="15.75" thickBot="1">
      <c r="A32" s="62" t="s">
        <v>52</v>
      </c>
      <c r="B32" s="64" t="s">
        <v>60</v>
      </c>
      <c r="C32" s="65"/>
      <c r="D32" s="65">
        <f aca="true" t="shared" si="12" ref="D32:X32">D31*D3</f>
        <v>-23251</v>
      </c>
      <c r="E32" s="65">
        <f t="shared" si="12"/>
        <v>0</v>
      </c>
      <c r="F32" s="65">
        <f t="shared" si="12"/>
        <v>-42841.73501131735</v>
      </c>
      <c r="G32" s="65">
        <f t="shared" si="12"/>
        <v>3961.8552856561932</v>
      </c>
      <c r="H32" s="65">
        <f t="shared" si="12"/>
        <v>4344.488238911602</v>
      </c>
      <c r="I32" s="65">
        <f t="shared" si="12"/>
        <v>6235.756426315235</v>
      </c>
      <c r="J32" s="65">
        <f t="shared" si="12"/>
        <v>7683.159062240443</v>
      </c>
      <c r="K32" s="65">
        <f t="shared" si="12"/>
        <v>7127.356066248582</v>
      </c>
      <c r="L32" s="65">
        <f t="shared" si="12"/>
        <v>6611.760095498686</v>
      </c>
      <c r="M32" s="65">
        <f t="shared" si="12"/>
        <v>6133.4625566753775</v>
      </c>
      <c r="N32" s="65">
        <f t="shared" si="12"/>
        <v>5689.765265341414</v>
      </c>
      <c r="O32" s="65">
        <f t="shared" si="12"/>
        <v>5278.165224869908</v>
      </c>
      <c r="P32" s="65">
        <f t="shared" si="12"/>
        <v>4896.340506475066</v>
      </c>
      <c r="Q32" s="65">
        <f t="shared" si="12"/>
        <v>4542.137150687508</v>
      </c>
      <c r="R32" s="65">
        <f t="shared" si="12"/>
        <v>4213.557016382455</v>
      </c>
      <c r="S32" s="65">
        <f t="shared" si="12"/>
        <v>3908.746508814362</v>
      </c>
      <c r="T32" s="65">
        <f t="shared" si="12"/>
        <v>2028.2848677440813</v>
      </c>
      <c r="U32" s="65">
        <f t="shared" si="12"/>
        <v>1881.5578773115312</v>
      </c>
      <c r="V32" s="65">
        <f t="shared" si="12"/>
        <v>1745.4451798038888</v>
      </c>
      <c r="W32" s="65">
        <f t="shared" si="12"/>
        <v>1619.1789327542456</v>
      </c>
      <c r="X32" s="65">
        <f t="shared" si="12"/>
        <v>1548.442972050574</v>
      </c>
    </row>
    <row r="33" spans="1:20" ht="15.75" thickBot="1">
      <c r="A33" s="68" t="s">
        <v>53</v>
      </c>
      <c r="B33" s="69" t="s">
        <v>60</v>
      </c>
      <c r="D33" s="76">
        <f>SUM(D32:X32)</f>
        <v>13356.724222463798</v>
      </c>
      <c r="E33" s="43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</row>
    <row r="35" spans="4:22" ht="15">
      <c r="D35" s="194"/>
      <c r="E35" s="194"/>
      <c r="F35" s="194"/>
      <c r="G35" s="196"/>
      <c r="H35" s="196"/>
      <c r="I35" s="196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</row>
    <row r="36" spans="1:22" ht="16.5" thickBot="1">
      <c r="A36" s="145" t="s">
        <v>82</v>
      </c>
      <c r="B36" s="145"/>
      <c r="C36" s="145"/>
      <c r="D36" s="217"/>
      <c r="E36" s="194"/>
      <c r="F36" s="194"/>
      <c r="G36" s="196"/>
      <c r="H36" s="196"/>
      <c r="I36" s="196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</row>
    <row r="37" spans="1:22" ht="16.5" thickBot="1">
      <c r="A37" s="139" t="s">
        <v>80</v>
      </c>
      <c r="B37" s="140" t="s">
        <v>81</v>
      </c>
      <c r="C37" s="159" t="s">
        <v>53</v>
      </c>
      <c r="D37" s="218"/>
      <c r="E37" s="194"/>
      <c r="F37" s="194"/>
      <c r="G37" s="219"/>
      <c r="H37" s="196"/>
      <c r="I37" s="196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</row>
    <row r="38" spans="1:22" ht="15.75">
      <c r="A38" s="253" t="s">
        <v>49</v>
      </c>
      <c r="B38" s="141" t="s">
        <v>78</v>
      </c>
      <c r="C38" s="160">
        <f>'SA Inv+10%'!D27</f>
        <v>-25665.952797099133</v>
      </c>
      <c r="D38" s="220"/>
      <c r="E38" s="221"/>
      <c r="F38" s="196"/>
      <c r="G38" s="222"/>
      <c r="H38" s="196"/>
      <c r="I38" s="196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</row>
    <row r="39" spans="1:22" ht="15.75">
      <c r="A39" s="251"/>
      <c r="B39" s="142" t="s">
        <v>79</v>
      </c>
      <c r="C39" s="161">
        <f>'SA Inv-10%'!D27</f>
        <v>-12447.405794835651</v>
      </c>
      <c r="D39" s="220"/>
      <c r="E39" s="221"/>
      <c r="F39" s="196"/>
      <c r="G39" s="223"/>
      <c r="H39" s="196"/>
      <c r="I39" s="196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</row>
    <row r="40" spans="1:22" ht="15.75">
      <c r="A40" s="254" t="s">
        <v>77</v>
      </c>
      <c r="B40" s="143" t="s">
        <v>78</v>
      </c>
      <c r="C40" s="161">
        <f>'SA El+10%'!D27</f>
        <v>-8269.991188200567</v>
      </c>
      <c r="D40" s="220"/>
      <c r="E40" s="221"/>
      <c r="F40" s="196"/>
      <c r="G40" s="223"/>
      <c r="H40" s="196"/>
      <c r="I40" s="196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</row>
    <row r="41" spans="1:22" ht="15.75">
      <c r="A41" s="253"/>
      <c r="B41" s="142" t="s">
        <v>79</v>
      </c>
      <c r="C41" s="161">
        <f>'SA El-10%'!D27</f>
        <v>-29843.367403734243</v>
      </c>
      <c r="D41" s="220"/>
      <c r="E41" s="221"/>
      <c r="F41" s="196"/>
      <c r="G41" s="223"/>
      <c r="H41" s="196"/>
      <c r="I41" s="196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</row>
    <row r="42" spans="1:22" ht="15.75">
      <c r="A42" s="251" t="s">
        <v>103</v>
      </c>
      <c r="B42" s="143" t="s">
        <v>78</v>
      </c>
      <c r="C42" s="161">
        <f>'SA El_g+10%'!D27</f>
        <v>-25144.401445429634</v>
      </c>
      <c r="D42" s="220"/>
      <c r="E42" s="196"/>
      <c r="F42" s="196"/>
      <c r="G42" s="224"/>
      <c r="H42" s="196"/>
      <c r="I42" s="196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</row>
    <row r="43" spans="1:22" ht="16.5" thickBot="1">
      <c r="A43" s="252"/>
      <c r="B43" s="144" t="s">
        <v>79</v>
      </c>
      <c r="C43" s="162">
        <f>'SA El_g-10%'!D27</f>
        <v>-12968.957146505125</v>
      </c>
      <c r="D43" s="220"/>
      <c r="E43" s="196"/>
      <c r="F43" s="196"/>
      <c r="G43" s="196"/>
      <c r="H43" s="196"/>
      <c r="I43" s="196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</row>
    <row r="44" spans="4:22" ht="15">
      <c r="D44" s="196"/>
      <c r="E44" s="194"/>
      <c r="F44" s="194"/>
      <c r="G44" s="196"/>
      <c r="H44" s="196"/>
      <c r="I44" s="196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</row>
    <row r="45" spans="4:22" ht="15">
      <c r="D45" s="196"/>
      <c r="E45" s="194"/>
      <c r="F45" s="194"/>
      <c r="G45" s="196"/>
      <c r="H45" s="196"/>
      <c r="I45" s="196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</row>
    <row r="46" spans="4:22" ht="15"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</row>
    <row r="47" spans="4:22" ht="15"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</row>
    <row r="48" spans="4:22" ht="15"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</row>
    <row r="49" spans="4:22" ht="15"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</row>
    <row r="50" spans="4:22" ht="15"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</row>
    <row r="51" spans="4:22" ht="15"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</row>
    <row r="52" spans="4:22" ht="15"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</row>
    <row r="53" spans="4:22" ht="15"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</row>
    <row r="54" spans="4:22" ht="15"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</row>
    <row r="55" spans="4:22" ht="15"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</row>
    <row r="56" spans="4:22" ht="15"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</row>
    <row r="57" spans="4:22" ht="15"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</row>
    <row r="58" spans="4:22" ht="15"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</row>
    <row r="59" spans="4:22" ht="15"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</row>
    <row r="60" spans="4:22" ht="15"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</row>
    <row r="61" spans="4:22" ht="15">
      <c r="D61" s="194"/>
      <c r="E61" s="194"/>
      <c r="F61" s="194"/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94"/>
    </row>
    <row r="62" spans="4:22" ht="15"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</row>
    <row r="63" spans="4:22" ht="15"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</row>
    <row r="64" spans="4:22" ht="15"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</row>
    <row r="65" spans="4:22" ht="15">
      <c r="D65" s="194"/>
      <c r="E65" s="194"/>
      <c r="F65" s="194"/>
      <c r="G65" s="194"/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4"/>
    </row>
    <row r="66" spans="4:22" ht="15"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</row>
    <row r="67" spans="4:22" ht="15"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4"/>
    </row>
    <row r="68" spans="4:22" ht="15"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194"/>
      <c r="O68" s="194"/>
      <c r="P68" s="194"/>
      <c r="Q68" s="194"/>
      <c r="R68" s="194"/>
      <c r="S68" s="194"/>
      <c r="T68" s="194"/>
      <c r="U68" s="194"/>
      <c r="V68" s="194"/>
    </row>
    <row r="69" spans="4:22" ht="15">
      <c r="D69" s="194"/>
      <c r="E69" s="194"/>
      <c r="F69" s="194"/>
      <c r="G69" s="194"/>
      <c r="H69" s="194"/>
      <c r="I69" s="194"/>
      <c r="J69" s="194"/>
      <c r="K69" s="194"/>
      <c r="L69" s="194"/>
      <c r="M69" s="194"/>
      <c r="N69" s="194"/>
      <c r="O69" s="194"/>
      <c r="P69" s="194"/>
      <c r="Q69" s="194"/>
      <c r="R69" s="194"/>
      <c r="S69" s="194"/>
      <c r="T69" s="194"/>
      <c r="U69" s="194"/>
      <c r="V69" s="194"/>
    </row>
  </sheetData>
  <sheetProtection/>
  <mergeCells count="3">
    <mergeCell ref="A42:A43"/>
    <mergeCell ref="A38:A39"/>
    <mergeCell ref="A40:A41"/>
  </mergeCells>
  <printOptions/>
  <pageMargins left="0.7" right="0.7" top="0.75" bottom="0.75" header="0.3" footer="0.3"/>
  <pageSetup horizontalDpi="600" verticalDpi="600" orientation="portrait" r:id="rId1"/>
  <ignoredErrors>
    <ignoredError sqref="B42:B43 B38:B3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2:H22"/>
  <sheetViews>
    <sheetView zoomScale="85" zoomScaleNormal="85" zoomScalePageLayoutView="0" workbookViewId="0" topLeftCell="A1">
      <selection activeCell="F13" sqref="F13"/>
    </sheetView>
  </sheetViews>
  <sheetFormatPr defaultColWidth="9.140625" defaultRowHeight="15"/>
  <cols>
    <col min="1" max="1" width="3.421875" style="146" customWidth="1"/>
    <col min="2" max="2" width="39.421875" style="146" customWidth="1"/>
    <col min="3" max="3" width="12.8515625" style="146" customWidth="1"/>
    <col min="4" max="4" width="11.140625" style="146" customWidth="1"/>
    <col min="5" max="5" width="11.00390625" style="146" customWidth="1"/>
    <col min="6" max="6" width="11.140625" style="146" customWidth="1"/>
    <col min="7" max="7" width="10.140625" style="146" customWidth="1"/>
    <col min="8" max="16384" width="9.140625" style="146" customWidth="1"/>
  </cols>
  <sheetData>
    <row r="1" ht="13.5" customHeight="1" thickBot="1"/>
    <row r="2" spans="2:8" ht="15.75">
      <c r="B2" s="163" t="s">
        <v>83</v>
      </c>
      <c r="C2" s="147"/>
      <c r="D2" s="147"/>
      <c r="E2" s="147"/>
      <c r="F2" s="147"/>
      <c r="G2" s="226"/>
      <c r="H2" s="148"/>
    </row>
    <row r="3" spans="2:8" ht="15.75" thickBot="1">
      <c r="B3" s="149" t="s">
        <v>84</v>
      </c>
      <c r="C3" s="150"/>
      <c r="D3" s="151"/>
      <c r="E3" s="151"/>
      <c r="F3" s="151"/>
      <c r="G3" s="227"/>
      <c r="H3" s="148"/>
    </row>
    <row r="4" spans="2:7" ht="15">
      <c r="B4" s="152" t="s">
        <v>48</v>
      </c>
      <c r="C4" s="216">
        <v>2000</v>
      </c>
      <c r="D4" s="216">
        <v>2001</v>
      </c>
      <c r="E4" s="216">
        <v>2002</v>
      </c>
      <c r="F4" s="216">
        <v>2003</v>
      </c>
      <c r="G4" s="228">
        <v>2004</v>
      </c>
    </row>
    <row r="5" spans="2:7" ht="15.75" thickBot="1">
      <c r="B5" s="153" t="s">
        <v>85</v>
      </c>
      <c r="C5" s="164">
        <v>0.282</v>
      </c>
      <c r="D5" s="164">
        <v>0.12</v>
      </c>
      <c r="E5" s="164">
        <v>0.008</v>
      </c>
      <c r="F5" s="164">
        <v>0.052</v>
      </c>
      <c r="G5" s="229">
        <v>0.09</v>
      </c>
    </row>
    <row r="7" ht="15.75" thickBot="1"/>
    <row r="8" spans="2:3" ht="16.5" thickBot="1">
      <c r="B8" s="163" t="s">
        <v>86</v>
      </c>
      <c r="C8" s="156"/>
    </row>
    <row r="9" spans="2:4" ht="15">
      <c r="B9" s="154" t="s">
        <v>87</v>
      </c>
      <c r="C9" s="165">
        <v>0.175</v>
      </c>
      <c r="D9" s="225" t="s">
        <v>109</v>
      </c>
    </row>
    <row r="10" spans="2:3" ht="15">
      <c r="B10" s="155" t="s">
        <v>88</v>
      </c>
      <c r="C10" s="166">
        <f>G5</f>
        <v>0.09</v>
      </c>
    </row>
    <row r="11" spans="2:3" ht="15.75" thickBot="1">
      <c r="B11" s="157" t="s">
        <v>89</v>
      </c>
      <c r="C11" s="186">
        <f>((1+C9)/(1+C10))-1</f>
        <v>0.07798165137614665</v>
      </c>
    </row>
    <row r="12" spans="2:3" ht="15">
      <c r="B12"/>
      <c r="C12"/>
    </row>
    <row r="13" spans="2:3" ht="15">
      <c r="B13"/>
      <c r="C13"/>
    </row>
    <row r="20" spans="2:4" ht="15">
      <c r="B20"/>
      <c r="C20"/>
      <c r="D20"/>
    </row>
    <row r="21" spans="2:4" ht="15">
      <c r="B21"/>
      <c r="C21"/>
      <c r="D21"/>
    </row>
    <row r="22" spans="2:4" ht="15">
      <c r="B22"/>
      <c r="C22"/>
      <c r="D2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7"/>
  <sheetViews>
    <sheetView zoomScale="75" zoomScaleNormal="75" zoomScalePageLayoutView="0" workbookViewId="0" topLeftCell="A1">
      <selection activeCell="E44" sqref="E44"/>
    </sheetView>
  </sheetViews>
  <sheetFormatPr defaultColWidth="9.140625" defaultRowHeight="15"/>
  <cols>
    <col min="1" max="1" width="31.8515625" style="0" bestFit="1" customWidth="1"/>
    <col min="2" max="2" width="11.7109375" style="0" bestFit="1" customWidth="1"/>
    <col min="3" max="3" width="7.8515625" style="0" customWidth="1"/>
    <col min="4" max="5" width="12.00390625" style="0" bestFit="1" customWidth="1"/>
    <col min="6" max="7" width="11.57421875" style="0" bestFit="1" customWidth="1"/>
    <col min="8" max="8" width="11.00390625" style="0" bestFit="1" customWidth="1"/>
    <col min="9" max="9" width="11.57421875" style="0" bestFit="1" customWidth="1"/>
    <col min="10" max="18" width="12.140625" style="0" bestFit="1" customWidth="1"/>
    <col min="19" max="24" width="10.7109375" style="0" bestFit="1" customWidth="1"/>
  </cols>
  <sheetData>
    <row r="1" spans="1:3" ht="15">
      <c r="A1" s="43"/>
      <c r="B1" s="43"/>
      <c r="C1" s="43"/>
    </row>
    <row r="2" spans="1:24" s="194" customFormat="1" ht="15">
      <c r="A2" s="195" t="s">
        <v>46</v>
      </c>
      <c r="B2" s="196"/>
      <c r="C2" s="196"/>
      <c r="D2" s="196">
        <v>0</v>
      </c>
      <c r="E2" s="196">
        <v>1</v>
      </c>
      <c r="F2" s="196">
        <v>2</v>
      </c>
      <c r="G2" s="196">
        <v>3</v>
      </c>
      <c r="H2" s="196">
        <v>4</v>
      </c>
      <c r="I2" s="196">
        <v>5</v>
      </c>
      <c r="J2" s="196">
        <v>6</v>
      </c>
      <c r="K2" s="196">
        <v>7</v>
      </c>
      <c r="L2" s="196">
        <v>8</v>
      </c>
      <c r="M2" s="196">
        <v>9</v>
      </c>
      <c r="N2" s="196">
        <v>10</v>
      </c>
      <c r="O2" s="196">
        <v>11</v>
      </c>
      <c r="P2" s="196">
        <v>12</v>
      </c>
      <c r="Q2" s="196">
        <v>13</v>
      </c>
      <c r="R2" s="196">
        <v>14</v>
      </c>
      <c r="S2" s="196">
        <v>15</v>
      </c>
      <c r="T2" s="196">
        <v>16</v>
      </c>
      <c r="U2" s="196">
        <v>17</v>
      </c>
      <c r="V2" s="196">
        <v>18</v>
      </c>
      <c r="W2" s="196">
        <v>19</v>
      </c>
      <c r="X2" s="196">
        <v>20</v>
      </c>
    </row>
    <row r="3" spans="1:24" ht="15">
      <c r="A3" s="83" t="s">
        <v>47</v>
      </c>
      <c r="B3" s="84"/>
      <c r="C3" s="84"/>
      <c r="D3" s="85">
        <f aca="true" t="shared" si="0" ref="D3:X3">1/(1+$B$4)^D2</f>
        <v>1</v>
      </c>
      <c r="E3" s="85">
        <f t="shared" si="0"/>
        <v>0.9276595744680852</v>
      </c>
      <c r="F3" s="85">
        <f t="shared" si="0"/>
        <v>0.860552286102309</v>
      </c>
      <c r="G3" s="85">
        <f t="shared" si="0"/>
        <v>0.7982995675332059</v>
      </c>
      <c r="H3" s="85">
        <f t="shared" si="0"/>
        <v>0.7405502371159103</v>
      </c>
      <c r="I3" s="85">
        <f t="shared" si="0"/>
        <v>0.6869785178351849</v>
      </c>
      <c r="J3" s="85">
        <f t="shared" si="0"/>
        <v>0.6372821995237036</v>
      </c>
      <c r="K3" s="85">
        <f t="shared" si="0"/>
        <v>0.5911809340262442</v>
      </c>
      <c r="L3" s="85">
        <f t="shared" si="0"/>
        <v>0.5484146536924309</v>
      </c>
      <c r="M3" s="85">
        <f t="shared" si="0"/>
        <v>0.5087421042763828</v>
      </c>
      <c r="N3" s="85">
        <f t="shared" si="0"/>
        <v>0.4719394839670275</v>
      </c>
      <c r="O3" s="85">
        <f t="shared" si="0"/>
        <v>0.4377991808715404</v>
      </c>
      <c r="P3" s="85">
        <f t="shared" si="0"/>
        <v>0.40612860182976956</v>
      </c>
      <c r="Q3" s="85">
        <f t="shared" si="0"/>
        <v>0.37674908595272244</v>
      </c>
      <c r="R3" s="85">
        <f t="shared" si="0"/>
        <v>0.34949489675614254</v>
      </c>
      <c r="S3" s="85">
        <f t="shared" si="0"/>
        <v>0.32421228720357054</v>
      </c>
      <c r="T3" s="85">
        <f t="shared" si="0"/>
        <v>0.30075863238458894</v>
      </c>
      <c r="U3" s="85">
        <f t="shared" si="0"/>
        <v>0.2790016249354911</v>
      </c>
      <c r="V3" s="85">
        <f t="shared" si="0"/>
        <v>0.258818528663562</v>
      </c>
      <c r="W3" s="85">
        <f t="shared" si="0"/>
        <v>0.24009548616449577</v>
      </c>
      <c r="X3" s="85">
        <f t="shared" si="0"/>
        <v>0.22272687652706424</v>
      </c>
    </row>
    <row r="4" spans="1:24" ht="15">
      <c r="A4" s="62" t="s">
        <v>65</v>
      </c>
      <c r="B4" s="137">
        <f>Investment!B4</f>
        <v>0.07798165137614665</v>
      </c>
      <c r="C4" s="82"/>
      <c r="D4" s="43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</row>
    <row r="5" spans="1:24" ht="15">
      <c r="A5" s="62" t="s">
        <v>68</v>
      </c>
      <c r="B5" s="103">
        <f>Investment!B5</f>
        <v>6.83</v>
      </c>
      <c r="C5" s="87"/>
      <c r="D5" s="43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</row>
    <row r="6" spans="1:24" ht="15.75" thickBot="1">
      <c r="A6" s="62"/>
      <c r="B6" s="82"/>
      <c r="C6" s="82"/>
      <c r="D6" s="43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</row>
    <row r="7" spans="1:24" ht="15">
      <c r="A7" s="88" t="s">
        <v>69</v>
      </c>
      <c r="B7" s="90">
        <v>0</v>
      </c>
      <c r="C7" s="138"/>
      <c r="D7" s="43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</row>
    <row r="8" spans="1:24" ht="15.75" thickBot="1">
      <c r="A8" s="89" t="s">
        <v>70</v>
      </c>
      <c r="B8" s="91">
        <v>0.1</v>
      </c>
      <c r="C8" s="138"/>
      <c r="D8" s="43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</row>
    <row r="10" spans="1:24" s="194" customFormat="1" ht="15">
      <c r="A10" s="191" t="s">
        <v>48</v>
      </c>
      <c r="B10" s="192"/>
      <c r="C10" s="192"/>
      <c r="D10" s="193">
        <v>2005</v>
      </c>
      <c r="E10" s="193">
        <v>2006</v>
      </c>
      <c r="F10" s="193">
        <v>2007</v>
      </c>
      <c r="G10" s="193">
        <v>2008</v>
      </c>
      <c r="H10" s="193">
        <v>2009</v>
      </c>
      <c r="I10" s="193">
        <v>2010</v>
      </c>
      <c r="J10" s="193">
        <v>2011</v>
      </c>
      <c r="K10" s="193">
        <v>2012</v>
      </c>
      <c r="L10" s="193">
        <v>2013</v>
      </c>
      <c r="M10" s="193">
        <v>2014</v>
      </c>
      <c r="N10" s="193">
        <v>2015</v>
      </c>
      <c r="O10" s="193">
        <v>2016</v>
      </c>
      <c r="P10" s="193">
        <v>2017</v>
      </c>
      <c r="Q10" s="193">
        <v>2018</v>
      </c>
      <c r="R10" s="193">
        <v>2019</v>
      </c>
      <c r="S10" s="193">
        <v>2020</v>
      </c>
      <c r="T10" s="193">
        <v>2021</v>
      </c>
      <c r="U10" s="193">
        <v>2022</v>
      </c>
      <c r="V10" s="193">
        <v>2023</v>
      </c>
      <c r="W10" s="193">
        <v>2024</v>
      </c>
      <c r="X10" s="193">
        <v>2025</v>
      </c>
    </row>
    <row r="11" spans="5:24" ht="15"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</row>
    <row r="12" spans="1:21" ht="15">
      <c r="A12" t="s">
        <v>49</v>
      </c>
      <c r="B12" s="64" t="s">
        <v>60</v>
      </c>
      <c r="C12" s="64"/>
      <c r="D12" s="65">
        <f>Investment!D9+Investment!D9*$B$8</f>
        <v>-25576.1</v>
      </c>
      <c r="E12" s="65"/>
      <c r="F12" s="65">
        <f>Investment!F9+Investment!F9*$B$8</f>
        <v>-54762.4</v>
      </c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>
        <f>K12</f>
        <v>0</v>
      </c>
    </row>
    <row r="13" spans="2:20" ht="15">
      <c r="B13" s="64"/>
      <c r="C13" s="64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</row>
    <row r="14" spans="1:24" ht="15">
      <c r="A14" t="s">
        <v>67</v>
      </c>
      <c r="B14" s="64" t="s">
        <v>5</v>
      </c>
      <c r="C14" s="64"/>
      <c r="D14" s="65">
        <f>Investment!D11</f>
        <v>0</v>
      </c>
      <c r="E14" s="65">
        <f>Investment!E11</f>
        <v>0</v>
      </c>
      <c r="F14" s="65">
        <f>Investment!F11</f>
        <v>0</v>
      </c>
      <c r="G14" s="65">
        <f>Investment!G11</f>
        <v>40658.926</v>
      </c>
      <c r="H14" s="65">
        <f>Investment!H11</f>
        <v>48074.594</v>
      </c>
      <c r="I14" s="65">
        <f>Investment!I11</f>
        <v>78840</v>
      </c>
      <c r="J14" s="65">
        <f>Investment!J11</f>
        <v>105120</v>
      </c>
      <c r="K14" s="65">
        <f>Investment!K11</f>
        <v>105120</v>
      </c>
      <c r="L14" s="65">
        <f>Investment!L11</f>
        <v>105120</v>
      </c>
      <c r="M14" s="65">
        <f>Investment!M11</f>
        <v>105120</v>
      </c>
      <c r="N14" s="65">
        <f>Investment!N11</f>
        <v>105120</v>
      </c>
      <c r="O14" s="65">
        <f>Investment!O11</f>
        <v>105120</v>
      </c>
      <c r="P14" s="65">
        <f>Investment!P11</f>
        <v>105120</v>
      </c>
      <c r="Q14" s="65">
        <f>Investment!Q11</f>
        <v>105120</v>
      </c>
      <c r="R14" s="65">
        <f>Investment!R11</f>
        <v>105120</v>
      </c>
      <c r="S14" s="65">
        <f>Investment!S11</f>
        <v>105120</v>
      </c>
      <c r="T14" s="65">
        <f>Investment!T11</f>
        <v>105120</v>
      </c>
      <c r="U14" s="65">
        <f>Investment!U11</f>
        <v>105120</v>
      </c>
      <c r="V14" s="65">
        <f>Investment!V11</f>
        <v>105120</v>
      </c>
      <c r="W14" s="65">
        <f>Investment!W11</f>
        <v>105120</v>
      </c>
      <c r="X14" s="65">
        <f>Investment!X11</f>
        <v>105120</v>
      </c>
    </row>
    <row r="15" spans="1:24" ht="15">
      <c r="A15" t="s">
        <v>59</v>
      </c>
      <c r="B15" s="64" t="s">
        <v>61</v>
      </c>
      <c r="C15" s="64"/>
      <c r="D15" s="65">
        <f>Investment!D12+Investment!D12*$B$7</f>
        <v>144.2</v>
      </c>
      <c r="E15" s="65">
        <f>Investment!E12+Investment!E12*$B$7</f>
        <v>144.2</v>
      </c>
      <c r="F15" s="65">
        <f>Investment!F12+Investment!F12*$B$7</f>
        <v>144.2</v>
      </c>
      <c r="G15" s="65">
        <f>Investment!G12+Investment!G12*$B$7</f>
        <v>144.2</v>
      </c>
      <c r="H15" s="65">
        <f>Investment!H12+Investment!H12*$B$7</f>
        <v>144.2</v>
      </c>
      <c r="I15" s="65">
        <f>H15</f>
        <v>144.2</v>
      </c>
      <c r="J15" s="65">
        <f aca="true" t="shared" si="1" ref="J15:X15">I15</f>
        <v>144.2</v>
      </c>
      <c r="K15" s="65">
        <f t="shared" si="1"/>
        <v>144.2</v>
      </c>
      <c r="L15" s="65">
        <f t="shared" si="1"/>
        <v>144.2</v>
      </c>
      <c r="M15" s="65">
        <f t="shared" si="1"/>
        <v>144.2</v>
      </c>
      <c r="N15" s="65">
        <f t="shared" si="1"/>
        <v>144.2</v>
      </c>
      <c r="O15" s="65">
        <f t="shared" si="1"/>
        <v>144.2</v>
      </c>
      <c r="P15" s="65">
        <f t="shared" si="1"/>
        <v>144.2</v>
      </c>
      <c r="Q15" s="65">
        <f t="shared" si="1"/>
        <v>144.2</v>
      </c>
      <c r="R15" s="65">
        <f t="shared" si="1"/>
        <v>144.2</v>
      </c>
      <c r="S15" s="65">
        <f t="shared" si="1"/>
        <v>144.2</v>
      </c>
      <c r="T15" s="65">
        <f t="shared" si="1"/>
        <v>144.2</v>
      </c>
      <c r="U15" s="65">
        <f t="shared" si="1"/>
        <v>144.2</v>
      </c>
      <c r="V15" s="65">
        <f t="shared" si="1"/>
        <v>144.2</v>
      </c>
      <c r="W15" s="65">
        <f t="shared" si="1"/>
        <v>144.2</v>
      </c>
      <c r="X15" s="65">
        <f t="shared" si="1"/>
        <v>144.2</v>
      </c>
    </row>
    <row r="16" spans="1:24" ht="15">
      <c r="A16" t="s">
        <v>66</v>
      </c>
      <c r="B16" s="64" t="s">
        <v>60</v>
      </c>
      <c r="C16" s="64"/>
      <c r="D16" s="65">
        <f>D15*D14/1000</f>
        <v>0</v>
      </c>
      <c r="E16" s="65">
        <f>E15*E14/1000</f>
        <v>0</v>
      </c>
      <c r="F16" s="65">
        <f>F15*F14/1000</f>
        <v>0</v>
      </c>
      <c r="G16" s="65">
        <f>G15*G14/1000</f>
        <v>5863.0171291999995</v>
      </c>
      <c r="H16" s="65">
        <f aca="true" t="shared" si="2" ref="H16:W16">H15*H14/1000</f>
        <v>6932.3564547999995</v>
      </c>
      <c r="I16" s="65">
        <f t="shared" si="2"/>
        <v>11368.728</v>
      </c>
      <c r="J16" s="65">
        <f t="shared" si="2"/>
        <v>15158.303999999998</v>
      </c>
      <c r="K16" s="65">
        <f t="shared" si="2"/>
        <v>15158.303999999998</v>
      </c>
      <c r="L16" s="65">
        <f t="shared" si="2"/>
        <v>15158.303999999998</v>
      </c>
      <c r="M16" s="65">
        <f t="shared" si="2"/>
        <v>15158.303999999998</v>
      </c>
      <c r="N16" s="65">
        <f t="shared" si="2"/>
        <v>15158.303999999998</v>
      </c>
      <c r="O16" s="65">
        <f t="shared" si="2"/>
        <v>15158.303999999998</v>
      </c>
      <c r="P16" s="65">
        <f t="shared" si="2"/>
        <v>15158.303999999998</v>
      </c>
      <c r="Q16" s="65">
        <f t="shared" si="2"/>
        <v>15158.303999999998</v>
      </c>
      <c r="R16" s="65">
        <f t="shared" si="2"/>
        <v>15158.303999999998</v>
      </c>
      <c r="S16" s="65">
        <f t="shared" si="2"/>
        <v>15158.303999999998</v>
      </c>
      <c r="T16" s="65">
        <f t="shared" si="2"/>
        <v>15158.303999999998</v>
      </c>
      <c r="U16" s="65">
        <f t="shared" si="2"/>
        <v>15158.303999999998</v>
      </c>
      <c r="V16" s="65">
        <f t="shared" si="2"/>
        <v>15158.303999999998</v>
      </c>
      <c r="W16" s="65">
        <f t="shared" si="2"/>
        <v>15158.303999999998</v>
      </c>
      <c r="X16" s="65">
        <f>X15*X14/1000</f>
        <v>15158.303999999998</v>
      </c>
    </row>
    <row r="17" spans="2:24" ht="15">
      <c r="B17" s="64"/>
      <c r="C17" s="64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</row>
    <row r="18" spans="1:24" ht="15">
      <c r="A18" t="s">
        <v>63</v>
      </c>
      <c r="B18" s="64" t="s">
        <v>61</v>
      </c>
      <c r="C18" s="64"/>
      <c r="D18" s="65">
        <f>Investment!D15</f>
        <v>0</v>
      </c>
      <c r="E18" s="65">
        <f>Investment!E15</f>
        <v>0</v>
      </c>
      <c r="F18" s="65">
        <f>Investment!F15</f>
        <v>0</v>
      </c>
      <c r="G18" s="65">
        <f>Investment!G15</f>
        <v>94.73985134362492</v>
      </c>
      <c r="H18" s="65">
        <f>Investment!H15</f>
        <v>94.73985134362492</v>
      </c>
      <c r="I18" s="65">
        <f>Investment!I15</f>
        <v>80.0457404230989</v>
      </c>
      <c r="J18" s="65">
        <f>Investment!J15</f>
        <v>80.0457404230989</v>
      </c>
      <c r="K18" s="65">
        <f>Investment!K15</f>
        <v>80.0457404230989</v>
      </c>
      <c r="L18" s="65">
        <f>Investment!L15</f>
        <v>80.0457404230989</v>
      </c>
      <c r="M18" s="65">
        <f>Investment!M15</f>
        <v>80.0457404230989</v>
      </c>
      <c r="N18" s="65">
        <f>Investment!N15</f>
        <v>80.0457404230989</v>
      </c>
      <c r="O18" s="65">
        <f>Investment!O15</f>
        <v>80.0457404230989</v>
      </c>
      <c r="P18" s="65">
        <f>Investment!P15</f>
        <v>80.0457404230989</v>
      </c>
      <c r="Q18" s="65">
        <f>Investment!Q15</f>
        <v>80.0457404230989</v>
      </c>
      <c r="R18" s="65">
        <f>Investment!R15</f>
        <v>80.0457404230989</v>
      </c>
      <c r="S18" s="65">
        <f>Investment!S15</f>
        <v>80.0457404230989</v>
      </c>
      <c r="T18" s="65">
        <f>Investment!T15</f>
        <v>80.0457404230989</v>
      </c>
      <c r="U18" s="65">
        <f>Investment!U15</f>
        <v>80.0457404230989</v>
      </c>
      <c r="V18" s="65">
        <f>Investment!V15</f>
        <v>80.0457404230989</v>
      </c>
      <c r="W18" s="65">
        <f>Investment!W15</f>
        <v>80.0457404230989</v>
      </c>
      <c r="X18" s="65">
        <f>Investment!X15</f>
        <v>80.0457404230989</v>
      </c>
    </row>
    <row r="19" spans="1:24" ht="15">
      <c r="A19" t="s">
        <v>64</v>
      </c>
      <c r="B19" s="64" t="s">
        <v>62</v>
      </c>
      <c r="C19" s="64"/>
      <c r="D19" s="65">
        <f>-D18*D14/1000</f>
        <v>0</v>
      </c>
      <c r="E19" s="65">
        <f>-E18*E14/1000</f>
        <v>0</v>
      </c>
      <c r="F19" s="65">
        <f aca="true" t="shared" si="3" ref="F19:W19">-F18*F14/1000</f>
        <v>0</v>
      </c>
      <c r="G19" s="65">
        <f t="shared" si="3"/>
        <v>-3852.020605031446</v>
      </c>
      <c r="H19" s="65">
        <f t="shared" si="3"/>
        <v>-4554.579888965122</v>
      </c>
      <c r="I19" s="65">
        <f t="shared" si="3"/>
        <v>-6310.806174957118</v>
      </c>
      <c r="J19" s="65">
        <f t="shared" si="3"/>
        <v>-8414.408233276157</v>
      </c>
      <c r="K19" s="65">
        <f t="shared" si="3"/>
        <v>-8414.408233276157</v>
      </c>
      <c r="L19" s="65">
        <f t="shared" si="3"/>
        <v>-8414.408233276157</v>
      </c>
      <c r="M19" s="65">
        <f t="shared" si="3"/>
        <v>-8414.408233276157</v>
      </c>
      <c r="N19" s="65">
        <f t="shared" si="3"/>
        <v>-8414.408233276157</v>
      </c>
      <c r="O19" s="65">
        <f t="shared" si="3"/>
        <v>-8414.408233276157</v>
      </c>
      <c r="P19" s="65">
        <f t="shared" si="3"/>
        <v>-8414.408233276157</v>
      </c>
      <c r="Q19" s="65">
        <f t="shared" si="3"/>
        <v>-8414.408233276157</v>
      </c>
      <c r="R19" s="65">
        <f t="shared" si="3"/>
        <v>-8414.408233276157</v>
      </c>
      <c r="S19" s="65">
        <f t="shared" si="3"/>
        <v>-8414.408233276157</v>
      </c>
      <c r="T19" s="65">
        <f t="shared" si="3"/>
        <v>-8414.408233276157</v>
      </c>
      <c r="U19" s="65">
        <f t="shared" si="3"/>
        <v>-8414.408233276157</v>
      </c>
      <c r="V19" s="65">
        <f t="shared" si="3"/>
        <v>-8414.408233276157</v>
      </c>
      <c r="W19" s="65">
        <f t="shared" si="3"/>
        <v>-8414.408233276157</v>
      </c>
      <c r="X19" s="65">
        <f>-X18*X14/1000</f>
        <v>-8414.408233276157</v>
      </c>
    </row>
    <row r="20" spans="2:24" ht="15">
      <c r="B20" s="64"/>
      <c r="C20" s="64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</row>
    <row r="21" spans="1:24" ht="15">
      <c r="A21" t="s">
        <v>104</v>
      </c>
      <c r="B21" s="64" t="s">
        <v>2</v>
      </c>
      <c r="C21" s="65"/>
      <c r="D21" s="65">
        <f>Investment!D18</f>
        <v>90.368</v>
      </c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>
        <f>Investment!X18</f>
        <v>90.368</v>
      </c>
    </row>
    <row r="22" spans="1:24" ht="15">
      <c r="A22" t="s">
        <v>105</v>
      </c>
      <c r="B22" s="64" t="s">
        <v>106</v>
      </c>
      <c r="C22" s="65"/>
      <c r="D22" s="65">
        <f>Investment!D19</f>
        <v>2305.125</v>
      </c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>
        <f>Investment!X19</f>
        <v>2305.125</v>
      </c>
    </row>
    <row r="23" spans="1:24" ht="15">
      <c r="A23" t="s">
        <v>107</v>
      </c>
      <c r="B23" s="64" t="s">
        <v>62</v>
      </c>
      <c r="C23" s="65"/>
      <c r="D23" s="188">
        <f>Investment!D20</f>
        <v>0</v>
      </c>
      <c r="E23" s="188">
        <f>Investment!E20</f>
        <v>0</v>
      </c>
      <c r="F23" s="188">
        <f>Investment!F20</f>
        <v>0</v>
      </c>
      <c r="G23" s="188">
        <f>Investment!G20</f>
        <v>0</v>
      </c>
      <c r="H23" s="188">
        <f>Investment!H20</f>
        <v>0</v>
      </c>
      <c r="I23" s="188">
        <f>Investment!I20</f>
        <v>0</v>
      </c>
      <c r="J23" s="188">
        <f>Investment!J20</f>
        <v>0</v>
      </c>
      <c r="K23" s="188">
        <f>Investment!K20</f>
        <v>0</v>
      </c>
      <c r="L23" s="188">
        <f>Investment!L20</f>
        <v>0</v>
      </c>
      <c r="M23" s="188">
        <f>Investment!M20</f>
        <v>0</v>
      </c>
      <c r="N23" s="188">
        <f>Investment!N20</f>
        <v>0</v>
      </c>
      <c r="O23" s="188">
        <f>Investment!O20</f>
        <v>0</v>
      </c>
      <c r="P23" s="188">
        <f>Investment!P20</f>
        <v>0</v>
      </c>
      <c r="Q23" s="188">
        <f>Investment!Q20</f>
        <v>0</v>
      </c>
      <c r="R23" s="188">
        <f>Investment!R20</f>
        <v>0</v>
      </c>
      <c r="S23" s="188">
        <f>Investment!S20</f>
        <v>0</v>
      </c>
      <c r="T23" s="188">
        <f>Investment!T20</f>
        <v>0</v>
      </c>
      <c r="U23" s="188">
        <f>Investment!U20</f>
        <v>0</v>
      </c>
      <c r="V23" s="188">
        <f>Investment!V20</f>
        <v>0</v>
      </c>
      <c r="W23" s="188">
        <f>Investment!W20</f>
        <v>0</v>
      </c>
      <c r="X23" s="65">
        <f>Investment!X20</f>
        <v>208.30953599999998</v>
      </c>
    </row>
    <row r="24" spans="2:20" ht="15">
      <c r="B24" s="64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</row>
    <row r="25" spans="1:24" ht="15">
      <c r="A25" s="62" t="s">
        <v>51</v>
      </c>
      <c r="B25" s="64" t="s">
        <v>60</v>
      </c>
      <c r="C25" s="64"/>
      <c r="D25" s="79">
        <f aca="true" t="shared" si="4" ref="D25:X25">D12+D16+D19+D23</f>
        <v>-25576.1</v>
      </c>
      <c r="E25" s="79">
        <f t="shared" si="4"/>
        <v>0</v>
      </c>
      <c r="F25" s="79">
        <f t="shared" si="4"/>
        <v>-54762.4</v>
      </c>
      <c r="G25" s="79">
        <f t="shared" si="4"/>
        <v>2010.9965241685536</v>
      </c>
      <c r="H25" s="79">
        <f t="shared" si="4"/>
        <v>2377.776565834877</v>
      </c>
      <c r="I25" s="79">
        <f t="shared" si="4"/>
        <v>5057.921825042881</v>
      </c>
      <c r="J25" s="79">
        <f t="shared" si="4"/>
        <v>6743.895766723841</v>
      </c>
      <c r="K25" s="79">
        <f t="shared" si="4"/>
        <v>6743.895766723841</v>
      </c>
      <c r="L25" s="79">
        <f t="shared" si="4"/>
        <v>6743.895766723841</v>
      </c>
      <c r="M25" s="79">
        <f t="shared" si="4"/>
        <v>6743.895766723841</v>
      </c>
      <c r="N25" s="79">
        <f t="shared" si="4"/>
        <v>6743.895766723841</v>
      </c>
      <c r="O25" s="79">
        <f t="shared" si="4"/>
        <v>6743.895766723841</v>
      </c>
      <c r="P25" s="79">
        <f t="shared" si="4"/>
        <v>6743.895766723841</v>
      </c>
      <c r="Q25" s="79">
        <f t="shared" si="4"/>
        <v>6743.895766723841</v>
      </c>
      <c r="R25" s="79">
        <f t="shared" si="4"/>
        <v>6743.895766723841</v>
      </c>
      <c r="S25" s="79">
        <f t="shared" si="4"/>
        <v>6743.895766723841</v>
      </c>
      <c r="T25" s="79">
        <f t="shared" si="4"/>
        <v>6743.895766723841</v>
      </c>
      <c r="U25" s="79">
        <f t="shared" si="4"/>
        <v>6743.895766723841</v>
      </c>
      <c r="V25" s="79">
        <f t="shared" si="4"/>
        <v>6743.895766723841</v>
      </c>
      <c r="W25" s="79">
        <f t="shared" si="4"/>
        <v>6743.895766723841</v>
      </c>
      <c r="X25" s="79">
        <f t="shared" si="4"/>
        <v>6952.205302723841</v>
      </c>
    </row>
    <row r="26" spans="1:24" ht="15.75" thickBot="1">
      <c r="A26" s="62" t="s">
        <v>75</v>
      </c>
      <c r="B26" s="64" t="s">
        <v>60</v>
      </c>
      <c r="C26" s="64"/>
      <c r="D26" s="79">
        <f aca="true" t="shared" si="5" ref="D26:X26">D25*D3</f>
        <v>-25576.1</v>
      </c>
      <c r="E26" s="79">
        <f t="shared" si="5"/>
        <v>0</v>
      </c>
      <c r="F26" s="79">
        <f t="shared" si="5"/>
        <v>-47125.90851244909</v>
      </c>
      <c r="G26" s="79">
        <f t="shared" si="5"/>
        <v>1605.3776555545364</v>
      </c>
      <c r="H26" s="79">
        <f t="shared" si="5"/>
        <v>1760.862999637673</v>
      </c>
      <c r="I26" s="79">
        <f t="shared" si="5"/>
        <v>3474.6836386941923</v>
      </c>
      <c r="J26" s="79">
        <f t="shared" si="5"/>
        <v>4297.764727576363</v>
      </c>
      <c r="K26" s="79">
        <f t="shared" si="5"/>
        <v>3986.8625983474344</v>
      </c>
      <c r="L26" s="79">
        <f t="shared" si="5"/>
        <v>3698.451261445706</v>
      </c>
      <c r="M26" s="79">
        <f t="shared" si="5"/>
        <v>3430.9037233836766</v>
      </c>
      <c r="N26" s="79">
        <f t="shared" si="5"/>
        <v>3182.7106880750707</v>
      </c>
      <c r="O26" s="79">
        <f t="shared" si="5"/>
        <v>2952.4720425547466</v>
      </c>
      <c r="P26" s="79">
        <f t="shared" si="5"/>
        <v>2738.8889586252553</v>
      </c>
      <c r="Q26" s="79">
        <f t="shared" si="5"/>
        <v>2540.756565873641</v>
      </c>
      <c r="R26" s="79">
        <f t="shared" si="5"/>
        <v>2356.9571547253354</v>
      </c>
      <c r="S26" s="79">
        <f t="shared" si="5"/>
        <v>2186.4538711920136</v>
      </c>
      <c r="T26" s="79">
        <f t="shared" si="5"/>
        <v>2028.2848677440813</v>
      </c>
      <c r="U26" s="79">
        <f t="shared" si="5"/>
        <v>1881.5578773115312</v>
      </c>
      <c r="V26" s="79">
        <f t="shared" si="5"/>
        <v>1745.4451798038888</v>
      </c>
      <c r="W26" s="79">
        <f t="shared" si="5"/>
        <v>1619.1789327542456</v>
      </c>
      <c r="X26" s="79">
        <f t="shared" si="5"/>
        <v>1548.442972050574</v>
      </c>
    </row>
    <row r="27" spans="1:24" ht="15.75" thickBot="1">
      <c r="A27" s="68" t="s">
        <v>53</v>
      </c>
      <c r="B27" s="69" t="s">
        <v>60</v>
      </c>
      <c r="C27" s="136"/>
      <c r="D27" s="70">
        <f>SUM(D26:X26)</f>
        <v>-25665.952797099133</v>
      </c>
      <c r="E27" s="86"/>
      <c r="F27" s="71"/>
      <c r="G27" s="71"/>
      <c r="H27" s="71"/>
      <c r="I27" s="72"/>
      <c r="J27" s="72"/>
      <c r="K27" s="72"/>
      <c r="L27" s="72"/>
      <c r="M27" s="72"/>
      <c r="N27" s="73"/>
      <c r="O27" s="73"/>
      <c r="P27" s="73"/>
      <c r="Q27" s="73"/>
      <c r="R27" s="73"/>
      <c r="S27" s="73"/>
      <c r="T27" s="73"/>
      <c r="U27" s="86"/>
      <c r="V27" s="86"/>
      <c r="W27" s="86"/>
      <c r="X27" s="86"/>
    </row>
    <row r="28" spans="1:20" ht="15.75" thickBot="1">
      <c r="A28" s="158"/>
      <c r="B28" s="136"/>
      <c r="C28" s="136"/>
      <c r="D28" s="137"/>
      <c r="G28" s="74"/>
      <c r="H28" s="74"/>
      <c r="I28" s="67"/>
      <c r="J28" s="67"/>
      <c r="K28" s="67"/>
      <c r="L28" s="67"/>
      <c r="M28" s="67"/>
      <c r="N28" s="75"/>
      <c r="O28" s="75"/>
      <c r="P28" s="75"/>
      <c r="Q28" s="75"/>
      <c r="R28" s="75"/>
      <c r="S28" s="75"/>
      <c r="T28" s="75"/>
    </row>
    <row r="29" spans="1:20" ht="15">
      <c r="A29" s="43"/>
      <c r="B29" s="64"/>
      <c r="C29" s="64"/>
      <c r="E29" s="66"/>
      <c r="F29" s="66"/>
      <c r="G29" s="93">
        <v>2008</v>
      </c>
      <c r="H29" s="94">
        <v>2009</v>
      </c>
      <c r="I29" s="94">
        <v>2010</v>
      </c>
      <c r="J29" s="94">
        <v>2011</v>
      </c>
      <c r="K29" s="95">
        <v>2012</v>
      </c>
      <c r="L29" s="93">
        <v>2013</v>
      </c>
      <c r="M29" s="94">
        <v>2014</v>
      </c>
      <c r="N29" s="94">
        <v>2015</v>
      </c>
      <c r="O29" s="94">
        <v>2016</v>
      </c>
      <c r="P29" s="94">
        <v>2017</v>
      </c>
      <c r="Q29" s="94">
        <v>2018</v>
      </c>
      <c r="R29" s="94">
        <v>2019</v>
      </c>
      <c r="S29" s="95">
        <v>2020</v>
      </c>
      <c r="T29" s="65"/>
    </row>
    <row r="30" spans="1:20" ht="15">
      <c r="A30" s="62" t="s">
        <v>54</v>
      </c>
      <c r="B30" s="64" t="s">
        <v>2</v>
      </c>
      <c r="C30" s="64"/>
      <c r="E30" s="66"/>
      <c r="G30" s="96">
        <f>Model!L20</f>
        <v>36016</v>
      </c>
      <c r="H30" s="80">
        <f>Model!M20</f>
        <v>42567</v>
      </c>
      <c r="I30" s="80">
        <f>Model!N20</f>
        <v>49038</v>
      </c>
      <c r="J30" s="80">
        <f>Model!O20</f>
        <v>64815</v>
      </c>
      <c r="K30" s="97">
        <f>Model!P20</f>
        <v>64815</v>
      </c>
      <c r="L30" s="96">
        <f>Investment!L27</f>
        <v>64815</v>
      </c>
      <c r="M30" s="80">
        <f>Investment!M27</f>
        <v>64815</v>
      </c>
      <c r="N30" s="80">
        <f>Investment!N27</f>
        <v>64815</v>
      </c>
      <c r="O30" s="80">
        <f>Investment!O27</f>
        <v>64815</v>
      </c>
      <c r="P30" s="80">
        <f>Investment!P27</f>
        <v>64815</v>
      </c>
      <c r="Q30" s="80">
        <f>Investment!Q27</f>
        <v>64815</v>
      </c>
      <c r="R30" s="80">
        <f>Investment!R27</f>
        <v>64815</v>
      </c>
      <c r="S30" s="97">
        <f>Investment!S27</f>
        <v>64815</v>
      </c>
      <c r="T30" s="65"/>
    </row>
    <row r="31" spans="1:20" ht="15">
      <c r="A31" s="62" t="s">
        <v>55</v>
      </c>
      <c r="B31" s="64" t="s">
        <v>56</v>
      </c>
      <c r="C31" s="64"/>
      <c r="E31" s="66"/>
      <c r="G31" s="96">
        <f>Investment!G28</f>
        <v>12</v>
      </c>
      <c r="H31" s="80">
        <f>Investment!H28</f>
        <v>12</v>
      </c>
      <c r="I31" s="80">
        <f>Investment!I28</f>
        <v>12</v>
      </c>
      <c r="J31" s="80">
        <f>Investment!J28</f>
        <v>12</v>
      </c>
      <c r="K31" s="97">
        <f>Investment!K28</f>
        <v>12</v>
      </c>
      <c r="L31" s="96">
        <f>Investment!L28</f>
        <v>12</v>
      </c>
      <c r="M31" s="80">
        <f>Investment!M28</f>
        <v>12</v>
      </c>
      <c r="N31" s="80">
        <f>Investment!N28</f>
        <v>12</v>
      </c>
      <c r="O31" s="80">
        <f>Investment!O28</f>
        <v>12</v>
      </c>
      <c r="P31" s="80">
        <f>Investment!P28</f>
        <v>12</v>
      </c>
      <c r="Q31" s="80">
        <f>Investment!Q28</f>
        <v>12</v>
      </c>
      <c r="R31" s="80">
        <f>Investment!R28</f>
        <v>12</v>
      </c>
      <c r="S31" s="97">
        <f>Investment!S28</f>
        <v>12</v>
      </c>
      <c r="T31" s="65"/>
    </row>
    <row r="32" spans="1:20" ht="15.75" thickBot="1">
      <c r="A32" s="62" t="s">
        <v>57</v>
      </c>
      <c r="B32" s="64" t="s">
        <v>50</v>
      </c>
      <c r="C32" s="64"/>
      <c r="E32" s="66"/>
      <c r="G32" s="98">
        <f>G30*G31*$B$5/1000</f>
        <v>2951.87136</v>
      </c>
      <c r="H32" s="99">
        <f>H30*H31*$B$5/1000</f>
        <v>3488.79132</v>
      </c>
      <c r="I32" s="99">
        <f>I30*I31*$B$5/1000</f>
        <v>4019.15448</v>
      </c>
      <c r="J32" s="99">
        <f>J30*J31*$B$5/1000</f>
        <v>5312.2374</v>
      </c>
      <c r="K32" s="100">
        <f>K30*K31*$B$5/1000</f>
        <v>5312.2374</v>
      </c>
      <c r="L32" s="98">
        <f aca="true" t="shared" si="6" ref="L32:S32">L30*L31*$B$5/1000</f>
        <v>5312.2374</v>
      </c>
      <c r="M32" s="99">
        <f t="shared" si="6"/>
        <v>5312.2374</v>
      </c>
      <c r="N32" s="99">
        <f t="shared" si="6"/>
        <v>5312.2374</v>
      </c>
      <c r="O32" s="99">
        <f t="shared" si="6"/>
        <v>5312.2374</v>
      </c>
      <c r="P32" s="99">
        <f t="shared" si="6"/>
        <v>5312.2374</v>
      </c>
      <c r="Q32" s="99">
        <f t="shared" si="6"/>
        <v>5312.2374</v>
      </c>
      <c r="R32" s="99">
        <f t="shared" si="6"/>
        <v>5312.2374</v>
      </c>
      <c r="S32" s="100">
        <f t="shared" si="6"/>
        <v>5312.2374</v>
      </c>
      <c r="T32" s="65"/>
    </row>
    <row r="33" spans="2:20" ht="15">
      <c r="B33" s="64"/>
      <c r="C33" s="64"/>
      <c r="E33" s="65"/>
      <c r="F33" s="65"/>
      <c r="G33" s="65"/>
      <c r="H33" s="65"/>
      <c r="I33" s="65"/>
      <c r="J33" s="65"/>
      <c r="P33" s="65"/>
      <c r="Q33" s="65"/>
      <c r="R33" s="65"/>
      <c r="S33" s="65"/>
      <c r="T33" s="65"/>
    </row>
    <row r="34" spans="1:24" ht="15">
      <c r="A34" t="s">
        <v>58</v>
      </c>
      <c r="B34" s="64" t="s">
        <v>50</v>
      </c>
      <c r="C34" s="64"/>
      <c r="D34" s="65">
        <f aca="true" t="shared" si="7" ref="D34:X34">D12+D16+D19+D23+D32</f>
        <v>-25576.1</v>
      </c>
      <c r="E34" s="65">
        <f t="shared" si="7"/>
        <v>0</v>
      </c>
      <c r="F34" s="65">
        <f t="shared" si="7"/>
        <v>-54762.4</v>
      </c>
      <c r="G34" s="65">
        <f t="shared" si="7"/>
        <v>4962.867884168554</v>
      </c>
      <c r="H34" s="65">
        <f t="shared" si="7"/>
        <v>5866.5678858348765</v>
      </c>
      <c r="I34" s="65">
        <f t="shared" si="7"/>
        <v>9077.076305042881</v>
      </c>
      <c r="J34" s="65">
        <f t="shared" si="7"/>
        <v>12056.133166723841</v>
      </c>
      <c r="K34" s="65">
        <f t="shared" si="7"/>
        <v>12056.133166723841</v>
      </c>
      <c r="L34" s="65">
        <f t="shared" si="7"/>
        <v>12056.133166723841</v>
      </c>
      <c r="M34" s="65">
        <f t="shared" si="7"/>
        <v>12056.133166723841</v>
      </c>
      <c r="N34" s="65">
        <f t="shared" si="7"/>
        <v>12056.133166723841</v>
      </c>
      <c r="O34" s="65">
        <f t="shared" si="7"/>
        <v>12056.133166723841</v>
      </c>
      <c r="P34" s="65">
        <f t="shared" si="7"/>
        <v>12056.133166723841</v>
      </c>
      <c r="Q34" s="65">
        <f t="shared" si="7"/>
        <v>12056.133166723841</v>
      </c>
      <c r="R34" s="65">
        <f t="shared" si="7"/>
        <v>12056.133166723841</v>
      </c>
      <c r="S34" s="65">
        <f t="shared" si="7"/>
        <v>12056.133166723841</v>
      </c>
      <c r="T34" s="65">
        <f t="shared" si="7"/>
        <v>6743.895766723841</v>
      </c>
      <c r="U34" s="65">
        <f t="shared" si="7"/>
        <v>6743.895766723841</v>
      </c>
      <c r="V34" s="65">
        <f t="shared" si="7"/>
        <v>6743.895766723841</v>
      </c>
      <c r="W34" s="65">
        <f t="shared" si="7"/>
        <v>6743.895766723841</v>
      </c>
      <c r="X34" s="65">
        <f t="shared" si="7"/>
        <v>6952.205302723841</v>
      </c>
    </row>
    <row r="35" spans="1:24" ht="15.75" thickBot="1">
      <c r="A35" s="62" t="s">
        <v>75</v>
      </c>
      <c r="B35" s="64" t="s">
        <v>50</v>
      </c>
      <c r="C35" s="64"/>
      <c r="D35" s="65">
        <f aca="true" t="shared" si="8" ref="D35:X35">D34*D3</f>
        <v>-25576.1</v>
      </c>
      <c r="E35" s="65">
        <f t="shared" si="8"/>
        <v>0</v>
      </c>
      <c r="F35" s="65">
        <f t="shared" si="8"/>
        <v>-47125.90851244909</v>
      </c>
      <c r="G35" s="65">
        <f t="shared" si="8"/>
        <v>3961.8552856561932</v>
      </c>
      <c r="H35" s="65">
        <f t="shared" si="8"/>
        <v>4344.488238911602</v>
      </c>
      <c r="I35" s="65">
        <f t="shared" si="8"/>
        <v>6235.756426315235</v>
      </c>
      <c r="J35" s="65">
        <f t="shared" si="8"/>
        <v>7683.159062240443</v>
      </c>
      <c r="K35" s="65">
        <f t="shared" si="8"/>
        <v>7127.356066248582</v>
      </c>
      <c r="L35" s="65">
        <f t="shared" si="8"/>
        <v>6611.760095498686</v>
      </c>
      <c r="M35" s="65">
        <f t="shared" si="8"/>
        <v>6133.4625566753775</v>
      </c>
      <c r="N35" s="65">
        <f t="shared" si="8"/>
        <v>5689.765265341414</v>
      </c>
      <c r="O35" s="65">
        <f t="shared" si="8"/>
        <v>5278.165224869908</v>
      </c>
      <c r="P35" s="65">
        <f t="shared" si="8"/>
        <v>4896.340506475066</v>
      </c>
      <c r="Q35" s="65">
        <f t="shared" si="8"/>
        <v>4542.137150687508</v>
      </c>
      <c r="R35" s="65">
        <f t="shared" si="8"/>
        <v>4213.557016382455</v>
      </c>
      <c r="S35" s="65">
        <f t="shared" si="8"/>
        <v>3908.746508814362</v>
      </c>
      <c r="T35" s="65">
        <f t="shared" si="8"/>
        <v>2028.2848677440813</v>
      </c>
      <c r="U35" s="65">
        <f t="shared" si="8"/>
        <v>1881.5578773115312</v>
      </c>
      <c r="V35" s="65">
        <f t="shared" si="8"/>
        <v>1745.4451798038888</v>
      </c>
      <c r="W35" s="65">
        <f t="shared" si="8"/>
        <v>1619.1789327542456</v>
      </c>
      <c r="X35" s="65">
        <f t="shared" si="8"/>
        <v>1548.442972050574</v>
      </c>
    </row>
    <row r="36" spans="1:20" ht="15.75" thickBot="1">
      <c r="A36" s="68" t="s">
        <v>53</v>
      </c>
      <c r="B36" s="69" t="s">
        <v>50</v>
      </c>
      <c r="C36" s="136"/>
      <c r="D36" s="76">
        <f>SUM(D35:X35)</f>
        <v>6747.450721332065</v>
      </c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</row>
    <row r="37" ht="15">
      <c r="C37" s="43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7"/>
  <sheetViews>
    <sheetView zoomScale="75" zoomScaleNormal="75" zoomScalePageLayoutView="0" workbookViewId="0" topLeftCell="A1">
      <selection activeCell="D28" sqref="D28"/>
    </sheetView>
  </sheetViews>
  <sheetFormatPr defaultColWidth="9.140625" defaultRowHeight="15"/>
  <cols>
    <col min="1" max="1" width="31.8515625" style="0" bestFit="1" customWidth="1"/>
    <col min="2" max="2" width="11.7109375" style="0" bestFit="1" customWidth="1"/>
    <col min="3" max="3" width="7.8515625" style="0" customWidth="1"/>
    <col min="4" max="5" width="12.00390625" style="0" bestFit="1" customWidth="1"/>
    <col min="6" max="7" width="11.57421875" style="0" bestFit="1" customWidth="1"/>
    <col min="8" max="8" width="11.00390625" style="0" bestFit="1" customWidth="1"/>
    <col min="9" max="9" width="11.57421875" style="0" bestFit="1" customWidth="1"/>
    <col min="10" max="18" width="12.140625" style="0" bestFit="1" customWidth="1"/>
    <col min="19" max="24" width="10.7109375" style="0" bestFit="1" customWidth="1"/>
  </cols>
  <sheetData>
    <row r="1" spans="1:3" ht="15">
      <c r="A1" s="43"/>
      <c r="B1" s="43"/>
      <c r="C1" s="43"/>
    </row>
    <row r="2" spans="1:24" s="194" customFormat="1" ht="15">
      <c r="A2" s="195" t="s">
        <v>46</v>
      </c>
      <c r="B2" s="196"/>
      <c r="C2" s="196"/>
      <c r="D2" s="196">
        <v>0</v>
      </c>
      <c r="E2" s="196">
        <v>1</v>
      </c>
      <c r="F2" s="196">
        <v>2</v>
      </c>
      <c r="G2" s="196">
        <v>3</v>
      </c>
      <c r="H2" s="196">
        <v>4</v>
      </c>
      <c r="I2" s="196">
        <v>5</v>
      </c>
      <c r="J2" s="196">
        <v>6</v>
      </c>
      <c r="K2" s="196">
        <v>7</v>
      </c>
      <c r="L2" s="196">
        <v>8</v>
      </c>
      <c r="M2" s="196">
        <v>9</v>
      </c>
      <c r="N2" s="196">
        <v>10</v>
      </c>
      <c r="O2" s="196">
        <v>11</v>
      </c>
      <c r="P2" s="196">
        <v>12</v>
      </c>
      <c r="Q2" s="196">
        <v>13</v>
      </c>
      <c r="R2" s="196">
        <v>14</v>
      </c>
      <c r="S2" s="196">
        <v>15</v>
      </c>
      <c r="T2" s="196">
        <v>16</v>
      </c>
      <c r="U2" s="196">
        <v>17</v>
      </c>
      <c r="V2" s="196">
        <v>18</v>
      </c>
      <c r="W2" s="196">
        <v>19</v>
      </c>
      <c r="X2" s="196">
        <v>20</v>
      </c>
    </row>
    <row r="3" spans="1:24" ht="15">
      <c r="A3" s="83" t="s">
        <v>47</v>
      </c>
      <c r="B3" s="84"/>
      <c r="C3" s="84"/>
      <c r="D3" s="85">
        <f aca="true" t="shared" si="0" ref="D3:X3">1/(1+$B$4)^D2</f>
        <v>1</v>
      </c>
      <c r="E3" s="85">
        <f t="shared" si="0"/>
        <v>0.9276595744680852</v>
      </c>
      <c r="F3" s="85">
        <f t="shared" si="0"/>
        <v>0.860552286102309</v>
      </c>
      <c r="G3" s="85">
        <f t="shared" si="0"/>
        <v>0.7982995675332059</v>
      </c>
      <c r="H3" s="85">
        <f t="shared" si="0"/>
        <v>0.7405502371159103</v>
      </c>
      <c r="I3" s="85">
        <f t="shared" si="0"/>
        <v>0.6869785178351849</v>
      </c>
      <c r="J3" s="85">
        <f t="shared" si="0"/>
        <v>0.6372821995237036</v>
      </c>
      <c r="K3" s="85">
        <f t="shared" si="0"/>
        <v>0.5911809340262442</v>
      </c>
      <c r="L3" s="85">
        <f t="shared" si="0"/>
        <v>0.5484146536924309</v>
      </c>
      <c r="M3" s="85">
        <f t="shared" si="0"/>
        <v>0.5087421042763828</v>
      </c>
      <c r="N3" s="85">
        <f t="shared" si="0"/>
        <v>0.4719394839670275</v>
      </c>
      <c r="O3" s="85">
        <f t="shared" si="0"/>
        <v>0.4377991808715404</v>
      </c>
      <c r="P3" s="85">
        <f t="shared" si="0"/>
        <v>0.40612860182976956</v>
      </c>
      <c r="Q3" s="85">
        <f t="shared" si="0"/>
        <v>0.37674908595272244</v>
      </c>
      <c r="R3" s="85">
        <f t="shared" si="0"/>
        <v>0.34949489675614254</v>
      </c>
      <c r="S3" s="85">
        <f t="shared" si="0"/>
        <v>0.32421228720357054</v>
      </c>
      <c r="T3" s="85">
        <f t="shared" si="0"/>
        <v>0.30075863238458894</v>
      </c>
      <c r="U3" s="85">
        <f t="shared" si="0"/>
        <v>0.2790016249354911</v>
      </c>
      <c r="V3" s="85">
        <f t="shared" si="0"/>
        <v>0.258818528663562</v>
      </c>
      <c r="W3" s="85">
        <f t="shared" si="0"/>
        <v>0.24009548616449577</v>
      </c>
      <c r="X3" s="85">
        <f t="shared" si="0"/>
        <v>0.22272687652706424</v>
      </c>
    </row>
    <row r="4" spans="1:24" ht="15">
      <c r="A4" s="62" t="s">
        <v>65</v>
      </c>
      <c r="B4" s="137">
        <f>Investment!B4</f>
        <v>0.07798165137614665</v>
      </c>
      <c r="C4" s="82"/>
      <c r="D4" s="43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</row>
    <row r="5" spans="1:24" ht="15">
      <c r="A5" s="62" t="s">
        <v>68</v>
      </c>
      <c r="B5" s="103">
        <f>Investment!B5</f>
        <v>6.83</v>
      </c>
      <c r="C5" s="87"/>
      <c r="D5" s="43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</row>
    <row r="6" spans="1:24" ht="15.75" thickBot="1">
      <c r="A6" s="62"/>
      <c r="B6" s="82"/>
      <c r="C6" s="82"/>
      <c r="D6" s="43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</row>
    <row r="7" spans="1:24" ht="15">
      <c r="A7" s="88" t="s">
        <v>69</v>
      </c>
      <c r="B7" s="90">
        <v>0</v>
      </c>
      <c r="C7" s="138"/>
      <c r="D7" s="43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</row>
    <row r="8" spans="1:24" ht="15.75" thickBot="1">
      <c r="A8" s="89" t="s">
        <v>70</v>
      </c>
      <c r="B8" s="91">
        <v>-0.1</v>
      </c>
      <c r="C8" s="138"/>
      <c r="D8" s="43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</row>
    <row r="10" spans="1:24" s="194" customFormat="1" ht="15">
      <c r="A10" s="191" t="s">
        <v>48</v>
      </c>
      <c r="B10" s="192"/>
      <c r="C10" s="192"/>
      <c r="D10" s="193">
        <v>2005</v>
      </c>
      <c r="E10" s="193">
        <v>2006</v>
      </c>
      <c r="F10" s="193">
        <v>2007</v>
      </c>
      <c r="G10" s="193">
        <v>2008</v>
      </c>
      <c r="H10" s="193">
        <v>2009</v>
      </c>
      <c r="I10" s="193">
        <v>2010</v>
      </c>
      <c r="J10" s="193">
        <v>2011</v>
      </c>
      <c r="K10" s="193">
        <v>2012</v>
      </c>
      <c r="L10" s="193">
        <v>2013</v>
      </c>
      <c r="M10" s="193">
        <v>2014</v>
      </c>
      <c r="N10" s="193">
        <v>2015</v>
      </c>
      <c r="O10" s="193">
        <v>2016</v>
      </c>
      <c r="P10" s="193">
        <v>2017</v>
      </c>
      <c r="Q10" s="193">
        <v>2018</v>
      </c>
      <c r="R10" s="193">
        <v>2019</v>
      </c>
      <c r="S10" s="193">
        <v>2020</v>
      </c>
      <c r="T10" s="193">
        <v>2021</v>
      </c>
      <c r="U10" s="193">
        <v>2022</v>
      </c>
      <c r="V10" s="193">
        <v>2023</v>
      </c>
      <c r="W10" s="193">
        <v>2024</v>
      </c>
      <c r="X10" s="193">
        <v>2025</v>
      </c>
    </row>
    <row r="11" spans="5:24" ht="15"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</row>
    <row r="12" spans="1:21" ht="15">
      <c r="A12" t="s">
        <v>49</v>
      </c>
      <c r="B12" s="64" t="s">
        <v>60</v>
      </c>
      <c r="C12" s="64"/>
      <c r="D12" s="65">
        <f>Investment!D9+Investment!D9*$B$8</f>
        <v>-20925.9</v>
      </c>
      <c r="E12" s="65"/>
      <c r="F12" s="65">
        <f>Investment!F9+Investment!F9*$B$8</f>
        <v>-44805.6</v>
      </c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>
        <f>K12</f>
        <v>0</v>
      </c>
    </row>
    <row r="13" spans="2:20" ht="15">
      <c r="B13" s="64"/>
      <c r="C13" s="64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</row>
    <row r="14" spans="1:24" ht="15">
      <c r="A14" t="s">
        <v>67</v>
      </c>
      <c r="B14" s="64" t="s">
        <v>5</v>
      </c>
      <c r="C14" s="64"/>
      <c r="D14" s="65">
        <f>Investment!D11</f>
        <v>0</v>
      </c>
      <c r="E14" s="65">
        <f>Investment!E11</f>
        <v>0</v>
      </c>
      <c r="F14" s="65">
        <f>Investment!F11</f>
        <v>0</v>
      </c>
      <c r="G14" s="65">
        <f>Investment!G11</f>
        <v>40658.926</v>
      </c>
      <c r="H14" s="65">
        <f>Investment!H11</f>
        <v>48074.594</v>
      </c>
      <c r="I14" s="65">
        <f>Investment!I11</f>
        <v>78840</v>
      </c>
      <c r="J14" s="65">
        <f>Investment!J11</f>
        <v>105120</v>
      </c>
      <c r="K14" s="65">
        <f>Investment!K11</f>
        <v>105120</v>
      </c>
      <c r="L14" s="65">
        <f>Investment!L11</f>
        <v>105120</v>
      </c>
      <c r="M14" s="65">
        <f>Investment!M11</f>
        <v>105120</v>
      </c>
      <c r="N14" s="65">
        <f>Investment!N11</f>
        <v>105120</v>
      </c>
      <c r="O14" s="65">
        <f>Investment!O11</f>
        <v>105120</v>
      </c>
      <c r="P14" s="65">
        <f>Investment!P11</f>
        <v>105120</v>
      </c>
      <c r="Q14" s="65">
        <f>Investment!Q11</f>
        <v>105120</v>
      </c>
      <c r="R14" s="65">
        <f>Investment!R11</f>
        <v>105120</v>
      </c>
      <c r="S14" s="65">
        <f>Investment!S11</f>
        <v>105120</v>
      </c>
      <c r="T14" s="65">
        <f>Investment!T11</f>
        <v>105120</v>
      </c>
      <c r="U14" s="65">
        <f>Investment!U11</f>
        <v>105120</v>
      </c>
      <c r="V14" s="65">
        <f>Investment!V11</f>
        <v>105120</v>
      </c>
      <c r="W14" s="65">
        <f>Investment!W11</f>
        <v>105120</v>
      </c>
      <c r="X14" s="65">
        <f>Investment!X11</f>
        <v>105120</v>
      </c>
    </row>
    <row r="15" spans="1:24" ht="15">
      <c r="A15" t="s">
        <v>59</v>
      </c>
      <c r="B15" s="64" t="s">
        <v>61</v>
      </c>
      <c r="C15" s="64"/>
      <c r="D15" s="65">
        <f>Investment!D12+Investment!D12*$B$7</f>
        <v>144.2</v>
      </c>
      <c r="E15" s="65">
        <f>Investment!E12+Investment!E12*$B$7</f>
        <v>144.2</v>
      </c>
      <c r="F15" s="65">
        <f>Investment!F12+Investment!F12*$B$7</f>
        <v>144.2</v>
      </c>
      <c r="G15" s="65">
        <f>Investment!G12+Investment!G12*$B$7</f>
        <v>144.2</v>
      </c>
      <c r="H15" s="65">
        <f>Investment!H12+Investment!H12*$B$7</f>
        <v>144.2</v>
      </c>
      <c r="I15" s="65">
        <f>H15</f>
        <v>144.2</v>
      </c>
      <c r="J15" s="65">
        <f aca="true" t="shared" si="1" ref="J15:X15">I15</f>
        <v>144.2</v>
      </c>
      <c r="K15" s="65">
        <f t="shared" si="1"/>
        <v>144.2</v>
      </c>
      <c r="L15" s="65">
        <f t="shared" si="1"/>
        <v>144.2</v>
      </c>
      <c r="M15" s="65">
        <f t="shared" si="1"/>
        <v>144.2</v>
      </c>
      <c r="N15" s="65">
        <f t="shared" si="1"/>
        <v>144.2</v>
      </c>
      <c r="O15" s="65">
        <f t="shared" si="1"/>
        <v>144.2</v>
      </c>
      <c r="P15" s="65">
        <f t="shared" si="1"/>
        <v>144.2</v>
      </c>
      <c r="Q15" s="65">
        <f t="shared" si="1"/>
        <v>144.2</v>
      </c>
      <c r="R15" s="65">
        <f t="shared" si="1"/>
        <v>144.2</v>
      </c>
      <c r="S15" s="65">
        <f t="shared" si="1"/>
        <v>144.2</v>
      </c>
      <c r="T15" s="65">
        <f t="shared" si="1"/>
        <v>144.2</v>
      </c>
      <c r="U15" s="65">
        <f t="shared" si="1"/>
        <v>144.2</v>
      </c>
      <c r="V15" s="65">
        <f t="shared" si="1"/>
        <v>144.2</v>
      </c>
      <c r="W15" s="65">
        <f t="shared" si="1"/>
        <v>144.2</v>
      </c>
      <c r="X15" s="65">
        <f t="shared" si="1"/>
        <v>144.2</v>
      </c>
    </row>
    <row r="16" spans="1:24" ht="15">
      <c r="A16" t="s">
        <v>66</v>
      </c>
      <c r="B16" s="64" t="s">
        <v>60</v>
      </c>
      <c r="C16" s="64"/>
      <c r="D16" s="65">
        <f>D15*D14/1000</f>
        <v>0</v>
      </c>
      <c r="E16" s="65">
        <f>E15*E14/1000</f>
        <v>0</v>
      </c>
      <c r="F16" s="65">
        <f>F15*F14/1000</f>
        <v>0</v>
      </c>
      <c r="G16" s="65">
        <f>G15*G14/1000</f>
        <v>5863.0171291999995</v>
      </c>
      <c r="H16" s="65">
        <f aca="true" t="shared" si="2" ref="H16:X16">H15*H14/1000</f>
        <v>6932.3564547999995</v>
      </c>
      <c r="I16" s="65">
        <f t="shared" si="2"/>
        <v>11368.728</v>
      </c>
      <c r="J16" s="65">
        <f t="shared" si="2"/>
        <v>15158.303999999998</v>
      </c>
      <c r="K16" s="65">
        <f t="shared" si="2"/>
        <v>15158.303999999998</v>
      </c>
      <c r="L16" s="65">
        <f t="shared" si="2"/>
        <v>15158.303999999998</v>
      </c>
      <c r="M16" s="65">
        <f t="shared" si="2"/>
        <v>15158.303999999998</v>
      </c>
      <c r="N16" s="65">
        <f t="shared" si="2"/>
        <v>15158.303999999998</v>
      </c>
      <c r="O16" s="65">
        <f t="shared" si="2"/>
        <v>15158.303999999998</v>
      </c>
      <c r="P16" s="65">
        <f t="shared" si="2"/>
        <v>15158.303999999998</v>
      </c>
      <c r="Q16" s="65">
        <f t="shared" si="2"/>
        <v>15158.303999999998</v>
      </c>
      <c r="R16" s="65">
        <f t="shared" si="2"/>
        <v>15158.303999999998</v>
      </c>
      <c r="S16" s="65">
        <f t="shared" si="2"/>
        <v>15158.303999999998</v>
      </c>
      <c r="T16" s="65">
        <f t="shared" si="2"/>
        <v>15158.303999999998</v>
      </c>
      <c r="U16" s="65">
        <f t="shared" si="2"/>
        <v>15158.303999999998</v>
      </c>
      <c r="V16" s="65">
        <f t="shared" si="2"/>
        <v>15158.303999999998</v>
      </c>
      <c r="W16" s="65">
        <f t="shared" si="2"/>
        <v>15158.303999999998</v>
      </c>
      <c r="X16" s="65">
        <f t="shared" si="2"/>
        <v>15158.303999999998</v>
      </c>
    </row>
    <row r="17" spans="2:24" ht="15">
      <c r="B17" s="64"/>
      <c r="C17" s="64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</row>
    <row r="18" spans="1:24" ht="15">
      <c r="A18" t="s">
        <v>63</v>
      </c>
      <c r="B18" s="64" t="s">
        <v>61</v>
      </c>
      <c r="C18" s="64"/>
      <c r="D18" s="65">
        <f>Investment!D15</f>
        <v>0</v>
      </c>
      <c r="E18" s="65">
        <f>Investment!E15</f>
        <v>0</v>
      </c>
      <c r="F18" s="65">
        <f>Investment!F15</f>
        <v>0</v>
      </c>
      <c r="G18" s="65">
        <f>Investment!G15</f>
        <v>94.73985134362492</v>
      </c>
      <c r="H18" s="65">
        <f>Investment!H15</f>
        <v>94.73985134362492</v>
      </c>
      <c r="I18" s="65">
        <f>Investment!I15</f>
        <v>80.0457404230989</v>
      </c>
      <c r="J18" s="65">
        <f>Investment!J15</f>
        <v>80.0457404230989</v>
      </c>
      <c r="K18" s="65">
        <f>Investment!K15</f>
        <v>80.0457404230989</v>
      </c>
      <c r="L18" s="65">
        <f>Investment!L15</f>
        <v>80.0457404230989</v>
      </c>
      <c r="M18" s="65">
        <f>Investment!M15</f>
        <v>80.0457404230989</v>
      </c>
      <c r="N18" s="65">
        <f>Investment!N15</f>
        <v>80.0457404230989</v>
      </c>
      <c r="O18" s="65">
        <f>Investment!O15</f>
        <v>80.0457404230989</v>
      </c>
      <c r="P18" s="65">
        <f>Investment!P15</f>
        <v>80.0457404230989</v>
      </c>
      <c r="Q18" s="65">
        <f>Investment!Q15</f>
        <v>80.0457404230989</v>
      </c>
      <c r="R18" s="65">
        <f>Investment!R15</f>
        <v>80.0457404230989</v>
      </c>
      <c r="S18" s="65">
        <f>Investment!S15</f>
        <v>80.0457404230989</v>
      </c>
      <c r="T18" s="65">
        <f>Investment!T15</f>
        <v>80.0457404230989</v>
      </c>
      <c r="U18" s="65">
        <f>Investment!U15</f>
        <v>80.0457404230989</v>
      </c>
      <c r="V18" s="65">
        <f>Investment!V15</f>
        <v>80.0457404230989</v>
      </c>
      <c r="W18" s="65">
        <f>Investment!W15</f>
        <v>80.0457404230989</v>
      </c>
      <c r="X18" s="65">
        <f>Investment!X15</f>
        <v>80.0457404230989</v>
      </c>
    </row>
    <row r="19" spans="1:24" ht="15">
      <c r="A19" t="s">
        <v>64</v>
      </c>
      <c r="B19" s="64" t="s">
        <v>62</v>
      </c>
      <c r="C19" s="64"/>
      <c r="D19" s="65">
        <f>-D18*D14/1000</f>
        <v>0</v>
      </c>
      <c r="E19" s="65">
        <f>-E18*E14/1000</f>
        <v>0</v>
      </c>
      <c r="F19" s="65">
        <f aca="true" t="shared" si="3" ref="F19:X19">-F18*F14/1000</f>
        <v>0</v>
      </c>
      <c r="G19" s="65">
        <f t="shared" si="3"/>
        <v>-3852.020605031446</v>
      </c>
      <c r="H19" s="65">
        <f t="shared" si="3"/>
        <v>-4554.579888965122</v>
      </c>
      <c r="I19" s="65">
        <f t="shared" si="3"/>
        <v>-6310.806174957118</v>
      </c>
      <c r="J19" s="65">
        <f t="shared" si="3"/>
        <v>-8414.408233276157</v>
      </c>
      <c r="K19" s="65">
        <f t="shared" si="3"/>
        <v>-8414.408233276157</v>
      </c>
      <c r="L19" s="65">
        <f t="shared" si="3"/>
        <v>-8414.408233276157</v>
      </c>
      <c r="M19" s="65">
        <f t="shared" si="3"/>
        <v>-8414.408233276157</v>
      </c>
      <c r="N19" s="65">
        <f t="shared" si="3"/>
        <v>-8414.408233276157</v>
      </c>
      <c r="O19" s="65">
        <f t="shared" si="3"/>
        <v>-8414.408233276157</v>
      </c>
      <c r="P19" s="65">
        <f t="shared" si="3"/>
        <v>-8414.408233276157</v>
      </c>
      <c r="Q19" s="65">
        <f t="shared" si="3"/>
        <v>-8414.408233276157</v>
      </c>
      <c r="R19" s="65">
        <f t="shared" si="3"/>
        <v>-8414.408233276157</v>
      </c>
      <c r="S19" s="65">
        <f t="shared" si="3"/>
        <v>-8414.408233276157</v>
      </c>
      <c r="T19" s="65">
        <f t="shared" si="3"/>
        <v>-8414.408233276157</v>
      </c>
      <c r="U19" s="65">
        <f t="shared" si="3"/>
        <v>-8414.408233276157</v>
      </c>
      <c r="V19" s="65">
        <f t="shared" si="3"/>
        <v>-8414.408233276157</v>
      </c>
      <c r="W19" s="65">
        <f t="shared" si="3"/>
        <v>-8414.408233276157</v>
      </c>
      <c r="X19" s="65">
        <f t="shared" si="3"/>
        <v>-8414.408233276157</v>
      </c>
    </row>
    <row r="20" spans="2:24" ht="15">
      <c r="B20" s="64"/>
      <c r="C20" s="64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</row>
    <row r="21" spans="1:24" ht="15">
      <c r="A21" t="s">
        <v>104</v>
      </c>
      <c r="B21" s="64" t="s">
        <v>2</v>
      </c>
      <c r="C21" s="65"/>
      <c r="D21" s="65">
        <f>Investment!D18</f>
        <v>90.368</v>
      </c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>
        <f>Investment!X18</f>
        <v>90.368</v>
      </c>
    </row>
    <row r="22" spans="1:24" ht="15">
      <c r="A22" t="s">
        <v>105</v>
      </c>
      <c r="B22" s="64" t="s">
        <v>106</v>
      </c>
      <c r="C22" s="65"/>
      <c r="D22" s="65">
        <f>Investment!D19</f>
        <v>2305.125</v>
      </c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>
        <f>Investment!X19</f>
        <v>2305.125</v>
      </c>
    </row>
    <row r="23" spans="1:24" ht="15">
      <c r="A23" t="s">
        <v>107</v>
      </c>
      <c r="B23" s="64" t="s">
        <v>62</v>
      </c>
      <c r="C23" s="65"/>
      <c r="D23" s="188">
        <f>Investment!D20</f>
        <v>0</v>
      </c>
      <c r="E23" s="188">
        <f>Investment!E20</f>
        <v>0</v>
      </c>
      <c r="F23" s="188">
        <f>Investment!F20</f>
        <v>0</v>
      </c>
      <c r="G23" s="188">
        <f>Investment!G20</f>
        <v>0</v>
      </c>
      <c r="H23" s="188">
        <f>Investment!H20</f>
        <v>0</v>
      </c>
      <c r="I23" s="188">
        <f>Investment!I20</f>
        <v>0</v>
      </c>
      <c r="J23" s="188">
        <f>Investment!J20</f>
        <v>0</v>
      </c>
      <c r="K23" s="188">
        <f>Investment!K20</f>
        <v>0</v>
      </c>
      <c r="L23" s="188">
        <f>Investment!L20</f>
        <v>0</v>
      </c>
      <c r="M23" s="188">
        <f>Investment!M20</f>
        <v>0</v>
      </c>
      <c r="N23" s="188">
        <f>Investment!N20</f>
        <v>0</v>
      </c>
      <c r="O23" s="188">
        <f>Investment!O20</f>
        <v>0</v>
      </c>
      <c r="P23" s="188">
        <f>Investment!P20</f>
        <v>0</v>
      </c>
      <c r="Q23" s="188">
        <f>Investment!Q20</f>
        <v>0</v>
      </c>
      <c r="R23" s="188">
        <f>Investment!R20</f>
        <v>0</v>
      </c>
      <c r="S23" s="188">
        <f>Investment!S20</f>
        <v>0</v>
      </c>
      <c r="T23" s="188">
        <f>Investment!T20</f>
        <v>0</v>
      </c>
      <c r="U23" s="188">
        <f>Investment!U20</f>
        <v>0</v>
      </c>
      <c r="V23" s="188">
        <f>Investment!V20</f>
        <v>0</v>
      </c>
      <c r="W23" s="188">
        <f>Investment!W20</f>
        <v>0</v>
      </c>
      <c r="X23" s="65">
        <f>Investment!X20</f>
        <v>208.30953599999998</v>
      </c>
    </row>
    <row r="24" spans="2:20" ht="15">
      <c r="B24" s="64"/>
      <c r="C24" s="64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</row>
    <row r="25" spans="1:24" ht="15">
      <c r="A25" s="62" t="s">
        <v>51</v>
      </c>
      <c r="B25" s="64" t="s">
        <v>60</v>
      </c>
      <c r="C25" s="64"/>
      <c r="D25" s="79">
        <f aca="true" t="shared" si="4" ref="D25:X25">D12+D16+D19+D23</f>
        <v>-20925.9</v>
      </c>
      <c r="E25" s="79">
        <f t="shared" si="4"/>
        <v>0</v>
      </c>
      <c r="F25" s="79">
        <f t="shared" si="4"/>
        <v>-44805.6</v>
      </c>
      <c r="G25" s="79">
        <f t="shared" si="4"/>
        <v>2010.9965241685536</v>
      </c>
      <c r="H25" s="79">
        <f t="shared" si="4"/>
        <v>2377.776565834877</v>
      </c>
      <c r="I25" s="79">
        <f t="shared" si="4"/>
        <v>5057.921825042881</v>
      </c>
      <c r="J25" s="79">
        <f t="shared" si="4"/>
        <v>6743.895766723841</v>
      </c>
      <c r="K25" s="79">
        <f t="shared" si="4"/>
        <v>6743.895766723841</v>
      </c>
      <c r="L25" s="79">
        <f t="shared" si="4"/>
        <v>6743.895766723841</v>
      </c>
      <c r="M25" s="79">
        <f t="shared" si="4"/>
        <v>6743.895766723841</v>
      </c>
      <c r="N25" s="79">
        <f t="shared" si="4"/>
        <v>6743.895766723841</v>
      </c>
      <c r="O25" s="79">
        <f t="shared" si="4"/>
        <v>6743.895766723841</v>
      </c>
      <c r="P25" s="79">
        <f t="shared" si="4"/>
        <v>6743.895766723841</v>
      </c>
      <c r="Q25" s="79">
        <f t="shared" si="4"/>
        <v>6743.895766723841</v>
      </c>
      <c r="R25" s="79">
        <f t="shared" si="4"/>
        <v>6743.895766723841</v>
      </c>
      <c r="S25" s="79">
        <f t="shared" si="4"/>
        <v>6743.895766723841</v>
      </c>
      <c r="T25" s="79">
        <f t="shared" si="4"/>
        <v>6743.895766723841</v>
      </c>
      <c r="U25" s="79">
        <f t="shared" si="4"/>
        <v>6743.895766723841</v>
      </c>
      <c r="V25" s="79">
        <f t="shared" si="4"/>
        <v>6743.895766723841</v>
      </c>
      <c r="W25" s="79">
        <f t="shared" si="4"/>
        <v>6743.895766723841</v>
      </c>
      <c r="X25" s="79">
        <f t="shared" si="4"/>
        <v>6952.205302723841</v>
      </c>
    </row>
    <row r="26" spans="1:24" ht="15.75" thickBot="1">
      <c r="A26" s="62" t="s">
        <v>75</v>
      </c>
      <c r="B26" s="64" t="s">
        <v>60</v>
      </c>
      <c r="C26" s="64"/>
      <c r="D26" s="79">
        <f aca="true" t="shared" si="5" ref="D26:X26">D25*D3</f>
        <v>-20925.9</v>
      </c>
      <c r="E26" s="79">
        <f t="shared" si="5"/>
        <v>0</v>
      </c>
      <c r="F26" s="79">
        <f t="shared" si="5"/>
        <v>-38557.56151018562</v>
      </c>
      <c r="G26" s="79">
        <f t="shared" si="5"/>
        <v>1605.3776555545364</v>
      </c>
      <c r="H26" s="79">
        <f t="shared" si="5"/>
        <v>1760.862999637673</v>
      </c>
      <c r="I26" s="79">
        <f t="shared" si="5"/>
        <v>3474.6836386941923</v>
      </c>
      <c r="J26" s="79">
        <f t="shared" si="5"/>
        <v>4297.764727576363</v>
      </c>
      <c r="K26" s="79">
        <f t="shared" si="5"/>
        <v>3986.8625983474344</v>
      </c>
      <c r="L26" s="79">
        <f t="shared" si="5"/>
        <v>3698.451261445706</v>
      </c>
      <c r="M26" s="79">
        <f t="shared" si="5"/>
        <v>3430.9037233836766</v>
      </c>
      <c r="N26" s="79">
        <f t="shared" si="5"/>
        <v>3182.7106880750707</v>
      </c>
      <c r="O26" s="79">
        <f t="shared" si="5"/>
        <v>2952.4720425547466</v>
      </c>
      <c r="P26" s="79">
        <f t="shared" si="5"/>
        <v>2738.8889586252553</v>
      </c>
      <c r="Q26" s="79">
        <f t="shared" si="5"/>
        <v>2540.756565873641</v>
      </c>
      <c r="R26" s="79">
        <f t="shared" si="5"/>
        <v>2356.9571547253354</v>
      </c>
      <c r="S26" s="79">
        <f t="shared" si="5"/>
        <v>2186.4538711920136</v>
      </c>
      <c r="T26" s="79">
        <f t="shared" si="5"/>
        <v>2028.2848677440813</v>
      </c>
      <c r="U26" s="79">
        <f t="shared" si="5"/>
        <v>1881.5578773115312</v>
      </c>
      <c r="V26" s="79">
        <f t="shared" si="5"/>
        <v>1745.4451798038888</v>
      </c>
      <c r="W26" s="79">
        <f t="shared" si="5"/>
        <v>1619.1789327542456</v>
      </c>
      <c r="X26" s="79">
        <f t="shared" si="5"/>
        <v>1548.442972050574</v>
      </c>
    </row>
    <row r="27" spans="1:24" ht="15.75" thickBot="1">
      <c r="A27" s="68" t="s">
        <v>53</v>
      </c>
      <c r="B27" s="69" t="s">
        <v>60</v>
      </c>
      <c r="C27" s="136"/>
      <c r="D27" s="70">
        <f>SUM(D26:X26)</f>
        <v>-12447.405794835651</v>
      </c>
      <c r="E27" s="86"/>
      <c r="F27" s="71"/>
      <c r="G27" s="71"/>
      <c r="H27" s="71"/>
      <c r="I27" s="72"/>
      <c r="J27" s="72"/>
      <c r="K27" s="72"/>
      <c r="L27" s="72"/>
      <c r="M27" s="72"/>
      <c r="N27" s="73"/>
      <c r="O27" s="73"/>
      <c r="P27" s="73"/>
      <c r="Q27" s="73"/>
      <c r="R27" s="73"/>
      <c r="S27" s="73"/>
      <c r="T27" s="73"/>
      <c r="U27" s="86"/>
      <c r="V27" s="86"/>
      <c r="W27" s="86"/>
      <c r="X27" s="86"/>
    </row>
    <row r="28" spans="1:20" ht="15.75" thickBot="1">
      <c r="A28" s="158"/>
      <c r="B28" s="136"/>
      <c r="C28" s="136"/>
      <c r="D28" s="137"/>
      <c r="G28" s="74"/>
      <c r="H28" s="74"/>
      <c r="I28" s="67"/>
      <c r="J28" s="67"/>
      <c r="K28" s="67"/>
      <c r="L28" s="67"/>
      <c r="M28" s="67"/>
      <c r="N28" s="75"/>
      <c r="O28" s="75"/>
      <c r="P28" s="75"/>
      <c r="Q28" s="75"/>
      <c r="R28" s="75"/>
      <c r="S28" s="75"/>
      <c r="T28" s="75"/>
    </row>
    <row r="29" spans="1:20" ht="15">
      <c r="A29" s="43"/>
      <c r="B29" s="64"/>
      <c r="C29" s="64"/>
      <c r="E29" s="66"/>
      <c r="F29" s="66"/>
      <c r="G29" s="93">
        <v>2008</v>
      </c>
      <c r="H29" s="94">
        <v>2009</v>
      </c>
      <c r="I29" s="94">
        <v>2010</v>
      </c>
      <c r="J29" s="94">
        <v>2011</v>
      </c>
      <c r="K29" s="95">
        <v>2012</v>
      </c>
      <c r="L29" s="93">
        <v>2013</v>
      </c>
      <c r="M29" s="94">
        <v>2014</v>
      </c>
      <c r="N29" s="94">
        <v>2015</v>
      </c>
      <c r="O29" s="94">
        <v>2016</v>
      </c>
      <c r="P29" s="94">
        <v>2017</v>
      </c>
      <c r="Q29" s="94">
        <v>2018</v>
      </c>
      <c r="R29" s="94">
        <v>2019</v>
      </c>
      <c r="S29" s="95">
        <v>2020</v>
      </c>
      <c r="T29" s="65"/>
    </row>
    <row r="30" spans="1:20" ht="15">
      <c r="A30" s="62" t="s">
        <v>54</v>
      </c>
      <c r="B30" s="64" t="s">
        <v>2</v>
      </c>
      <c r="C30" s="64"/>
      <c r="E30" s="66"/>
      <c r="G30" s="96">
        <f>Model!L20</f>
        <v>36016</v>
      </c>
      <c r="H30" s="80">
        <f>Model!M20</f>
        <v>42567</v>
      </c>
      <c r="I30" s="80">
        <f>Model!N20</f>
        <v>49038</v>
      </c>
      <c r="J30" s="80">
        <f>Model!O20</f>
        <v>64815</v>
      </c>
      <c r="K30" s="97">
        <f>Model!P20</f>
        <v>64815</v>
      </c>
      <c r="L30" s="96">
        <f>Investment!L27</f>
        <v>64815</v>
      </c>
      <c r="M30" s="80">
        <f>Investment!M27</f>
        <v>64815</v>
      </c>
      <c r="N30" s="80">
        <f>Investment!N27</f>
        <v>64815</v>
      </c>
      <c r="O30" s="80">
        <f>Investment!O27</f>
        <v>64815</v>
      </c>
      <c r="P30" s="80">
        <f>Investment!P27</f>
        <v>64815</v>
      </c>
      <c r="Q30" s="80">
        <f>Investment!Q27</f>
        <v>64815</v>
      </c>
      <c r="R30" s="80">
        <f>Investment!R27</f>
        <v>64815</v>
      </c>
      <c r="S30" s="97">
        <f>Investment!S27</f>
        <v>64815</v>
      </c>
      <c r="T30" s="65"/>
    </row>
    <row r="31" spans="1:20" ht="15">
      <c r="A31" s="62" t="s">
        <v>55</v>
      </c>
      <c r="B31" s="64" t="s">
        <v>56</v>
      </c>
      <c r="C31" s="64"/>
      <c r="E31" s="66"/>
      <c r="G31" s="96">
        <f>Investment!G28</f>
        <v>12</v>
      </c>
      <c r="H31" s="80">
        <f>Investment!H28</f>
        <v>12</v>
      </c>
      <c r="I31" s="80">
        <f>Investment!I28</f>
        <v>12</v>
      </c>
      <c r="J31" s="80">
        <f>Investment!J28</f>
        <v>12</v>
      </c>
      <c r="K31" s="97">
        <f>Investment!K28</f>
        <v>12</v>
      </c>
      <c r="L31" s="96">
        <f>Investment!L28</f>
        <v>12</v>
      </c>
      <c r="M31" s="80">
        <f>Investment!M28</f>
        <v>12</v>
      </c>
      <c r="N31" s="80">
        <f>Investment!N28</f>
        <v>12</v>
      </c>
      <c r="O31" s="80">
        <f>Investment!O28</f>
        <v>12</v>
      </c>
      <c r="P31" s="80">
        <f>Investment!P28</f>
        <v>12</v>
      </c>
      <c r="Q31" s="80">
        <f>Investment!Q28</f>
        <v>12</v>
      </c>
      <c r="R31" s="80">
        <f>Investment!R28</f>
        <v>12</v>
      </c>
      <c r="S31" s="97">
        <f>Investment!S28</f>
        <v>12</v>
      </c>
      <c r="T31" s="65"/>
    </row>
    <row r="32" spans="1:20" ht="15.75" thickBot="1">
      <c r="A32" s="62" t="s">
        <v>57</v>
      </c>
      <c r="B32" s="64" t="s">
        <v>50</v>
      </c>
      <c r="C32" s="64"/>
      <c r="E32" s="66"/>
      <c r="G32" s="98">
        <f>G30*G31*$B$5/1000</f>
        <v>2951.87136</v>
      </c>
      <c r="H32" s="99">
        <f>H30*H31*$B$5/1000</f>
        <v>3488.79132</v>
      </c>
      <c r="I32" s="99">
        <f>I30*I31*$B$5/1000</f>
        <v>4019.15448</v>
      </c>
      <c r="J32" s="99">
        <f>J30*J31*$B$5/1000</f>
        <v>5312.2374</v>
      </c>
      <c r="K32" s="100">
        <f>K30*K31*$B$5/1000</f>
        <v>5312.2374</v>
      </c>
      <c r="L32" s="98">
        <f aca="true" t="shared" si="6" ref="L32:S32">L30*L31*$B$5/1000</f>
        <v>5312.2374</v>
      </c>
      <c r="M32" s="99">
        <f t="shared" si="6"/>
        <v>5312.2374</v>
      </c>
      <c r="N32" s="99">
        <f t="shared" si="6"/>
        <v>5312.2374</v>
      </c>
      <c r="O32" s="99">
        <f t="shared" si="6"/>
        <v>5312.2374</v>
      </c>
      <c r="P32" s="99">
        <f t="shared" si="6"/>
        <v>5312.2374</v>
      </c>
      <c r="Q32" s="99">
        <f t="shared" si="6"/>
        <v>5312.2374</v>
      </c>
      <c r="R32" s="99">
        <f t="shared" si="6"/>
        <v>5312.2374</v>
      </c>
      <c r="S32" s="100">
        <f t="shared" si="6"/>
        <v>5312.2374</v>
      </c>
      <c r="T32" s="65"/>
    </row>
    <row r="33" spans="2:20" ht="15">
      <c r="B33" s="64"/>
      <c r="C33" s="64"/>
      <c r="E33" s="65"/>
      <c r="F33" s="65"/>
      <c r="G33" s="65"/>
      <c r="H33" s="65"/>
      <c r="I33" s="65"/>
      <c r="J33" s="65"/>
      <c r="P33" s="65"/>
      <c r="Q33" s="65"/>
      <c r="R33" s="65"/>
      <c r="S33" s="65"/>
      <c r="T33" s="65"/>
    </row>
    <row r="34" spans="1:24" ht="15">
      <c r="A34" t="s">
        <v>58</v>
      </c>
      <c r="B34" s="64" t="s">
        <v>50</v>
      </c>
      <c r="C34" s="64"/>
      <c r="D34" s="65">
        <f aca="true" t="shared" si="7" ref="D34:X34">D12+D16+D19+D23+D32</f>
        <v>-20925.9</v>
      </c>
      <c r="E34" s="65">
        <f t="shared" si="7"/>
        <v>0</v>
      </c>
      <c r="F34" s="65">
        <f t="shared" si="7"/>
        <v>-44805.6</v>
      </c>
      <c r="G34" s="65">
        <f t="shared" si="7"/>
        <v>4962.867884168554</v>
      </c>
      <c r="H34" s="65">
        <f t="shared" si="7"/>
        <v>5866.5678858348765</v>
      </c>
      <c r="I34" s="65">
        <f t="shared" si="7"/>
        <v>9077.076305042881</v>
      </c>
      <c r="J34" s="65">
        <f t="shared" si="7"/>
        <v>12056.133166723841</v>
      </c>
      <c r="K34" s="65">
        <f t="shared" si="7"/>
        <v>12056.133166723841</v>
      </c>
      <c r="L34" s="65">
        <f t="shared" si="7"/>
        <v>12056.133166723841</v>
      </c>
      <c r="M34" s="65">
        <f t="shared" si="7"/>
        <v>12056.133166723841</v>
      </c>
      <c r="N34" s="65">
        <f t="shared" si="7"/>
        <v>12056.133166723841</v>
      </c>
      <c r="O34" s="65">
        <f t="shared" si="7"/>
        <v>12056.133166723841</v>
      </c>
      <c r="P34" s="65">
        <f t="shared" si="7"/>
        <v>12056.133166723841</v>
      </c>
      <c r="Q34" s="65">
        <f t="shared" si="7"/>
        <v>12056.133166723841</v>
      </c>
      <c r="R34" s="65">
        <f t="shared" si="7"/>
        <v>12056.133166723841</v>
      </c>
      <c r="S34" s="65">
        <f t="shared" si="7"/>
        <v>12056.133166723841</v>
      </c>
      <c r="T34" s="65">
        <f t="shared" si="7"/>
        <v>6743.895766723841</v>
      </c>
      <c r="U34" s="65">
        <f t="shared" si="7"/>
        <v>6743.895766723841</v>
      </c>
      <c r="V34" s="65">
        <f t="shared" si="7"/>
        <v>6743.895766723841</v>
      </c>
      <c r="W34" s="65">
        <f t="shared" si="7"/>
        <v>6743.895766723841</v>
      </c>
      <c r="X34" s="65">
        <f t="shared" si="7"/>
        <v>6952.205302723841</v>
      </c>
    </row>
    <row r="35" spans="1:24" ht="15.75" thickBot="1">
      <c r="A35" s="62" t="s">
        <v>75</v>
      </c>
      <c r="B35" s="64" t="s">
        <v>50</v>
      </c>
      <c r="C35" s="64"/>
      <c r="D35" s="65">
        <f aca="true" t="shared" si="8" ref="D35:X35">D34*D3</f>
        <v>-20925.9</v>
      </c>
      <c r="E35" s="65">
        <f t="shared" si="8"/>
        <v>0</v>
      </c>
      <c r="F35" s="65">
        <f t="shared" si="8"/>
        <v>-38557.56151018562</v>
      </c>
      <c r="G35" s="65">
        <f t="shared" si="8"/>
        <v>3961.8552856561932</v>
      </c>
      <c r="H35" s="65">
        <f t="shared" si="8"/>
        <v>4344.488238911602</v>
      </c>
      <c r="I35" s="65">
        <f t="shared" si="8"/>
        <v>6235.756426315235</v>
      </c>
      <c r="J35" s="65">
        <f t="shared" si="8"/>
        <v>7683.159062240443</v>
      </c>
      <c r="K35" s="65">
        <f t="shared" si="8"/>
        <v>7127.356066248582</v>
      </c>
      <c r="L35" s="65">
        <f t="shared" si="8"/>
        <v>6611.760095498686</v>
      </c>
      <c r="M35" s="65">
        <f t="shared" si="8"/>
        <v>6133.4625566753775</v>
      </c>
      <c r="N35" s="65">
        <f t="shared" si="8"/>
        <v>5689.765265341414</v>
      </c>
      <c r="O35" s="65">
        <f t="shared" si="8"/>
        <v>5278.165224869908</v>
      </c>
      <c r="P35" s="65">
        <f t="shared" si="8"/>
        <v>4896.340506475066</v>
      </c>
      <c r="Q35" s="65">
        <f t="shared" si="8"/>
        <v>4542.137150687508</v>
      </c>
      <c r="R35" s="65">
        <f t="shared" si="8"/>
        <v>4213.557016382455</v>
      </c>
      <c r="S35" s="65">
        <f t="shared" si="8"/>
        <v>3908.746508814362</v>
      </c>
      <c r="T35" s="65">
        <f t="shared" si="8"/>
        <v>2028.2848677440813</v>
      </c>
      <c r="U35" s="65">
        <f t="shared" si="8"/>
        <v>1881.5578773115312</v>
      </c>
      <c r="V35" s="65">
        <f t="shared" si="8"/>
        <v>1745.4451798038888</v>
      </c>
      <c r="W35" s="65">
        <f t="shared" si="8"/>
        <v>1619.1789327542456</v>
      </c>
      <c r="X35" s="65">
        <f t="shared" si="8"/>
        <v>1548.442972050574</v>
      </c>
    </row>
    <row r="36" spans="1:20" ht="15.75" thickBot="1">
      <c r="A36" s="68" t="s">
        <v>53</v>
      </c>
      <c r="B36" s="69" t="s">
        <v>50</v>
      </c>
      <c r="C36" s="136"/>
      <c r="D36" s="76">
        <f>SUM(D35:X35)</f>
        <v>19965.997723595545</v>
      </c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</row>
    <row r="37" ht="15">
      <c r="C37" s="43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X37"/>
  <sheetViews>
    <sheetView zoomScale="75" zoomScaleNormal="75" zoomScalePageLayoutView="0" workbookViewId="0" topLeftCell="A1">
      <selection activeCell="E16" sqref="E16"/>
    </sheetView>
  </sheetViews>
  <sheetFormatPr defaultColWidth="9.140625" defaultRowHeight="15"/>
  <cols>
    <col min="1" max="1" width="31.8515625" style="0" bestFit="1" customWidth="1"/>
    <col min="2" max="2" width="11.7109375" style="0" bestFit="1" customWidth="1"/>
    <col min="3" max="3" width="7.8515625" style="0" customWidth="1"/>
    <col min="4" max="5" width="12.00390625" style="0" bestFit="1" customWidth="1"/>
    <col min="6" max="7" width="11.57421875" style="0" bestFit="1" customWidth="1"/>
    <col min="8" max="8" width="11.00390625" style="0" bestFit="1" customWidth="1"/>
    <col min="9" max="9" width="11.57421875" style="0" bestFit="1" customWidth="1"/>
    <col min="10" max="18" width="12.140625" style="0" bestFit="1" customWidth="1"/>
    <col min="19" max="24" width="10.7109375" style="0" bestFit="1" customWidth="1"/>
  </cols>
  <sheetData>
    <row r="1" spans="1:3" ht="15">
      <c r="A1" s="43"/>
      <c r="B1" s="43"/>
      <c r="C1" s="43"/>
    </row>
    <row r="2" spans="1:24" s="194" customFormat="1" ht="15">
      <c r="A2" s="195" t="s">
        <v>46</v>
      </c>
      <c r="B2" s="196"/>
      <c r="C2" s="196"/>
      <c r="D2" s="196">
        <v>0</v>
      </c>
      <c r="E2" s="196">
        <v>1</v>
      </c>
      <c r="F2" s="196">
        <v>2</v>
      </c>
      <c r="G2" s="196">
        <v>3</v>
      </c>
      <c r="H2" s="196">
        <v>4</v>
      </c>
      <c r="I2" s="196">
        <v>5</v>
      </c>
      <c r="J2" s="196">
        <v>6</v>
      </c>
      <c r="K2" s="196">
        <v>7</v>
      </c>
      <c r="L2" s="196">
        <v>8</v>
      </c>
      <c r="M2" s="196">
        <v>9</v>
      </c>
      <c r="N2" s="196">
        <v>10</v>
      </c>
      <c r="O2" s="196">
        <v>11</v>
      </c>
      <c r="P2" s="196">
        <v>12</v>
      </c>
      <c r="Q2" s="196">
        <v>13</v>
      </c>
      <c r="R2" s="196">
        <v>14</v>
      </c>
      <c r="S2" s="196">
        <v>15</v>
      </c>
      <c r="T2" s="196">
        <v>16</v>
      </c>
      <c r="U2" s="196">
        <v>17</v>
      </c>
      <c r="V2" s="196">
        <v>18</v>
      </c>
      <c r="W2" s="196">
        <v>19</v>
      </c>
      <c r="X2" s="196">
        <v>20</v>
      </c>
    </row>
    <row r="3" spans="1:24" ht="15">
      <c r="A3" s="83" t="s">
        <v>47</v>
      </c>
      <c r="B3" s="84"/>
      <c r="C3" s="84"/>
      <c r="D3" s="85">
        <f aca="true" t="shared" si="0" ref="D3:X3">1/(1+$B$4)^D2</f>
        <v>1</v>
      </c>
      <c r="E3" s="85">
        <f t="shared" si="0"/>
        <v>0.9276595744680852</v>
      </c>
      <c r="F3" s="85">
        <f t="shared" si="0"/>
        <v>0.860552286102309</v>
      </c>
      <c r="G3" s="85">
        <f t="shared" si="0"/>
        <v>0.7982995675332059</v>
      </c>
      <c r="H3" s="85">
        <f t="shared" si="0"/>
        <v>0.7405502371159103</v>
      </c>
      <c r="I3" s="85">
        <f t="shared" si="0"/>
        <v>0.6869785178351849</v>
      </c>
      <c r="J3" s="85">
        <f t="shared" si="0"/>
        <v>0.6372821995237036</v>
      </c>
      <c r="K3" s="85">
        <f t="shared" si="0"/>
        <v>0.5911809340262442</v>
      </c>
      <c r="L3" s="85">
        <f t="shared" si="0"/>
        <v>0.5484146536924309</v>
      </c>
      <c r="M3" s="85">
        <f t="shared" si="0"/>
        <v>0.5087421042763828</v>
      </c>
      <c r="N3" s="85">
        <f t="shared" si="0"/>
        <v>0.4719394839670275</v>
      </c>
      <c r="O3" s="85">
        <f t="shared" si="0"/>
        <v>0.4377991808715404</v>
      </c>
      <c r="P3" s="85">
        <f t="shared" si="0"/>
        <v>0.40612860182976956</v>
      </c>
      <c r="Q3" s="85">
        <f t="shared" si="0"/>
        <v>0.37674908595272244</v>
      </c>
      <c r="R3" s="85">
        <f t="shared" si="0"/>
        <v>0.34949489675614254</v>
      </c>
      <c r="S3" s="85">
        <f t="shared" si="0"/>
        <v>0.32421228720357054</v>
      </c>
      <c r="T3" s="85">
        <f t="shared" si="0"/>
        <v>0.30075863238458894</v>
      </c>
      <c r="U3" s="85">
        <f t="shared" si="0"/>
        <v>0.2790016249354911</v>
      </c>
      <c r="V3" s="85">
        <f t="shared" si="0"/>
        <v>0.258818528663562</v>
      </c>
      <c r="W3" s="85">
        <f t="shared" si="0"/>
        <v>0.24009548616449577</v>
      </c>
      <c r="X3" s="85">
        <f t="shared" si="0"/>
        <v>0.22272687652706424</v>
      </c>
    </row>
    <row r="4" spans="1:24" ht="15">
      <c r="A4" s="62" t="s">
        <v>65</v>
      </c>
      <c r="B4" s="137">
        <f>Investment!B4</f>
        <v>0.07798165137614665</v>
      </c>
      <c r="C4" s="82"/>
      <c r="D4" s="43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</row>
    <row r="5" spans="1:24" ht="15">
      <c r="A5" s="62" t="s">
        <v>68</v>
      </c>
      <c r="B5" s="103">
        <f>Investment!B5</f>
        <v>6.83</v>
      </c>
      <c r="C5" s="87"/>
      <c r="D5" s="43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</row>
    <row r="6" spans="1:24" ht="15.75" thickBot="1">
      <c r="A6" s="62"/>
      <c r="B6" s="82"/>
      <c r="C6" s="82"/>
      <c r="D6" s="43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</row>
    <row r="7" spans="1:24" ht="15">
      <c r="A7" s="88" t="s">
        <v>69</v>
      </c>
      <c r="B7" s="90">
        <v>0.1</v>
      </c>
      <c r="C7" s="138"/>
      <c r="D7" s="43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</row>
    <row r="8" spans="1:24" ht="15.75" thickBot="1">
      <c r="A8" s="89" t="s">
        <v>70</v>
      </c>
      <c r="B8" s="91">
        <v>0</v>
      </c>
      <c r="C8" s="138"/>
      <c r="D8" s="43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</row>
    <row r="10" spans="1:24" s="194" customFormat="1" ht="15">
      <c r="A10" s="191" t="s">
        <v>48</v>
      </c>
      <c r="B10" s="192"/>
      <c r="C10" s="192"/>
      <c r="D10" s="193">
        <v>2005</v>
      </c>
      <c r="E10" s="193">
        <v>2006</v>
      </c>
      <c r="F10" s="193">
        <v>2007</v>
      </c>
      <c r="G10" s="193">
        <v>2008</v>
      </c>
      <c r="H10" s="193">
        <v>2009</v>
      </c>
      <c r="I10" s="193">
        <v>2010</v>
      </c>
      <c r="J10" s="193">
        <v>2011</v>
      </c>
      <c r="K10" s="193">
        <v>2012</v>
      </c>
      <c r="L10" s="193">
        <v>2013</v>
      </c>
      <c r="M10" s="193">
        <v>2014</v>
      </c>
      <c r="N10" s="193">
        <v>2015</v>
      </c>
      <c r="O10" s="193">
        <v>2016</v>
      </c>
      <c r="P10" s="193">
        <v>2017</v>
      </c>
      <c r="Q10" s="193">
        <v>2018</v>
      </c>
      <c r="R10" s="193">
        <v>2019</v>
      </c>
      <c r="S10" s="193">
        <v>2020</v>
      </c>
      <c r="T10" s="193">
        <v>2021</v>
      </c>
      <c r="U10" s="193">
        <v>2022</v>
      </c>
      <c r="V10" s="193">
        <v>2023</v>
      </c>
      <c r="W10" s="193">
        <v>2024</v>
      </c>
      <c r="X10" s="193">
        <v>2025</v>
      </c>
    </row>
    <row r="11" spans="5:24" ht="15"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</row>
    <row r="12" spans="1:21" ht="15">
      <c r="A12" t="s">
        <v>49</v>
      </c>
      <c r="B12" s="64" t="s">
        <v>60</v>
      </c>
      <c r="C12" s="64"/>
      <c r="D12" s="65">
        <f>Investment!D9+Investment!D9*$B$8</f>
        <v>-23251</v>
      </c>
      <c r="E12" s="65"/>
      <c r="F12" s="65">
        <f>Investment!F9+Investment!F9*$B$8</f>
        <v>-49784</v>
      </c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>
        <f>K12</f>
        <v>0</v>
      </c>
    </row>
    <row r="13" spans="2:20" ht="15">
      <c r="B13" s="64"/>
      <c r="C13" s="64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</row>
    <row r="14" spans="1:24" ht="15">
      <c r="A14" t="s">
        <v>67</v>
      </c>
      <c r="B14" s="64" t="s">
        <v>5</v>
      </c>
      <c r="C14" s="64"/>
      <c r="D14" s="65">
        <f>Investment!D11</f>
        <v>0</v>
      </c>
      <c r="E14" s="65">
        <f>Investment!E11</f>
        <v>0</v>
      </c>
      <c r="F14" s="65">
        <f>Investment!F11</f>
        <v>0</v>
      </c>
      <c r="G14" s="65">
        <f>Investment!G11</f>
        <v>40658.926</v>
      </c>
      <c r="H14" s="65">
        <f>Investment!H11</f>
        <v>48074.594</v>
      </c>
      <c r="I14" s="65">
        <f>Investment!I11</f>
        <v>78840</v>
      </c>
      <c r="J14" s="65">
        <f>Investment!J11</f>
        <v>105120</v>
      </c>
      <c r="K14" s="65">
        <f>Investment!K11</f>
        <v>105120</v>
      </c>
      <c r="L14" s="65">
        <f>Investment!L11</f>
        <v>105120</v>
      </c>
      <c r="M14" s="65">
        <f>Investment!M11</f>
        <v>105120</v>
      </c>
      <c r="N14" s="65">
        <f>Investment!N11</f>
        <v>105120</v>
      </c>
      <c r="O14" s="65">
        <f>Investment!O11</f>
        <v>105120</v>
      </c>
      <c r="P14" s="65">
        <f>Investment!P11</f>
        <v>105120</v>
      </c>
      <c r="Q14" s="65">
        <f>Investment!Q11</f>
        <v>105120</v>
      </c>
      <c r="R14" s="65">
        <f>Investment!R11</f>
        <v>105120</v>
      </c>
      <c r="S14" s="65">
        <f>Investment!S11</f>
        <v>105120</v>
      </c>
      <c r="T14" s="65">
        <f>Investment!T11</f>
        <v>105120</v>
      </c>
      <c r="U14" s="65">
        <f>Investment!U11</f>
        <v>105120</v>
      </c>
      <c r="V14" s="65">
        <f>Investment!V11</f>
        <v>105120</v>
      </c>
      <c r="W14" s="65">
        <f>Investment!W11</f>
        <v>105120</v>
      </c>
      <c r="X14" s="65">
        <f>Investment!X11</f>
        <v>105120</v>
      </c>
    </row>
    <row r="15" spans="1:24" ht="15">
      <c r="A15" t="s">
        <v>59</v>
      </c>
      <c r="B15" s="64" t="s">
        <v>61</v>
      </c>
      <c r="C15" s="64"/>
      <c r="D15" s="65">
        <f>Investment!D12+Investment!D12*$B$7</f>
        <v>158.61999999999998</v>
      </c>
      <c r="E15" s="65">
        <f>Investment!E12+Investment!E12*$B$7</f>
        <v>158.61999999999998</v>
      </c>
      <c r="F15" s="65">
        <f>Investment!F12+Investment!F12*$B$7</f>
        <v>158.61999999999998</v>
      </c>
      <c r="G15" s="65">
        <f>Investment!G12+Investment!G12*$B$7</f>
        <v>158.61999999999998</v>
      </c>
      <c r="H15" s="65">
        <f>Investment!H12+Investment!H12*$B$7</f>
        <v>158.61999999999998</v>
      </c>
      <c r="I15" s="65">
        <f>H15</f>
        <v>158.61999999999998</v>
      </c>
      <c r="J15" s="65">
        <f aca="true" t="shared" si="1" ref="J15:X15">I15</f>
        <v>158.61999999999998</v>
      </c>
      <c r="K15" s="65">
        <f t="shared" si="1"/>
        <v>158.61999999999998</v>
      </c>
      <c r="L15" s="65">
        <f t="shared" si="1"/>
        <v>158.61999999999998</v>
      </c>
      <c r="M15" s="65">
        <f t="shared" si="1"/>
        <v>158.61999999999998</v>
      </c>
      <c r="N15" s="65">
        <f t="shared" si="1"/>
        <v>158.61999999999998</v>
      </c>
      <c r="O15" s="65">
        <f t="shared" si="1"/>
        <v>158.61999999999998</v>
      </c>
      <c r="P15" s="65">
        <f t="shared" si="1"/>
        <v>158.61999999999998</v>
      </c>
      <c r="Q15" s="65">
        <f t="shared" si="1"/>
        <v>158.61999999999998</v>
      </c>
      <c r="R15" s="65">
        <f t="shared" si="1"/>
        <v>158.61999999999998</v>
      </c>
      <c r="S15" s="65">
        <f t="shared" si="1"/>
        <v>158.61999999999998</v>
      </c>
      <c r="T15" s="65">
        <f t="shared" si="1"/>
        <v>158.61999999999998</v>
      </c>
      <c r="U15" s="65">
        <f t="shared" si="1"/>
        <v>158.61999999999998</v>
      </c>
      <c r="V15" s="65">
        <f t="shared" si="1"/>
        <v>158.61999999999998</v>
      </c>
      <c r="W15" s="65">
        <f t="shared" si="1"/>
        <v>158.61999999999998</v>
      </c>
      <c r="X15" s="65">
        <f t="shared" si="1"/>
        <v>158.61999999999998</v>
      </c>
    </row>
    <row r="16" spans="1:24" ht="15">
      <c r="A16" t="s">
        <v>66</v>
      </c>
      <c r="B16" s="64" t="s">
        <v>60</v>
      </c>
      <c r="C16" s="64"/>
      <c r="D16" s="65">
        <f>D15*D14/1000</f>
        <v>0</v>
      </c>
      <c r="E16" s="65">
        <f>E15*E14/1000</f>
        <v>0</v>
      </c>
      <c r="F16" s="65">
        <f>F15*F14/1000</f>
        <v>0</v>
      </c>
      <c r="G16" s="65">
        <f>G15*G14/1000</f>
        <v>6449.318842119999</v>
      </c>
      <c r="H16" s="65">
        <f aca="true" t="shared" si="2" ref="H16:X16">H15*H14/1000</f>
        <v>7625.592100279998</v>
      </c>
      <c r="I16" s="65">
        <f t="shared" si="2"/>
        <v>12505.600799999998</v>
      </c>
      <c r="J16" s="65">
        <f t="shared" si="2"/>
        <v>16674.134399999995</v>
      </c>
      <c r="K16" s="65">
        <f t="shared" si="2"/>
        <v>16674.134399999995</v>
      </c>
      <c r="L16" s="65">
        <f t="shared" si="2"/>
        <v>16674.134399999995</v>
      </c>
      <c r="M16" s="65">
        <f t="shared" si="2"/>
        <v>16674.134399999995</v>
      </c>
      <c r="N16" s="65">
        <f t="shared" si="2"/>
        <v>16674.134399999995</v>
      </c>
      <c r="O16" s="65">
        <f t="shared" si="2"/>
        <v>16674.134399999995</v>
      </c>
      <c r="P16" s="65">
        <f t="shared" si="2"/>
        <v>16674.134399999995</v>
      </c>
      <c r="Q16" s="65">
        <f t="shared" si="2"/>
        <v>16674.134399999995</v>
      </c>
      <c r="R16" s="65">
        <f t="shared" si="2"/>
        <v>16674.134399999995</v>
      </c>
      <c r="S16" s="65">
        <f t="shared" si="2"/>
        <v>16674.134399999995</v>
      </c>
      <c r="T16" s="65">
        <f t="shared" si="2"/>
        <v>16674.134399999995</v>
      </c>
      <c r="U16" s="65">
        <f t="shared" si="2"/>
        <v>16674.134399999995</v>
      </c>
      <c r="V16" s="65">
        <f t="shared" si="2"/>
        <v>16674.134399999995</v>
      </c>
      <c r="W16" s="65">
        <f t="shared" si="2"/>
        <v>16674.134399999995</v>
      </c>
      <c r="X16" s="65">
        <f t="shared" si="2"/>
        <v>16674.134399999995</v>
      </c>
    </row>
    <row r="17" spans="2:24" ht="15">
      <c r="B17" s="64"/>
      <c r="C17" s="64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</row>
    <row r="18" spans="1:24" ht="15">
      <c r="A18" t="s">
        <v>63</v>
      </c>
      <c r="B18" s="64" t="s">
        <v>61</v>
      </c>
      <c r="C18" s="64"/>
      <c r="D18" s="65">
        <f>Investment!D15</f>
        <v>0</v>
      </c>
      <c r="E18" s="65">
        <f>Investment!E15</f>
        <v>0</v>
      </c>
      <c r="F18" s="65">
        <f>Investment!F15</f>
        <v>0</v>
      </c>
      <c r="G18" s="65">
        <f>Investment!G15</f>
        <v>94.73985134362492</v>
      </c>
      <c r="H18" s="65">
        <f>Investment!H15</f>
        <v>94.73985134362492</v>
      </c>
      <c r="I18" s="65">
        <f>Investment!I15</f>
        <v>80.0457404230989</v>
      </c>
      <c r="J18" s="65">
        <f>Investment!J15</f>
        <v>80.0457404230989</v>
      </c>
      <c r="K18" s="65">
        <f>Investment!K15</f>
        <v>80.0457404230989</v>
      </c>
      <c r="L18" s="65">
        <f>Investment!L15</f>
        <v>80.0457404230989</v>
      </c>
      <c r="M18" s="65">
        <f>Investment!M15</f>
        <v>80.0457404230989</v>
      </c>
      <c r="N18" s="65">
        <f>Investment!N15</f>
        <v>80.0457404230989</v>
      </c>
      <c r="O18" s="65">
        <f>Investment!O15</f>
        <v>80.0457404230989</v>
      </c>
      <c r="P18" s="65">
        <f>Investment!P15</f>
        <v>80.0457404230989</v>
      </c>
      <c r="Q18" s="65">
        <f>Investment!Q15</f>
        <v>80.0457404230989</v>
      </c>
      <c r="R18" s="65">
        <f>Investment!R15</f>
        <v>80.0457404230989</v>
      </c>
      <c r="S18" s="65">
        <f>Investment!S15</f>
        <v>80.0457404230989</v>
      </c>
      <c r="T18" s="65">
        <f>Investment!T15</f>
        <v>80.0457404230989</v>
      </c>
      <c r="U18" s="65">
        <f>Investment!U15</f>
        <v>80.0457404230989</v>
      </c>
      <c r="V18" s="65">
        <f>Investment!V15</f>
        <v>80.0457404230989</v>
      </c>
      <c r="W18" s="65">
        <f>Investment!W15</f>
        <v>80.0457404230989</v>
      </c>
      <c r="X18" s="65">
        <f>Investment!X15</f>
        <v>80.0457404230989</v>
      </c>
    </row>
    <row r="19" spans="1:24" ht="15">
      <c r="A19" t="s">
        <v>64</v>
      </c>
      <c r="B19" s="64" t="s">
        <v>62</v>
      </c>
      <c r="C19" s="64"/>
      <c r="D19" s="65">
        <f>-D18*D14/1000</f>
        <v>0</v>
      </c>
      <c r="E19" s="65">
        <f>-E18*E14/1000</f>
        <v>0</v>
      </c>
      <c r="F19" s="65">
        <f aca="true" t="shared" si="3" ref="F19:X19">-F18*F14/1000</f>
        <v>0</v>
      </c>
      <c r="G19" s="65">
        <f t="shared" si="3"/>
        <v>-3852.020605031446</v>
      </c>
      <c r="H19" s="65">
        <f t="shared" si="3"/>
        <v>-4554.579888965122</v>
      </c>
      <c r="I19" s="65">
        <f t="shared" si="3"/>
        <v>-6310.806174957118</v>
      </c>
      <c r="J19" s="65">
        <f t="shared" si="3"/>
        <v>-8414.408233276157</v>
      </c>
      <c r="K19" s="65">
        <f t="shared" si="3"/>
        <v>-8414.408233276157</v>
      </c>
      <c r="L19" s="65">
        <f t="shared" si="3"/>
        <v>-8414.408233276157</v>
      </c>
      <c r="M19" s="65">
        <f t="shared" si="3"/>
        <v>-8414.408233276157</v>
      </c>
      <c r="N19" s="65">
        <f t="shared" si="3"/>
        <v>-8414.408233276157</v>
      </c>
      <c r="O19" s="65">
        <f t="shared" si="3"/>
        <v>-8414.408233276157</v>
      </c>
      <c r="P19" s="65">
        <f t="shared" si="3"/>
        <v>-8414.408233276157</v>
      </c>
      <c r="Q19" s="65">
        <f t="shared" si="3"/>
        <v>-8414.408233276157</v>
      </c>
      <c r="R19" s="65">
        <f t="shared" si="3"/>
        <v>-8414.408233276157</v>
      </c>
      <c r="S19" s="65">
        <f t="shared" si="3"/>
        <v>-8414.408233276157</v>
      </c>
      <c r="T19" s="65">
        <f t="shared" si="3"/>
        <v>-8414.408233276157</v>
      </c>
      <c r="U19" s="65">
        <f t="shared" si="3"/>
        <v>-8414.408233276157</v>
      </c>
      <c r="V19" s="65">
        <f t="shared" si="3"/>
        <v>-8414.408233276157</v>
      </c>
      <c r="W19" s="65">
        <f t="shared" si="3"/>
        <v>-8414.408233276157</v>
      </c>
      <c r="X19" s="65">
        <f t="shared" si="3"/>
        <v>-8414.408233276157</v>
      </c>
    </row>
    <row r="20" spans="2:24" ht="15">
      <c r="B20" s="64"/>
      <c r="C20" s="64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</row>
    <row r="21" spans="1:24" ht="15">
      <c r="A21" t="s">
        <v>104</v>
      </c>
      <c r="B21" s="64" t="s">
        <v>2</v>
      </c>
      <c r="C21" s="65"/>
      <c r="D21" s="65">
        <f>Investment!D18</f>
        <v>90.368</v>
      </c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>
        <f>Investment!X18</f>
        <v>90.368</v>
      </c>
    </row>
    <row r="22" spans="1:24" ht="15">
      <c r="A22" t="s">
        <v>105</v>
      </c>
      <c r="B22" s="64" t="s">
        <v>106</v>
      </c>
      <c r="C22" s="65"/>
      <c r="D22" s="65">
        <f>Investment!D19</f>
        <v>2305.125</v>
      </c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>
        <f>Investment!X19</f>
        <v>2305.125</v>
      </c>
    </row>
    <row r="23" spans="1:24" ht="15">
      <c r="A23" t="s">
        <v>107</v>
      </c>
      <c r="B23" s="64" t="s">
        <v>62</v>
      </c>
      <c r="C23" s="65"/>
      <c r="D23" s="188">
        <f>Investment!D20</f>
        <v>0</v>
      </c>
      <c r="E23" s="188">
        <f>Investment!E20</f>
        <v>0</v>
      </c>
      <c r="F23" s="188">
        <f>Investment!F20</f>
        <v>0</v>
      </c>
      <c r="G23" s="188">
        <f>Investment!G20</f>
        <v>0</v>
      </c>
      <c r="H23" s="188">
        <f>Investment!H20</f>
        <v>0</v>
      </c>
      <c r="I23" s="188">
        <f>Investment!I20</f>
        <v>0</v>
      </c>
      <c r="J23" s="188">
        <f>Investment!J20</f>
        <v>0</v>
      </c>
      <c r="K23" s="188">
        <f>Investment!K20</f>
        <v>0</v>
      </c>
      <c r="L23" s="188">
        <f>Investment!L20</f>
        <v>0</v>
      </c>
      <c r="M23" s="188">
        <f>Investment!M20</f>
        <v>0</v>
      </c>
      <c r="N23" s="188">
        <f>Investment!N20</f>
        <v>0</v>
      </c>
      <c r="O23" s="188">
        <f>Investment!O20</f>
        <v>0</v>
      </c>
      <c r="P23" s="188">
        <f>Investment!P20</f>
        <v>0</v>
      </c>
      <c r="Q23" s="188">
        <f>Investment!Q20</f>
        <v>0</v>
      </c>
      <c r="R23" s="188">
        <f>Investment!R20</f>
        <v>0</v>
      </c>
      <c r="S23" s="188">
        <f>Investment!S20</f>
        <v>0</v>
      </c>
      <c r="T23" s="188">
        <f>Investment!T20</f>
        <v>0</v>
      </c>
      <c r="U23" s="188">
        <f>Investment!U20</f>
        <v>0</v>
      </c>
      <c r="V23" s="188">
        <f>Investment!V20</f>
        <v>0</v>
      </c>
      <c r="W23" s="188">
        <f>Investment!W20</f>
        <v>0</v>
      </c>
      <c r="X23" s="65">
        <f>Investment!X20</f>
        <v>208.30953599999998</v>
      </c>
    </row>
    <row r="24" spans="2:20" ht="15">
      <c r="B24" s="64"/>
      <c r="C24" s="64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</row>
    <row r="25" spans="1:24" ht="15">
      <c r="A25" s="62" t="s">
        <v>51</v>
      </c>
      <c r="B25" s="64" t="s">
        <v>60</v>
      </c>
      <c r="C25" s="64"/>
      <c r="D25" s="79">
        <f aca="true" t="shared" si="4" ref="D25:X25">D12+D16+D19+D23</f>
        <v>-23251</v>
      </c>
      <c r="E25" s="79">
        <f t="shared" si="4"/>
        <v>0</v>
      </c>
      <c r="F25" s="79">
        <f t="shared" si="4"/>
        <v>-49784</v>
      </c>
      <c r="G25" s="79">
        <f t="shared" si="4"/>
        <v>2597.2982370885534</v>
      </c>
      <c r="H25" s="79">
        <f t="shared" si="4"/>
        <v>3071.0122113148755</v>
      </c>
      <c r="I25" s="79">
        <f t="shared" si="4"/>
        <v>6194.79462504288</v>
      </c>
      <c r="J25" s="79">
        <f t="shared" si="4"/>
        <v>8259.726166723838</v>
      </c>
      <c r="K25" s="79">
        <f t="shared" si="4"/>
        <v>8259.726166723838</v>
      </c>
      <c r="L25" s="79">
        <f t="shared" si="4"/>
        <v>8259.726166723838</v>
      </c>
      <c r="M25" s="79">
        <f t="shared" si="4"/>
        <v>8259.726166723838</v>
      </c>
      <c r="N25" s="79">
        <f t="shared" si="4"/>
        <v>8259.726166723838</v>
      </c>
      <c r="O25" s="79">
        <f t="shared" si="4"/>
        <v>8259.726166723838</v>
      </c>
      <c r="P25" s="79">
        <f t="shared" si="4"/>
        <v>8259.726166723838</v>
      </c>
      <c r="Q25" s="79">
        <f t="shared" si="4"/>
        <v>8259.726166723838</v>
      </c>
      <c r="R25" s="79">
        <f t="shared" si="4"/>
        <v>8259.726166723838</v>
      </c>
      <c r="S25" s="79">
        <f t="shared" si="4"/>
        <v>8259.726166723838</v>
      </c>
      <c r="T25" s="79">
        <f t="shared" si="4"/>
        <v>8259.726166723838</v>
      </c>
      <c r="U25" s="79">
        <f t="shared" si="4"/>
        <v>8259.726166723838</v>
      </c>
      <c r="V25" s="79">
        <f t="shared" si="4"/>
        <v>8259.726166723838</v>
      </c>
      <c r="W25" s="79">
        <f t="shared" si="4"/>
        <v>8259.726166723838</v>
      </c>
      <c r="X25" s="79">
        <f t="shared" si="4"/>
        <v>8468.035702723839</v>
      </c>
    </row>
    <row r="26" spans="1:24" ht="15.75" thickBot="1">
      <c r="A26" s="62" t="s">
        <v>75</v>
      </c>
      <c r="B26" s="64" t="s">
        <v>60</v>
      </c>
      <c r="C26" s="64"/>
      <c r="D26" s="79">
        <f aca="true" t="shared" si="5" ref="D26:X26">D25*D3</f>
        <v>-23251</v>
      </c>
      <c r="E26" s="79">
        <f t="shared" si="5"/>
        <v>0</v>
      </c>
      <c r="F26" s="79">
        <f t="shared" si="5"/>
        <v>-42841.73501131735</v>
      </c>
      <c r="G26" s="79">
        <f t="shared" si="5"/>
        <v>2073.4220594225503</v>
      </c>
      <c r="H26" s="79">
        <f t="shared" si="5"/>
        <v>2274.238821275087</v>
      </c>
      <c r="I26" s="79">
        <f t="shared" si="5"/>
        <v>4255.690829805329</v>
      </c>
      <c r="J26" s="79">
        <f t="shared" si="5"/>
        <v>5263.776458993257</v>
      </c>
      <c r="K26" s="79">
        <f t="shared" si="5"/>
        <v>4882.992630044808</v>
      </c>
      <c r="L26" s="79">
        <f t="shared" si="5"/>
        <v>4529.754865318164</v>
      </c>
      <c r="M26" s="79">
        <f t="shared" si="5"/>
        <v>4202.0704708057865</v>
      </c>
      <c r="N26" s="79">
        <f t="shared" si="5"/>
        <v>3898.0909048326025</v>
      </c>
      <c r="O26" s="79">
        <f t="shared" si="5"/>
        <v>3616.1013500149247</v>
      </c>
      <c r="P26" s="79">
        <f t="shared" si="5"/>
        <v>3354.5110395883144</v>
      </c>
      <c r="Q26" s="79">
        <f t="shared" si="5"/>
        <v>3111.8442835329897</v>
      </c>
      <c r="R26" s="79">
        <f t="shared" si="5"/>
        <v>2886.732143873157</v>
      </c>
      <c r="S26" s="79">
        <f t="shared" si="5"/>
        <v>2677.9047121887156</v>
      </c>
      <c r="T26" s="79">
        <f t="shared" si="5"/>
        <v>2484.183945775065</v>
      </c>
      <c r="U26" s="79">
        <f t="shared" si="5"/>
        <v>2304.4770220381456</v>
      </c>
      <c r="V26" s="79">
        <f t="shared" si="5"/>
        <v>2137.7701736353865</v>
      </c>
      <c r="W26" s="79">
        <f t="shared" si="5"/>
        <v>1983.122969585167</v>
      </c>
      <c r="X26" s="79">
        <f t="shared" si="5"/>
        <v>1886.059142387344</v>
      </c>
    </row>
    <row r="27" spans="1:24" ht="15.75" thickBot="1">
      <c r="A27" s="68" t="s">
        <v>53</v>
      </c>
      <c r="B27" s="69" t="s">
        <v>60</v>
      </c>
      <c r="C27" s="136"/>
      <c r="D27" s="70">
        <f>SUM(D26:X26)</f>
        <v>-8269.991188200567</v>
      </c>
      <c r="E27" s="86"/>
      <c r="F27" s="71"/>
      <c r="G27" s="71"/>
      <c r="H27" s="71"/>
      <c r="I27" s="72"/>
      <c r="J27" s="72"/>
      <c r="K27" s="72"/>
      <c r="L27" s="72"/>
      <c r="M27" s="72"/>
      <c r="N27" s="73"/>
      <c r="O27" s="73"/>
      <c r="P27" s="73"/>
      <c r="Q27" s="73"/>
      <c r="R27" s="73"/>
      <c r="S27" s="73"/>
      <c r="T27" s="73"/>
      <c r="U27" s="86"/>
      <c r="V27" s="86"/>
      <c r="W27" s="86"/>
      <c r="X27" s="86"/>
    </row>
    <row r="28" spans="1:20" ht="15.75" thickBot="1">
      <c r="A28" s="158"/>
      <c r="B28" s="136"/>
      <c r="C28" s="136"/>
      <c r="D28" s="137"/>
      <c r="G28" s="74"/>
      <c r="H28" s="74"/>
      <c r="I28" s="67"/>
      <c r="J28" s="67"/>
      <c r="K28" s="67"/>
      <c r="L28" s="67"/>
      <c r="M28" s="67"/>
      <c r="N28" s="75"/>
      <c r="O28" s="75"/>
      <c r="P28" s="75"/>
      <c r="Q28" s="75"/>
      <c r="R28" s="75"/>
      <c r="S28" s="75"/>
      <c r="T28" s="75"/>
    </row>
    <row r="29" spans="1:20" ht="15">
      <c r="A29" s="43"/>
      <c r="B29" s="64"/>
      <c r="C29" s="64"/>
      <c r="E29" s="66"/>
      <c r="F29" s="66"/>
      <c r="G29" s="93">
        <v>2008</v>
      </c>
      <c r="H29" s="94">
        <v>2009</v>
      </c>
      <c r="I29" s="94">
        <v>2010</v>
      </c>
      <c r="J29" s="94">
        <v>2011</v>
      </c>
      <c r="K29" s="95">
        <v>2012</v>
      </c>
      <c r="L29" s="93">
        <v>2013</v>
      </c>
      <c r="M29" s="94">
        <v>2014</v>
      </c>
      <c r="N29" s="94">
        <v>2015</v>
      </c>
      <c r="O29" s="94">
        <v>2016</v>
      </c>
      <c r="P29" s="94">
        <v>2017</v>
      </c>
      <c r="Q29" s="94">
        <v>2018</v>
      </c>
      <c r="R29" s="94">
        <v>2019</v>
      </c>
      <c r="S29" s="95">
        <v>2020</v>
      </c>
      <c r="T29" s="65"/>
    </row>
    <row r="30" spans="1:20" ht="15">
      <c r="A30" s="62" t="s">
        <v>54</v>
      </c>
      <c r="B30" s="64" t="s">
        <v>2</v>
      </c>
      <c r="C30" s="64"/>
      <c r="E30" s="66"/>
      <c r="G30" s="96">
        <f>Model!L20</f>
        <v>36016</v>
      </c>
      <c r="H30" s="80">
        <f>Model!M20</f>
        <v>42567</v>
      </c>
      <c r="I30" s="80">
        <f>Model!N20</f>
        <v>49038</v>
      </c>
      <c r="J30" s="80">
        <f>Model!O20</f>
        <v>64815</v>
      </c>
      <c r="K30" s="97">
        <f>Model!P20</f>
        <v>64815</v>
      </c>
      <c r="L30" s="96">
        <f>Investment!L27</f>
        <v>64815</v>
      </c>
      <c r="M30" s="80">
        <f>Investment!M27</f>
        <v>64815</v>
      </c>
      <c r="N30" s="80">
        <f>Investment!N27</f>
        <v>64815</v>
      </c>
      <c r="O30" s="80">
        <f>Investment!O27</f>
        <v>64815</v>
      </c>
      <c r="P30" s="80">
        <f>Investment!P27</f>
        <v>64815</v>
      </c>
      <c r="Q30" s="80">
        <f>Investment!Q27</f>
        <v>64815</v>
      </c>
      <c r="R30" s="80">
        <f>Investment!R27</f>
        <v>64815</v>
      </c>
      <c r="S30" s="97">
        <f>Investment!S27</f>
        <v>64815</v>
      </c>
      <c r="T30" s="65"/>
    </row>
    <row r="31" spans="1:20" ht="15">
      <c r="A31" s="62" t="s">
        <v>55</v>
      </c>
      <c r="B31" s="64" t="s">
        <v>56</v>
      </c>
      <c r="C31" s="64"/>
      <c r="E31" s="66"/>
      <c r="G31" s="96">
        <f>Investment!G28</f>
        <v>12</v>
      </c>
      <c r="H31" s="80">
        <f>Investment!H28</f>
        <v>12</v>
      </c>
      <c r="I31" s="80">
        <f>Investment!I28</f>
        <v>12</v>
      </c>
      <c r="J31" s="80">
        <f>Investment!J28</f>
        <v>12</v>
      </c>
      <c r="K31" s="97">
        <f>Investment!K28</f>
        <v>12</v>
      </c>
      <c r="L31" s="96">
        <f>Investment!L28</f>
        <v>12</v>
      </c>
      <c r="M31" s="80">
        <f>Investment!M28</f>
        <v>12</v>
      </c>
      <c r="N31" s="80">
        <f>Investment!N28</f>
        <v>12</v>
      </c>
      <c r="O31" s="80">
        <f>Investment!O28</f>
        <v>12</v>
      </c>
      <c r="P31" s="80">
        <f>Investment!P28</f>
        <v>12</v>
      </c>
      <c r="Q31" s="80">
        <f>Investment!Q28</f>
        <v>12</v>
      </c>
      <c r="R31" s="80">
        <f>Investment!R28</f>
        <v>12</v>
      </c>
      <c r="S31" s="97">
        <f>Investment!S28</f>
        <v>12</v>
      </c>
      <c r="T31" s="65"/>
    </row>
    <row r="32" spans="1:20" ht="15.75" thickBot="1">
      <c r="A32" s="62" t="s">
        <v>57</v>
      </c>
      <c r="B32" s="64" t="s">
        <v>50</v>
      </c>
      <c r="C32" s="64"/>
      <c r="E32" s="66"/>
      <c r="G32" s="98">
        <f>G30*G31*$B$5/1000</f>
        <v>2951.87136</v>
      </c>
      <c r="H32" s="99">
        <f>H30*H31*$B$5/1000</f>
        <v>3488.79132</v>
      </c>
      <c r="I32" s="99">
        <f>I30*I31*$B$5/1000</f>
        <v>4019.15448</v>
      </c>
      <c r="J32" s="99">
        <f>J30*J31*$B$5/1000</f>
        <v>5312.2374</v>
      </c>
      <c r="K32" s="100">
        <f>K30*K31*$B$5/1000</f>
        <v>5312.2374</v>
      </c>
      <c r="L32" s="98">
        <f aca="true" t="shared" si="6" ref="L32:S32">L30*L31*$B$5/1000</f>
        <v>5312.2374</v>
      </c>
      <c r="M32" s="99">
        <f t="shared" si="6"/>
        <v>5312.2374</v>
      </c>
      <c r="N32" s="99">
        <f t="shared" si="6"/>
        <v>5312.2374</v>
      </c>
      <c r="O32" s="99">
        <f t="shared" si="6"/>
        <v>5312.2374</v>
      </c>
      <c r="P32" s="99">
        <f t="shared" si="6"/>
        <v>5312.2374</v>
      </c>
      <c r="Q32" s="99">
        <f t="shared" si="6"/>
        <v>5312.2374</v>
      </c>
      <c r="R32" s="99">
        <f t="shared" si="6"/>
        <v>5312.2374</v>
      </c>
      <c r="S32" s="100">
        <f t="shared" si="6"/>
        <v>5312.2374</v>
      </c>
      <c r="T32" s="65"/>
    </row>
    <row r="33" spans="2:20" ht="15">
      <c r="B33" s="64"/>
      <c r="C33" s="64"/>
      <c r="E33" s="65"/>
      <c r="F33" s="65"/>
      <c r="G33" s="65"/>
      <c r="H33" s="65"/>
      <c r="I33" s="65"/>
      <c r="J33" s="65"/>
      <c r="P33" s="65"/>
      <c r="Q33" s="65"/>
      <c r="R33" s="65"/>
      <c r="S33" s="65"/>
      <c r="T33" s="65"/>
    </row>
    <row r="34" spans="1:24" ht="15">
      <c r="A34" t="s">
        <v>58</v>
      </c>
      <c r="B34" s="64" t="s">
        <v>50</v>
      </c>
      <c r="C34" s="64"/>
      <c r="D34" s="65">
        <f aca="true" t="shared" si="7" ref="D34:X34">D12+D16+D19+D23+D32</f>
        <v>-23251</v>
      </c>
      <c r="E34" s="65">
        <f t="shared" si="7"/>
        <v>0</v>
      </c>
      <c r="F34" s="65">
        <f t="shared" si="7"/>
        <v>-49784</v>
      </c>
      <c r="G34" s="65">
        <f t="shared" si="7"/>
        <v>5549.169597088554</v>
      </c>
      <c r="H34" s="65">
        <f t="shared" si="7"/>
        <v>6559.803531314876</v>
      </c>
      <c r="I34" s="65">
        <f t="shared" si="7"/>
        <v>10213.94910504288</v>
      </c>
      <c r="J34" s="65">
        <f t="shared" si="7"/>
        <v>13571.963566723838</v>
      </c>
      <c r="K34" s="65">
        <f t="shared" si="7"/>
        <v>13571.963566723838</v>
      </c>
      <c r="L34" s="65">
        <f t="shared" si="7"/>
        <v>13571.963566723838</v>
      </c>
      <c r="M34" s="65">
        <f t="shared" si="7"/>
        <v>13571.963566723838</v>
      </c>
      <c r="N34" s="65">
        <f t="shared" si="7"/>
        <v>13571.963566723838</v>
      </c>
      <c r="O34" s="65">
        <f t="shared" si="7"/>
        <v>13571.963566723838</v>
      </c>
      <c r="P34" s="65">
        <f t="shared" si="7"/>
        <v>13571.963566723838</v>
      </c>
      <c r="Q34" s="65">
        <f t="shared" si="7"/>
        <v>13571.963566723838</v>
      </c>
      <c r="R34" s="65">
        <f t="shared" si="7"/>
        <v>13571.963566723838</v>
      </c>
      <c r="S34" s="65">
        <f t="shared" si="7"/>
        <v>13571.963566723838</v>
      </c>
      <c r="T34" s="65">
        <f t="shared" si="7"/>
        <v>8259.726166723838</v>
      </c>
      <c r="U34" s="65">
        <f t="shared" si="7"/>
        <v>8259.726166723838</v>
      </c>
      <c r="V34" s="65">
        <f t="shared" si="7"/>
        <v>8259.726166723838</v>
      </c>
      <c r="W34" s="65">
        <f t="shared" si="7"/>
        <v>8259.726166723838</v>
      </c>
      <c r="X34" s="65">
        <f t="shared" si="7"/>
        <v>8468.035702723839</v>
      </c>
    </row>
    <row r="35" spans="1:24" ht="15.75" thickBot="1">
      <c r="A35" s="62" t="s">
        <v>75</v>
      </c>
      <c r="B35" s="64" t="s">
        <v>50</v>
      </c>
      <c r="C35" s="64"/>
      <c r="D35" s="65">
        <f aca="true" t="shared" si="8" ref="D35:X35">D34*D3</f>
        <v>-23251</v>
      </c>
      <c r="E35" s="65">
        <f t="shared" si="8"/>
        <v>0</v>
      </c>
      <c r="F35" s="65">
        <f t="shared" si="8"/>
        <v>-42841.73501131735</v>
      </c>
      <c r="G35" s="65">
        <f t="shared" si="8"/>
        <v>4429.899689524207</v>
      </c>
      <c r="H35" s="65">
        <f t="shared" si="8"/>
        <v>4857.864060549017</v>
      </c>
      <c r="I35" s="65">
        <f t="shared" si="8"/>
        <v>7016.763617426372</v>
      </c>
      <c r="J35" s="65">
        <f t="shared" si="8"/>
        <v>8649.170793657337</v>
      </c>
      <c r="K35" s="65">
        <f t="shared" si="8"/>
        <v>8023.4860979459545</v>
      </c>
      <c r="L35" s="65">
        <f t="shared" si="8"/>
        <v>7443.063699371143</v>
      </c>
      <c r="M35" s="65">
        <f t="shared" si="8"/>
        <v>6904.629304097487</v>
      </c>
      <c r="N35" s="65">
        <f t="shared" si="8"/>
        <v>6405.145482098947</v>
      </c>
      <c r="O35" s="65">
        <f t="shared" si="8"/>
        <v>5941.794532330086</v>
      </c>
      <c r="P35" s="65">
        <f t="shared" si="8"/>
        <v>5511.9625874381245</v>
      </c>
      <c r="Q35" s="65">
        <f t="shared" si="8"/>
        <v>5113.224868346857</v>
      </c>
      <c r="R35" s="65">
        <f t="shared" si="8"/>
        <v>4743.332005530276</v>
      </c>
      <c r="S35" s="65">
        <f t="shared" si="8"/>
        <v>4400.197349811065</v>
      </c>
      <c r="T35" s="65">
        <f t="shared" si="8"/>
        <v>2484.183945775065</v>
      </c>
      <c r="U35" s="65">
        <f t="shared" si="8"/>
        <v>2304.4770220381456</v>
      </c>
      <c r="V35" s="65">
        <f t="shared" si="8"/>
        <v>2137.7701736353865</v>
      </c>
      <c r="W35" s="65">
        <f t="shared" si="8"/>
        <v>1983.122969585167</v>
      </c>
      <c r="X35" s="65">
        <f t="shared" si="8"/>
        <v>1886.059142387344</v>
      </c>
    </row>
    <row r="36" spans="1:20" ht="15.75" thickBot="1">
      <c r="A36" s="68" t="s">
        <v>53</v>
      </c>
      <c r="B36" s="69" t="s">
        <v>50</v>
      </c>
      <c r="C36" s="136"/>
      <c r="D36" s="76">
        <f>SUM(D35:X35)</f>
        <v>24143.41233023062</v>
      </c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</row>
    <row r="37" ht="15">
      <c r="C37" s="43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X37"/>
  <sheetViews>
    <sheetView zoomScale="75" zoomScaleNormal="75" zoomScalePageLayoutView="0" workbookViewId="0" topLeftCell="A1">
      <selection activeCell="V42" sqref="V42"/>
    </sheetView>
  </sheetViews>
  <sheetFormatPr defaultColWidth="9.140625" defaultRowHeight="15"/>
  <cols>
    <col min="1" max="1" width="31.8515625" style="0" bestFit="1" customWidth="1"/>
    <col min="2" max="2" width="11.7109375" style="0" bestFit="1" customWidth="1"/>
    <col min="3" max="3" width="7.8515625" style="0" customWidth="1"/>
    <col min="4" max="5" width="12.00390625" style="0" bestFit="1" customWidth="1"/>
    <col min="6" max="7" width="11.57421875" style="0" bestFit="1" customWidth="1"/>
    <col min="8" max="8" width="11.00390625" style="0" bestFit="1" customWidth="1"/>
    <col min="9" max="9" width="11.57421875" style="0" bestFit="1" customWidth="1"/>
    <col min="10" max="18" width="12.140625" style="0" bestFit="1" customWidth="1"/>
    <col min="19" max="24" width="10.7109375" style="0" bestFit="1" customWidth="1"/>
  </cols>
  <sheetData>
    <row r="1" spans="1:3" ht="15">
      <c r="A1" s="43"/>
      <c r="B1" s="43"/>
      <c r="C1" s="43"/>
    </row>
    <row r="2" spans="1:24" s="194" customFormat="1" ht="15">
      <c r="A2" s="195" t="s">
        <v>46</v>
      </c>
      <c r="B2" s="196"/>
      <c r="C2" s="196"/>
      <c r="D2" s="196">
        <v>0</v>
      </c>
      <c r="E2" s="196">
        <v>1</v>
      </c>
      <c r="F2" s="196">
        <v>2</v>
      </c>
      <c r="G2" s="196">
        <v>3</v>
      </c>
      <c r="H2" s="196">
        <v>4</v>
      </c>
      <c r="I2" s="196">
        <v>5</v>
      </c>
      <c r="J2" s="196">
        <v>6</v>
      </c>
      <c r="K2" s="196">
        <v>7</v>
      </c>
      <c r="L2" s="196">
        <v>8</v>
      </c>
      <c r="M2" s="196">
        <v>9</v>
      </c>
      <c r="N2" s="196">
        <v>10</v>
      </c>
      <c r="O2" s="196">
        <v>11</v>
      </c>
      <c r="P2" s="196">
        <v>12</v>
      </c>
      <c r="Q2" s="196">
        <v>13</v>
      </c>
      <c r="R2" s="196">
        <v>14</v>
      </c>
      <c r="S2" s="196">
        <v>15</v>
      </c>
      <c r="T2" s="196">
        <v>16</v>
      </c>
      <c r="U2" s="196">
        <v>17</v>
      </c>
      <c r="V2" s="196">
        <v>18</v>
      </c>
      <c r="W2" s="196">
        <v>19</v>
      </c>
      <c r="X2" s="196">
        <v>20</v>
      </c>
    </row>
    <row r="3" spans="1:24" ht="15">
      <c r="A3" s="83" t="s">
        <v>47</v>
      </c>
      <c r="B3" s="84"/>
      <c r="C3" s="84"/>
      <c r="D3" s="85">
        <f aca="true" t="shared" si="0" ref="D3:X3">1/(1+$B$4)^D2</f>
        <v>1</v>
      </c>
      <c r="E3" s="85">
        <f t="shared" si="0"/>
        <v>0.9276595744680852</v>
      </c>
      <c r="F3" s="85">
        <f t="shared" si="0"/>
        <v>0.860552286102309</v>
      </c>
      <c r="G3" s="85">
        <f t="shared" si="0"/>
        <v>0.7982995675332059</v>
      </c>
      <c r="H3" s="85">
        <f t="shared" si="0"/>
        <v>0.7405502371159103</v>
      </c>
      <c r="I3" s="85">
        <f t="shared" si="0"/>
        <v>0.6869785178351849</v>
      </c>
      <c r="J3" s="85">
        <f t="shared" si="0"/>
        <v>0.6372821995237036</v>
      </c>
      <c r="K3" s="85">
        <f t="shared" si="0"/>
        <v>0.5911809340262442</v>
      </c>
      <c r="L3" s="85">
        <f t="shared" si="0"/>
        <v>0.5484146536924309</v>
      </c>
      <c r="M3" s="85">
        <f t="shared" si="0"/>
        <v>0.5087421042763828</v>
      </c>
      <c r="N3" s="85">
        <f t="shared" si="0"/>
        <v>0.4719394839670275</v>
      </c>
      <c r="O3" s="85">
        <f t="shared" si="0"/>
        <v>0.4377991808715404</v>
      </c>
      <c r="P3" s="85">
        <f t="shared" si="0"/>
        <v>0.40612860182976956</v>
      </c>
      <c r="Q3" s="85">
        <f t="shared" si="0"/>
        <v>0.37674908595272244</v>
      </c>
      <c r="R3" s="85">
        <f t="shared" si="0"/>
        <v>0.34949489675614254</v>
      </c>
      <c r="S3" s="85">
        <f t="shared" si="0"/>
        <v>0.32421228720357054</v>
      </c>
      <c r="T3" s="85">
        <f t="shared" si="0"/>
        <v>0.30075863238458894</v>
      </c>
      <c r="U3" s="85">
        <f t="shared" si="0"/>
        <v>0.2790016249354911</v>
      </c>
      <c r="V3" s="85">
        <f t="shared" si="0"/>
        <v>0.258818528663562</v>
      </c>
      <c r="W3" s="85">
        <f t="shared" si="0"/>
        <v>0.24009548616449577</v>
      </c>
      <c r="X3" s="85">
        <f t="shared" si="0"/>
        <v>0.22272687652706424</v>
      </c>
    </row>
    <row r="4" spans="1:24" ht="15">
      <c r="A4" s="62" t="s">
        <v>65</v>
      </c>
      <c r="B4" s="137">
        <f>Investment!B4</f>
        <v>0.07798165137614665</v>
      </c>
      <c r="C4" s="82"/>
      <c r="D4" s="43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</row>
    <row r="5" spans="1:24" ht="15">
      <c r="A5" s="62" t="s">
        <v>68</v>
      </c>
      <c r="B5" s="103">
        <f>Investment!B5</f>
        <v>6.83</v>
      </c>
      <c r="C5" s="87"/>
      <c r="D5" s="43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</row>
    <row r="6" spans="1:24" ht="15.75" thickBot="1">
      <c r="A6" s="62"/>
      <c r="B6" s="82"/>
      <c r="C6" s="82"/>
      <c r="D6" s="43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</row>
    <row r="7" spans="1:24" ht="15">
      <c r="A7" s="88" t="s">
        <v>69</v>
      </c>
      <c r="B7" s="90">
        <v>-0.1</v>
      </c>
      <c r="C7" s="138"/>
      <c r="D7" s="43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</row>
    <row r="8" spans="1:24" ht="15.75" thickBot="1">
      <c r="A8" s="89" t="s">
        <v>70</v>
      </c>
      <c r="B8" s="91">
        <v>0</v>
      </c>
      <c r="C8" s="138"/>
      <c r="D8" s="43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</row>
    <row r="10" spans="1:24" s="194" customFormat="1" ht="15">
      <c r="A10" s="191" t="s">
        <v>48</v>
      </c>
      <c r="B10" s="192"/>
      <c r="C10" s="192"/>
      <c r="D10" s="193">
        <v>2005</v>
      </c>
      <c r="E10" s="193">
        <v>2006</v>
      </c>
      <c r="F10" s="193">
        <v>2007</v>
      </c>
      <c r="G10" s="193">
        <v>2008</v>
      </c>
      <c r="H10" s="193">
        <v>2009</v>
      </c>
      <c r="I10" s="193">
        <v>2010</v>
      </c>
      <c r="J10" s="193">
        <v>2011</v>
      </c>
      <c r="K10" s="193">
        <v>2012</v>
      </c>
      <c r="L10" s="193">
        <v>2013</v>
      </c>
      <c r="M10" s="193">
        <v>2014</v>
      </c>
      <c r="N10" s="193">
        <v>2015</v>
      </c>
      <c r="O10" s="193">
        <v>2016</v>
      </c>
      <c r="P10" s="193">
        <v>2017</v>
      </c>
      <c r="Q10" s="193">
        <v>2018</v>
      </c>
      <c r="R10" s="193">
        <v>2019</v>
      </c>
      <c r="S10" s="193">
        <v>2020</v>
      </c>
      <c r="T10" s="193">
        <v>2021</v>
      </c>
      <c r="U10" s="193">
        <v>2022</v>
      </c>
      <c r="V10" s="193">
        <v>2023</v>
      </c>
      <c r="W10" s="193">
        <v>2024</v>
      </c>
      <c r="X10" s="193">
        <v>2025</v>
      </c>
    </row>
    <row r="11" spans="5:24" ht="15"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</row>
    <row r="12" spans="1:21" ht="15">
      <c r="A12" t="s">
        <v>49</v>
      </c>
      <c r="B12" s="64" t="s">
        <v>60</v>
      </c>
      <c r="C12" s="64"/>
      <c r="D12" s="65">
        <f>Investment!D9+Investment!D9*$B$8</f>
        <v>-23251</v>
      </c>
      <c r="E12" s="65"/>
      <c r="F12" s="65">
        <f>Investment!F9+Investment!F9*$B$8</f>
        <v>-49784</v>
      </c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>
        <f>K12</f>
        <v>0</v>
      </c>
    </row>
    <row r="13" spans="2:20" ht="15">
      <c r="B13" s="64"/>
      <c r="C13" s="64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</row>
    <row r="14" spans="1:24" ht="15">
      <c r="A14" t="s">
        <v>67</v>
      </c>
      <c r="B14" s="64" t="s">
        <v>5</v>
      </c>
      <c r="C14" s="64"/>
      <c r="D14" s="65">
        <f>Investment!D11</f>
        <v>0</v>
      </c>
      <c r="E14" s="65">
        <f>Investment!E11</f>
        <v>0</v>
      </c>
      <c r="F14" s="65">
        <f>Investment!F11</f>
        <v>0</v>
      </c>
      <c r="G14" s="65">
        <f>Investment!G11</f>
        <v>40658.926</v>
      </c>
      <c r="H14" s="65">
        <f>Investment!H11</f>
        <v>48074.594</v>
      </c>
      <c r="I14" s="65">
        <f>Investment!I11</f>
        <v>78840</v>
      </c>
      <c r="J14" s="65">
        <f>Investment!J11</f>
        <v>105120</v>
      </c>
      <c r="K14" s="65">
        <f>Investment!K11</f>
        <v>105120</v>
      </c>
      <c r="L14" s="65">
        <f>Investment!L11</f>
        <v>105120</v>
      </c>
      <c r="M14" s="65">
        <f>Investment!M11</f>
        <v>105120</v>
      </c>
      <c r="N14" s="65">
        <f>Investment!N11</f>
        <v>105120</v>
      </c>
      <c r="O14" s="65">
        <f>Investment!O11</f>
        <v>105120</v>
      </c>
      <c r="P14" s="65">
        <f>Investment!P11</f>
        <v>105120</v>
      </c>
      <c r="Q14" s="65">
        <f>Investment!Q11</f>
        <v>105120</v>
      </c>
      <c r="R14" s="65">
        <f>Investment!R11</f>
        <v>105120</v>
      </c>
      <c r="S14" s="65">
        <f>Investment!S11</f>
        <v>105120</v>
      </c>
      <c r="T14" s="65">
        <f>Investment!T11</f>
        <v>105120</v>
      </c>
      <c r="U14" s="65">
        <f>Investment!U11</f>
        <v>105120</v>
      </c>
      <c r="V14" s="65">
        <f>Investment!V11</f>
        <v>105120</v>
      </c>
      <c r="W14" s="65">
        <f>Investment!W11</f>
        <v>105120</v>
      </c>
      <c r="X14" s="65">
        <f>Investment!X11</f>
        <v>105120</v>
      </c>
    </row>
    <row r="15" spans="1:24" ht="15">
      <c r="A15" t="s">
        <v>59</v>
      </c>
      <c r="B15" s="64" t="s">
        <v>61</v>
      </c>
      <c r="C15" s="64"/>
      <c r="D15" s="65">
        <f>Investment!D12+Investment!D12*$B$7</f>
        <v>129.78</v>
      </c>
      <c r="E15" s="65">
        <f>Investment!E12+Investment!E12*$B$7</f>
        <v>129.78</v>
      </c>
      <c r="F15" s="65">
        <f>Investment!F12+Investment!F12*$B$7</f>
        <v>129.78</v>
      </c>
      <c r="G15" s="65">
        <f>Investment!G12+Investment!G12*$B$7</f>
        <v>129.78</v>
      </c>
      <c r="H15" s="65">
        <f>Investment!H12+Investment!H12*$B$7</f>
        <v>129.78</v>
      </c>
      <c r="I15" s="65">
        <f>H15</f>
        <v>129.78</v>
      </c>
      <c r="J15" s="65">
        <f aca="true" t="shared" si="1" ref="J15:X15">I15</f>
        <v>129.78</v>
      </c>
      <c r="K15" s="65">
        <f t="shared" si="1"/>
        <v>129.78</v>
      </c>
      <c r="L15" s="65">
        <f t="shared" si="1"/>
        <v>129.78</v>
      </c>
      <c r="M15" s="65">
        <f t="shared" si="1"/>
        <v>129.78</v>
      </c>
      <c r="N15" s="65">
        <f t="shared" si="1"/>
        <v>129.78</v>
      </c>
      <c r="O15" s="65">
        <f t="shared" si="1"/>
        <v>129.78</v>
      </c>
      <c r="P15" s="65">
        <f t="shared" si="1"/>
        <v>129.78</v>
      </c>
      <c r="Q15" s="65">
        <f t="shared" si="1"/>
        <v>129.78</v>
      </c>
      <c r="R15" s="65">
        <f t="shared" si="1"/>
        <v>129.78</v>
      </c>
      <c r="S15" s="65">
        <f t="shared" si="1"/>
        <v>129.78</v>
      </c>
      <c r="T15" s="65">
        <f t="shared" si="1"/>
        <v>129.78</v>
      </c>
      <c r="U15" s="65">
        <f t="shared" si="1"/>
        <v>129.78</v>
      </c>
      <c r="V15" s="65">
        <f t="shared" si="1"/>
        <v>129.78</v>
      </c>
      <c r="W15" s="65">
        <f t="shared" si="1"/>
        <v>129.78</v>
      </c>
      <c r="X15" s="65">
        <f t="shared" si="1"/>
        <v>129.78</v>
      </c>
    </row>
    <row r="16" spans="1:24" ht="15">
      <c r="A16" t="s">
        <v>66</v>
      </c>
      <c r="B16" s="64" t="s">
        <v>60</v>
      </c>
      <c r="C16" s="64"/>
      <c r="D16" s="65">
        <f>D15*D14/1000</f>
        <v>0</v>
      </c>
      <c r="E16" s="65">
        <f>E15*E14/1000</f>
        <v>0</v>
      </c>
      <c r="F16" s="65">
        <f>F15*F14/1000</f>
        <v>0</v>
      </c>
      <c r="G16" s="65">
        <f>G15*G14/1000</f>
        <v>5276.71541628</v>
      </c>
      <c r="H16" s="65">
        <f aca="true" t="shared" si="2" ref="H16:X16">H15*H14/1000</f>
        <v>6239.12080932</v>
      </c>
      <c r="I16" s="65">
        <f t="shared" si="2"/>
        <v>10231.8552</v>
      </c>
      <c r="J16" s="65">
        <f t="shared" si="2"/>
        <v>13642.4736</v>
      </c>
      <c r="K16" s="65">
        <f t="shared" si="2"/>
        <v>13642.4736</v>
      </c>
      <c r="L16" s="65">
        <f t="shared" si="2"/>
        <v>13642.4736</v>
      </c>
      <c r="M16" s="65">
        <f t="shared" si="2"/>
        <v>13642.4736</v>
      </c>
      <c r="N16" s="65">
        <f t="shared" si="2"/>
        <v>13642.4736</v>
      </c>
      <c r="O16" s="65">
        <f t="shared" si="2"/>
        <v>13642.4736</v>
      </c>
      <c r="P16" s="65">
        <f t="shared" si="2"/>
        <v>13642.4736</v>
      </c>
      <c r="Q16" s="65">
        <f t="shared" si="2"/>
        <v>13642.4736</v>
      </c>
      <c r="R16" s="65">
        <f t="shared" si="2"/>
        <v>13642.4736</v>
      </c>
      <c r="S16" s="65">
        <f t="shared" si="2"/>
        <v>13642.4736</v>
      </c>
      <c r="T16" s="65">
        <f t="shared" si="2"/>
        <v>13642.4736</v>
      </c>
      <c r="U16" s="65">
        <f t="shared" si="2"/>
        <v>13642.4736</v>
      </c>
      <c r="V16" s="65">
        <f t="shared" si="2"/>
        <v>13642.4736</v>
      </c>
      <c r="W16" s="65">
        <f t="shared" si="2"/>
        <v>13642.4736</v>
      </c>
      <c r="X16" s="65">
        <f t="shared" si="2"/>
        <v>13642.4736</v>
      </c>
    </row>
    <row r="17" spans="2:24" ht="15">
      <c r="B17" s="64"/>
      <c r="C17" s="64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</row>
    <row r="18" spans="1:24" ht="15">
      <c r="A18" t="s">
        <v>63</v>
      </c>
      <c r="B18" s="64" t="s">
        <v>61</v>
      </c>
      <c r="C18" s="64"/>
      <c r="D18" s="65">
        <f>Investment!D15</f>
        <v>0</v>
      </c>
      <c r="E18" s="65">
        <f>Investment!E15</f>
        <v>0</v>
      </c>
      <c r="F18" s="65">
        <f>Investment!F15</f>
        <v>0</v>
      </c>
      <c r="G18" s="65">
        <f>Investment!G15</f>
        <v>94.73985134362492</v>
      </c>
      <c r="H18" s="65">
        <f>Investment!H15</f>
        <v>94.73985134362492</v>
      </c>
      <c r="I18" s="65">
        <f>Investment!I15</f>
        <v>80.0457404230989</v>
      </c>
      <c r="J18" s="65">
        <f>Investment!J15</f>
        <v>80.0457404230989</v>
      </c>
      <c r="K18" s="65">
        <f>Investment!K15</f>
        <v>80.0457404230989</v>
      </c>
      <c r="L18" s="65">
        <f>Investment!L15</f>
        <v>80.0457404230989</v>
      </c>
      <c r="M18" s="65">
        <f>Investment!M15</f>
        <v>80.0457404230989</v>
      </c>
      <c r="N18" s="65">
        <f>Investment!N15</f>
        <v>80.0457404230989</v>
      </c>
      <c r="O18" s="65">
        <f>Investment!O15</f>
        <v>80.0457404230989</v>
      </c>
      <c r="P18" s="65">
        <f>Investment!P15</f>
        <v>80.0457404230989</v>
      </c>
      <c r="Q18" s="65">
        <f>Investment!Q15</f>
        <v>80.0457404230989</v>
      </c>
      <c r="R18" s="65">
        <f>Investment!R15</f>
        <v>80.0457404230989</v>
      </c>
      <c r="S18" s="65">
        <f>Investment!S15</f>
        <v>80.0457404230989</v>
      </c>
      <c r="T18" s="65">
        <f>Investment!T15</f>
        <v>80.0457404230989</v>
      </c>
      <c r="U18" s="65">
        <f>Investment!U15</f>
        <v>80.0457404230989</v>
      </c>
      <c r="V18" s="65">
        <f>Investment!V15</f>
        <v>80.0457404230989</v>
      </c>
      <c r="W18" s="65">
        <f>Investment!W15</f>
        <v>80.0457404230989</v>
      </c>
      <c r="X18" s="65">
        <f>Investment!X15</f>
        <v>80.0457404230989</v>
      </c>
    </row>
    <row r="19" spans="1:24" ht="15">
      <c r="A19" t="s">
        <v>64</v>
      </c>
      <c r="B19" s="64" t="s">
        <v>62</v>
      </c>
      <c r="C19" s="64"/>
      <c r="D19" s="65">
        <f>-D18*D14/1000</f>
        <v>0</v>
      </c>
      <c r="E19" s="65">
        <f>-E18*E14/1000</f>
        <v>0</v>
      </c>
      <c r="F19" s="65">
        <f aca="true" t="shared" si="3" ref="F19:X19">-F18*F14/1000</f>
        <v>0</v>
      </c>
      <c r="G19" s="65">
        <f t="shared" si="3"/>
        <v>-3852.020605031446</v>
      </c>
      <c r="H19" s="65">
        <f t="shared" si="3"/>
        <v>-4554.579888965122</v>
      </c>
      <c r="I19" s="65">
        <f t="shared" si="3"/>
        <v>-6310.806174957118</v>
      </c>
      <c r="J19" s="65">
        <f t="shared" si="3"/>
        <v>-8414.408233276157</v>
      </c>
      <c r="K19" s="65">
        <f t="shared" si="3"/>
        <v>-8414.408233276157</v>
      </c>
      <c r="L19" s="65">
        <f t="shared" si="3"/>
        <v>-8414.408233276157</v>
      </c>
      <c r="M19" s="65">
        <f t="shared" si="3"/>
        <v>-8414.408233276157</v>
      </c>
      <c r="N19" s="65">
        <f t="shared" si="3"/>
        <v>-8414.408233276157</v>
      </c>
      <c r="O19" s="65">
        <f t="shared" si="3"/>
        <v>-8414.408233276157</v>
      </c>
      <c r="P19" s="65">
        <f t="shared" si="3"/>
        <v>-8414.408233276157</v>
      </c>
      <c r="Q19" s="65">
        <f t="shared" si="3"/>
        <v>-8414.408233276157</v>
      </c>
      <c r="R19" s="65">
        <f t="shared" si="3"/>
        <v>-8414.408233276157</v>
      </c>
      <c r="S19" s="65">
        <f t="shared" si="3"/>
        <v>-8414.408233276157</v>
      </c>
      <c r="T19" s="65">
        <f t="shared" si="3"/>
        <v>-8414.408233276157</v>
      </c>
      <c r="U19" s="65">
        <f t="shared" si="3"/>
        <v>-8414.408233276157</v>
      </c>
      <c r="V19" s="65">
        <f t="shared" si="3"/>
        <v>-8414.408233276157</v>
      </c>
      <c r="W19" s="65">
        <f t="shared" si="3"/>
        <v>-8414.408233276157</v>
      </c>
      <c r="X19" s="65">
        <f t="shared" si="3"/>
        <v>-8414.408233276157</v>
      </c>
    </row>
    <row r="20" spans="2:24" ht="15">
      <c r="B20" s="64"/>
      <c r="C20" s="64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</row>
    <row r="21" spans="1:24" ht="15">
      <c r="A21" t="s">
        <v>104</v>
      </c>
      <c r="B21" s="64" t="s">
        <v>2</v>
      </c>
      <c r="C21" s="65"/>
      <c r="D21" s="65">
        <f>Investment!D18</f>
        <v>90.368</v>
      </c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>
        <f>Investment!X18</f>
        <v>90.368</v>
      </c>
    </row>
    <row r="22" spans="1:24" ht="15">
      <c r="A22" t="s">
        <v>105</v>
      </c>
      <c r="B22" s="64" t="s">
        <v>106</v>
      </c>
      <c r="C22" s="65"/>
      <c r="D22" s="65">
        <f>Investment!D19</f>
        <v>2305.125</v>
      </c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>
        <f>Investment!X19</f>
        <v>2305.125</v>
      </c>
    </row>
    <row r="23" spans="1:24" ht="15">
      <c r="A23" t="s">
        <v>107</v>
      </c>
      <c r="B23" s="64" t="s">
        <v>62</v>
      </c>
      <c r="C23" s="65"/>
      <c r="D23" s="188">
        <f>Investment!D20</f>
        <v>0</v>
      </c>
      <c r="E23" s="188">
        <f>Investment!E20</f>
        <v>0</v>
      </c>
      <c r="F23" s="188">
        <f>Investment!F20</f>
        <v>0</v>
      </c>
      <c r="G23" s="188">
        <f>Investment!G20</f>
        <v>0</v>
      </c>
      <c r="H23" s="188">
        <f>Investment!H20</f>
        <v>0</v>
      </c>
      <c r="I23" s="188">
        <f>Investment!I20</f>
        <v>0</v>
      </c>
      <c r="J23" s="188">
        <f>Investment!J20</f>
        <v>0</v>
      </c>
      <c r="K23" s="188">
        <f>Investment!K20</f>
        <v>0</v>
      </c>
      <c r="L23" s="188">
        <f>Investment!L20</f>
        <v>0</v>
      </c>
      <c r="M23" s="188">
        <f>Investment!M20</f>
        <v>0</v>
      </c>
      <c r="N23" s="188">
        <f>Investment!N20</f>
        <v>0</v>
      </c>
      <c r="O23" s="188">
        <f>Investment!O20</f>
        <v>0</v>
      </c>
      <c r="P23" s="188">
        <f>Investment!P20</f>
        <v>0</v>
      </c>
      <c r="Q23" s="188">
        <f>Investment!Q20</f>
        <v>0</v>
      </c>
      <c r="R23" s="188">
        <f>Investment!R20</f>
        <v>0</v>
      </c>
      <c r="S23" s="188">
        <f>Investment!S20</f>
        <v>0</v>
      </c>
      <c r="T23" s="188">
        <f>Investment!T20</f>
        <v>0</v>
      </c>
      <c r="U23" s="188">
        <f>Investment!U20</f>
        <v>0</v>
      </c>
      <c r="V23" s="188">
        <f>Investment!V20</f>
        <v>0</v>
      </c>
      <c r="W23" s="188">
        <f>Investment!W20</f>
        <v>0</v>
      </c>
      <c r="X23" s="65">
        <f>Investment!X20</f>
        <v>208.30953599999998</v>
      </c>
    </row>
    <row r="24" spans="2:20" ht="15">
      <c r="B24" s="64"/>
      <c r="C24" s="64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</row>
    <row r="25" spans="1:24" ht="15">
      <c r="A25" s="62" t="s">
        <v>51</v>
      </c>
      <c r="B25" s="64" t="s">
        <v>60</v>
      </c>
      <c r="C25" s="64"/>
      <c r="D25" s="79">
        <f>D12+D16+D19+D23</f>
        <v>-23251</v>
      </c>
      <c r="E25" s="79">
        <f aca="true" t="shared" si="4" ref="E25:X25">E12+E16+E19+E23</f>
        <v>0</v>
      </c>
      <c r="F25" s="79">
        <f t="shared" si="4"/>
        <v>-49784</v>
      </c>
      <c r="G25" s="79">
        <f t="shared" si="4"/>
        <v>1424.6948112485538</v>
      </c>
      <c r="H25" s="79">
        <f t="shared" si="4"/>
        <v>1684.540920354878</v>
      </c>
      <c r="I25" s="79">
        <f t="shared" si="4"/>
        <v>3921.049025042882</v>
      </c>
      <c r="J25" s="79">
        <f t="shared" si="4"/>
        <v>5228.065366723842</v>
      </c>
      <c r="K25" s="79">
        <f t="shared" si="4"/>
        <v>5228.065366723842</v>
      </c>
      <c r="L25" s="79">
        <f t="shared" si="4"/>
        <v>5228.065366723842</v>
      </c>
      <c r="M25" s="79">
        <f t="shared" si="4"/>
        <v>5228.065366723842</v>
      </c>
      <c r="N25" s="79">
        <f t="shared" si="4"/>
        <v>5228.065366723842</v>
      </c>
      <c r="O25" s="79">
        <f t="shared" si="4"/>
        <v>5228.065366723842</v>
      </c>
      <c r="P25" s="79">
        <f t="shared" si="4"/>
        <v>5228.065366723842</v>
      </c>
      <c r="Q25" s="79">
        <f t="shared" si="4"/>
        <v>5228.065366723842</v>
      </c>
      <c r="R25" s="79">
        <f t="shared" si="4"/>
        <v>5228.065366723842</v>
      </c>
      <c r="S25" s="79">
        <f t="shared" si="4"/>
        <v>5228.065366723842</v>
      </c>
      <c r="T25" s="79">
        <f t="shared" si="4"/>
        <v>5228.065366723842</v>
      </c>
      <c r="U25" s="79">
        <f t="shared" si="4"/>
        <v>5228.065366723842</v>
      </c>
      <c r="V25" s="79">
        <f t="shared" si="4"/>
        <v>5228.065366723842</v>
      </c>
      <c r="W25" s="79">
        <f t="shared" si="4"/>
        <v>5228.065366723842</v>
      </c>
      <c r="X25" s="79">
        <f t="shared" si="4"/>
        <v>5436.374902723842</v>
      </c>
    </row>
    <row r="26" spans="1:24" ht="15.75" thickBot="1">
      <c r="A26" s="62" t="s">
        <v>75</v>
      </c>
      <c r="B26" s="64" t="s">
        <v>60</v>
      </c>
      <c r="C26" s="64"/>
      <c r="D26" s="79">
        <f aca="true" t="shared" si="5" ref="D26:X26">D25*D3</f>
        <v>-23251</v>
      </c>
      <c r="E26" s="79">
        <f t="shared" si="5"/>
        <v>0</v>
      </c>
      <c r="F26" s="79">
        <f t="shared" si="5"/>
        <v>-42841.73501131735</v>
      </c>
      <c r="G26" s="79">
        <f t="shared" si="5"/>
        <v>1137.3332516865228</v>
      </c>
      <c r="H26" s="79">
        <f t="shared" si="5"/>
        <v>1247.4871780002586</v>
      </c>
      <c r="I26" s="79">
        <f t="shared" si="5"/>
        <v>2693.676447583056</v>
      </c>
      <c r="J26" s="79">
        <f t="shared" si="5"/>
        <v>3331.7529961594682</v>
      </c>
      <c r="K26" s="79">
        <f t="shared" si="5"/>
        <v>3090.7325666500597</v>
      </c>
      <c r="L26" s="79">
        <f t="shared" si="5"/>
        <v>2867.1476575732477</v>
      </c>
      <c r="M26" s="79">
        <f t="shared" si="5"/>
        <v>2659.7369759615663</v>
      </c>
      <c r="N26" s="79">
        <f t="shared" si="5"/>
        <v>2467.3304713175385</v>
      </c>
      <c r="O26" s="79">
        <f t="shared" si="5"/>
        <v>2288.8427350945676</v>
      </c>
      <c r="P26" s="79">
        <f t="shared" si="5"/>
        <v>2123.2668776621954</v>
      </c>
      <c r="Q26" s="79">
        <f t="shared" si="5"/>
        <v>1969.6688482142922</v>
      </c>
      <c r="R26" s="79">
        <f t="shared" si="5"/>
        <v>1827.1821655775136</v>
      </c>
      <c r="S26" s="79">
        <f t="shared" si="5"/>
        <v>1695.0030301953107</v>
      </c>
      <c r="T26" s="79">
        <f t="shared" si="5"/>
        <v>1572.3857897130972</v>
      </c>
      <c r="U26" s="79">
        <f t="shared" si="5"/>
        <v>1458.638732584916</v>
      </c>
      <c r="V26" s="79">
        <f t="shared" si="5"/>
        <v>1353.1201859723903</v>
      </c>
      <c r="W26" s="79">
        <f t="shared" si="5"/>
        <v>1255.2348959233238</v>
      </c>
      <c r="X26" s="79">
        <f t="shared" si="5"/>
        <v>1210.8268017138041</v>
      </c>
    </row>
    <row r="27" spans="1:24" ht="15.75" thickBot="1">
      <c r="A27" s="68" t="s">
        <v>53</v>
      </c>
      <c r="B27" s="69" t="s">
        <v>60</v>
      </c>
      <c r="C27" s="136"/>
      <c r="D27" s="70">
        <f>SUM(D26:X26)</f>
        <v>-29843.367403734243</v>
      </c>
      <c r="E27" s="86"/>
      <c r="F27" s="71"/>
      <c r="G27" s="71"/>
      <c r="H27" s="71"/>
      <c r="I27" s="72"/>
      <c r="J27" s="72"/>
      <c r="K27" s="72"/>
      <c r="L27" s="72"/>
      <c r="M27" s="72"/>
      <c r="N27" s="73"/>
      <c r="O27" s="73"/>
      <c r="P27" s="73"/>
      <c r="Q27" s="73"/>
      <c r="R27" s="73"/>
      <c r="S27" s="73"/>
      <c r="T27" s="73"/>
      <c r="U27" s="86"/>
      <c r="V27" s="86"/>
      <c r="W27" s="86"/>
      <c r="X27" s="86"/>
    </row>
    <row r="28" spans="1:20" ht="15.75" thickBot="1">
      <c r="A28" s="158"/>
      <c r="B28" s="136"/>
      <c r="C28" s="136"/>
      <c r="D28" s="137"/>
      <c r="G28" s="74"/>
      <c r="H28" s="74"/>
      <c r="I28" s="67"/>
      <c r="J28" s="67"/>
      <c r="K28" s="67"/>
      <c r="L28" s="67"/>
      <c r="M28" s="67"/>
      <c r="N28" s="75"/>
      <c r="O28" s="75"/>
      <c r="P28" s="75"/>
      <c r="Q28" s="75"/>
      <c r="R28" s="75"/>
      <c r="S28" s="75"/>
      <c r="T28" s="75"/>
    </row>
    <row r="29" spans="1:20" ht="15">
      <c r="A29" s="43"/>
      <c r="B29" s="64"/>
      <c r="C29" s="64"/>
      <c r="E29" s="66"/>
      <c r="F29" s="66"/>
      <c r="G29" s="93">
        <v>2008</v>
      </c>
      <c r="H29" s="94">
        <v>2009</v>
      </c>
      <c r="I29" s="94">
        <v>2010</v>
      </c>
      <c r="J29" s="94">
        <v>2011</v>
      </c>
      <c r="K29" s="95">
        <v>2012</v>
      </c>
      <c r="L29" s="93">
        <v>2013</v>
      </c>
      <c r="M29" s="94">
        <v>2014</v>
      </c>
      <c r="N29" s="94">
        <v>2015</v>
      </c>
      <c r="O29" s="94">
        <v>2016</v>
      </c>
      <c r="P29" s="94">
        <v>2017</v>
      </c>
      <c r="Q29" s="94">
        <v>2018</v>
      </c>
      <c r="R29" s="94">
        <v>2019</v>
      </c>
      <c r="S29" s="95">
        <v>2020</v>
      </c>
      <c r="T29" s="65"/>
    </row>
    <row r="30" spans="1:20" ht="15">
      <c r="A30" s="62" t="s">
        <v>54</v>
      </c>
      <c r="B30" s="64" t="s">
        <v>2</v>
      </c>
      <c r="C30" s="64"/>
      <c r="E30" s="66"/>
      <c r="G30" s="96">
        <f>Model!L20</f>
        <v>36016</v>
      </c>
      <c r="H30" s="80">
        <f>Model!M20</f>
        <v>42567</v>
      </c>
      <c r="I30" s="80">
        <f>Model!N20</f>
        <v>49038</v>
      </c>
      <c r="J30" s="80">
        <f>Model!O20</f>
        <v>64815</v>
      </c>
      <c r="K30" s="97">
        <f>Model!P20</f>
        <v>64815</v>
      </c>
      <c r="L30" s="96">
        <f>Investment!L27</f>
        <v>64815</v>
      </c>
      <c r="M30" s="80">
        <f>Investment!M27</f>
        <v>64815</v>
      </c>
      <c r="N30" s="80">
        <f>Investment!N27</f>
        <v>64815</v>
      </c>
      <c r="O30" s="80">
        <f>Investment!O27</f>
        <v>64815</v>
      </c>
      <c r="P30" s="80">
        <f>Investment!P27</f>
        <v>64815</v>
      </c>
      <c r="Q30" s="80">
        <f>Investment!Q27</f>
        <v>64815</v>
      </c>
      <c r="R30" s="80">
        <f>Investment!R27</f>
        <v>64815</v>
      </c>
      <c r="S30" s="97">
        <f>Investment!S27</f>
        <v>64815</v>
      </c>
      <c r="T30" s="65"/>
    </row>
    <row r="31" spans="1:20" ht="15">
      <c r="A31" s="62" t="s">
        <v>55</v>
      </c>
      <c r="B31" s="64" t="s">
        <v>56</v>
      </c>
      <c r="C31" s="64"/>
      <c r="E31" s="66"/>
      <c r="G31" s="96">
        <f>Investment!G28</f>
        <v>12</v>
      </c>
      <c r="H31" s="80">
        <f>Investment!H28</f>
        <v>12</v>
      </c>
      <c r="I31" s="80">
        <f>Investment!I28</f>
        <v>12</v>
      </c>
      <c r="J31" s="80">
        <f>Investment!J28</f>
        <v>12</v>
      </c>
      <c r="K31" s="97">
        <f>Investment!K28</f>
        <v>12</v>
      </c>
      <c r="L31" s="96">
        <f>Investment!L28</f>
        <v>12</v>
      </c>
      <c r="M31" s="80">
        <f>Investment!M28</f>
        <v>12</v>
      </c>
      <c r="N31" s="80">
        <f>Investment!N28</f>
        <v>12</v>
      </c>
      <c r="O31" s="80">
        <f>Investment!O28</f>
        <v>12</v>
      </c>
      <c r="P31" s="80">
        <f>Investment!P28</f>
        <v>12</v>
      </c>
      <c r="Q31" s="80">
        <f>Investment!Q28</f>
        <v>12</v>
      </c>
      <c r="R31" s="80">
        <f>Investment!R28</f>
        <v>12</v>
      </c>
      <c r="S31" s="97">
        <f>Investment!S28</f>
        <v>12</v>
      </c>
      <c r="T31" s="65"/>
    </row>
    <row r="32" spans="1:20" ht="15.75" thickBot="1">
      <c r="A32" s="62" t="s">
        <v>57</v>
      </c>
      <c r="B32" s="64" t="s">
        <v>50</v>
      </c>
      <c r="C32" s="64"/>
      <c r="E32" s="66"/>
      <c r="G32" s="98">
        <f>G30*G31*$B$5/1000</f>
        <v>2951.87136</v>
      </c>
      <c r="H32" s="99">
        <f>H30*H31*$B$5/1000</f>
        <v>3488.79132</v>
      </c>
      <c r="I32" s="99">
        <f>I30*I31*$B$5/1000</f>
        <v>4019.15448</v>
      </c>
      <c r="J32" s="99">
        <f>J30*J31*$B$5/1000</f>
        <v>5312.2374</v>
      </c>
      <c r="K32" s="100">
        <f>K30*K31*$B$5/1000</f>
        <v>5312.2374</v>
      </c>
      <c r="L32" s="98">
        <f aca="true" t="shared" si="6" ref="L32:S32">L30*L31*$B$5/1000</f>
        <v>5312.2374</v>
      </c>
      <c r="M32" s="99">
        <f t="shared" si="6"/>
        <v>5312.2374</v>
      </c>
      <c r="N32" s="99">
        <f t="shared" si="6"/>
        <v>5312.2374</v>
      </c>
      <c r="O32" s="99">
        <f t="shared" si="6"/>
        <v>5312.2374</v>
      </c>
      <c r="P32" s="99">
        <f t="shared" si="6"/>
        <v>5312.2374</v>
      </c>
      <c r="Q32" s="99">
        <f t="shared" si="6"/>
        <v>5312.2374</v>
      </c>
      <c r="R32" s="99">
        <f t="shared" si="6"/>
        <v>5312.2374</v>
      </c>
      <c r="S32" s="100">
        <f t="shared" si="6"/>
        <v>5312.2374</v>
      </c>
      <c r="T32" s="65"/>
    </row>
    <row r="33" spans="2:20" ht="15">
      <c r="B33" s="64"/>
      <c r="C33" s="64"/>
      <c r="E33" s="65"/>
      <c r="F33" s="65"/>
      <c r="G33" s="65"/>
      <c r="H33" s="65"/>
      <c r="I33" s="65"/>
      <c r="J33" s="65"/>
      <c r="P33" s="65"/>
      <c r="Q33" s="65"/>
      <c r="R33" s="65"/>
      <c r="S33" s="65"/>
      <c r="T33" s="65"/>
    </row>
    <row r="34" spans="1:24" ht="15">
      <c r="A34" t="s">
        <v>58</v>
      </c>
      <c r="B34" s="64" t="s">
        <v>50</v>
      </c>
      <c r="C34" s="64"/>
      <c r="D34" s="65">
        <f>D12+D16+D19+D23+D32</f>
        <v>-23251</v>
      </c>
      <c r="E34" s="65">
        <f aca="true" t="shared" si="7" ref="E34:X34">E12+E16+E19+E23+E32</f>
        <v>0</v>
      </c>
      <c r="F34" s="65">
        <f t="shared" si="7"/>
        <v>-49784</v>
      </c>
      <c r="G34" s="65">
        <f t="shared" si="7"/>
        <v>4376.566171248554</v>
      </c>
      <c r="H34" s="65">
        <f t="shared" si="7"/>
        <v>5173.332240354877</v>
      </c>
      <c r="I34" s="65">
        <f t="shared" si="7"/>
        <v>7940.203505042882</v>
      </c>
      <c r="J34" s="65">
        <f t="shared" si="7"/>
        <v>10540.302766723842</v>
      </c>
      <c r="K34" s="65">
        <f t="shared" si="7"/>
        <v>10540.302766723842</v>
      </c>
      <c r="L34" s="65">
        <f t="shared" si="7"/>
        <v>10540.302766723842</v>
      </c>
      <c r="M34" s="65">
        <f t="shared" si="7"/>
        <v>10540.302766723842</v>
      </c>
      <c r="N34" s="65">
        <f t="shared" si="7"/>
        <v>10540.302766723842</v>
      </c>
      <c r="O34" s="65">
        <f t="shared" si="7"/>
        <v>10540.302766723842</v>
      </c>
      <c r="P34" s="65">
        <f t="shared" si="7"/>
        <v>10540.302766723842</v>
      </c>
      <c r="Q34" s="65">
        <f t="shared" si="7"/>
        <v>10540.302766723842</v>
      </c>
      <c r="R34" s="65">
        <f t="shared" si="7"/>
        <v>10540.302766723842</v>
      </c>
      <c r="S34" s="65">
        <f t="shared" si="7"/>
        <v>10540.302766723842</v>
      </c>
      <c r="T34" s="65">
        <f t="shared" si="7"/>
        <v>5228.065366723842</v>
      </c>
      <c r="U34" s="65">
        <f t="shared" si="7"/>
        <v>5228.065366723842</v>
      </c>
      <c r="V34" s="65">
        <f t="shared" si="7"/>
        <v>5228.065366723842</v>
      </c>
      <c r="W34" s="65">
        <f t="shared" si="7"/>
        <v>5228.065366723842</v>
      </c>
      <c r="X34" s="65">
        <f t="shared" si="7"/>
        <v>5436.374902723842</v>
      </c>
    </row>
    <row r="35" spans="1:24" ht="15.75" thickBot="1">
      <c r="A35" s="62" t="s">
        <v>75</v>
      </c>
      <c r="B35" s="64" t="s">
        <v>50</v>
      </c>
      <c r="C35" s="64"/>
      <c r="D35" s="65">
        <f aca="true" t="shared" si="8" ref="D35:X35">D34*D3</f>
        <v>-23251</v>
      </c>
      <c r="E35" s="65">
        <f t="shared" si="8"/>
        <v>0</v>
      </c>
      <c r="F35" s="65">
        <f t="shared" si="8"/>
        <v>-42841.73501131735</v>
      </c>
      <c r="G35" s="65">
        <f t="shared" si="8"/>
        <v>3493.8108817881794</v>
      </c>
      <c r="H35" s="65">
        <f t="shared" si="8"/>
        <v>3831.112417274188</v>
      </c>
      <c r="I35" s="65">
        <f t="shared" si="8"/>
        <v>5454.7492352041</v>
      </c>
      <c r="J35" s="65">
        <f t="shared" si="8"/>
        <v>6717.147330823548</v>
      </c>
      <c r="K35" s="65">
        <f t="shared" si="8"/>
        <v>6231.226034551207</v>
      </c>
      <c r="L35" s="65">
        <f t="shared" si="8"/>
        <v>5780.456491626227</v>
      </c>
      <c r="M35" s="65">
        <f t="shared" si="8"/>
        <v>5362.295809253267</v>
      </c>
      <c r="N35" s="65">
        <f t="shared" si="8"/>
        <v>4974.385048583882</v>
      </c>
      <c r="O35" s="65">
        <f t="shared" si="8"/>
        <v>4614.535917409729</v>
      </c>
      <c r="P35" s="65">
        <f t="shared" si="8"/>
        <v>4280.7184255120055</v>
      </c>
      <c r="Q35" s="65">
        <f t="shared" si="8"/>
        <v>3971.049433028159</v>
      </c>
      <c r="R35" s="65">
        <f t="shared" si="8"/>
        <v>3683.7820272346326</v>
      </c>
      <c r="S35" s="65">
        <f t="shared" si="8"/>
        <v>3417.2956678176593</v>
      </c>
      <c r="T35" s="65">
        <f t="shared" si="8"/>
        <v>1572.3857897130972</v>
      </c>
      <c r="U35" s="65">
        <f t="shared" si="8"/>
        <v>1458.638732584916</v>
      </c>
      <c r="V35" s="65">
        <f t="shared" si="8"/>
        <v>1353.1201859723903</v>
      </c>
      <c r="W35" s="65">
        <f t="shared" si="8"/>
        <v>1255.2348959233238</v>
      </c>
      <c r="X35" s="65">
        <f t="shared" si="8"/>
        <v>1210.8268017138041</v>
      </c>
    </row>
    <row r="36" spans="1:20" ht="15.75" thickBot="1">
      <c r="A36" s="68" t="s">
        <v>53</v>
      </c>
      <c r="B36" s="69" t="s">
        <v>50</v>
      </c>
      <c r="C36" s="136"/>
      <c r="D36" s="76">
        <f>SUM(D35:X35)</f>
        <v>2570.0361146969562</v>
      </c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</row>
    <row r="37" ht="15">
      <c r="C37" s="43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X37"/>
  <sheetViews>
    <sheetView zoomScale="75" zoomScaleNormal="75" zoomScalePageLayoutView="0" workbookViewId="0" topLeftCell="A1">
      <selection activeCell="D12" sqref="D12"/>
    </sheetView>
  </sheetViews>
  <sheetFormatPr defaultColWidth="9.140625" defaultRowHeight="15"/>
  <cols>
    <col min="1" max="1" width="31.8515625" style="0" bestFit="1" customWidth="1"/>
    <col min="2" max="2" width="11.7109375" style="0" bestFit="1" customWidth="1"/>
    <col min="3" max="3" width="7.8515625" style="0" customWidth="1"/>
    <col min="4" max="5" width="12.00390625" style="0" bestFit="1" customWidth="1"/>
    <col min="6" max="7" width="11.57421875" style="0" bestFit="1" customWidth="1"/>
    <col min="8" max="8" width="11.00390625" style="0" bestFit="1" customWidth="1"/>
    <col min="9" max="9" width="11.57421875" style="0" bestFit="1" customWidth="1"/>
    <col min="10" max="18" width="12.140625" style="0" bestFit="1" customWidth="1"/>
    <col min="19" max="24" width="10.7109375" style="0" bestFit="1" customWidth="1"/>
  </cols>
  <sheetData>
    <row r="1" spans="1:3" ht="15">
      <c r="A1" s="43"/>
      <c r="B1" s="43"/>
      <c r="C1" s="43"/>
    </row>
    <row r="2" spans="1:24" s="194" customFormat="1" ht="15">
      <c r="A2" s="195" t="s">
        <v>46</v>
      </c>
      <c r="B2" s="196"/>
      <c r="C2" s="196"/>
      <c r="D2" s="196">
        <v>0</v>
      </c>
      <c r="E2" s="196">
        <v>1</v>
      </c>
      <c r="F2" s="196">
        <v>2</v>
      </c>
      <c r="G2" s="196">
        <v>3</v>
      </c>
      <c r="H2" s="196">
        <v>4</v>
      </c>
      <c r="I2" s="196">
        <v>5</v>
      </c>
      <c r="J2" s="196">
        <v>6</v>
      </c>
      <c r="K2" s="196">
        <v>7</v>
      </c>
      <c r="L2" s="196">
        <v>8</v>
      </c>
      <c r="M2" s="196">
        <v>9</v>
      </c>
      <c r="N2" s="196">
        <v>10</v>
      </c>
      <c r="O2" s="196">
        <v>11</v>
      </c>
      <c r="P2" s="196">
        <v>12</v>
      </c>
      <c r="Q2" s="196">
        <v>13</v>
      </c>
      <c r="R2" s="196">
        <v>14</v>
      </c>
      <c r="S2" s="196">
        <v>15</v>
      </c>
      <c r="T2" s="196">
        <v>16</v>
      </c>
      <c r="U2" s="196">
        <v>17</v>
      </c>
      <c r="V2" s="196">
        <v>18</v>
      </c>
      <c r="W2" s="196">
        <v>19</v>
      </c>
      <c r="X2" s="196">
        <v>20</v>
      </c>
    </row>
    <row r="3" spans="1:24" ht="15">
      <c r="A3" s="83" t="s">
        <v>47</v>
      </c>
      <c r="B3" s="84"/>
      <c r="C3" s="84"/>
      <c r="D3" s="85">
        <f aca="true" t="shared" si="0" ref="D3:X3">1/(1+$B$4)^D2</f>
        <v>1</v>
      </c>
      <c r="E3" s="85">
        <f t="shared" si="0"/>
        <v>0.9276595744680852</v>
      </c>
      <c r="F3" s="85">
        <f t="shared" si="0"/>
        <v>0.860552286102309</v>
      </c>
      <c r="G3" s="85">
        <f t="shared" si="0"/>
        <v>0.7982995675332059</v>
      </c>
      <c r="H3" s="85">
        <f t="shared" si="0"/>
        <v>0.7405502371159103</v>
      </c>
      <c r="I3" s="85">
        <f t="shared" si="0"/>
        <v>0.6869785178351849</v>
      </c>
      <c r="J3" s="85">
        <f t="shared" si="0"/>
        <v>0.6372821995237036</v>
      </c>
      <c r="K3" s="85">
        <f t="shared" si="0"/>
        <v>0.5911809340262442</v>
      </c>
      <c r="L3" s="85">
        <f t="shared" si="0"/>
        <v>0.5484146536924309</v>
      </c>
      <c r="M3" s="85">
        <f t="shared" si="0"/>
        <v>0.5087421042763828</v>
      </c>
      <c r="N3" s="85">
        <f t="shared" si="0"/>
        <v>0.4719394839670275</v>
      </c>
      <c r="O3" s="85">
        <f t="shared" si="0"/>
        <v>0.4377991808715404</v>
      </c>
      <c r="P3" s="85">
        <f t="shared" si="0"/>
        <v>0.40612860182976956</v>
      </c>
      <c r="Q3" s="85">
        <f t="shared" si="0"/>
        <v>0.37674908595272244</v>
      </c>
      <c r="R3" s="85">
        <f t="shared" si="0"/>
        <v>0.34949489675614254</v>
      </c>
      <c r="S3" s="85">
        <f t="shared" si="0"/>
        <v>0.32421228720357054</v>
      </c>
      <c r="T3" s="85">
        <f t="shared" si="0"/>
        <v>0.30075863238458894</v>
      </c>
      <c r="U3" s="85">
        <f t="shared" si="0"/>
        <v>0.2790016249354911</v>
      </c>
      <c r="V3" s="85">
        <f t="shared" si="0"/>
        <v>0.258818528663562</v>
      </c>
      <c r="W3" s="85">
        <f t="shared" si="0"/>
        <v>0.24009548616449577</v>
      </c>
      <c r="X3" s="85">
        <f t="shared" si="0"/>
        <v>0.22272687652706424</v>
      </c>
    </row>
    <row r="4" spans="1:24" ht="15">
      <c r="A4" s="62" t="s">
        <v>65</v>
      </c>
      <c r="B4" s="137">
        <f>Investment!B4</f>
        <v>0.07798165137614665</v>
      </c>
      <c r="C4" s="82"/>
      <c r="D4" s="43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</row>
    <row r="5" spans="1:24" ht="15">
      <c r="A5" s="62" t="s">
        <v>68</v>
      </c>
      <c r="B5" s="103">
        <f>Investment!B5</f>
        <v>6.83</v>
      </c>
      <c r="C5" s="87"/>
      <c r="D5" s="43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</row>
    <row r="6" spans="1:24" ht="15.75" thickBot="1">
      <c r="A6" s="62"/>
      <c r="B6" s="82"/>
      <c r="C6" s="82"/>
      <c r="D6" s="43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</row>
    <row r="7" spans="1:24" ht="30">
      <c r="A7" s="187" t="s">
        <v>102</v>
      </c>
      <c r="B7" s="90">
        <v>0.1</v>
      </c>
      <c r="C7" s="138"/>
      <c r="D7" s="43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</row>
    <row r="8" spans="1:24" ht="15.75" thickBot="1">
      <c r="A8" s="89" t="s">
        <v>70</v>
      </c>
      <c r="B8" s="91">
        <v>0</v>
      </c>
      <c r="C8" s="138"/>
      <c r="D8" s="43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</row>
    <row r="10" spans="1:24" s="194" customFormat="1" ht="15">
      <c r="A10" s="191" t="s">
        <v>48</v>
      </c>
      <c r="B10" s="192"/>
      <c r="C10" s="192"/>
      <c r="D10" s="193">
        <v>2005</v>
      </c>
      <c r="E10" s="193">
        <v>2006</v>
      </c>
      <c r="F10" s="193">
        <v>2007</v>
      </c>
      <c r="G10" s="193">
        <v>2008</v>
      </c>
      <c r="H10" s="193">
        <v>2009</v>
      </c>
      <c r="I10" s="193">
        <v>2010</v>
      </c>
      <c r="J10" s="193">
        <v>2011</v>
      </c>
      <c r="K10" s="193">
        <v>2012</v>
      </c>
      <c r="L10" s="193">
        <v>2013</v>
      </c>
      <c r="M10" s="193">
        <v>2014</v>
      </c>
      <c r="N10" s="193">
        <v>2015</v>
      </c>
      <c r="O10" s="193">
        <v>2016</v>
      </c>
      <c r="P10" s="193">
        <v>2017</v>
      </c>
      <c r="Q10" s="193">
        <v>2018</v>
      </c>
      <c r="R10" s="193">
        <v>2019</v>
      </c>
      <c r="S10" s="193">
        <v>2020</v>
      </c>
      <c r="T10" s="193">
        <v>2021</v>
      </c>
      <c r="U10" s="193">
        <v>2022</v>
      </c>
      <c r="V10" s="193">
        <v>2023</v>
      </c>
      <c r="W10" s="193">
        <v>2024</v>
      </c>
      <c r="X10" s="193">
        <v>2025</v>
      </c>
    </row>
    <row r="11" spans="5:24" ht="15"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</row>
    <row r="12" spans="1:21" ht="15">
      <c r="A12" t="s">
        <v>49</v>
      </c>
      <c r="B12" s="64" t="s">
        <v>60</v>
      </c>
      <c r="C12" s="64"/>
      <c r="D12" s="65">
        <f>Investment!D9+Investment!D9*$B$8</f>
        <v>-23251</v>
      </c>
      <c r="E12" s="65"/>
      <c r="F12" s="65">
        <f>Investment!F9+Investment!F9*$B$8</f>
        <v>-49784</v>
      </c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>
        <f>K12</f>
        <v>0</v>
      </c>
    </row>
    <row r="13" spans="2:20" ht="15">
      <c r="B13" s="64"/>
      <c r="C13" s="64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</row>
    <row r="14" spans="1:24" ht="15">
      <c r="A14" t="s">
        <v>67</v>
      </c>
      <c r="B14" s="64" t="s">
        <v>5</v>
      </c>
      <c r="C14" s="64"/>
      <c r="D14" s="65">
        <f>Investment!D11</f>
        <v>0</v>
      </c>
      <c r="E14" s="65">
        <f>Investment!E11</f>
        <v>0</v>
      </c>
      <c r="F14" s="65">
        <f>Investment!F11</f>
        <v>0</v>
      </c>
      <c r="G14" s="65">
        <f>Investment!G11</f>
        <v>40658.926</v>
      </c>
      <c r="H14" s="65">
        <f>Investment!H11</f>
        <v>48074.594</v>
      </c>
      <c r="I14" s="65">
        <f>Investment!I11</f>
        <v>78840</v>
      </c>
      <c r="J14" s="65">
        <f>Investment!J11</f>
        <v>105120</v>
      </c>
      <c r="K14" s="65">
        <f>Investment!K11</f>
        <v>105120</v>
      </c>
      <c r="L14" s="65">
        <f>Investment!L11</f>
        <v>105120</v>
      </c>
      <c r="M14" s="65">
        <f>Investment!M11</f>
        <v>105120</v>
      </c>
      <c r="N14" s="65">
        <f>Investment!N11</f>
        <v>105120</v>
      </c>
      <c r="O14" s="65">
        <f>Investment!O11</f>
        <v>105120</v>
      </c>
      <c r="P14" s="65">
        <f>Investment!P11</f>
        <v>105120</v>
      </c>
      <c r="Q14" s="65">
        <f>Investment!Q11</f>
        <v>105120</v>
      </c>
      <c r="R14" s="65">
        <f>Investment!R11</f>
        <v>105120</v>
      </c>
      <c r="S14" s="65">
        <f>Investment!S11</f>
        <v>105120</v>
      </c>
      <c r="T14" s="65">
        <f>Investment!T11</f>
        <v>105120</v>
      </c>
      <c r="U14" s="65">
        <f>Investment!U11</f>
        <v>105120</v>
      </c>
      <c r="V14" s="65">
        <f>Investment!V11</f>
        <v>105120</v>
      </c>
      <c r="W14" s="65">
        <f>Investment!W11</f>
        <v>105120</v>
      </c>
      <c r="X14" s="65">
        <f>Investment!X11</f>
        <v>105120</v>
      </c>
    </row>
    <row r="15" spans="1:24" ht="15">
      <c r="A15" t="s">
        <v>59</v>
      </c>
      <c r="B15" s="64" t="s">
        <v>61</v>
      </c>
      <c r="C15" s="64"/>
      <c r="D15" s="65">
        <f>Investment!D12</f>
        <v>144.2</v>
      </c>
      <c r="E15" s="65">
        <f>Investment!E12</f>
        <v>144.2</v>
      </c>
      <c r="F15" s="65">
        <f>Investment!F12</f>
        <v>144.2</v>
      </c>
      <c r="G15" s="65">
        <f>Investment!G12</f>
        <v>144.2</v>
      </c>
      <c r="H15" s="65">
        <f>Investment!H12</f>
        <v>144.2</v>
      </c>
      <c r="I15" s="65">
        <f>Investment!I12</f>
        <v>144.2</v>
      </c>
      <c r="J15" s="65">
        <f>Investment!J12</f>
        <v>144.2</v>
      </c>
      <c r="K15" s="65">
        <f>Investment!K12</f>
        <v>144.2</v>
      </c>
      <c r="L15" s="65">
        <f>Investment!L12</f>
        <v>144.2</v>
      </c>
      <c r="M15" s="65">
        <f>Investment!M12</f>
        <v>144.2</v>
      </c>
      <c r="N15" s="65">
        <f>Investment!N12</f>
        <v>144.2</v>
      </c>
      <c r="O15" s="65">
        <f>Investment!O12</f>
        <v>144.2</v>
      </c>
      <c r="P15" s="65">
        <f>Investment!P12</f>
        <v>144.2</v>
      </c>
      <c r="Q15" s="65">
        <f>Investment!Q12</f>
        <v>144.2</v>
      </c>
      <c r="R15" s="65">
        <f>Investment!R12</f>
        <v>144.2</v>
      </c>
      <c r="S15" s="65">
        <f>Investment!S12</f>
        <v>144.2</v>
      </c>
      <c r="T15" s="65">
        <f>Investment!T12</f>
        <v>144.2</v>
      </c>
      <c r="U15" s="65">
        <f>Investment!U12</f>
        <v>144.2</v>
      </c>
      <c r="V15" s="65">
        <f>Investment!V12</f>
        <v>144.2</v>
      </c>
      <c r="W15" s="65">
        <f>Investment!W12</f>
        <v>144.2</v>
      </c>
      <c r="X15" s="65">
        <f>Investment!X12</f>
        <v>144.2</v>
      </c>
    </row>
    <row r="16" spans="1:24" ht="15">
      <c r="A16" t="s">
        <v>66</v>
      </c>
      <c r="B16" s="64" t="s">
        <v>60</v>
      </c>
      <c r="C16" s="64"/>
      <c r="D16" s="65">
        <f>D15*D14/1000</f>
        <v>0</v>
      </c>
      <c r="E16" s="65">
        <f>E15*E14/1000</f>
        <v>0</v>
      </c>
      <c r="F16" s="65">
        <f>F15*F14/1000</f>
        <v>0</v>
      </c>
      <c r="G16" s="65">
        <f>G15*G14/1000</f>
        <v>5863.0171291999995</v>
      </c>
      <c r="H16" s="65">
        <f aca="true" t="shared" si="1" ref="H16:X16">H15*H14/1000</f>
        <v>6932.3564547999995</v>
      </c>
      <c r="I16" s="65">
        <f t="shared" si="1"/>
        <v>11368.728</v>
      </c>
      <c r="J16" s="65">
        <f t="shared" si="1"/>
        <v>15158.303999999998</v>
      </c>
      <c r="K16" s="65">
        <f t="shared" si="1"/>
        <v>15158.303999999998</v>
      </c>
      <c r="L16" s="65">
        <f t="shared" si="1"/>
        <v>15158.303999999998</v>
      </c>
      <c r="M16" s="65">
        <f t="shared" si="1"/>
        <v>15158.303999999998</v>
      </c>
      <c r="N16" s="65">
        <f t="shared" si="1"/>
        <v>15158.303999999998</v>
      </c>
      <c r="O16" s="65">
        <f t="shared" si="1"/>
        <v>15158.303999999998</v>
      </c>
      <c r="P16" s="65">
        <f t="shared" si="1"/>
        <v>15158.303999999998</v>
      </c>
      <c r="Q16" s="65">
        <f t="shared" si="1"/>
        <v>15158.303999999998</v>
      </c>
      <c r="R16" s="65">
        <f t="shared" si="1"/>
        <v>15158.303999999998</v>
      </c>
      <c r="S16" s="65">
        <f t="shared" si="1"/>
        <v>15158.303999999998</v>
      </c>
      <c r="T16" s="65">
        <f t="shared" si="1"/>
        <v>15158.303999999998</v>
      </c>
      <c r="U16" s="65">
        <f t="shared" si="1"/>
        <v>15158.303999999998</v>
      </c>
      <c r="V16" s="65">
        <f t="shared" si="1"/>
        <v>15158.303999999998</v>
      </c>
      <c r="W16" s="65">
        <f t="shared" si="1"/>
        <v>15158.303999999998</v>
      </c>
      <c r="X16" s="65">
        <f t="shared" si="1"/>
        <v>15158.303999999998</v>
      </c>
    </row>
    <row r="17" spans="2:24" ht="15">
      <c r="B17" s="64"/>
      <c r="C17" s="64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</row>
    <row r="18" spans="1:24" ht="15">
      <c r="A18" t="s">
        <v>63</v>
      </c>
      <c r="B18" s="64" t="s">
        <v>61</v>
      </c>
      <c r="C18" s="64"/>
      <c r="D18" s="65">
        <f>Investment!D15</f>
        <v>0</v>
      </c>
      <c r="E18" s="65">
        <f>Investment!E15</f>
        <v>0</v>
      </c>
      <c r="F18" s="65">
        <f>Investment!F15</f>
        <v>0</v>
      </c>
      <c r="G18" s="65">
        <f>Investment!G15+Investment!G15*$B$7</f>
        <v>104.21383647798741</v>
      </c>
      <c r="H18" s="65">
        <f>Investment!H15+Investment!H15*$B$7</f>
        <v>104.21383647798741</v>
      </c>
      <c r="I18" s="65">
        <f>Investment!I15+Investment!I15*$B$7</f>
        <v>88.0503144654088</v>
      </c>
      <c r="J18" s="65">
        <f>Investment!J15+Investment!J15*$B$7</f>
        <v>88.0503144654088</v>
      </c>
      <c r="K18" s="65">
        <f>Investment!K15+Investment!K15*$B$7</f>
        <v>88.0503144654088</v>
      </c>
      <c r="L18" s="65">
        <f>Investment!L15+Investment!L15*$B$7</f>
        <v>88.0503144654088</v>
      </c>
      <c r="M18" s="65">
        <f>Investment!M15+Investment!M15*$B$7</f>
        <v>88.0503144654088</v>
      </c>
      <c r="N18" s="65">
        <f>Investment!N15+Investment!N15*$B$7</f>
        <v>88.0503144654088</v>
      </c>
      <c r="O18" s="65">
        <f>Investment!O15+Investment!O15*$B$7</f>
        <v>88.0503144654088</v>
      </c>
      <c r="P18" s="65">
        <f>Investment!P15+Investment!P15*$B$7</f>
        <v>88.0503144654088</v>
      </c>
      <c r="Q18" s="65">
        <f>Investment!Q15+Investment!Q15*$B$7</f>
        <v>88.0503144654088</v>
      </c>
      <c r="R18" s="65">
        <f>Investment!R15+Investment!R15*$B$7</f>
        <v>88.0503144654088</v>
      </c>
      <c r="S18" s="65">
        <f>Investment!S15+Investment!S15*$B$7</f>
        <v>88.0503144654088</v>
      </c>
      <c r="T18" s="65">
        <f>Investment!T15+Investment!T15*$B$7</f>
        <v>88.0503144654088</v>
      </c>
      <c r="U18" s="65">
        <f>Investment!U15+Investment!U15*$B$7</f>
        <v>88.0503144654088</v>
      </c>
      <c r="V18" s="65">
        <f>Investment!V15+Investment!V15*$B$7</f>
        <v>88.0503144654088</v>
      </c>
      <c r="W18" s="65">
        <f>Investment!W15+Investment!W15*$B$7</f>
        <v>88.0503144654088</v>
      </c>
      <c r="X18" s="65">
        <f>Investment!X15+Investment!X15*$B$7</f>
        <v>88.0503144654088</v>
      </c>
    </row>
    <row r="19" spans="1:24" ht="15">
      <c r="A19" t="s">
        <v>64</v>
      </c>
      <c r="B19" s="64" t="s">
        <v>62</v>
      </c>
      <c r="C19" s="64"/>
      <c r="D19" s="65">
        <f>-D18*D14/1000</f>
        <v>0</v>
      </c>
      <c r="E19" s="65">
        <f>-E18*E14/1000</f>
        <v>0</v>
      </c>
      <c r="F19" s="65">
        <f aca="true" t="shared" si="2" ref="F19:X19">-F18*F14/1000</f>
        <v>0</v>
      </c>
      <c r="G19" s="65">
        <f t="shared" si="2"/>
        <v>-4237.22266553459</v>
      </c>
      <c r="H19" s="65">
        <f t="shared" si="2"/>
        <v>-5010.037877861635</v>
      </c>
      <c r="I19" s="65">
        <f t="shared" si="2"/>
        <v>-6941.8867924528295</v>
      </c>
      <c r="J19" s="65">
        <f t="shared" si="2"/>
        <v>-9255.849056603773</v>
      </c>
      <c r="K19" s="65">
        <f t="shared" si="2"/>
        <v>-9255.849056603773</v>
      </c>
      <c r="L19" s="65">
        <f t="shared" si="2"/>
        <v>-9255.849056603773</v>
      </c>
      <c r="M19" s="65">
        <f t="shared" si="2"/>
        <v>-9255.849056603773</v>
      </c>
      <c r="N19" s="65">
        <f t="shared" si="2"/>
        <v>-9255.849056603773</v>
      </c>
      <c r="O19" s="65">
        <f t="shared" si="2"/>
        <v>-9255.849056603773</v>
      </c>
      <c r="P19" s="65">
        <f t="shared" si="2"/>
        <v>-9255.849056603773</v>
      </c>
      <c r="Q19" s="65">
        <f t="shared" si="2"/>
        <v>-9255.849056603773</v>
      </c>
      <c r="R19" s="65">
        <f t="shared" si="2"/>
        <v>-9255.849056603773</v>
      </c>
      <c r="S19" s="65">
        <f t="shared" si="2"/>
        <v>-9255.849056603773</v>
      </c>
      <c r="T19" s="65">
        <f t="shared" si="2"/>
        <v>-9255.849056603773</v>
      </c>
      <c r="U19" s="65">
        <f t="shared" si="2"/>
        <v>-9255.849056603773</v>
      </c>
      <c r="V19" s="65">
        <f t="shared" si="2"/>
        <v>-9255.849056603773</v>
      </c>
      <c r="W19" s="65">
        <f t="shared" si="2"/>
        <v>-9255.849056603773</v>
      </c>
      <c r="X19" s="65">
        <f t="shared" si="2"/>
        <v>-9255.849056603773</v>
      </c>
    </row>
    <row r="20" spans="2:24" ht="15">
      <c r="B20" s="64"/>
      <c r="C20" s="64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</row>
    <row r="21" spans="1:24" ht="15">
      <c r="A21" t="s">
        <v>104</v>
      </c>
      <c r="B21" s="64" t="s">
        <v>2</v>
      </c>
      <c r="C21" s="65"/>
      <c r="D21" s="65">
        <f>Investment!D18</f>
        <v>90.368</v>
      </c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>
        <f>Investment!X18</f>
        <v>90.368</v>
      </c>
    </row>
    <row r="22" spans="1:24" ht="15">
      <c r="A22" t="s">
        <v>105</v>
      </c>
      <c r="B22" s="64" t="s">
        <v>106</v>
      </c>
      <c r="C22" s="65"/>
      <c r="D22" s="65">
        <f>Investment!D19</f>
        <v>2305.125</v>
      </c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>
        <f>Investment!X19</f>
        <v>2305.125</v>
      </c>
    </row>
    <row r="23" spans="1:24" ht="15">
      <c r="A23" t="s">
        <v>107</v>
      </c>
      <c r="B23" s="64" t="s">
        <v>62</v>
      </c>
      <c r="C23" s="65"/>
      <c r="D23" s="188">
        <f>Investment!D20</f>
        <v>0</v>
      </c>
      <c r="E23" s="188">
        <f>Investment!E20</f>
        <v>0</v>
      </c>
      <c r="F23" s="188">
        <f>Investment!F20</f>
        <v>0</v>
      </c>
      <c r="G23" s="188">
        <f>Investment!G20</f>
        <v>0</v>
      </c>
      <c r="H23" s="188">
        <f>Investment!H20</f>
        <v>0</v>
      </c>
      <c r="I23" s="188">
        <f>Investment!I20</f>
        <v>0</v>
      </c>
      <c r="J23" s="188">
        <f>Investment!J20</f>
        <v>0</v>
      </c>
      <c r="K23" s="188">
        <f>Investment!K20</f>
        <v>0</v>
      </c>
      <c r="L23" s="188">
        <f>Investment!L20</f>
        <v>0</v>
      </c>
      <c r="M23" s="188">
        <f>Investment!M20</f>
        <v>0</v>
      </c>
      <c r="N23" s="188">
        <f>Investment!N20</f>
        <v>0</v>
      </c>
      <c r="O23" s="188">
        <f>Investment!O20</f>
        <v>0</v>
      </c>
      <c r="P23" s="188">
        <f>Investment!P20</f>
        <v>0</v>
      </c>
      <c r="Q23" s="188">
        <f>Investment!Q20</f>
        <v>0</v>
      </c>
      <c r="R23" s="188">
        <f>Investment!R20</f>
        <v>0</v>
      </c>
      <c r="S23" s="188">
        <f>Investment!S20</f>
        <v>0</v>
      </c>
      <c r="T23" s="188">
        <f>Investment!T20</f>
        <v>0</v>
      </c>
      <c r="U23" s="188">
        <f>Investment!U20</f>
        <v>0</v>
      </c>
      <c r="V23" s="188">
        <f>Investment!V20</f>
        <v>0</v>
      </c>
      <c r="W23" s="188">
        <f>Investment!W20</f>
        <v>0</v>
      </c>
      <c r="X23" s="65">
        <f>Investment!X20</f>
        <v>208.30953599999998</v>
      </c>
    </row>
    <row r="24" spans="2:20" ht="15">
      <c r="B24" s="64"/>
      <c r="C24" s="64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</row>
    <row r="25" spans="1:24" ht="15">
      <c r="A25" s="62" t="s">
        <v>51</v>
      </c>
      <c r="B25" s="64" t="s">
        <v>60</v>
      </c>
      <c r="C25" s="64"/>
      <c r="D25" s="79">
        <f aca="true" t="shared" si="3" ref="D25:X25">D12+D16+D19+D23</f>
        <v>-23251</v>
      </c>
      <c r="E25" s="79">
        <f t="shared" si="3"/>
        <v>0</v>
      </c>
      <c r="F25" s="79">
        <f t="shared" si="3"/>
        <v>-49784</v>
      </c>
      <c r="G25" s="79">
        <f t="shared" si="3"/>
        <v>1625.7944636654092</v>
      </c>
      <c r="H25" s="79">
        <f t="shared" si="3"/>
        <v>1922.3185769383645</v>
      </c>
      <c r="I25" s="79">
        <f t="shared" si="3"/>
        <v>4426.84120754717</v>
      </c>
      <c r="J25" s="79">
        <f t="shared" si="3"/>
        <v>5902.454943396226</v>
      </c>
      <c r="K25" s="79">
        <f t="shared" si="3"/>
        <v>5902.454943396226</v>
      </c>
      <c r="L25" s="79">
        <f t="shared" si="3"/>
        <v>5902.454943396226</v>
      </c>
      <c r="M25" s="79">
        <f t="shared" si="3"/>
        <v>5902.454943396226</v>
      </c>
      <c r="N25" s="79">
        <f t="shared" si="3"/>
        <v>5902.454943396226</v>
      </c>
      <c r="O25" s="79">
        <f t="shared" si="3"/>
        <v>5902.454943396226</v>
      </c>
      <c r="P25" s="79">
        <f t="shared" si="3"/>
        <v>5902.454943396226</v>
      </c>
      <c r="Q25" s="79">
        <f t="shared" si="3"/>
        <v>5902.454943396226</v>
      </c>
      <c r="R25" s="79">
        <f t="shared" si="3"/>
        <v>5902.454943396226</v>
      </c>
      <c r="S25" s="79">
        <f t="shared" si="3"/>
        <v>5902.454943396226</v>
      </c>
      <c r="T25" s="79">
        <f t="shared" si="3"/>
        <v>5902.454943396226</v>
      </c>
      <c r="U25" s="79">
        <f t="shared" si="3"/>
        <v>5902.454943396226</v>
      </c>
      <c r="V25" s="79">
        <f t="shared" si="3"/>
        <v>5902.454943396226</v>
      </c>
      <c r="W25" s="79">
        <f t="shared" si="3"/>
        <v>5902.454943396226</v>
      </c>
      <c r="X25" s="79">
        <f t="shared" si="3"/>
        <v>6110.764479396225</v>
      </c>
    </row>
    <row r="26" spans="1:24" ht="15.75" thickBot="1">
      <c r="A26" s="62" t="s">
        <v>75</v>
      </c>
      <c r="B26" s="64" t="s">
        <v>60</v>
      </c>
      <c r="C26" s="64"/>
      <c r="D26" s="79">
        <f aca="true" t="shared" si="4" ref="D26:X26">D25*D3</f>
        <v>-23251</v>
      </c>
      <c r="E26" s="79">
        <f t="shared" si="4"/>
        <v>0</v>
      </c>
      <c r="F26" s="79">
        <f t="shared" si="4"/>
        <v>-42841.73501131735</v>
      </c>
      <c r="G26" s="79">
        <f t="shared" si="4"/>
        <v>1297.8710172419765</v>
      </c>
      <c r="H26" s="79">
        <f t="shared" si="4"/>
        <v>1423.573477964025</v>
      </c>
      <c r="I26" s="79">
        <f t="shared" si="4"/>
        <v>3041.144811452475</v>
      </c>
      <c r="J26" s="79">
        <f t="shared" si="4"/>
        <v>3761.529468917104</v>
      </c>
      <c r="K26" s="79">
        <f t="shared" si="4"/>
        <v>3489.4188264848026</v>
      </c>
      <c r="L26" s="79">
        <f t="shared" si="4"/>
        <v>3236.992783717818</v>
      </c>
      <c r="M26" s="79">
        <f t="shared" si="4"/>
        <v>3002.8273482999334</v>
      </c>
      <c r="N26" s="79">
        <f t="shared" si="4"/>
        <v>2785.601540125045</v>
      </c>
      <c r="O26" s="79">
        <f t="shared" si="4"/>
        <v>2584.089939350042</v>
      </c>
      <c r="P26" s="79">
        <f t="shared" si="4"/>
        <v>2397.1557735247206</v>
      </c>
      <c r="Q26" s="79">
        <f t="shared" si="4"/>
        <v>2223.744504801656</v>
      </c>
      <c r="R26" s="79">
        <f t="shared" si="4"/>
        <v>2062.877881050047</v>
      </c>
      <c r="S26" s="79">
        <f t="shared" si="4"/>
        <v>1913.6484173145118</v>
      </c>
      <c r="T26" s="79">
        <f t="shared" si="4"/>
        <v>1775.2142764875052</v>
      </c>
      <c r="U26" s="79">
        <f t="shared" si="4"/>
        <v>1646.7945203160689</v>
      </c>
      <c r="V26" s="79">
        <f t="shared" si="4"/>
        <v>1527.664703952779</v>
      </c>
      <c r="W26" s="79">
        <f t="shared" si="4"/>
        <v>1417.1527891987482</v>
      </c>
      <c r="X26" s="79">
        <f t="shared" si="4"/>
        <v>1361.0314856884531</v>
      </c>
    </row>
    <row r="27" spans="1:24" ht="15.75" thickBot="1">
      <c r="A27" s="68" t="s">
        <v>53</v>
      </c>
      <c r="B27" s="69" t="s">
        <v>60</v>
      </c>
      <c r="C27" s="136"/>
      <c r="D27" s="70">
        <f>SUM(D26:X26)</f>
        <v>-25144.401445429634</v>
      </c>
      <c r="E27" s="86"/>
      <c r="F27" s="71"/>
      <c r="G27" s="71"/>
      <c r="H27" s="71"/>
      <c r="I27" s="72"/>
      <c r="J27" s="72"/>
      <c r="K27" s="72"/>
      <c r="L27" s="72"/>
      <c r="M27" s="72"/>
      <c r="N27" s="73"/>
      <c r="O27" s="73"/>
      <c r="P27" s="73"/>
      <c r="Q27" s="73"/>
      <c r="R27" s="73"/>
      <c r="S27" s="73"/>
      <c r="T27" s="73"/>
      <c r="U27" s="86"/>
      <c r="V27" s="86"/>
      <c r="W27" s="86"/>
      <c r="X27" s="86"/>
    </row>
    <row r="28" spans="1:20" ht="15.75" thickBot="1">
      <c r="A28" s="158"/>
      <c r="B28" s="136"/>
      <c r="C28" s="136"/>
      <c r="D28" s="137"/>
      <c r="G28" s="74"/>
      <c r="H28" s="74"/>
      <c r="I28" s="67"/>
      <c r="J28" s="67"/>
      <c r="K28" s="67"/>
      <c r="L28" s="67"/>
      <c r="M28" s="67"/>
      <c r="N28" s="75"/>
      <c r="O28" s="75"/>
      <c r="P28" s="75"/>
      <c r="Q28" s="75"/>
      <c r="R28" s="75"/>
      <c r="S28" s="75"/>
      <c r="T28" s="75"/>
    </row>
    <row r="29" spans="1:20" ht="15">
      <c r="A29" s="43"/>
      <c r="B29" s="64"/>
      <c r="C29" s="64"/>
      <c r="E29" s="66"/>
      <c r="F29" s="66"/>
      <c r="G29" s="93">
        <v>2008</v>
      </c>
      <c r="H29" s="94">
        <v>2009</v>
      </c>
      <c r="I29" s="94">
        <v>2010</v>
      </c>
      <c r="J29" s="94">
        <v>2011</v>
      </c>
      <c r="K29" s="95">
        <v>2012</v>
      </c>
      <c r="L29" s="93">
        <v>2013</v>
      </c>
      <c r="M29" s="94">
        <v>2014</v>
      </c>
      <c r="N29" s="94">
        <v>2015</v>
      </c>
      <c r="O29" s="94">
        <v>2016</v>
      </c>
      <c r="P29" s="94">
        <v>2017</v>
      </c>
      <c r="Q29" s="94">
        <v>2018</v>
      </c>
      <c r="R29" s="94">
        <v>2019</v>
      </c>
      <c r="S29" s="95">
        <v>2020</v>
      </c>
      <c r="T29" s="65"/>
    </row>
    <row r="30" spans="1:20" ht="15">
      <c r="A30" s="62" t="s">
        <v>54</v>
      </c>
      <c r="B30" s="64" t="s">
        <v>2</v>
      </c>
      <c r="C30" s="64"/>
      <c r="E30" s="66"/>
      <c r="G30" s="96">
        <f>Model!L20</f>
        <v>36016</v>
      </c>
      <c r="H30" s="80">
        <f>Model!M20</f>
        <v>42567</v>
      </c>
      <c r="I30" s="80">
        <f>Model!N20</f>
        <v>49038</v>
      </c>
      <c r="J30" s="80">
        <f>Model!O20</f>
        <v>64815</v>
      </c>
      <c r="K30" s="97">
        <f>Model!P20</f>
        <v>64815</v>
      </c>
      <c r="L30" s="96">
        <f>Investment!L27</f>
        <v>64815</v>
      </c>
      <c r="M30" s="80">
        <f>Investment!M27</f>
        <v>64815</v>
      </c>
      <c r="N30" s="80">
        <f>Investment!N27</f>
        <v>64815</v>
      </c>
      <c r="O30" s="80">
        <f>Investment!O27</f>
        <v>64815</v>
      </c>
      <c r="P30" s="80">
        <f>Investment!P27</f>
        <v>64815</v>
      </c>
      <c r="Q30" s="80">
        <f>Investment!Q27</f>
        <v>64815</v>
      </c>
      <c r="R30" s="80">
        <f>Investment!R27</f>
        <v>64815</v>
      </c>
      <c r="S30" s="97">
        <f>Investment!S27</f>
        <v>64815</v>
      </c>
      <c r="T30" s="65"/>
    </row>
    <row r="31" spans="1:20" ht="15">
      <c r="A31" s="62" t="s">
        <v>55</v>
      </c>
      <c r="B31" s="64" t="s">
        <v>56</v>
      </c>
      <c r="C31" s="64"/>
      <c r="E31" s="66"/>
      <c r="G31" s="96">
        <f>Investment!G28</f>
        <v>12</v>
      </c>
      <c r="H31" s="80">
        <f>Investment!H28</f>
        <v>12</v>
      </c>
      <c r="I31" s="80">
        <f>Investment!I28</f>
        <v>12</v>
      </c>
      <c r="J31" s="80">
        <f>Investment!J28</f>
        <v>12</v>
      </c>
      <c r="K31" s="97">
        <f>Investment!K28</f>
        <v>12</v>
      </c>
      <c r="L31" s="96">
        <f>Investment!L28</f>
        <v>12</v>
      </c>
      <c r="M31" s="80">
        <f>Investment!M28</f>
        <v>12</v>
      </c>
      <c r="N31" s="80">
        <f>Investment!N28</f>
        <v>12</v>
      </c>
      <c r="O31" s="80">
        <f>Investment!O28</f>
        <v>12</v>
      </c>
      <c r="P31" s="80">
        <f>Investment!P28</f>
        <v>12</v>
      </c>
      <c r="Q31" s="80">
        <f>Investment!Q28</f>
        <v>12</v>
      </c>
      <c r="R31" s="80">
        <f>Investment!R28</f>
        <v>12</v>
      </c>
      <c r="S31" s="97">
        <f>Investment!S28</f>
        <v>12</v>
      </c>
      <c r="T31" s="65"/>
    </row>
    <row r="32" spans="1:20" ht="15.75" thickBot="1">
      <c r="A32" s="62" t="s">
        <v>57</v>
      </c>
      <c r="B32" s="64" t="s">
        <v>50</v>
      </c>
      <c r="C32" s="64"/>
      <c r="E32" s="66"/>
      <c r="G32" s="98">
        <f>G30*G31*$B$5/1000</f>
        <v>2951.87136</v>
      </c>
      <c r="H32" s="99">
        <f>H30*H31*$B$5/1000</f>
        <v>3488.79132</v>
      </c>
      <c r="I32" s="99">
        <f>I30*I31*$B$5/1000</f>
        <v>4019.15448</v>
      </c>
      <c r="J32" s="99">
        <f>J30*J31*$B$5/1000</f>
        <v>5312.2374</v>
      </c>
      <c r="K32" s="100">
        <f>K30*K31*$B$5/1000</f>
        <v>5312.2374</v>
      </c>
      <c r="L32" s="98">
        <f aca="true" t="shared" si="5" ref="L32:S32">L30*L31*$B$5/1000</f>
        <v>5312.2374</v>
      </c>
      <c r="M32" s="99">
        <f t="shared" si="5"/>
        <v>5312.2374</v>
      </c>
      <c r="N32" s="99">
        <f t="shared" si="5"/>
        <v>5312.2374</v>
      </c>
      <c r="O32" s="99">
        <f t="shared" si="5"/>
        <v>5312.2374</v>
      </c>
      <c r="P32" s="99">
        <f t="shared" si="5"/>
        <v>5312.2374</v>
      </c>
      <c r="Q32" s="99">
        <f t="shared" si="5"/>
        <v>5312.2374</v>
      </c>
      <c r="R32" s="99">
        <f t="shared" si="5"/>
        <v>5312.2374</v>
      </c>
      <c r="S32" s="100">
        <f t="shared" si="5"/>
        <v>5312.2374</v>
      </c>
      <c r="T32" s="65"/>
    </row>
    <row r="33" spans="2:20" ht="15">
      <c r="B33" s="64"/>
      <c r="C33" s="64"/>
      <c r="E33" s="65"/>
      <c r="F33" s="65"/>
      <c r="G33" s="65"/>
      <c r="H33" s="65"/>
      <c r="I33" s="65"/>
      <c r="J33" s="65"/>
      <c r="P33" s="65"/>
      <c r="Q33" s="65"/>
      <c r="R33" s="65"/>
      <c r="S33" s="65"/>
      <c r="T33" s="65"/>
    </row>
    <row r="34" spans="1:24" ht="15">
      <c r="A34" t="s">
        <v>58</v>
      </c>
      <c r="B34" s="64" t="s">
        <v>50</v>
      </c>
      <c r="C34" s="64"/>
      <c r="D34" s="65">
        <f aca="true" t="shared" si="6" ref="D34:X34">D12+D16+D19+D23+D32</f>
        <v>-23251</v>
      </c>
      <c r="E34" s="65">
        <f t="shared" si="6"/>
        <v>0</v>
      </c>
      <c r="F34" s="65">
        <f t="shared" si="6"/>
        <v>-49784</v>
      </c>
      <c r="G34" s="65">
        <f t="shared" si="6"/>
        <v>4577.665823665409</v>
      </c>
      <c r="H34" s="65">
        <f t="shared" si="6"/>
        <v>5411.109896938364</v>
      </c>
      <c r="I34" s="65">
        <f t="shared" si="6"/>
        <v>8445.995687547169</v>
      </c>
      <c r="J34" s="65">
        <f t="shared" si="6"/>
        <v>11214.692343396226</v>
      </c>
      <c r="K34" s="65">
        <f t="shared" si="6"/>
        <v>11214.692343396226</v>
      </c>
      <c r="L34" s="65">
        <f t="shared" si="6"/>
        <v>11214.692343396226</v>
      </c>
      <c r="M34" s="65">
        <f t="shared" si="6"/>
        <v>11214.692343396226</v>
      </c>
      <c r="N34" s="65">
        <f t="shared" si="6"/>
        <v>11214.692343396226</v>
      </c>
      <c r="O34" s="65">
        <f t="shared" si="6"/>
        <v>11214.692343396226</v>
      </c>
      <c r="P34" s="65">
        <f t="shared" si="6"/>
        <v>11214.692343396226</v>
      </c>
      <c r="Q34" s="65">
        <f t="shared" si="6"/>
        <v>11214.692343396226</v>
      </c>
      <c r="R34" s="65">
        <f t="shared" si="6"/>
        <v>11214.692343396226</v>
      </c>
      <c r="S34" s="65">
        <f t="shared" si="6"/>
        <v>11214.692343396226</v>
      </c>
      <c r="T34" s="65">
        <f t="shared" si="6"/>
        <v>5902.454943396226</v>
      </c>
      <c r="U34" s="65">
        <f t="shared" si="6"/>
        <v>5902.454943396226</v>
      </c>
      <c r="V34" s="65">
        <f t="shared" si="6"/>
        <v>5902.454943396226</v>
      </c>
      <c r="W34" s="65">
        <f t="shared" si="6"/>
        <v>5902.454943396226</v>
      </c>
      <c r="X34" s="65">
        <f t="shared" si="6"/>
        <v>6110.764479396225</v>
      </c>
    </row>
    <row r="35" spans="1:24" ht="15.75" thickBot="1">
      <c r="A35" s="62" t="s">
        <v>75</v>
      </c>
      <c r="B35" s="64" t="s">
        <v>50</v>
      </c>
      <c r="C35" s="64"/>
      <c r="D35" s="65">
        <f aca="true" t="shared" si="7" ref="D35:X35">D34*D3</f>
        <v>-23251</v>
      </c>
      <c r="E35" s="65">
        <f t="shared" si="7"/>
        <v>0</v>
      </c>
      <c r="F35" s="65">
        <f t="shared" si="7"/>
        <v>-42841.73501131735</v>
      </c>
      <c r="G35" s="65">
        <f t="shared" si="7"/>
        <v>3654.348647343633</v>
      </c>
      <c r="H35" s="65">
        <f t="shared" si="7"/>
        <v>4007.198717237954</v>
      </c>
      <c r="I35" s="65">
        <f t="shared" si="7"/>
        <v>5802.217599073518</v>
      </c>
      <c r="J35" s="65">
        <f t="shared" si="7"/>
        <v>7146.923803581184</v>
      </c>
      <c r="K35" s="65">
        <f t="shared" si="7"/>
        <v>6629.912294385949</v>
      </c>
      <c r="L35" s="65">
        <f t="shared" si="7"/>
        <v>6150.301617770798</v>
      </c>
      <c r="M35" s="65">
        <f t="shared" si="7"/>
        <v>5705.386181591634</v>
      </c>
      <c r="N35" s="65">
        <f t="shared" si="7"/>
        <v>5292.656117391389</v>
      </c>
      <c r="O35" s="65">
        <f t="shared" si="7"/>
        <v>4909.783121665204</v>
      </c>
      <c r="P35" s="65">
        <f t="shared" si="7"/>
        <v>4554.607321374531</v>
      </c>
      <c r="Q35" s="65">
        <f t="shared" si="7"/>
        <v>4225.1250896155225</v>
      </c>
      <c r="R35" s="65">
        <f t="shared" si="7"/>
        <v>3919.4777427071663</v>
      </c>
      <c r="S35" s="65">
        <f t="shared" si="7"/>
        <v>3635.9410549368604</v>
      </c>
      <c r="T35" s="65">
        <f t="shared" si="7"/>
        <v>1775.2142764875052</v>
      </c>
      <c r="U35" s="65">
        <f t="shared" si="7"/>
        <v>1646.7945203160689</v>
      </c>
      <c r="V35" s="65">
        <f t="shared" si="7"/>
        <v>1527.664703952779</v>
      </c>
      <c r="W35" s="65">
        <f t="shared" si="7"/>
        <v>1417.1527891987482</v>
      </c>
      <c r="X35" s="65">
        <f t="shared" si="7"/>
        <v>1361.0314856884531</v>
      </c>
    </row>
    <row r="36" spans="1:20" ht="15.75" thickBot="1">
      <c r="A36" s="68" t="s">
        <v>53</v>
      </c>
      <c r="B36" s="69" t="s">
        <v>50</v>
      </c>
      <c r="C36" s="136"/>
      <c r="D36" s="76">
        <f>SUM(D35:X35)</f>
        <v>7269.002073001545</v>
      </c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</row>
    <row r="37" ht="15">
      <c r="C37" s="43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DenisR</dc:creator>
  <cp:keywords/>
  <dc:description/>
  <cp:lastModifiedBy>Denisr</cp:lastModifiedBy>
  <dcterms:created xsi:type="dcterms:W3CDTF">2009-09-30T11:56:26Z</dcterms:created>
  <dcterms:modified xsi:type="dcterms:W3CDTF">2010-06-08T12:58:58Z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