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01" windowWidth="9255" windowHeight="7170" tabRatio="758" activeTab="1"/>
  </bookViews>
  <sheets>
    <sheet name="budget" sheetId="1" r:id="rId1"/>
    <sheet name="cash flow" sheetId="2" r:id="rId2"/>
    <sheet name="investment shedule" sheetId="3" r:id="rId3"/>
    <sheet name="baseline" sheetId="4" r:id="rId4"/>
    <sheet name="sensitivity " sheetId="5" r:id="rId5"/>
  </sheets>
  <externalReferences>
    <externalReference r:id="rId8"/>
    <externalReference r:id="rId9"/>
  </externalReferences>
  <definedNames>
    <definedName name="_xlnm.Print_Area" localSheetId="0">'budget'!$A$1:$E$58</definedName>
    <definedName name="_xlnm.Print_Area" localSheetId="2">'investment shedule'!$A$1:$R$44</definedName>
  </definedNames>
  <calcPr fullCalcOnLoad="1"/>
</workbook>
</file>

<file path=xl/comments1.xml><?xml version="1.0" encoding="utf-8"?>
<comments xmlns="http://schemas.openxmlformats.org/spreadsheetml/2006/main">
  <authors>
    <author>Vaidas</author>
  </authors>
  <commentList>
    <comment ref="B14" authorId="0">
      <text>
        <r>
          <rPr>
            <b/>
            <sz val="8"/>
            <rFont val="Tahoma"/>
            <family val="0"/>
          </rPr>
          <t>Vaidas:</t>
        </r>
        <r>
          <rPr>
            <sz val="8"/>
            <rFont val="Tahoma"/>
            <family val="0"/>
          </rPr>
          <t xml:space="preserve">
figure suplied by the project developer</t>
        </r>
      </text>
    </comment>
  </commentList>
</comments>
</file>

<file path=xl/comments2.xml><?xml version="1.0" encoding="utf-8"?>
<comments xmlns="http://schemas.openxmlformats.org/spreadsheetml/2006/main">
  <authors>
    <author>E</author>
  </authors>
  <commentList>
    <comment ref="B2" authorId="0">
      <text>
        <r>
          <rPr>
            <b/>
            <sz val="8"/>
            <rFont val="Tahoma"/>
            <family val="0"/>
          </rPr>
          <t>E:
loses in transformer and power line - 2.3%
technical availability 96%</t>
        </r>
      </text>
    </comment>
  </commentList>
</comments>
</file>

<file path=xl/comments3.xml><?xml version="1.0" encoding="utf-8"?>
<comments xmlns="http://schemas.openxmlformats.org/spreadsheetml/2006/main">
  <authors>
    <author>Karolis</author>
  </authors>
  <commentList>
    <comment ref="A35" authorId="0">
      <text>
        <r>
          <rPr>
            <b/>
            <sz val="8"/>
            <rFont val="Tahoma"/>
            <family val="0"/>
          </rPr>
          <t xml:space="preserve">irte: EUR 55 annually (in January 2007 will be paid for half of 2006 year)
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irte:
annual payment of EUR 106. However, still to be confirmed by insurance company. </t>
        </r>
      </text>
    </comment>
  </commentList>
</comments>
</file>

<file path=xl/sharedStrings.xml><?xml version="1.0" encoding="utf-8"?>
<sst xmlns="http://schemas.openxmlformats.org/spreadsheetml/2006/main" count="152" uniqueCount="127">
  <si>
    <t>Wind energy converters</t>
  </si>
  <si>
    <t>Transportation</t>
  </si>
  <si>
    <t>Crane hiring costs</t>
  </si>
  <si>
    <t>Road construction</t>
  </si>
  <si>
    <t>Foundation construction</t>
  </si>
  <si>
    <t>Cables</t>
  </si>
  <si>
    <t>Transformer station</t>
  </si>
  <si>
    <t>Working capital</t>
  </si>
  <si>
    <t>Business Plan, fees</t>
  </si>
  <si>
    <t>Interest during construction</t>
  </si>
  <si>
    <t>Up fron fee</t>
  </si>
  <si>
    <t>Business plan</t>
  </si>
  <si>
    <t>Budget</t>
  </si>
  <si>
    <t>'000 EUR</t>
  </si>
  <si>
    <t>October</t>
  </si>
  <si>
    <t>November</t>
  </si>
  <si>
    <t>December</t>
  </si>
  <si>
    <t>Year 2005</t>
  </si>
  <si>
    <t>Year 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</si>
  <si>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</si>
  <si>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</si>
  <si>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</si>
  <si>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</si>
  <si>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</si>
  <si>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</si>
  <si>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</si>
  <si>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</si>
  <si>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</si>
  <si>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</si>
  <si>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 xml:space="preserve">   Repayment of outsanding VS loans</t>
  </si>
  <si>
    <t xml:space="preserve">   Glimstedt (legal services)</t>
  </si>
  <si>
    <t xml:space="preserve">   Hermis Finansai (financial advisers)</t>
  </si>
  <si>
    <t xml:space="preserve">   SPP lawyers (Due diligence)</t>
  </si>
  <si>
    <t xml:space="preserve">   Oberhaus (estimators required by bank)</t>
  </si>
  <si>
    <t>Total</t>
  </si>
  <si>
    <t>WECs</t>
  </si>
  <si>
    <t xml:space="preserve">   Turbines</t>
  </si>
  <si>
    <t xml:space="preserve">   Transportation</t>
  </si>
  <si>
    <t>Roads</t>
  </si>
  <si>
    <t>Foundation</t>
  </si>
  <si>
    <t xml:space="preserve">    Geostatyba (piling works)</t>
  </si>
  <si>
    <t xml:space="preserve">    Enercon (reinforcement)</t>
  </si>
  <si>
    <t xml:space="preserve">    Perdanga (concreting)</t>
  </si>
  <si>
    <t xml:space="preserve">    Payable to Enercon</t>
  </si>
  <si>
    <t xml:space="preserve">    Payable to Lithuanian energy (incl. tender fee)</t>
  </si>
  <si>
    <t xml:space="preserve">     Insurance</t>
  </si>
  <si>
    <t xml:space="preserve">     Security</t>
  </si>
  <si>
    <t xml:space="preserve">     Operating costs transformer station</t>
  </si>
  <si>
    <t xml:space="preserve">        Wages</t>
  </si>
  <si>
    <t xml:space="preserve">        Office rent</t>
  </si>
  <si>
    <t xml:space="preserve">        Other</t>
  </si>
  <si>
    <t xml:space="preserve">     Administration</t>
  </si>
  <si>
    <t xml:space="preserve">     Audit</t>
  </si>
  <si>
    <t>INVESTMENT COSTS</t>
  </si>
  <si>
    <t>Year 2007</t>
  </si>
  <si>
    <t xml:space="preserve">     Land lease (EUR/year 55)</t>
  </si>
  <si>
    <t xml:space="preserve">Business Plan: </t>
  </si>
  <si>
    <t>WECs:</t>
  </si>
  <si>
    <t>Transportation:</t>
  </si>
  <si>
    <t>Crane hiring:</t>
  </si>
  <si>
    <t>Road construction:</t>
  </si>
  <si>
    <t>Foundation costruction:</t>
  </si>
  <si>
    <t xml:space="preserve">Cables: </t>
  </si>
  <si>
    <t>Transformer station:</t>
  </si>
  <si>
    <t>Working capital:</t>
  </si>
  <si>
    <t>Interest during construction:</t>
  </si>
  <si>
    <t xml:space="preserve">Up fron fee: </t>
  </si>
  <si>
    <t>INCOME</t>
  </si>
  <si>
    <t>Sold kWh</t>
  </si>
  <si>
    <t>Total operating expenses</t>
  </si>
  <si>
    <t>FINANCIAL EXPENSES</t>
  </si>
  <si>
    <t>OPERATING EXPENSES</t>
  </si>
  <si>
    <t>Interest payments</t>
  </si>
  <si>
    <t>Total financial expenses</t>
  </si>
  <si>
    <t>EBITDA (with CO2 emissions)</t>
  </si>
  <si>
    <t>EBITDA (without CO2 emissions)</t>
  </si>
  <si>
    <t>Cash flow to shareholders (with CO2)</t>
  </si>
  <si>
    <t>Cash flow to shareholders (without CO2)</t>
  </si>
  <si>
    <t>Depreciation</t>
  </si>
  <si>
    <t>Taxes  (with CO2 emissions)</t>
  </si>
  <si>
    <t>Taxes  (without CO2 emissions)</t>
  </si>
  <si>
    <t xml:space="preserve">ERU price, EUR </t>
  </si>
  <si>
    <t>Baseline, t CO2/MWh</t>
  </si>
  <si>
    <t>CO2 reductions, 2008-2012 tCO2</t>
  </si>
  <si>
    <t>CO2 reductions, year tCO2</t>
  </si>
  <si>
    <t>total CO2 reductions, lifetime tCO2</t>
  </si>
  <si>
    <t>revenues in 2005-2012, EUR</t>
  </si>
  <si>
    <t>MWh price,  EUR</t>
  </si>
  <si>
    <t>Revenue from ERUs, EUR</t>
  </si>
  <si>
    <t>Sales Revenue, EUR</t>
  </si>
  <si>
    <t>Principal (leasing payments)</t>
  </si>
  <si>
    <t>Total revenues, EUR</t>
  </si>
  <si>
    <t>Profit before tax,  including ERUs</t>
  </si>
  <si>
    <t>Profit  after tax, including ERUs</t>
  </si>
  <si>
    <t>Profit before tax, without ERUs</t>
  </si>
  <si>
    <t>Profit after  tax, without ERUs</t>
  </si>
  <si>
    <t>Average annual profit  before tax, including ERUs</t>
  </si>
  <si>
    <t xml:space="preserve">Average annual profit before tax, without ERUs </t>
  </si>
  <si>
    <r>
      <t xml:space="preserve">IRR </t>
    </r>
    <r>
      <rPr>
        <b/>
        <sz val="8"/>
        <rFont val="Arial"/>
        <family val="2"/>
      </rPr>
      <t>after tax</t>
    </r>
    <r>
      <rPr>
        <sz val="8"/>
        <rFont val="Arial"/>
        <family val="2"/>
      </rPr>
      <t xml:space="preserve">,  including ERUs </t>
    </r>
  </si>
  <si>
    <r>
      <t xml:space="preserve">IRR  </t>
    </r>
    <r>
      <rPr>
        <b/>
        <sz val="8"/>
        <rFont val="Arial"/>
        <family val="2"/>
      </rPr>
      <t>after tax</t>
    </r>
    <r>
      <rPr>
        <sz val="8"/>
        <rFont val="Arial"/>
        <family val="2"/>
      </rPr>
      <t>, without ERUs</t>
    </r>
  </si>
  <si>
    <t>IRR (before tax), including ERUs</t>
  </si>
  <si>
    <t>Payback time (before tax), including ERUs</t>
  </si>
  <si>
    <t>IRR (before tax), without ERUs</t>
  </si>
  <si>
    <t xml:space="preserve">Payback time (before tax), without ERUs </t>
  </si>
  <si>
    <t xml:space="preserve">Long term loan </t>
  </si>
  <si>
    <t>Tangible assets</t>
  </si>
  <si>
    <t>IRR calculation (20 years):</t>
  </si>
  <si>
    <t xml:space="preserve">Forecast of power production in Lietuvos elektrine by COWI 2002 </t>
  </si>
  <si>
    <t>Baseline scenario</t>
  </si>
  <si>
    <t>Lietuvos elektrine</t>
  </si>
  <si>
    <t>Rudaiciai WPP</t>
  </si>
  <si>
    <t>MWh</t>
  </si>
  <si>
    <t>tCO2</t>
  </si>
  <si>
    <t>Project scenario</t>
  </si>
  <si>
    <t>CO2 reduction, tCO2</t>
  </si>
  <si>
    <t>Benaiciai WPP</t>
  </si>
  <si>
    <t>Forecasted production, MWh</t>
  </si>
  <si>
    <t>Forecasted ERU price, EUR</t>
  </si>
  <si>
    <t>Production Margin</t>
  </si>
  <si>
    <t>Production, MWh</t>
  </si>
  <si>
    <t>IRR (incl ERUs)</t>
  </si>
  <si>
    <t>Payback time (incl ERUs)</t>
  </si>
  <si>
    <t>Margin</t>
  </si>
  <si>
    <t>ERU price, EUR</t>
  </si>
  <si>
    <t>Power production forecast, KWh/year</t>
  </si>
  <si>
    <t xml:space="preserve">Forecast reduction </t>
  </si>
  <si>
    <t>Reduced power production forecast, KWh/year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</si>
</sst>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-427]yyyy\ &quot;m.&quot;\ mmmm\ d\ &quot;d.&quot;"/>
    <numFmt numFmtId="189" formatCode="_-* #,##0.0\ _L_t_-;\-* #,##0.0\ _L_t_-;_-* &quot;-&quot;?\ _L_t_-;_-@_-"/>
    <numFmt numFmtId="190" formatCode="_-* #,##0.00\ _L_t_-;\-* #,##0.00\ _L_t_-;_-* &quot;-&quot;?\ _L_t_-;_-@_-"/>
    <numFmt numFmtId="191" formatCode="#,##0.0_ ;\-#,##0.0\ "/>
    <numFmt numFmtId="192" formatCode="_-* #,##0\ _L_t_-;\-* #,##0\ _L_t_-;_-* &quot;-&quot;?\ _L_t_-;_-@_-"/>
    <numFmt numFmtId="193" formatCode="0.0%"/>
    <numFmt numFmtId="194" formatCode="0.00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 quotePrefix="1">
      <alignment horizontal="right"/>
    </xf>
    <xf numFmtId="3" fontId="1" fillId="0" borderId="3" xfId="0" applyNumberFormat="1" applyFont="1" applyBorder="1" applyAlignment="1">
      <alignment/>
    </xf>
    <xf numFmtId="180" fontId="4" fillId="2" borderId="4" xfId="0" applyNumberFormat="1" applyFont="1" applyFill="1" applyBorder="1" applyAlignment="1">
      <alignment horizontal="left"/>
    </xf>
    <xf numFmtId="180" fontId="4" fillId="0" borderId="4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1" fillId="0" borderId="3" xfId="0" applyNumberFormat="1" applyFont="1" applyFill="1" applyBorder="1" applyAlignment="1">
      <alignment/>
    </xf>
    <xf numFmtId="180" fontId="4" fillId="0" borderId="5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9" fillId="0" borderId="7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9" fontId="5" fillId="0" borderId="7" xfId="0" applyNumberFormat="1" applyFont="1" applyBorder="1" applyAlignment="1">
      <alignment horizontal="right"/>
    </xf>
    <xf numFmtId="189" fontId="5" fillId="0" borderId="0" xfId="0" applyNumberFormat="1" applyFont="1" applyAlignment="1">
      <alignment/>
    </xf>
    <xf numFmtId="189" fontId="5" fillId="0" borderId="7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4" fillId="0" borderId="7" xfId="0" applyNumberFormat="1" applyFont="1" applyBorder="1" applyAlignment="1">
      <alignment/>
    </xf>
    <xf numFmtId="189" fontId="5" fillId="0" borderId="0" xfId="0" applyNumberFormat="1" applyFont="1" applyAlignment="1">
      <alignment horizontal="right"/>
    </xf>
    <xf numFmtId="189" fontId="9" fillId="0" borderId="0" xfId="0" applyNumberFormat="1" applyFont="1" applyAlignment="1">
      <alignment horizontal="right"/>
    </xf>
    <xf numFmtId="189" fontId="1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1" fillId="3" borderId="0" xfId="0" applyNumberFormat="1" applyFont="1" applyFill="1" applyAlignment="1">
      <alignment/>
    </xf>
    <xf numFmtId="189" fontId="1" fillId="0" borderId="0" xfId="0" applyNumberFormat="1" applyFont="1" applyAlignment="1">
      <alignment horizontal="right"/>
    </xf>
    <xf numFmtId="189" fontId="1" fillId="0" borderId="0" xfId="0" applyNumberFormat="1" applyFont="1" applyAlignment="1">
      <alignment/>
    </xf>
    <xf numFmtId="189" fontId="1" fillId="0" borderId="0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5" fillId="0" borderId="8" xfId="0" applyNumberFormat="1" applyFont="1" applyBorder="1" applyAlignment="1">
      <alignment/>
    </xf>
    <xf numFmtId="189" fontId="4" fillId="0" borderId="8" xfId="0" applyNumberFormat="1" applyFont="1" applyBorder="1" applyAlignment="1">
      <alignment/>
    </xf>
    <xf numFmtId="189" fontId="5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19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14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wrapText="1"/>
    </xf>
    <xf numFmtId="9" fontId="1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10" fontId="0" fillId="0" borderId="10" xfId="0" applyNumberFormat="1" applyBorder="1" applyAlignment="1">
      <alignment wrapText="1"/>
    </xf>
    <xf numFmtId="10" fontId="14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15"/>
          <c:w val="0.845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'[1]Sheet1'!$A$13</c:f>
              <c:strCache>
                <c:ptCount val="1"/>
                <c:pt idx="0">
                  <c:v>IRR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'[1]Sheet1'!$C$12:$I$12</c:f>
              <c:numCache>
                <c:ptCount val="7"/>
                <c:pt idx="0">
                  <c:v>4.2</c:v>
                </c:pt>
                <c:pt idx="1">
                  <c:v>4.8</c:v>
                </c:pt>
                <c:pt idx="2">
                  <c:v>5.4</c:v>
                </c:pt>
                <c:pt idx="3">
                  <c:v>6</c:v>
                </c:pt>
                <c:pt idx="4">
                  <c:v>6.6</c:v>
                </c:pt>
                <c:pt idx="5">
                  <c:v>7.2</c:v>
                </c:pt>
                <c:pt idx="6">
                  <c:v>7.8</c:v>
                </c:pt>
              </c:numCache>
            </c:numRef>
          </c:cat>
          <c:val>
            <c:numRef>
              <c:f>'[1]Sheet1'!$B$13:$I$13</c:f>
              <c:numCache>
                <c:ptCount val="8"/>
                <c:pt idx="1">
                  <c:v>0.09770450859478154</c:v>
                </c:pt>
                <c:pt idx="2">
                  <c:v>0.09812077249685773</c:v>
                </c:pt>
                <c:pt idx="3">
                  <c:v>0.09853781267743893</c:v>
                </c:pt>
                <c:pt idx="4">
                  <c:v>0.0989556284848993</c:v>
                </c:pt>
                <c:pt idx="5">
                  <c:v>0.09937421924461814</c:v>
                </c:pt>
                <c:pt idx="6">
                  <c:v>0.09979358425891906</c:v>
                </c:pt>
                <c:pt idx="7">
                  <c:v>0.10021372280701256</c:v>
                </c:pt>
              </c:numCache>
            </c:numRef>
          </c:val>
          <c:smooth val="0"/>
        </c:ser>
        <c:marker val="1"/>
        <c:axId val="12461116"/>
        <c:axId val="45041181"/>
      </c:lineChart>
      <c:lineChart>
        <c:grouping val="standard"/>
        <c:varyColors val="0"/>
        <c:ser>
          <c:idx val="0"/>
          <c:order val="1"/>
          <c:tx>
            <c:strRef>
              <c:f>'[1]Sheet1'!$A$14</c:f>
              <c:strCache>
                <c:ptCount val="1"/>
                <c:pt idx="0">
                  <c:v>Payback time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'[1]Sheet1'!$B$14:$I$14</c:f>
              <c:numCache>
                <c:ptCount val="8"/>
                <c:pt idx="1">
                  <c:v>9.032673971834091</c:v>
                </c:pt>
                <c:pt idx="2">
                  <c:v>9.016865718397955</c:v>
                </c:pt>
                <c:pt idx="3">
                  <c:v>9.001112700938524</c:v>
                </c:pt>
                <c:pt idx="4">
                  <c:v>8.985414630458777</c:v>
                </c:pt>
                <c:pt idx="5">
                  <c:v>8.969771219974238</c:v>
                </c:pt>
                <c:pt idx="6">
                  <c:v>8.954182184495497</c:v>
                </c:pt>
                <c:pt idx="7">
                  <c:v>8.938647241010901</c:v>
                </c:pt>
              </c:numCache>
            </c:numRef>
          </c:val>
          <c:smooth val="0"/>
        </c:ser>
        <c:marker val="1"/>
        <c:axId val="2717446"/>
        <c:axId val="24457015"/>
      </c:lineChart>
      <c:catAx>
        <c:axId val="1246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ERU price,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41181"/>
        <c:crosses val="autoZero"/>
        <c:auto val="0"/>
        <c:lblOffset val="100"/>
        <c:tickLblSkip val="1"/>
        <c:noMultiLvlLbl val="0"/>
      </c:catAx>
      <c:valAx>
        <c:axId val="4504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crossAx val="12461116"/>
        <c:crossesAt val="1"/>
        <c:crossBetween val="between"/>
        <c:dispUnits/>
      </c:valAx>
      <c:catAx>
        <c:axId val="2717446"/>
        <c:scaling>
          <c:orientation val="minMax"/>
        </c:scaling>
        <c:axPos val="b"/>
        <c:delete val="1"/>
        <c:majorTickMark val="in"/>
        <c:minorTickMark val="none"/>
        <c:tickLblPos val="nextTo"/>
        <c:crossAx val="24457015"/>
        <c:crosses val="autoZero"/>
        <c:auto val="0"/>
        <c:lblOffset val="100"/>
        <c:tickLblSkip val="1"/>
        <c:noMultiLvlLbl val="0"/>
      </c:catAx>
      <c:valAx>
        <c:axId val="2445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74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8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9</xdr:col>
      <xdr:colOff>257175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1562100" y="6638925"/>
        <a:ext cx="6067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idotas\Local%20Settings\Temporary%20Internet%20Files\OLK418\Copy%20of%20Rudaiciai_sensitivity_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S\JI%20projects\Veju%20spektras\VS%20Finansai\Rudaiciai_budget_20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4.2</v>
          </cell>
          <cell r="D12">
            <v>4.8</v>
          </cell>
          <cell r="E12">
            <v>5.4</v>
          </cell>
          <cell r="F12">
            <v>6</v>
          </cell>
          <cell r="G12">
            <v>6.6</v>
          </cell>
          <cell r="H12">
            <v>7.2</v>
          </cell>
          <cell r="I12">
            <v>7.8</v>
          </cell>
        </row>
        <row r="13">
          <cell r="A13" t="str">
            <v>IRR (incl ERUs)</v>
          </cell>
          <cell r="C13">
            <v>0.09770450859478154</v>
          </cell>
          <cell r="D13">
            <v>0.09812077249685773</v>
          </cell>
          <cell r="E13">
            <v>0.09853781267743893</v>
          </cell>
          <cell r="F13">
            <v>0.0989556284848993</v>
          </cell>
          <cell r="G13">
            <v>0.09937421924461814</v>
          </cell>
          <cell r="H13">
            <v>0.09979358425891906</v>
          </cell>
          <cell r="I13">
            <v>0.10021372280701256</v>
          </cell>
        </row>
        <row r="14">
          <cell r="A14" t="str">
            <v>Payback time (incl ERUs)</v>
          </cell>
          <cell r="C14">
            <v>9.032673971834091</v>
          </cell>
          <cell r="D14">
            <v>9.016865718397955</v>
          </cell>
          <cell r="E14">
            <v>9.001112700938524</v>
          </cell>
          <cell r="F14">
            <v>8.985414630458777</v>
          </cell>
          <cell r="G14">
            <v>8.969771219974238</v>
          </cell>
          <cell r="H14">
            <v>8.954182184495497</v>
          </cell>
          <cell r="I14">
            <v>8.938647241010901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cash flow"/>
      <sheetName val="investment schedule"/>
      <sheetName val="baseline"/>
      <sheetName val="sensitivity"/>
      <sheetName val="production forecast"/>
    </sheetNames>
    <sheetDataSet>
      <sheetData sheetId="1">
        <row r="58">
          <cell r="B58">
            <v>924627.04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26.8515625" style="1" customWidth="1"/>
    <col min="2" max="2" width="20.28125" style="1" customWidth="1"/>
    <col min="3" max="3" width="21.8515625" style="1" customWidth="1"/>
    <col min="4" max="4" width="28.7109375" style="1" customWidth="1"/>
    <col min="5" max="5" width="19.57421875" style="1" customWidth="1"/>
    <col min="6" max="6" width="38.28125" style="1" customWidth="1"/>
    <col min="7" max="7" width="21.00390625" style="1" customWidth="1"/>
    <col min="8" max="8" width="24.57421875" style="1" customWidth="1"/>
    <col min="9" max="9" width="15.140625" style="1" customWidth="1"/>
    <col min="10" max="10" width="19.57421875" style="1" customWidth="1"/>
    <col min="11" max="11" width="12.140625" style="1" customWidth="1"/>
    <col min="12" max="12" width="17.140625" style="1" customWidth="1"/>
    <col min="13" max="16384" width="9.140625" style="1" customWidth="1"/>
  </cols>
  <sheetData>
    <row r="1" ht="12" thickBot="1"/>
    <row r="2" spans="1:4" ht="12" thickBot="1">
      <c r="A2" s="4" t="s">
        <v>12</v>
      </c>
      <c r="B2" s="5" t="s">
        <v>13</v>
      </c>
      <c r="C2" s="55"/>
      <c r="D2" s="56"/>
    </row>
    <row r="3" spans="1:2" ht="11.25">
      <c r="A3" s="53" t="s">
        <v>8</v>
      </c>
      <c r="B3" s="6">
        <v>350.9325764596849</v>
      </c>
    </row>
    <row r="4" spans="1:4" ht="11.25">
      <c r="A4" s="54" t="s">
        <v>0</v>
      </c>
      <c r="B4" s="10">
        <v>19824.000810936053</v>
      </c>
      <c r="C4" s="63"/>
      <c r="D4" s="3"/>
    </row>
    <row r="5" spans="1:4" ht="11.25">
      <c r="A5" s="7" t="s">
        <v>1</v>
      </c>
      <c r="B5" s="6"/>
      <c r="D5" s="3"/>
    </row>
    <row r="6" spans="1:4" ht="11.25">
      <c r="A6" s="7" t="s">
        <v>2</v>
      </c>
      <c r="B6" s="6"/>
      <c r="D6" s="3"/>
    </row>
    <row r="7" spans="1:4" ht="11.25">
      <c r="A7" s="7" t="s">
        <v>3</v>
      </c>
      <c r="B7" s="6"/>
      <c r="C7" s="67"/>
      <c r="D7" s="3"/>
    </row>
    <row r="8" spans="1:4" ht="11.25">
      <c r="A8" s="7" t="s">
        <v>4</v>
      </c>
      <c r="B8" s="6"/>
      <c r="C8" s="67"/>
      <c r="D8" s="3"/>
    </row>
    <row r="9" spans="1:4" ht="11.25">
      <c r="A9" s="7" t="s">
        <v>5</v>
      </c>
      <c r="B9" s="6">
        <v>1394.1806649675625</v>
      </c>
      <c r="C9" s="67"/>
      <c r="D9" s="3"/>
    </row>
    <row r="10" spans="1:4" ht="11.25">
      <c r="A10" s="7" t="s">
        <v>6</v>
      </c>
      <c r="B10" s="6">
        <v>1565.908827618165</v>
      </c>
      <c r="C10" s="67"/>
      <c r="D10" s="3"/>
    </row>
    <row r="11" spans="1:2" ht="11.25">
      <c r="A11" s="8" t="s">
        <v>7</v>
      </c>
      <c r="B11" s="10"/>
    </row>
    <row r="12" spans="1:2" ht="11.25">
      <c r="A12" s="8" t="s">
        <v>9</v>
      </c>
      <c r="B12" s="10"/>
    </row>
    <row r="13" spans="1:2" ht="12" thickBot="1">
      <c r="A13" s="11" t="s">
        <v>10</v>
      </c>
      <c r="B13" s="12"/>
    </row>
    <row r="14" spans="1:2" ht="12" thickBot="1">
      <c r="A14" s="64" t="s">
        <v>28</v>
      </c>
      <c r="B14" s="65">
        <v>26750.8317365616</v>
      </c>
    </row>
    <row r="15" ht="11.25">
      <c r="B15" s="9"/>
    </row>
    <row r="16" spans="1:2" ht="11.25">
      <c r="A16" s="1" t="s">
        <v>104</v>
      </c>
      <c r="B16" s="40">
        <v>22784</v>
      </c>
    </row>
    <row r="17" spans="1:4" ht="11.25">
      <c r="A17" s="1" t="s">
        <v>105</v>
      </c>
      <c r="B17" s="40">
        <f>(B4+B5+B7+B8+B9)</f>
        <v>21218.181475903617</v>
      </c>
      <c r="C17" s="66"/>
      <c r="D17" s="40"/>
    </row>
    <row r="18" spans="2:4" ht="11.25">
      <c r="B18" s="40"/>
      <c r="C18" s="66"/>
      <c r="D18" s="40"/>
    </row>
    <row r="19" spans="2:4" ht="11.25">
      <c r="B19" s="40"/>
      <c r="C19" s="66"/>
      <c r="D19" s="40"/>
    </row>
    <row r="20" spans="1:3" ht="11.25">
      <c r="A20" s="47"/>
      <c r="B20" s="48"/>
      <c r="C20" s="47"/>
    </row>
    <row r="21" ht="11.25">
      <c r="A21" s="2" t="s">
        <v>56</v>
      </c>
    </row>
    <row r="23" ht="11.25">
      <c r="A23" s="14"/>
    </row>
    <row r="24" ht="11.25">
      <c r="A24" s="14"/>
    </row>
    <row r="25" ht="11.25">
      <c r="A25" s="2"/>
    </row>
    <row r="26" ht="11.25">
      <c r="A26" s="2" t="s">
        <v>57</v>
      </c>
    </row>
    <row r="28" ht="11.25">
      <c r="A28" s="2"/>
    </row>
    <row r="29" ht="11.25">
      <c r="A29" s="2" t="s">
        <v>58</v>
      </c>
    </row>
    <row r="30" ht="11.25">
      <c r="A30" s="2"/>
    </row>
    <row r="31" ht="11.25">
      <c r="A31" s="2"/>
    </row>
    <row r="32" ht="11.25">
      <c r="A32" s="2" t="s">
        <v>59</v>
      </c>
    </row>
    <row r="34" ht="11.25">
      <c r="A34" s="2"/>
    </row>
    <row r="35" ht="11.25">
      <c r="A35" s="2" t="s">
        <v>60</v>
      </c>
    </row>
    <row r="37" ht="11.25">
      <c r="A37" s="2"/>
    </row>
    <row r="38" ht="11.25">
      <c r="A38" s="2" t="s">
        <v>61</v>
      </c>
    </row>
    <row r="40" ht="11.25">
      <c r="A40" s="14"/>
    </row>
    <row r="41" ht="11.25">
      <c r="A41" s="2"/>
    </row>
    <row r="42" ht="11.25">
      <c r="A42" s="2" t="s">
        <v>62</v>
      </c>
    </row>
    <row r="44" ht="11.25">
      <c r="A44" s="2"/>
    </row>
    <row r="45" ht="11.25">
      <c r="A45" s="2" t="s">
        <v>63</v>
      </c>
    </row>
    <row r="46" ht="11.25">
      <c r="A46" s="14"/>
    </row>
    <row r="49" ht="11.25">
      <c r="A49" s="2" t="s">
        <v>64</v>
      </c>
    </row>
    <row r="50" spans="1:2" ht="11.25">
      <c r="A50" s="2"/>
      <c r="B50" s="13"/>
    </row>
    <row r="51" ht="11.25">
      <c r="A51" s="2"/>
    </row>
    <row r="52" ht="11.25">
      <c r="A52" s="2" t="s">
        <v>65</v>
      </c>
    </row>
    <row r="53" ht="11.25">
      <c r="A53" s="14"/>
    </row>
    <row r="54" spans="2:3" ht="11.25">
      <c r="B54" s="3"/>
      <c r="C54" s="3"/>
    </row>
    <row r="55" spans="1:3" ht="11.25">
      <c r="A55" s="2" t="s">
        <v>66</v>
      </c>
      <c r="B55" s="3"/>
      <c r="C55" s="3"/>
    </row>
    <row r="56" spans="2:3" ht="11.25">
      <c r="B56" s="3"/>
      <c r="C56" s="3"/>
    </row>
    <row r="57" spans="2:3" ht="11.25">
      <c r="B57" s="3"/>
      <c r="C57" s="3"/>
    </row>
    <row r="58" spans="2:3" ht="11.25">
      <c r="B58" s="3"/>
      <c r="C58" s="3"/>
    </row>
    <row r="59" spans="2:3" ht="11.25">
      <c r="B59" s="3"/>
      <c r="C59" s="3"/>
    </row>
    <row r="60" spans="2:3" ht="11.25">
      <c r="B60" s="3"/>
      <c r="C60" s="3"/>
    </row>
    <row r="61" spans="2:3" ht="11.25">
      <c r="B61" s="3"/>
      <c r="C61" s="3"/>
    </row>
  </sheetData>
  <printOptions/>
  <pageMargins left="0.17" right="0.16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tabSelected="1" workbookViewId="0" topLeftCell="A1">
      <selection activeCell="A58" sqref="A58:E64"/>
    </sheetView>
  </sheetViews>
  <sheetFormatPr defaultColWidth="9.140625" defaultRowHeight="12.75"/>
  <cols>
    <col min="1" max="1" width="41.421875" style="1" customWidth="1"/>
    <col min="2" max="2" width="12.57421875" style="1" customWidth="1"/>
    <col min="3" max="3" width="10.8515625" style="1" bestFit="1" customWidth="1"/>
    <col min="4" max="8" width="10.00390625" style="1" bestFit="1" customWidth="1"/>
    <col min="9" max="15" width="10.8515625" style="1" bestFit="1" customWidth="1"/>
    <col min="16" max="22" width="9.140625" style="1" customWidth="1"/>
    <col min="23" max="23" width="9.57421875" style="40" bestFit="1" customWidth="1"/>
    <col min="24" max="16384" width="9.140625" style="1" customWidth="1"/>
  </cols>
  <sheetData>
    <row r="1" spans="1:2" ht="11.25">
      <c r="A1" s="1" t="s">
        <v>124</v>
      </c>
      <c r="B1" s="40">
        <v>44400000</v>
      </c>
    </row>
    <row r="2" spans="1:2" ht="11.25">
      <c r="A2" s="1" t="s">
        <v>125</v>
      </c>
      <c r="B2" s="80">
        <v>0.06</v>
      </c>
    </row>
    <row r="3" spans="1:2" ht="11.25">
      <c r="A3" s="48" t="s">
        <v>126</v>
      </c>
      <c r="B3" s="1">
        <f>B1-(B1*B2)</f>
        <v>41736000</v>
      </c>
    </row>
    <row r="4" spans="1:27" ht="11.25">
      <c r="A4" s="39" t="s">
        <v>67</v>
      </c>
      <c r="B4" s="39">
        <v>2006</v>
      </c>
      <c r="C4" s="39">
        <v>2007</v>
      </c>
      <c r="D4" s="39">
        <v>2008</v>
      </c>
      <c r="E4" s="39">
        <v>2009</v>
      </c>
      <c r="F4" s="39">
        <v>2010</v>
      </c>
      <c r="G4" s="39">
        <v>2011</v>
      </c>
      <c r="H4" s="39">
        <v>2012</v>
      </c>
      <c r="I4" s="39">
        <v>2013</v>
      </c>
      <c r="J4" s="39">
        <v>2014</v>
      </c>
      <c r="K4" s="39">
        <v>2015</v>
      </c>
      <c r="L4" s="39">
        <v>2016</v>
      </c>
      <c r="M4" s="39">
        <v>2017</v>
      </c>
      <c r="N4" s="39">
        <v>2018</v>
      </c>
      <c r="O4" s="39">
        <f>N4+1</f>
        <v>2019</v>
      </c>
      <c r="P4" s="39">
        <f aca="true" t="shared" si="0" ref="P4:V4">O4+1</f>
        <v>2020</v>
      </c>
      <c r="Q4" s="39">
        <f t="shared" si="0"/>
        <v>2021</v>
      </c>
      <c r="R4" s="39">
        <f t="shared" si="0"/>
        <v>2022</v>
      </c>
      <c r="S4" s="39">
        <f t="shared" si="0"/>
        <v>2023</v>
      </c>
      <c r="T4" s="39">
        <f t="shared" si="0"/>
        <v>2024</v>
      </c>
      <c r="U4" s="39">
        <f t="shared" si="0"/>
        <v>2025</v>
      </c>
      <c r="V4" s="39">
        <f t="shared" si="0"/>
        <v>2026</v>
      </c>
      <c r="W4" s="49" t="s">
        <v>28</v>
      </c>
      <c r="X4" s="37"/>
      <c r="Y4" s="37"/>
      <c r="Z4" s="37"/>
      <c r="AA4" s="37"/>
    </row>
    <row r="5" spans="1:23" ht="11.25">
      <c r="A5" s="1" t="s">
        <v>68</v>
      </c>
      <c r="B5" s="40"/>
      <c r="C5" s="40">
        <f>B3</f>
        <v>41736000</v>
      </c>
      <c r="D5" s="40">
        <f>C5</f>
        <v>41736000</v>
      </c>
      <c r="E5" s="40">
        <f aca="true" t="shared" si="1" ref="E5:V5">D5</f>
        <v>41736000</v>
      </c>
      <c r="F5" s="40">
        <f t="shared" si="1"/>
        <v>41736000</v>
      </c>
      <c r="G5" s="40">
        <f t="shared" si="1"/>
        <v>41736000</v>
      </c>
      <c r="H5" s="40">
        <f t="shared" si="1"/>
        <v>41736000</v>
      </c>
      <c r="I5" s="40">
        <f t="shared" si="1"/>
        <v>41736000</v>
      </c>
      <c r="J5" s="40">
        <f t="shared" si="1"/>
        <v>41736000</v>
      </c>
      <c r="K5" s="40">
        <f t="shared" si="1"/>
        <v>41736000</v>
      </c>
      <c r="L5" s="40">
        <f t="shared" si="1"/>
        <v>41736000</v>
      </c>
      <c r="M5" s="40">
        <f t="shared" si="1"/>
        <v>41736000</v>
      </c>
      <c r="N5" s="40">
        <f t="shared" si="1"/>
        <v>41736000</v>
      </c>
      <c r="O5" s="40">
        <f t="shared" si="1"/>
        <v>41736000</v>
      </c>
      <c r="P5" s="40">
        <f t="shared" si="1"/>
        <v>41736000</v>
      </c>
      <c r="Q5" s="40">
        <f t="shared" si="1"/>
        <v>41736000</v>
      </c>
      <c r="R5" s="40">
        <f t="shared" si="1"/>
        <v>41736000</v>
      </c>
      <c r="S5" s="40">
        <f t="shared" si="1"/>
        <v>41736000</v>
      </c>
      <c r="T5" s="40">
        <f t="shared" si="1"/>
        <v>41736000</v>
      </c>
      <c r="U5" s="40">
        <f t="shared" si="1"/>
        <v>41736000</v>
      </c>
      <c r="V5" s="40">
        <f t="shared" si="1"/>
        <v>41736000</v>
      </c>
      <c r="W5" s="40">
        <f>SUM(C5:V5)</f>
        <v>834720000</v>
      </c>
    </row>
    <row r="6" spans="1:23" ht="11.25">
      <c r="A6" s="1" t="s">
        <v>89</v>
      </c>
      <c r="B6" s="40"/>
      <c r="C6" s="40">
        <f>$B55*C5</f>
        <v>2659250.976</v>
      </c>
      <c r="D6" s="40">
        <f aca="true" t="shared" si="2" ref="D6:V6">$B55*D5</f>
        <v>2659250.976</v>
      </c>
      <c r="E6" s="40">
        <f t="shared" si="2"/>
        <v>2659250.976</v>
      </c>
      <c r="F6" s="40">
        <f t="shared" si="2"/>
        <v>2659250.976</v>
      </c>
      <c r="G6" s="40">
        <f t="shared" si="2"/>
        <v>2659250.976</v>
      </c>
      <c r="H6" s="40">
        <f t="shared" si="2"/>
        <v>2659250.976</v>
      </c>
      <c r="I6" s="40">
        <f t="shared" si="2"/>
        <v>2659250.976</v>
      </c>
      <c r="J6" s="40">
        <f t="shared" si="2"/>
        <v>2659250.976</v>
      </c>
      <c r="K6" s="40">
        <f t="shared" si="2"/>
        <v>2659250.976</v>
      </c>
      <c r="L6" s="40">
        <f t="shared" si="2"/>
        <v>2659250.976</v>
      </c>
      <c r="M6" s="40">
        <f t="shared" si="2"/>
        <v>2659250.976</v>
      </c>
      <c r="N6" s="40">
        <f t="shared" si="2"/>
        <v>2659250.976</v>
      </c>
      <c r="O6" s="40">
        <f t="shared" si="2"/>
        <v>2659250.976</v>
      </c>
      <c r="P6" s="40">
        <f t="shared" si="2"/>
        <v>2659250.976</v>
      </c>
      <c r="Q6" s="40">
        <f t="shared" si="2"/>
        <v>2659250.976</v>
      </c>
      <c r="R6" s="40">
        <f t="shared" si="2"/>
        <v>2659250.976</v>
      </c>
      <c r="S6" s="40">
        <f t="shared" si="2"/>
        <v>2659250.976</v>
      </c>
      <c r="T6" s="40">
        <f t="shared" si="2"/>
        <v>2659250.976</v>
      </c>
      <c r="U6" s="40">
        <f t="shared" si="2"/>
        <v>2659250.976</v>
      </c>
      <c r="V6" s="40">
        <f t="shared" si="2"/>
        <v>2659250.976</v>
      </c>
      <c r="W6" s="40">
        <f aca="true" t="shared" si="3" ref="W6:W28">SUM(C6:V6)</f>
        <v>53185019.519999966</v>
      </c>
    </row>
    <row r="7" spans="1:23" ht="11.25">
      <c r="A7" s="47" t="s">
        <v>88</v>
      </c>
      <c r="B7" s="48"/>
      <c r="C7" s="47">
        <v>0</v>
      </c>
      <c r="D7" s="48">
        <f>$B$49*$B$54</f>
        <v>156760.416</v>
      </c>
      <c r="E7" s="48">
        <f>$B$49*$B$54</f>
        <v>156760.416</v>
      </c>
      <c r="F7" s="48">
        <f>$B$49*$B$54</f>
        <v>156760.416</v>
      </c>
      <c r="G7" s="48">
        <f>$B$49*$B$54</f>
        <v>156760.416</v>
      </c>
      <c r="H7" s="48">
        <f>$B$49*$B$54</f>
        <v>156760.416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0">
        <f t="shared" si="3"/>
        <v>783802.08</v>
      </c>
    </row>
    <row r="8" spans="1:23" ht="11.25">
      <c r="A8" s="38" t="s">
        <v>91</v>
      </c>
      <c r="B8" s="50"/>
      <c r="C8" s="9">
        <f aca="true" t="shared" si="4" ref="C8:N8">C6+C7</f>
        <v>2659250.976</v>
      </c>
      <c r="D8" s="9">
        <f t="shared" si="4"/>
        <v>2816011.392</v>
      </c>
      <c r="E8" s="9">
        <f t="shared" si="4"/>
        <v>2816011.392</v>
      </c>
      <c r="F8" s="9">
        <f t="shared" si="4"/>
        <v>2816011.392</v>
      </c>
      <c r="G8" s="9">
        <f t="shared" si="4"/>
        <v>2816011.392</v>
      </c>
      <c r="H8" s="9">
        <f t="shared" si="4"/>
        <v>2816011.392</v>
      </c>
      <c r="I8" s="9">
        <f t="shared" si="4"/>
        <v>2659250.976</v>
      </c>
      <c r="J8" s="9">
        <f t="shared" si="4"/>
        <v>2659250.976</v>
      </c>
      <c r="K8" s="9">
        <f t="shared" si="4"/>
        <v>2659250.976</v>
      </c>
      <c r="L8" s="9">
        <f t="shared" si="4"/>
        <v>2659250.976</v>
      </c>
      <c r="M8" s="9">
        <f t="shared" si="4"/>
        <v>2659250.976</v>
      </c>
      <c r="N8" s="9">
        <f t="shared" si="4"/>
        <v>2659250.976</v>
      </c>
      <c r="O8" s="9">
        <f aca="true" t="shared" si="5" ref="O8:V8">O6+O7</f>
        <v>2659250.976</v>
      </c>
      <c r="P8" s="9">
        <f t="shared" si="5"/>
        <v>2659250.976</v>
      </c>
      <c r="Q8" s="9">
        <f t="shared" si="5"/>
        <v>2659250.976</v>
      </c>
      <c r="R8" s="9">
        <f t="shared" si="5"/>
        <v>2659250.976</v>
      </c>
      <c r="S8" s="9">
        <f t="shared" si="5"/>
        <v>2659250.976</v>
      </c>
      <c r="T8" s="9">
        <f t="shared" si="5"/>
        <v>2659250.976</v>
      </c>
      <c r="U8" s="9">
        <f t="shared" si="5"/>
        <v>2659250.976</v>
      </c>
      <c r="V8" s="9">
        <f t="shared" si="5"/>
        <v>2659250.976</v>
      </c>
      <c r="W8" s="40">
        <f t="shared" si="3"/>
        <v>53968821.59999998</v>
      </c>
    </row>
    <row r="9" ht="11.25">
      <c r="B9" s="40"/>
    </row>
    <row r="10" spans="1:22" ht="11.25">
      <c r="A10" s="39" t="s">
        <v>71</v>
      </c>
      <c r="B10" s="5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"/>
      <c r="P10" s="3"/>
      <c r="Q10" s="3"/>
      <c r="R10" s="3"/>
      <c r="S10" s="3"/>
      <c r="T10" s="3"/>
      <c r="U10" s="3"/>
      <c r="V10" s="3"/>
    </row>
    <row r="11" spans="1:23" ht="11.25">
      <c r="A11" s="2" t="s">
        <v>69</v>
      </c>
      <c r="B11" s="9">
        <v>30410.101946246526</v>
      </c>
      <c r="C11" s="9">
        <v>242701.57553290084</v>
      </c>
      <c r="D11" s="9">
        <v>242701.57553290084</v>
      </c>
      <c r="E11" s="9">
        <v>242701.57553290084</v>
      </c>
      <c r="F11" s="9">
        <v>242701.57553290084</v>
      </c>
      <c r="G11" s="9">
        <v>300625.57924003707</v>
      </c>
      <c r="H11" s="9">
        <v>300625.57924003707</v>
      </c>
      <c r="I11" s="9">
        <v>300625.57924003707</v>
      </c>
      <c r="J11" s="9">
        <v>300625.57924003707</v>
      </c>
      <c r="K11" s="9">
        <v>300625.57924003707</v>
      </c>
      <c r="L11" s="9">
        <v>300625.57924003707</v>
      </c>
      <c r="M11" s="9">
        <v>300625.57924003707</v>
      </c>
      <c r="N11" s="9">
        <v>300625.57924003707</v>
      </c>
      <c r="O11" s="9">
        <v>300625.57924003707</v>
      </c>
      <c r="P11" s="9">
        <v>300625.57924003707</v>
      </c>
      <c r="Q11" s="9">
        <v>300625.57924003707</v>
      </c>
      <c r="R11" s="9">
        <v>300625.57924003707</v>
      </c>
      <c r="S11" s="9">
        <v>300625.57924003707</v>
      </c>
      <c r="T11" s="9">
        <v>300625.57924003707</v>
      </c>
      <c r="U11" s="9">
        <v>300625.57924003707</v>
      </c>
      <c r="V11" s="9">
        <v>300625.57924003707</v>
      </c>
      <c r="W11" s="40">
        <f t="shared" si="3"/>
        <v>5780815.569972197</v>
      </c>
    </row>
    <row r="12" spans="1:22" ht="11.2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11.25">
      <c r="A13" s="2" t="s">
        <v>78</v>
      </c>
      <c r="B13" s="9"/>
      <c r="C13" s="9">
        <f>budget!$C$17/20</f>
        <v>0</v>
      </c>
      <c r="D13" s="9">
        <f>C13</f>
        <v>0</v>
      </c>
      <c r="E13" s="9">
        <f aca="true" t="shared" si="6" ref="E13:V13">D13</f>
        <v>0</v>
      </c>
      <c r="F13" s="9">
        <f t="shared" si="6"/>
        <v>0</v>
      </c>
      <c r="G13" s="9">
        <f t="shared" si="6"/>
        <v>0</v>
      </c>
      <c r="H13" s="9">
        <f t="shared" si="6"/>
        <v>0</v>
      </c>
      <c r="I13" s="9">
        <f t="shared" si="6"/>
        <v>0</v>
      </c>
      <c r="J13" s="9">
        <f t="shared" si="6"/>
        <v>0</v>
      </c>
      <c r="K13" s="9">
        <f t="shared" si="6"/>
        <v>0</v>
      </c>
      <c r="L13" s="9">
        <f t="shared" si="6"/>
        <v>0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0</v>
      </c>
      <c r="W13" s="40">
        <f t="shared" si="3"/>
        <v>0</v>
      </c>
    </row>
    <row r="14" spans="2:24" ht="11.25">
      <c r="B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X14" s="41"/>
    </row>
    <row r="15" spans="1:24" ht="11.25">
      <c r="A15" s="39" t="s">
        <v>70</v>
      </c>
      <c r="B15" s="5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2">
        <f>6029682+1463678+96444</f>
        <v>7589804</v>
      </c>
      <c r="N15" s="43">
        <f>M15-M17</f>
        <v>5206331.745597776</v>
      </c>
      <c r="O15" s="43">
        <f aca="true" t="shared" si="7" ref="O15:V15">N15-N17</f>
        <v>3634552.320203893</v>
      </c>
      <c r="P15" s="43">
        <f t="shared" si="7"/>
        <v>3634552.320203893</v>
      </c>
      <c r="Q15" s="43">
        <f t="shared" si="7"/>
        <v>3634552.320203893</v>
      </c>
      <c r="R15" s="43">
        <f t="shared" si="7"/>
        <v>3634552.320203893</v>
      </c>
      <c r="S15" s="43">
        <f t="shared" si="7"/>
        <v>3634552.320203893</v>
      </c>
      <c r="T15" s="43">
        <f t="shared" si="7"/>
        <v>3634552.320203893</v>
      </c>
      <c r="U15" s="43">
        <f t="shared" si="7"/>
        <v>3634552.320203893</v>
      </c>
      <c r="V15" s="43">
        <f t="shared" si="7"/>
        <v>3634552.320203893</v>
      </c>
      <c r="W15" s="40">
        <f t="shared" si="3"/>
        <v>41872554.30722892</v>
      </c>
      <c r="X15" s="41"/>
    </row>
    <row r="16" spans="1:23" ht="11.25">
      <c r="A16" s="1" t="s">
        <v>72</v>
      </c>
      <c r="B16" s="40">
        <v>340565.6278962002</v>
      </c>
      <c r="C16" s="40">
        <v>807309.967562558</v>
      </c>
      <c r="D16" s="40">
        <v>798008.1377432809</v>
      </c>
      <c r="E16" s="40">
        <v>788276.0658016682</v>
      </c>
      <c r="F16" s="40">
        <v>743892.49768304</v>
      </c>
      <c r="G16" s="40">
        <v>650014.5180722892</v>
      </c>
      <c r="H16" s="40">
        <v>572083.717562558</v>
      </c>
      <c r="I16" s="40">
        <v>490845.73331788694</v>
      </c>
      <c r="J16" s="40">
        <v>401327.5040546803</v>
      </c>
      <c r="K16" s="40">
        <v>312959.54297961073</v>
      </c>
      <c r="L16" s="40">
        <v>218394.89110287305</v>
      </c>
      <c r="M16" s="40">
        <v>122334.18385078778</v>
      </c>
      <c r="N16" s="40">
        <v>18579.136932344765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f t="shared" si="3"/>
        <v>5924025.896663578</v>
      </c>
    </row>
    <row r="17" spans="1:23" ht="11.25">
      <c r="A17" s="1" t="s">
        <v>90</v>
      </c>
      <c r="B17" s="40">
        <v>3475539.2724745134</v>
      </c>
      <c r="C17" s="40">
        <v>192510.13670064876</v>
      </c>
      <c r="D17" s="40">
        <v>231715.99860982393</v>
      </c>
      <c r="E17" s="40">
        <v>825055.6070435588</v>
      </c>
      <c r="F17" s="40">
        <v>1713873.9573679334</v>
      </c>
      <c r="G17" s="40">
        <v>1855495.250231696</v>
      </c>
      <c r="H17" s="40">
        <v>1934237.720111214</v>
      </c>
      <c r="I17" s="40">
        <v>2015538.403614458</v>
      </c>
      <c r="J17" s="40">
        <v>2103999.073215941</v>
      </c>
      <c r="K17" s="40">
        <v>2193615.326691381</v>
      </c>
      <c r="L17" s="40">
        <v>2287159.6964782206</v>
      </c>
      <c r="M17" s="40">
        <v>2383472.2544022244</v>
      </c>
      <c r="N17" s="40">
        <v>1571779.4253938834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f t="shared" si="3"/>
        <v>19308452.849860985</v>
      </c>
    </row>
    <row r="18" spans="1:23" ht="11.25">
      <c r="A18" s="2" t="s">
        <v>73</v>
      </c>
      <c r="B18" s="9">
        <f aca="true" t="shared" si="8" ref="B18:N18">B16+B17</f>
        <v>3816104.900370714</v>
      </c>
      <c r="C18" s="9">
        <f t="shared" si="8"/>
        <v>999820.1042632067</v>
      </c>
      <c r="D18" s="9">
        <f t="shared" si="8"/>
        <v>1029724.1363531048</v>
      </c>
      <c r="E18" s="9">
        <f t="shared" si="8"/>
        <v>1613331.6728452272</v>
      </c>
      <c r="F18" s="9">
        <f t="shared" si="8"/>
        <v>2457766.455050973</v>
      </c>
      <c r="G18" s="9">
        <f t="shared" si="8"/>
        <v>2505509.7683039852</v>
      </c>
      <c r="H18" s="9">
        <f t="shared" si="8"/>
        <v>2506321.437673772</v>
      </c>
      <c r="I18" s="9">
        <f t="shared" si="8"/>
        <v>2506384.136932345</v>
      </c>
      <c r="J18" s="9">
        <f t="shared" si="8"/>
        <v>2505326.5772706214</v>
      </c>
      <c r="K18" s="9">
        <f t="shared" si="8"/>
        <v>2506574.869670992</v>
      </c>
      <c r="L18" s="9">
        <f t="shared" si="8"/>
        <v>2505554.587581094</v>
      </c>
      <c r="M18" s="9">
        <f t="shared" si="8"/>
        <v>2505806.438253012</v>
      </c>
      <c r="N18" s="9">
        <f t="shared" si="8"/>
        <v>1590358.5623262282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40">
        <f t="shared" si="3"/>
        <v>25232478.746524565</v>
      </c>
    </row>
    <row r="19" ht="11.25">
      <c r="B19" s="40"/>
    </row>
    <row r="20" spans="1:23" ht="11.25">
      <c r="A20" s="2" t="s">
        <v>74</v>
      </c>
      <c r="B20" s="40">
        <f aca="true" t="shared" si="9" ref="B20:V20">B8-B11-B17</f>
        <v>-3505949.3744207597</v>
      </c>
      <c r="C20" s="40">
        <f t="shared" si="9"/>
        <v>2224039.2637664503</v>
      </c>
      <c r="D20" s="40">
        <f t="shared" si="9"/>
        <v>2341593.8178572753</v>
      </c>
      <c r="E20" s="40">
        <f t="shared" si="9"/>
        <v>1748254.2094235406</v>
      </c>
      <c r="F20" s="40">
        <f t="shared" si="9"/>
        <v>859435.859099166</v>
      </c>
      <c r="G20" s="40">
        <f t="shared" si="9"/>
        <v>659890.5625282668</v>
      </c>
      <c r="H20" s="40">
        <f t="shared" si="9"/>
        <v>581148.0926487488</v>
      </c>
      <c r="I20" s="40">
        <f t="shared" si="9"/>
        <v>343086.99314550473</v>
      </c>
      <c r="J20" s="40">
        <f t="shared" si="9"/>
        <v>254626.3235440217</v>
      </c>
      <c r="K20" s="40">
        <f t="shared" si="9"/>
        <v>165010.0700685815</v>
      </c>
      <c r="L20" s="40">
        <f t="shared" si="9"/>
        <v>71465.70028174203</v>
      </c>
      <c r="M20" s="40">
        <f t="shared" si="9"/>
        <v>-24846.857642261777</v>
      </c>
      <c r="N20" s="40">
        <f t="shared" si="9"/>
        <v>786845.9713660793</v>
      </c>
      <c r="O20" s="40">
        <f t="shared" si="9"/>
        <v>2358625.3967599627</v>
      </c>
      <c r="P20" s="40">
        <f t="shared" si="9"/>
        <v>2358625.3967599627</v>
      </c>
      <c r="Q20" s="40">
        <f t="shared" si="9"/>
        <v>2358625.3967599627</v>
      </c>
      <c r="R20" s="40">
        <f t="shared" si="9"/>
        <v>2358625.3967599627</v>
      </c>
      <c r="S20" s="40">
        <f t="shared" si="9"/>
        <v>2358625.3967599627</v>
      </c>
      <c r="T20" s="40">
        <f t="shared" si="9"/>
        <v>2358625.3967599627</v>
      </c>
      <c r="U20" s="40">
        <f t="shared" si="9"/>
        <v>2358625.3967599627</v>
      </c>
      <c r="V20" s="40">
        <f t="shared" si="9"/>
        <v>2358625.3967599627</v>
      </c>
      <c r="W20" s="40">
        <f t="shared" si="3"/>
        <v>28879553.180166826</v>
      </c>
    </row>
    <row r="21" spans="1:23" ht="11.25">
      <c r="A21" s="2" t="s">
        <v>75</v>
      </c>
      <c r="B21" s="40">
        <f aca="true" t="shared" si="10" ref="B21:N21">B20-B7</f>
        <v>-3505949.3744207597</v>
      </c>
      <c r="C21" s="40">
        <f t="shared" si="10"/>
        <v>2224039.2637664503</v>
      </c>
      <c r="D21" s="40">
        <f t="shared" si="10"/>
        <v>2184833.401857275</v>
      </c>
      <c r="E21" s="40">
        <f t="shared" si="10"/>
        <v>1591493.7934235407</v>
      </c>
      <c r="F21" s="40">
        <f t="shared" si="10"/>
        <v>702675.443099166</v>
      </c>
      <c r="G21" s="40">
        <f t="shared" si="10"/>
        <v>503130.14652826684</v>
      </c>
      <c r="H21" s="40">
        <f t="shared" si="10"/>
        <v>424387.6766487488</v>
      </c>
      <c r="I21" s="40">
        <f t="shared" si="10"/>
        <v>343086.99314550473</v>
      </c>
      <c r="J21" s="40">
        <f t="shared" si="10"/>
        <v>254626.3235440217</v>
      </c>
      <c r="K21" s="40">
        <f t="shared" si="10"/>
        <v>165010.0700685815</v>
      </c>
      <c r="L21" s="40">
        <f t="shared" si="10"/>
        <v>71465.70028174203</v>
      </c>
      <c r="M21" s="40">
        <f t="shared" si="10"/>
        <v>-24846.857642261777</v>
      </c>
      <c r="N21" s="40">
        <f t="shared" si="10"/>
        <v>786845.9713660793</v>
      </c>
      <c r="O21" s="40">
        <f aca="true" t="shared" si="11" ref="O21:V21">O20-O7</f>
        <v>2358625.3967599627</v>
      </c>
      <c r="P21" s="40">
        <f t="shared" si="11"/>
        <v>2358625.3967599627</v>
      </c>
      <c r="Q21" s="40">
        <f t="shared" si="11"/>
        <v>2358625.3967599627</v>
      </c>
      <c r="R21" s="40">
        <f t="shared" si="11"/>
        <v>2358625.3967599627</v>
      </c>
      <c r="S21" s="40">
        <f t="shared" si="11"/>
        <v>2358625.3967599627</v>
      </c>
      <c r="T21" s="40">
        <f t="shared" si="11"/>
        <v>2358625.3967599627</v>
      </c>
      <c r="U21" s="40">
        <f t="shared" si="11"/>
        <v>2358625.3967599627</v>
      </c>
      <c r="V21" s="40">
        <f t="shared" si="11"/>
        <v>2358625.3967599627</v>
      </c>
      <c r="W21" s="40">
        <f t="shared" si="3"/>
        <v>28095751.10016682</v>
      </c>
    </row>
    <row r="22" spans="1:22" ht="11.25">
      <c r="A22" s="2"/>
      <c r="B22" s="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3" ht="11.25">
      <c r="A23" s="2" t="s">
        <v>79</v>
      </c>
      <c r="B23" s="40">
        <v>0</v>
      </c>
      <c r="C23" s="40">
        <f>(C20-C16-C13)*0.15</f>
        <v>212509.39443058384</v>
      </c>
      <c r="D23" s="40">
        <f>(D20-D16-D13)*0.15</f>
        <v>231537.85201709918</v>
      </c>
      <c r="E23" s="40">
        <f>(E20-E16-E13)*0.15</f>
        <v>143996.72154328084</v>
      </c>
      <c r="F23" s="40">
        <f aca="true" t="shared" si="12" ref="F23:V23">(F20-F16-F13)*0.15</f>
        <v>17331.504212418902</v>
      </c>
      <c r="G23" s="40">
        <f t="shared" si="12"/>
        <v>1481.4066683966432</v>
      </c>
      <c r="H23" s="40">
        <f t="shared" si="12"/>
        <v>1359.656262928614</v>
      </c>
      <c r="I23" s="40">
        <f t="shared" si="12"/>
        <v>-22163.811025857332</v>
      </c>
      <c r="J23" s="40">
        <f t="shared" si="12"/>
        <v>-22005.17707659879</v>
      </c>
      <c r="K23" s="40">
        <f t="shared" si="12"/>
        <v>-22192.420936654384</v>
      </c>
      <c r="L23" s="40">
        <f t="shared" si="12"/>
        <v>-22039.378623169654</v>
      </c>
      <c r="M23" s="40">
        <f t="shared" si="12"/>
        <v>-22077.156223957434</v>
      </c>
      <c r="N23" s="40">
        <f t="shared" si="12"/>
        <v>115240.02516506017</v>
      </c>
      <c r="O23" s="40">
        <f t="shared" si="12"/>
        <v>353793.8095139944</v>
      </c>
      <c r="P23" s="40">
        <f t="shared" si="12"/>
        <v>353793.8095139944</v>
      </c>
      <c r="Q23" s="40">
        <f t="shared" si="12"/>
        <v>353793.8095139944</v>
      </c>
      <c r="R23" s="40">
        <f t="shared" si="12"/>
        <v>353793.8095139944</v>
      </c>
      <c r="S23" s="40">
        <f t="shared" si="12"/>
        <v>353793.8095139944</v>
      </c>
      <c r="T23" s="40">
        <f t="shared" si="12"/>
        <v>353793.8095139944</v>
      </c>
      <c r="U23" s="40">
        <f t="shared" si="12"/>
        <v>353793.8095139944</v>
      </c>
      <c r="V23" s="40">
        <f t="shared" si="12"/>
        <v>353793.8095139944</v>
      </c>
      <c r="W23" s="40">
        <f t="shared" si="3"/>
        <v>3443329.0925254864</v>
      </c>
    </row>
    <row r="24" spans="1:23" ht="11.25">
      <c r="A24" s="2" t="s">
        <v>80</v>
      </c>
      <c r="B24" s="40">
        <v>0</v>
      </c>
      <c r="C24" s="40">
        <f>C21-C16-C13</f>
        <v>1416729.2962038922</v>
      </c>
      <c r="D24" s="40">
        <f>D21-D16-D13</f>
        <v>1386825.2641139943</v>
      </c>
      <c r="E24" s="40">
        <f aca="true" t="shared" si="13" ref="E24:V24">E21-E16-E13</f>
        <v>803217.7276218724</v>
      </c>
      <c r="F24" s="40">
        <f t="shared" si="13"/>
        <v>-41217.05458387395</v>
      </c>
      <c r="G24" s="40">
        <f t="shared" si="13"/>
        <v>-146884.37154402235</v>
      </c>
      <c r="H24" s="40">
        <f t="shared" si="13"/>
        <v>-147696.0409138092</v>
      </c>
      <c r="I24" s="40">
        <f t="shared" si="13"/>
        <v>-147758.7401723822</v>
      </c>
      <c r="J24" s="40">
        <f t="shared" si="13"/>
        <v>-146701.1805106586</v>
      </c>
      <c r="K24" s="40">
        <f t="shared" si="13"/>
        <v>-147949.47291102924</v>
      </c>
      <c r="L24" s="40">
        <f t="shared" si="13"/>
        <v>-146929.19082113102</v>
      </c>
      <c r="M24" s="40">
        <f t="shared" si="13"/>
        <v>-147181.04149304956</v>
      </c>
      <c r="N24" s="40">
        <f t="shared" si="13"/>
        <v>768266.8344337345</v>
      </c>
      <c r="O24" s="40">
        <f t="shared" si="13"/>
        <v>2358625.3967599627</v>
      </c>
      <c r="P24" s="40">
        <f t="shared" si="13"/>
        <v>2358625.3967599627</v>
      </c>
      <c r="Q24" s="40">
        <f t="shared" si="13"/>
        <v>2358625.3967599627</v>
      </c>
      <c r="R24" s="40">
        <f t="shared" si="13"/>
        <v>2358625.3967599627</v>
      </c>
      <c r="S24" s="40">
        <f t="shared" si="13"/>
        <v>2358625.3967599627</v>
      </c>
      <c r="T24" s="40">
        <f t="shared" si="13"/>
        <v>2358625.3967599627</v>
      </c>
      <c r="U24" s="40">
        <f t="shared" si="13"/>
        <v>2358625.3967599627</v>
      </c>
      <c r="V24" s="40">
        <f t="shared" si="13"/>
        <v>2358625.3967599627</v>
      </c>
      <c r="W24" s="40">
        <f t="shared" si="3"/>
        <v>22171725.203503244</v>
      </c>
    </row>
    <row r="25" spans="1:22" ht="11.25">
      <c r="A25" s="2"/>
      <c r="B25" s="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ht="11.25">
      <c r="B26" s="40"/>
    </row>
    <row r="27" spans="1:23" ht="11.25">
      <c r="A27" s="2" t="s">
        <v>76</v>
      </c>
      <c r="B27" s="40">
        <v>0</v>
      </c>
      <c r="C27" s="40">
        <f>C20-C16-C23</f>
        <v>1204219.9017733084</v>
      </c>
      <c r="D27" s="40">
        <f aca="true" t="shared" si="14" ref="D27:V27">D20-D16-D23</f>
        <v>1312047.8280968952</v>
      </c>
      <c r="E27" s="40">
        <f t="shared" si="14"/>
        <v>815981.4220785915</v>
      </c>
      <c r="F27" s="40">
        <f t="shared" si="14"/>
        <v>98211.85720370711</v>
      </c>
      <c r="G27" s="40">
        <f t="shared" si="14"/>
        <v>8394.63778758098</v>
      </c>
      <c r="H27" s="40">
        <f t="shared" si="14"/>
        <v>7704.7188232621465</v>
      </c>
      <c r="I27" s="40">
        <f t="shared" si="14"/>
        <v>-125594.92914652488</v>
      </c>
      <c r="J27" s="40">
        <f t="shared" si="14"/>
        <v>-124696.0034340598</v>
      </c>
      <c r="K27" s="40">
        <f t="shared" si="14"/>
        <v>-125757.05197437486</v>
      </c>
      <c r="L27" s="40">
        <f>L20-L16-L23</f>
        <v>-124889.81219796136</v>
      </c>
      <c r="M27" s="40">
        <f t="shared" si="14"/>
        <v>-125103.88526909213</v>
      </c>
      <c r="N27" s="40">
        <f t="shared" si="14"/>
        <v>653026.8092686743</v>
      </c>
      <c r="O27" s="40">
        <f t="shared" si="14"/>
        <v>2004831.5872459682</v>
      </c>
      <c r="P27" s="40">
        <f t="shared" si="14"/>
        <v>2004831.5872459682</v>
      </c>
      <c r="Q27" s="40">
        <f t="shared" si="14"/>
        <v>2004831.5872459682</v>
      </c>
      <c r="R27" s="40">
        <f t="shared" si="14"/>
        <v>2004831.5872459682</v>
      </c>
      <c r="S27" s="40">
        <f t="shared" si="14"/>
        <v>2004831.5872459682</v>
      </c>
      <c r="T27" s="40">
        <f t="shared" si="14"/>
        <v>2004831.5872459682</v>
      </c>
      <c r="U27" s="40">
        <f t="shared" si="14"/>
        <v>2004831.5872459682</v>
      </c>
      <c r="V27" s="40">
        <f t="shared" si="14"/>
        <v>2004831.5872459682</v>
      </c>
      <c r="W27" s="40">
        <f t="shared" si="3"/>
        <v>19512198.19097775</v>
      </c>
    </row>
    <row r="28" spans="1:27" ht="11.25">
      <c r="A28" s="2" t="s">
        <v>77</v>
      </c>
      <c r="B28" s="40">
        <v>0</v>
      </c>
      <c r="C28" s="40">
        <f>C21-C16-C24</f>
        <v>0</v>
      </c>
      <c r="D28" s="40">
        <f aca="true" t="shared" si="15" ref="D28:V28">D21-D16-D24</f>
        <v>0</v>
      </c>
      <c r="E28" s="40">
        <f t="shared" si="15"/>
        <v>0</v>
      </c>
      <c r="F28" s="40">
        <f t="shared" si="15"/>
        <v>0</v>
      </c>
      <c r="G28" s="40">
        <f t="shared" si="15"/>
        <v>0</v>
      </c>
      <c r="H28" s="40">
        <f t="shared" si="15"/>
        <v>0</v>
      </c>
      <c r="I28" s="40">
        <f t="shared" si="15"/>
        <v>0</v>
      </c>
      <c r="J28" s="40">
        <f t="shared" si="15"/>
        <v>0</v>
      </c>
      <c r="K28" s="40">
        <f t="shared" si="15"/>
        <v>0</v>
      </c>
      <c r="L28" s="40">
        <f t="shared" si="15"/>
        <v>0</v>
      </c>
      <c r="M28" s="40">
        <f t="shared" si="15"/>
        <v>0</v>
      </c>
      <c r="N28" s="40">
        <f t="shared" si="15"/>
        <v>0</v>
      </c>
      <c r="O28" s="40">
        <f t="shared" si="15"/>
        <v>0</v>
      </c>
      <c r="P28" s="40">
        <f t="shared" si="15"/>
        <v>0</v>
      </c>
      <c r="Q28" s="40">
        <f t="shared" si="15"/>
        <v>0</v>
      </c>
      <c r="R28" s="40">
        <f t="shared" si="15"/>
        <v>0</v>
      </c>
      <c r="S28" s="40">
        <f t="shared" si="15"/>
        <v>0</v>
      </c>
      <c r="T28" s="40">
        <f t="shared" si="15"/>
        <v>0</v>
      </c>
      <c r="U28" s="40">
        <f t="shared" si="15"/>
        <v>0</v>
      </c>
      <c r="V28" s="40">
        <f t="shared" si="15"/>
        <v>0</v>
      </c>
      <c r="W28" s="40">
        <f t="shared" si="3"/>
        <v>0</v>
      </c>
      <c r="X28" s="40"/>
      <c r="Y28" s="40"/>
      <c r="Z28" s="40"/>
      <c r="AA28" s="40"/>
    </row>
    <row r="29" ht="11.25">
      <c r="B29" s="40"/>
    </row>
    <row r="30" spans="1:2" ht="11.25">
      <c r="A30" s="44" t="s">
        <v>106</v>
      </c>
      <c r="B30" s="52"/>
    </row>
    <row r="31" ht="11.25">
      <c r="B31" s="40"/>
    </row>
    <row r="32" spans="1:22" ht="11.25">
      <c r="A32" s="1" t="s">
        <v>92</v>
      </c>
      <c r="B32" s="40">
        <f>0-budget!$B$14*1000</f>
        <v>-26750831.7365616</v>
      </c>
      <c r="C32" s="40">
        <f>C8-C11</f>
        <v>2416549.400467099</v>
      </c>
      <c r="D32" s="40">
        <f aca="true" t="shared" si="16" ref="D32:V32">D8-D11</f>
        <v>2573309.8164670994</v>
      </c>
      <c r="E32" s="40">
        <f t="shared" si="16"/>
        <v>2573309.8164670994</v>
      </c>
      <c r="F32" s="40">
        <f t="shared" si="16"/>
        <v>2573309.8164670994</v>
      </c>
      <c r="G32" s="40">
        <f t="shared" si="16"/>
        <v>2515385.812759963</v>
      </c>
      <c r="H32" s="40">
        <f t="shared" si="16"/>
        <v>2515385.812759963</v>
      </c>
      <c r="I32" s="40">
        <f t="shared" si="16"/>
        <v>2358625.3967599627</v>
      </c>
      <c r="J32" s="40">
        <f t="shared" si="16"/>
        <v>2358625.3967599627</v>
      </c>
      <c r="K32" s="40">
        <f t="shared" si="16"/>
        <v>2358625.3967599627</v>
      </c>
      <c r="L32" s="40">
        <f t="shared" si="16"/>
        <v>2358625.3967599627</v>
      </c>
      <c r="M32" s="40">
        <f t="shared" si="16"/>
        <v>2358625.3967599627</v>
      </c>
      <c r="N32" s="40">
        <f t="shared" si="16"/>
        <v>2358625.3967599627</v>
      </c>
      <c r="O32" s="40">
        <f t="shared" si="16"/>
        <v>2358625.3967599627</v>
      </c>
      <c r="P32" s="40">
        <f t="shared" si="16"/>
        <v>2358625.3967599627</v>
      </c>
      <c r="Q32" s="40">
        <f t="shared" si="16"/>
        <v>2358625.3967599627</v>
      </c>
      <c r="R32" s="40">
        <f t="shared" si="16"/>
        <v>2358625.3967599627</v>
      </c>
      <c r="S32" s="40">
        <f t="shared" si="16"/>
        <v>2358625.3967599627</v>
      </c>
      <c r="T32" s="40">
        <f t="shared" si="16"/>
        <v>2358625.3967599627</v>
      </c>
      <c r="U32" s="40">
        <f t="shared" si="16"/>
        <v>2358625.3967599627</v>
      </c>
      <c r="V32" s="40">
        <f t="shared" si="16"/>
        <v>2358625.3967599627</v>
      </c>
    </row>
    <row r="33" spans="1:32" ht="11.25">
      <c r="A33" s="1" t="s">
        <v>93</v>
      </c>
      <c r="B33" s="40">
        <f>B32</f>
        <v>-26750831.7365616</v>
      </c>
      <c r="C33" s="40">
        <f>C32*0.85</f>
        <v>2054066.9903970342</v>
      </c>
      <c r="D33" s="40">
        <f aca="true" t="shared" si="17" ref="D33:N33">D32*0.85</f>
        <v>2187313.3439970342</v>
      </c>
      <c r="E33" s="40">
        <f t="shared" si="17"/>
        <v>2187313.3439970342</v>
      </c>
      <c r="F33" s="40">
        <f t="shared" si="17"/>
        <v>2187313.3439970342</v>
      </c>
      <c r="G33" s="40">
        <f t="shared" si="17"/>
        <v>2138077.940845968</v>
      </c>
      <c r="H33" s="40">
        <f t="shared" si="17"/>
        <v>2138077.940845968</v>
      </c>
      <c r="I33" s="40">
        <f t="shared" si="17"/>
        <v>2004831.5872459682</v>
      </c>
      <c r="J33" s="40">
        <f t="shared" si="17"/>
        <v>2004831.5872459682</v>
      </c>
      <c r="K33" s="40">
        <f t="shared" si="17"/>
        <v>2004831.5872459682</v>
      </c>
      <c r="L33" s="40">
        <f t="shared" si="17"/>
        <v>2004831.5872459682</v>
      </c>
      <c r="M33" s="40">
        <f t="shared" si="17"/>
        <v>2004831.5872459682</v>
      </c>
      <c r="N33" s="40">
        <f t="shared" si="17"/>
        <v>2004831.5872459682</v>
      </c>
      <c r="O33" s="40">
        <f aca="true" t="shared" si="18" ref="O33:V33">O32*0.85</f>
        <v>2004831.5872459682</v>
      </c>
      <c r="P33" s="40">
        <f t="shared" si="18"/>
        <v>2004831.5872459682</v>
      </c>
      <c r="Q33" s="40">
        <f t="shared" si="18"/>
        <v>2004831.5872459682</v>
      </c>
      <c r="R33" s="40">
        <f t="shared" si="18"/>
        <v>2004831.5872459682</v>
      </c>
      <c r="S33" s="40">
        <f t="shared" si="18"/>
        <v>2004831.5872459682</v>
      </c>
      <c r="T33" s="40">
        <f t="shared" si="18"/>
        <v>2004831.5872459682</v>
      </c>
      <c r="U33" s="40">
        <f t="shared" si="18"/>
        <v>2004831.5872459682</v>
      </c>
      <c r="V33" s="40">
        <f t="shared" si="18"/>
        <v>2004831.5872459682</v>
      </c>
      <c r="X33" s="40"/>
      <c r="Y33" s="40"/>
      <c r="Z33" s="40"/>
      <c r="AA33" s="40"/>
      <c r="AB33" s="40"/>
      <c r="AC33" s="40"/>
      <c r="AD33" s="40"/>
      <c r="AE33" s="40"/>
      <c r="AF33" s="40"/>
    </row>
    <row r="34" spans="1:22" ht="11.25">
      <c r="A34" s="1" t="s">
        <v>94</v>
      </c>
      <c r="B34" s="40">
        <f>B33</f>
        <v>-26750831.7365616</v>
      </c>
      <c r="C34" s="40">
        <f>C6-C11</f>
        <v>2416549.400467099</v>
      </c>
      <c r="D34" s="40">
        <f aca="true" t="shared" si="19" ref="D34:V34">D6-D11</f>
        <v>2416549.400467099</v>
      </c>
      <c r="E34" s="40">
        <f t="shared" si="19"/>
        <v>2416549.400467099</v>
      </c>
      <c r="F34" s="40">
        <f t="shared" si="19"/>
        <v>2416549.400467099</v>
      </c>
      <c r="G34" s="40">
        <f t="shared" si="19"/>
        <v>2358625.3967599627</v>
      </c>
      <c r="H34" s="40">
        <f t="shared" si="19"/>
        <v>2358625.3967599627</v>
      </c>
      <c r="I34" s="40">
        <f t="shared" si="19"/>
        <v>2358625.3967599627</v>
      </c>
      <c r="J34" s="40">
        <f t="shared" si="19"/>
        <v>2358625.3967599627</v>
      </c>
      <c r="K34" s="40">
        <f t="shared" si="19"/>
        <v>2358625.3967599627</v>
      </c>
      <c r="L34" s="40">
        <f t="shared" si="19"/>
        <v>2358625.3967599627</v>
      </c>
      <c r="M34" s="40">
        <f t="shared" si="19"/>
        <v>2358625.3967599627</v>
      </c>
      <c r="N34" s="40">
        <f t="shared" si="19"/>
        <v>2358625.3967599627</v>
      </c>
      <c r="O34" s="40">
        <f t="shared" si="19"/>
        <v>2358625.3967599627</v>
      </c>
      <c r="P34" s="40">
        <f t="shared" si="19"/>
        <v>2358625.3967599627</v>
      </c>
      <c r="Q34" s="40">
        <f t="shared" si="19"/>
        <v>2358625.3967599627</v>
      </c>
      <c r="R34" s="40">
        <f t="shared" si="19"/>
        <v>2358625.3967599627</v>
      </c>
      <c r="S34" s="40">
        <f t="shared" si="19"/>
        <v>2358625.3967599627</v>
      </c>
      <c r="T34" s="40">
        <f t="shared" si="19"/>
        <v>2358625.3967599627</v>
      </c>
      <c r="U34" s="40">
        <f t="shared" si="19"/>
        <v>2358625.3967599627</v>
      </c>
      <c r="V34" s="40">
        <f t="shared" si="19"/>
        <v>2358625.3967599627</v>
      </c>
    </row>
    <row r="35" spans="1:22" ht="11.25">
      <c r="A35" s="1" t="s">
        <v>95</v>
      </c>
      <c r="B35" s="40">
        <f>B34</f>
        <v>-26750831.7365616</v>
      </c>
      <c r="C35" s="40">
        <f>C34*0.85</f>
        <v>2054066.9903970342</v>
      </c>
      <c r="D35" s="40">
        <f aca="true" t="shared" si="20" ref="D35:N35">D34*0.85</f>
        <v>2054066.9903970342</v>
      </c>
      <c r="E35" s="40">
        <f t="shared" si="20"/>
        <v>2054066.9903970342</v>
      </c>
      <c r="F35" s="40">
        <f t="shared" si="20"/>
        <v>2054066.9903970342</v>
      </c>
      <c r="G35" s="40">
        <f t="shared" si="20"/>
        <v>2004831.5872459682</v>
      </c>
      <c r="H35" s="40">
        <f t="shared" si="20"/>
        <v>2004831.5872459682</v>
      </c>
      <c r="I35" s="40">
        <f t="shared" si="20"/>
        <v>2004831.5872459682</v>
      </c>
      <c r="J35" s="40">
        <f t="shared" si="20"/>
        <v>2004831.5872459682</v>
      </c>
      <c r="K35" s="40">
        <f t="shared" si="20"/>
        <v>2004831.5872459682</v>
      </c>
      <c r="L35" s="40">
        <f t="shared" si="20"/>
        <v>2004831.5872459682</v>
      </c>
      <c r="M35" s="40">
        <f t="shared" si="20"/>
        <v>2004831.5872459682</v>
      </c>
      <c r="N35" s="40">
        <f t="shared" si="20"/>
        <v>2004831.5872459682</v>
      </c>
      <c r="O35" s="40">
        <f aca="true" t="shared" si="21" ref="O35:V35">O34*0.85</f>
        <v>2004831.5872459682</v>
      </c>
      <c r="P35" s="40">
        <f t="shared" si="21"/>
        <v>2004831.5872459682</v>
      </c>
      <c r="Q35" s="40">
        <f t="shared" si="21"/>
        <v>2004831.5872459682</v>
      </c>
      <c r="R35" s="40">
        <f t="shared" si="21"/>
        <v>2004831.5872459682</v>
      </c>
      <c r="S35" s="40">
        <f t="shared" si="21"/>
        <v>2004831.5872459682</v>
      </c>
      <c r="T35" s="40">
        <f t="shared" si="21"/>
        <v>2004831.5872459682</v>
      </c>
      <c r="U35" s="40">
        <f t="shared" si="21"/>
        <v>2004831.5872459682</v>
      </c>
      <c r="V35" s="40">
        <f t="shared" si="21"/>
        <v>2004831.5872459682</v>
      </c>
    </row>
    <row r="36" ht="11.25">
      <c r="C36" s="2"/>
    </row>
    <row r="37" spans="1:2" ht="11.25">
      <c r="A37" s="45" t="s">
        <v>100</v>
      </c>
      <c r="B37" s="62">
        <f>IRR(B32:V32,0.01)</f>
        <v>0.06522901111337102</v>
      </c>
    </row>
    <row r="38" spans="1:2" ht="11.25">
      <c r="A38" s="45" t="s">
        <v>101</v>
      </c>
      <c r="B38" s="61">
        <f>budget!B14*1000/'cash flow'!B43</f>
        <v>11.102692948071816</v>
      </c>
    </row>
    <row r="39" spans="1:2" ht="11.25">
      <c r="A39" s="45"/>
      <c r="B39" s="46"/>
    </row>
    <row r="40" spans="1:2" ht="11.25">
      <c r="A40" s="45" t="s">
        <v>102</v>
      </c>
      <c r="B40" s="62">
        <f>IRR(B34:V34,0.2)</f>
        <v>0.06231922040959814</v>
      </c>
    </row>
    <row r="41" spans="1:2" ht="11.25">
      <c r="A41" s="45" t="s">
        <v>103</v>
      </c>
      <c r="B41" s="61">
        <f>budget!B14*1000/'cash flow'!B44</f>
        <v>11.286269785169928</v>
      </c>
    </row>
    <row r="42" spans="1:2" ht="11.25">
      <c r="A42" s="45"/>
      <c r="B42" s="46"/>
    </row>
    <row r="43" spans="1:23" s="59" customFormat="1" ht="11.25">
      <c r="A43" s="57" t="s">
        <v>96</v>
      </c>
      <c r="B43" s="60">
        <f>AVERAGE(C32:V32)</f>
        <v>2409400.301501391</v>
      </c>
      <c r="W43" s="60"/>
    </row>
    <row r="44" spans="1:23" s="59" customFormat="1" ht="11.25">
      <c r="A44" s="57" t="s">
        <v>97</v>
      </c>
      <c r="B44" s="60">
        <f>AVERAGE(C34:V34)</f>
        <v>2370210.197501391</v>
      </c>
      <c r="W44" s="60"/>
    </row>
    <row r="45" spans="1:2" ht="11.25">
      <c r="A45" s="45"/>
      <c r="B45" s="46"/>
    </row>
    <row r="46" spans="1:2" ht="11.25">
      <c r="A46" s="57" t="s">
        <v>98</v>
      </c>
      <c r="B46" s="58">
        <f>IRR(B33:V33,0.15)</f>
        <v>0.0452818565230021</v>
      </c>
    </row>
    <row r="47" spans="1:2" ht="11.25">
      <c r="A47" s="57" t="s">
        <v>99</v>
      </c>
      <c r="B47" s="58">
        <f>IRR(B35:V35,0.14)</f>
        <v>0.042841973554333695</v>
      </c>
    </row>
    <row r="48" spans="1:2" ht="11.25">
      <c r="A48" s="45"/>
      <c r="B48" s="46"/>
    </row>
    <row r="49" spans="1:2" ht="11.25">
      <c r="A49" s="1" t="s">
        <v>84</v>
      </c>
      <c r="B49" s="48">
        <f>C5*$B$53/1000</f>
        <v>26126.736</v>
      </c>
    </row>
    <row r="50" spans="1:2" ht="11.25">
      <c r="A50" s="1" t="s">
        <v>83</v>
      </c>
      <c r="B50" s="48">
        <f>B49*5</f>
        <v>130633.68000000001</v>
      </c>
    </row>
    <row r="51" spans="1:2" ht="11.25">
      <c r="A51" s="1" t="s">
        <v>85</v>
      </c>
      <c r="B51" s="40">
        <f>B49*20</f>
        <v>522534.72000000003</v>
      </c>
    </row>
    <row r="52" spans="1:2" ht="11.25">
      <c r="A52" s="1" t="s">
        <v>86</v>
      </c>
      <c r="B52" s="40">
        <f>SUM(D7:H7)</f>
        <v>783802.08</v>
      </c>
    </row>
    <row r="53" spans="1:2" ht="11.25">
      <c r="A53" s="1" t="s">
        <v>82</v>
      </c>
      <c r="B53" s="1">
        <v>0.626</v>
      </c>
    </row>
    <row r="54" spans="1:2" ht="11.25">
      <c r="A54" s="1" t="s">
        <v>81</v>
      </c>
      <c r="B54" s="1">
        <v>6</v>
      </c>
    </row>
    <row r="55" spans="1:2" ht="11.25">
      <c r="A55" s="1" t="s">
        <v>87</v>
      </c>
      <c r="B55" s="1">
        <v>0.063716</v>
      </c>
    </row>
    <row r="60" spans="2:5" ht="11.25">
      <c r="B60" s="60"/>
      <c r="C60" s="60"/>
      <c r="D60" s="60"/>
      <c r="E60" s="60"/>
    </row>
    <row r="61" spans="2:5" ht="11.25">
      <c r="B61" s="60"/>
      <c r="C61" s="60"/>
      <c r="D61" s="60"/>
      <c r="E61" s="60"/>
    </row>
    <row r="63" ht="11.25">
      <c r="B63" s="7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workbookViewId="0" topLeftCell="A1">
      <pane xSplit="1" ySplit="2" topLeftCell="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"/>
    </sheetView>
  </sheetViews>
  <sheetFormatPr defaultColWidth="9.140625" defaultRowHeight="12.75"/>
  <cols>
    <col min="1" max="1" width="37.421875" style="15" customWidth="1"/>
    <col min="2" max="17" width="10.421875" style="15" customWidth="1"/>
    <col min="18" max="18" width="10.421875" style="16" customWidth="1"/>
    <col min="19" max="16384" width="10.421875" style="15" customWidth="1"/>
  </cols>
  <sheetData>
    <row r="1" spans="2:17" ht="11.25">
      <c r="B1" s="16" t="s">
        <v>17</v>
      </c>
      <c r="C1" s="16"/>
      <c r="D1" s="16"/>
      <c r="E1" s="16" t="s">
        <v>18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 t="s">
        <v>54</v>
      </c>
    </row>
    <row r="2" spans="1:18" ht="12" thickBot="1">
      <c r="A2" s="34" t="s">
        <v>53</v>
      </c>
      <c r="B2" s="35" t="s">
        <v>14</v>
      </c>
      <c r="C2" s="35" t="s">
        <v>15</v>
      </c>
      <c r="D2" s="35" t="s">
        <v>16</v>
      </c>
      <c r="E2" s="35" t="s">
        <v>19</v>
      </c>
      <c r="F2" s="35" t="s">
        <v>20</v>
      </c>
      <c r="G2" s="35" t="s">
        <v>21</v>
      </c>
      <c r="H2" s="35" t="s">
        <v>22</v>
      </c>
      <c r="I2" s="35" t="s">
        <v>23</v>
      </c>
      <c r="J2" s="35" t="s">
        <v>24</v>
      </c>
      <c r="K2" s="35" t="s">
        <v>25</v>
      </c>
      <c r="L2" s="35" t="s">
        <v>26</v>
      </c>
      <c r="M2" s="35" t="s">
        <v>27</v>
      </c>
      <c r="N2" s="35" t="s">
        <v>14</v>
      </c>
      <c r="O2" s="35" t="s">
        <v>15</v>
      </c>
      <c r="P2" s="35" t="s">
        <v>16</v>
      </c>
      <c r="Q2" s="35" t="s">
        <v>19</v>
      </c>
      <c r="R2" s="36" t="s">
        <v>28</v>
      </c>
    </row>
    <row r="3" spans="1:18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11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1.25">
      <c r="A5" s="15" t="s">
        <v>29</v>
      </c>
      <c r="B5" s="30">
        <v>0</v>
      </c>
      <c r="C5" s="29">
        <v>262</v>
      </c>
      <c r="D5" s="30">
        <v>0</v>
      </c>
      <c r="E5" s="30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6">
        <f>SUM(B5:Q5)</f>
        <v>262</v>
      </c>
    </row>
    <row r="6" spans="1:18" ht="11.25">
      <c r="A6" s="15" t="s">
        <v>31</v>
      </c>
      <c r="B6" s="30">
        <v>0</v>
      </c>
      <c r="C6" s="30">
        <v>330</v>
      </c>
      <c r="D6" s="30">
        <v>0</v>
      </c>
      <c r="E6" s="30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70</v>
      </c>
      <c r="R6" s="16">
        <f>SUM(B6:Q6)</f>
        <v>400</v>
      </c>
    </row>
    <row r="7" spans="1:18" ht="11.25">
      <c r="A7" s="15" t="s">
        <v>30</v>
      </c>
      <c r="B7" s="30">
        <v>0</v>
      </c>
      <c r="C7" s="30">
        <v>50</v>
      </c>
      <c r="D7" s="30">
        <v>0</v>
      </c>
      <c r="E7" s="30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6">
        <f>SUM(B7:Q7)</f>
        <v>50</v>
      </c>
    </row>
    <row r="8" spans="1:18" ht="11.25">
      <c r="A8" s="26" t="s">
        <v>32</v>
      </c>
      <c r="B8" s="31">
        <v>0</v>
      </c>
      <c r="C8" s="31">
        <v>6</v>
      </c>
      <c r="D8" s="31">
        <v>0</v>
      </c>
      <c r="E8" s="31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7">
        <f>SUM(B8:Q8)</f>
        <v>6</v>
      </c>
    </row>
    <row r="9" spans="1:18" ht="11.25">
      <c r="A9" s="18" t="s">
        <v>33</v>
      </c>
      <c r="B9" s="32">
        <v>0</v>
      </c>
      <c r="C9" s="32">
        <v>2</v>
      </c>
      <c r="D9" s="32">
        <v>0</v>
      </c>
      <c r="E9" s="32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23">
        <f>SUM(B9:Q9)</f>
        <v>2</v>
      </c>
    </row>
    <row r="10" spans="1:18" s="22" customFormat="1" ht="11.25">
      <c r="A10" s="22" t="s">
        <v>34</v>
      </c>
      <c r="B10" s="33">
        <f>SUM(B5:B9)</f>
        <v>0</v>
      </c>
      <c r="C10" s="33">
        <f aca="true" t="shared" si="0" ref="C10:I10">SUM(C5:C9)</f>
        <v>650</v>
      </c>
      <c r="D10" s="33">
        <f t="shared" si="0"/>
        <v>0</v>
      </c>
      <c r="E10" s="33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aca="true" t="shared" si="1" ref="J10:R10">SUM(J5:J9)</f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70</v>
      </c>
      <c r="R10" s="20">
        <f t="shared" si="1"/>
        <v>720</v>
      </c>
    </row>
    <row r="11" ht="11.25"/>
    <row r="12" spans="1:18" ht="11.25">
      <c r="A12" s="17" t="s">
        <v>35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3"/>
    </row>
    <row r="13" spans="1:18" ht="11.25">
      <c r="A13" s="15" t="s">
        <v>36</v>
      </c>
      <c r="B13" s="15">
        <v>0</v>
      </c>
      <c r="C13" s="15">
        <f>budget!B4*0.15</f>
        <v>2973.600121640408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>budget!B4*0.3</f>
        <v>5947.200243280816</v>
      </c>
      <c r="L13" s="15">
        <v>0</v>
      </c>
      <c r="M13" s="15">
        <f>budget!B4*0.3</f>
        <v>5947.200243280816</v>
      </c>
      <c r="N13" s="15">
        <v>0</v>
      </c>
      <c r="O13" s="15">
        <f>budget!B4*0.25</f>
        <v>4956.000202734013</v>
      </c>
      <c r="P13" s="15">
        <v>0</v>
      </c>
      <c r="Q13" s="15">
        <v>0</v>
      </c>
      <c r="R13" s="16">
        <f>SUM(B13:Q13)</f>
        <v>19824.000810936053</v>
      </c>
    </row>
    <row r="14" spans="1:18" ht="11.25">
      <c r="A14" s="18" t="s">
        <v>37</v>
      </c>
      <c r="B14" s="18">
        <v>0</v>
      </c>
      <c r="C14" s="18">
        <f>budget!B5*0.15</f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f>budget!B5*0.3</f>
        <v>0</v>
      </c>
      <c r="L14" s="18">
        <v>0</v>
      </c>
      <c r="M14" s="18">
        <f>budget!B5*0.3</f>
        <v>0</v>
      </c>
      <c r="N14" s="18">
        <v>0</v>
      </c>
      <c r="O14" s="18">
        <f>budget!B5*0.25</f>
        <v>0</v>
      </c>
      <c r="P14" s="18">
        <v>0</v>
      </c>
      <c r="Q14" s="18">
        <v>0</v>
      </c>
      <c r="R14" s="23">
        <f>SUM(B14:Q14)</f>
        <v>0</v>
      </c>
    </row>
    <row r="15" spans="1:18" ht="11.25">
      <c r="A15" s="22" t="s">
        <v>34</v>
      </c>
      <c r="B15" s="22">
        <f>SUM(B13:B14)</f>
        <v>0</v>
      </c>
      <c r="C15" s="22">
        <f aca="true" t="shared" si="2" ref="C15:I15">SUM(C13:C14)</f>
        <v>2973.600121640408</v>
      </c>
      <c r="D15" s="22">
        <f t="shared" si="2"/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aca="true" t="shared" si="3" ref="J15:R15">SUM(J13:J14)</f>
        <v>0</v>
      </c>
      <c r="K15" s="22">
        <f t="shared" si="3"/>
        <v>5947.200243280816</v>
      </c>
      <c r="L15" s="22">
        <f t="shared" si="3"/>
        <v>0</v>
      </c>
      <c r="M15" s="22">
        <f t="shared" si="3"/>
        <v>5947.200243280816</v>
      </c>
      <c r="N15" s="22">
        <f t="shared" si="3"/>
        <v>0</v>
      </c>
      <c r="O15" s="22">
        <f t="shared" si="3"/>
        <v>4956.000202734013</v>
      </c>
      <c r="P15" s="22">
        <f t="shared" si="3"/>
        <v>0</v>
      </c>
      <c r="Q15" s="22">
        <f t="shared" si="3"/>
        <v>0</v>
      </c>
      <c r="R15" s="20">
        <f t="shared" si="3"/>
        <v>19824.000810936053</v>
      </c>
    </row>
    <row r="16" ht="11.25"/>
    <row r="17" spans="1:18" ht="11.25">
      <c r="A17" s="17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/>
    </row>
    <row r="18" spans="1:18" ht="11.25">
      <c r="A18" s="22" t="s">
        <v>34</v>
      </c>
      <c r="B18" s="15">
        <v>0</v>
      </c>
      <c r="C18" s="15">
        <f>budget!B7*0.3</f>
        <v>0</v>
      </c>
      <c r="D18" s="15">
        <f>budget!B7*0.7</f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0">
        <f>SUM(B18:Q18)</f>
        <v>0</v>
      </c>
    </row>
    <row r="19" ht="11.25"/>
    <row r="20" spans="1:18" ht="11.25">
      <c r="A20" s="17" t="s">
        <v>39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3"/>
    </row>
    <row r="21" spans="1:18" ht="11.25">
      <c r="A21" s="15" t="s">
        <v>40</v>
      </c>
      <c r="B21" s="15">
        <v>0</v>
      </c>
      <c r="C21" s="15">
        <f>250*0.1</f>
        <v>25</v>
      </c>
      <c r="D21" s="15">
        <v>0</v>
      </c>
      <c r="E21" s="15">
        <f>250*0.3*0.85</f>
        <v>63.75</v>
      </c>
      <c r="F21" s="15">
        <v>0</v>
      </c>
      <c r="G21" s="15">
        <f>250*0.3*0.85</f>
        <v>63.75</v>
      </c>
      <c r="H21" s="15">
        <v>0</v>
      </c>
      <c r="I21" s="15">
        <f>250*0.3*0.85</f>
        <v>63.75</v>
      </c>
      <c r="J21" s="15">
        <v>0</v>
      </c>
      <c r="K21" s="15">
        <f>250*0.135</f>
        <v>33.75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f>SUM(B21:Q21)</f>
        <v>250</v>
      </c>
    </row>
    <row r="22" spans="1:18" ht="11.25">
      <c r="A22" s="15" t="s">
        <v>41</v>
      </c>
      <c r="B22" s="15">
        <v>0</v>
      </c>
      <c r="C22" s="15">
        <v>0</v>
      </c>
      <c r="D22" s="15">
        <v>0</v>
      </c>
      <c r="E22" s="15">
        <v>0</v>
      </c>
      <c r="F22" s="15">
        <f>480*0.1</f>
        <v>48</v>
      </c>
      <c r="G22" s="15">
        <v>0</v>
      </c>
      <c r="H22" s="15">
        <f>480*0.3*0.85</f>
        <v>122.39999999999999</v>
      </c>
      <c r="I22" s="15">
        <v>0</v>
      </c>
      <c r="J22" s="15">
        <f>480*0.3*0.85</f>
        <v>122.39999999999999</v>
      </c>
      <c r="K22" s="15">
        <v>0</v>
      </c>
      <c r="L22" s="15">
        <f>(480*0.3*0.85)+(480*0.135)</f>
        <v>187.2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f>SUM(B22:Q22)</f>
        <v>479.99999999999994</v>
      </c>
    </row>
    <row r="23" spans="1:18" ht="11.25">
      <c r="A23" s="18" t="s">
        <v>42</v>
      </c>
      <c r="B23" s="18">
        <v>0</v>
      </c>
      <c r="C23" s="18">
        <v>0</v>
      </c>
      <c r="D23" s="18">
        <v>0</v>
      </c>
      <c r="E23" s="18">
        <v>0</v>
      </c>
      <c r="F23" s="18">
        <f>470*0.1</f>
        <v>47</v>
      </c>
      <c r="G23" s="18">
        <v>0</v>
      </c>
      <c r="H23" s="18">
        <f>470*0.3*0.85</f>
        <v>119.85</v>
      </c>
      <c r="I23" s="18">
        <v>0</v>
      </c>
      <c r="J23" s="18">
        <f>470*0.3*0.85</f>
        <v>119.85</v>
      </c>
      <c r="K23" s="18">
        <v>0</v>
      </c>
      <c r="L23" s="18">
        <f>(470*0.3*0.85)+(470*0.135)</f>
        <v>183.3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23">
        <f>SUM(B23:Q23)</f>
        <v>470</v>
      </c>
    </row>
    <row r="24" spans="1:18" ht="11.25">
      <c r="A24" s="22" t="s">
        <v>34</v>
      </c>
      <c r="B24" s="22">
        <f>SUM(B21:B23)</f>
        <v>0</v>
      </c>
      <c r="C24" s="22">
        <f aca="true" t="shared" si="4" ref="C24:H24">SUM(C21:C23)</f>
        <v>25</v>
      </c>
      <c r="D24" s="22">
        <f t="shared" si="4"/>
        <v>0</v>
      </c>
      <c r="E24" s="22">
        <f t="shared" si="4"/>
        <v>63.75</v>
      </c>
      <c r="F24" s="22">
        <f t="shared" si="4"/>
        <v>95</v>
      </c>
      <c r="G24" s="22">
        <f t="shared" si="4"/>
        <v>63.75</v>
      </c>
      <c r="H24" s="22">
        <f t="shared" si="4"/>
        <v>242.25</v>
      </c>
      <c r="I24" s="22">
        <f aca="true" t="shared" si="5" ref="I24:R24">SUM(I21:I23)</f>
        <v>63.75</v>
      </c>
      <c r="J24" s="22">
        <f t="shared" si="5"/>
        <v>242.25</v>
      </c>
      <c r="K24" s="22">
        <f t="shared" si="5"/>
        <v>33.75</v>
      </c>
      <c r="L24" s="22">
        <f t="shared" si="5"/>
        <v>370.5</v>
      </c>
      <c r="M24" s="22">
        <f t="shared" si="5"/>
        <v>0</v>
      </c>
      <c r="N24" s="22">
        <f t="shared" si="5"/>
        <v>0</v>
      </c>
      <c r="O24" s="22">
        <f t="shared" si="5"/>
        <v>0</v>
      </c>
      <c r="P24" s="22">
        <f t="shared" si="5"/>
        <v>0</v>
      </c>
      <c r="Q24" s="22">
        <f t="shared" si="5"/>
        <v>0</v>
      </c>
      <c r="R24" s="20">
        <f t="shared" si="5"/>
        <v>1200</v>
      </c>
    </row>
    <row r="25" ht="11.25"/>
    <row r="26" spans="1:18" ht="11.25">
      <c r="A26" s="17" t="s">
        <v>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3"/>
    </row>
    <row r="27" spans="1:18" ht="11.25">
      <c r="A27" s="22" t="s">
        <v>34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>budget!B9*0.25</f>
        <v>348.5451662418906</v>
      </c>
      <c r="J27" s="15">
        <f>budget!B9*0.25</f>
        <v>348.5451662418906</v>
      </c>
      <c r="K27" s="15">
        <f>budget!B9*0.25</f>
        <v>348.5451662418906</v>
      </c>
      <c r="L27" s="15">
        <f>budget!B9*0.25</f>
        <v>348.5451662418906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20">
        <f>SUM(B27:Q27)</f>
        <v>1394.1806649675625</v>
      </c>
    </row>
    <row r="28" ht="11.25"/>
    <row r="29" spans="1:18" ht="11.25">
      <c r="A29" s="17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3"/>
    </row>
    <row r="30" spans="1:18" ht="11.25">
      <c r="A30" s="15" t="s">
        <v>44</v>
      </c>
      <c r="B30" s="15">
        <v>0</v>
      </c>
      <c r="C30" s="15">
        <v>0</v>
      </c>
      <c r="D30" s="15">
        <f>1822.1*0.5</f>
        <v>911.05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1822.1*0.5</f>
        <v>911.05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f>SUM(B30:Q30)</f>
        <v>1822.1</v>
      </c>
    </row>
    <row r="31" spans="1:18" ht="11.25">
      <c r="A31" s="18" t="s">
        <v>43</v>
      </c>
      <c r="B31" s="18">
        <v>0</v>
      </c>
      <c r="C31" s="18">
        <f>1273*0.3+38</f>
        <v>419.9</v>
      </c>
      <c r="D31" s="18">
        <v>0</v>
      </c>
      <c r="E31" s="18">
        <v>0</v>
      </c>
      <c r="F31" s="18">
        <v>0</v>
      </c>
      <c r="G31" s="18">
        <f>1273*0.3</f>
        <v>381.9</v>
      </c>
      <c r="H31" s="18">
        <v>0</v>
      </c>
      <c r="I31" s="18">
        <v>0</v>
      </c>
      <c r="J31" s="18">
        <f>1273*0.3</f>
        <v>381.9</v>
      </c>
      <c r="K31" s="18">
        <f>1273*0.1</f>
        <v>127.30000000000001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3">
        <f>SUM(B31:Q31)</f>
        <v>1310.9999999999998</v>
      </c>
    </row>
    <row r="32" spans="1:18" ht="11.25">
      <c r="A32" s="22" t="s">
        <v>34</v>
      </c>
      <c r="B32" s="22">
        <f>SUM(B30:B31)</f>
        <v>0</v>
      </c>
      <c r="C32" s="22">
        <f aca="true" t="shared" si="6" ref="C32:J32">SUM(C30:C31)</f>
        <v>419.9</v>
      </c>
      <c r="D32" s="22">
        <f t="shared" si="6"/>
        <v>911.05</v>
      </c>
      <c r="E32" s="22">
        <f t="shared" si="6"/>
        <v>0</v>
      </c>
      <c r="F32" s="22">
        <f t="shared" si="6"/>
        <v>0</v>
      </c>
      <c r="G32" s="22">
        <f t="shared" si="6"/>
        <v>381.9</v>
      </c>
      <c r="H32" s="22">
        <f t="shared" si="6"/>
        <v>0</v>
      </c>
      <c r="I32" s="22">
        <f t="shared" si="6"/>
        <v>0</v>
      </c>
      <c r="J32" s="22">
        <f t="shared" si="6"/>
        <v>1292.9499999999998</v>
      </c>
      <c r="K32" s="22">
        <f aca="true" t="shared" si="7" ref="K32:R32">SUM(K30:K31)</f>
        <v>127.30000000000001</v>
      </c>
      <c r="L32" s="22">
        <f t="shared" si="7"/>
        <v>0</v>
      </c>
      <c r="M32" s="22">
        <f t="shared" si="7"/>
        <v>0</v>
      </c>
      <c r="N32" s="15">
        <f t="shared" si="7"/>
        <v>0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20">
        <f t="shared" si="7"/>
        <v>3133.0999999999995</v>
      </c>
    </row>
    <row r="33" ht="11.25">
      <c r="R33" s="20"/>
    </row>
    <row r="34" spans="1:18" ht="11.25">
      <c r="A34" s="17" t="s">
        <v>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1"/>
    </row>
    <row r="35" spans="1:18" ht="11.25">
      <c r="A35" s="15" t="s">
        <v>55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28</v>
      </c>
      <c r="R35" s="24">
        <f aca="true" t="shared" si="8" ref="R35:R43">SUM(B35:Q35)</f>
        <v>28</v>
      </c>
    </row>
    <row r="36" spans="1:18" ht="11.25">
      <c r="A36" s="15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8">
        <v>53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24">
        <f t="shared" si="8"/>
        <v>53</v>
      </c>
    </row>
    <row r="37" spans="1:18" ht="11.25">
      <c r="A37" s="15" t="s">
        <v>46</v>
      </c>
      <c r="B37" s="15">
        <v>0</v>
      </c>
      <c r="C37" s="15">
        <v>0</v>
      </c>
      <c r="D37" s="15">
        <v>0</v>
      </c>
      <c r="E37" s="15">
        <v>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3</v>
      </c>
      <c r="R37" s="24">
        <f t="shared" si="8"/>
        <v>6</v>
      </c>
    </row>
    <row r="38" spans="1:18" ht="11.25">
      <c r="A38" s="15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24">
        <f t="shared" si="8"/>
        <v>6</v>
      </c>
    </row>
    <row r="39" spans="1:18" ht="11.25">
      <c r="A39" s="15" t="s">
        <v>51</v>
      </c>
      <c r="B39" s="15">
        <f aca="true" t="shared" si="9" ref="B39:Q39">B40+B41+B42</f>
        <v>12</v>
      </c>
      <c r="C39" s="15">
        <f t="shared" si="9"/>
        <v>12</v>
      </c>
      <c r="D39" s="15">
        <f t="shared" si="9"/>
        <v>12</v>
      </c>
      <c r="E39" s="15">
        <f t="shared" si="9"/>
        <v>12</v>
      </c>
      <c r="F39" s="15">
        <f t="shared" si="9"/>
        <v>12</v>
      </c>
      <c r="G39" s="15">
        <f t="shared" si="9"/>
        <v>12</v>
      </c>
      <c r="H39" s="15">
        <f t="shared" si="9"/>
        <v>12</v>
      </c>
      <c r="I39" s="15">
        <f t="shared" si="9"/>
        <v>12</v>
      </c>
      <c r="J39" s="15">
        <f t="shared" si="9"/>
        <v>12</v>
      </c>
      <c r="K39" s="15">
        <f t="shared" si="9"/>
        <v>12</v>
      </c>
      <c r="L39" s="15">
        <f t="shared" si="9"/>
        <v>12</v>
      </c>
      <c r="M39" s="15">
        <f t="shared" si="9"/>
        <v>12</v>
      </c>
      <c r="N39" s="15">
        <f t="shared" si="9"/>
        <v>12</v>
      </c>
      <c r="O39" s="15">
        <f t="shared" si="9"/>
        <v>11.3</v>
      </c>
      <c r="P39" s="15">
        <f t="shared" si="9"/>
        <v>11.3</v>
      </c>
      <c r="Q39" s="15">
        <f t="shared" si="9"/>
        <v>11.3</v>
      </c>
      <c r="R39" s="24">
        <f t="shared" si="8"/>
        <v>189.90000000000003</v>
      </c>
    </row>
    <row r="40" spans="1:18" ht="11.25">
      <c r="A40" s="15" t="s">
        <v>48</v>
      </c>
      <c r="B40" s="15">
        <v>7.3</v>
      </c>
      <c r="C40" s="15">
        <v>7.3</v>
      </c>
      <c r="D40" s="15">
        <v>7.3</v>
      </c>
      <c r="E40" s="15">
        <v>7.3</v>
      </c>
      <c r="F40" s="15">
        <v>7.3</v>
      </c>
      <c r="G40" s="15">
        <v>7.3</v>
      </c>
      <c r="H40" s="15">
        <v>7.3</v>
      </c>
      <c r="I40" s="15">
        <v>7.3</v>
      </c>
      <c r="J40" s="15">
        <v>7.3</v>
      </c>
      <c r="K40" s="15">
        <v>7.3</v>
      </c>
      <c r="L40" s="15">
        <v>7.3</v>
      </c>
      <c r="M40" s="15">
        <v>7.3</v>
      </c>
      <c r="N40" s="15">
        <v>7.3</v>
      </c>
      <c r="O40" s="15">
        <v>7.3</v>
      </c>
      <c r="P40" s="15">
        <v>7.3</v>
      </c>
      <c r="Q40" s="15">
        <v>7.3</v>
      </c>
      <c r="R40" s="25">
        <f t="shared" si="8"/>
        <v>116.79999999999997</v>
      </c>
    </row>
    <row r="41" spans="1:18" ht="11.25">
      <c r="A41" s="15" t="s">
        <v>49</v>
      </c>
      <c r="B41" s="15">
        <v>0.7</v>
      </c>
      <c r="C41" s="15">
        <v>0.7</v>
      </c>
      <c r="D41" s="15">
        <v>0.7</v>
      </c>
      <c r="E41" s="15">
        <v>0.7</v>
      </c>
      <c r="F41" s="15">
        <v>0.7</v>
      </c>
      <c r="G41" s="15">
        <v>0.7</v>
      </c>
      <c r="H41" s="15">
        <v>0.7</v>
      </c>
      <c r="I41" s="15">
        <v>0.7</v>
      </c>
      <c r="J41" s="15">
        <v>0.7</v>
      </c>
      <c r="K41" s="15">
        <v>0.7</v>
      </c>
      <c r="L41" s="15">
        <v>0.7</v>
      </c>
      <c r="M41" s="15">
        <v>0.7</v>
      </c>
      <c r="N41" s="15">
        <v>0.7</v>
      </c>
      <c r="O41" s="15">
        <v>0.7</v>
      </c>
      <c r="P41" s="15">
        <v>0.7</v>
      </c>
      <c r="Q41" s="15">
        <v>0.7</v>
      </c>
      <c r="R41" s="25">
        <f t="shared" si="8"/>
        <v>11.199999999999998</v>
      </c>
    </row>
    <row r="42" spans="1:18" ht="11.25">
      <c r="A42" s="15" t="s">
        <v>50</v>
      </c>
      <c r="B42" s="15">
        <v>4</v>
      </c>
      <c r="C42" s="15">
        <v>4</v>
      </c>
      <c r="D42" s="15">
        <v>4</v>
      </c>
      <c r="E42" s="15">
        <v>4</v>
      </c>
      <c r="F42" s="15">
        <v>4</v>
      </c>
      <c r="G42" s="15">
        <v>4</v>
      </c>
      <c r="H42" s="15">
        <v>4</v>
      </c>
      <c r="I42" s="15">
        <v>4</v>
      </c>
      <c r="J42" s="15">
        <v>4</v>
      </c>
      <c r="K42" s="15">
        <v>4</v>
      </c>
      <c r="L42" s="15">
        <v>4</v>
      </c>
      <c r="M42" s="15">
        <v>4</v>
      </c>
      <c r="N42" s="15">
        <v>4</v>
      </c>
      <c r="O42" s="15">
        <v>3.3</v>
      </c>
      <c r="P42" s="15">
        <v>3.3</v>
      </c>
      <c r="Q42" s="15">
        <v>3.3</v>
      </c>
      <c r="R42" s="25">
        <f t="shared" si="8"/>
        <v>61.89999999999999</v>
      </c>
    </row>
    <row r="43" spans="1:18" ht="11.25">
      <c r="A43" s="18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5</v>
      </c>
      <c r="R43" s="19">
        <f t="shared" si="8"/>
        <v>5</v>
      </c>
    </row>
    <row r="44" spans="1:18" ht="11.25">
      <c r="A44" s="22" t="s">
        <v>34</v>
      </c>
      <c r="B44" s="22">
        <f aca="true" t="shared" si="10" ref="B44:Q44">B35+B36+B39+B43</f>
        <v>12</v>
      </c>
      <c r="C44" s="22">
        <f t="shared" si="10"/>
        <v>12</v>
      </c>
      <c r="D44" s="22">
        <f t="shared" si="10"/>
        <v>12</v>
      </c>
      <c r="E44" s="22">
        <f t="shared" si="10"/>
        <v>12</v>
      </c>
      <c r="F44" s="22">
        <f t="shared" si="10"/>
        <v>12</v>
      </c>
      <c r="G44" s="22">
        <f t="shared" si="10"/>
        <v>12</v>
      </c>
      <c r="H44" s="22">
        <f t="shared" si="10"/>
        <v>12</v>
      </c>
      <c r="I44" s="22">
        <f t="shared" si="10"/>
        <v>12</v>
      </c>
      <c r="J44" s="22">
        <f t="shared" si="10"/>
        <v>12</v>
      </c>
      <c r="K44" s="22">
        <f t="shared" si="10"/>
        <v>12</v>
      </c>
      <c r="L44" s="22">
        <f t="shared" si="10"/>
        <v>65</v>
      </c>
      <c r="M44" s="22">
        <f t="shared" si="10"/>
        <v>12</v>
      </c>
      <c r="N44" s="22">
        <f t="shared" si="10"/>
        <v>12</v>
      </c>
      <c r="O44" s="22">
        <f t="shared" si="10"/>
        <v>11.3</v>
      </c>
      <c r="P44" s="22">
        <f t="shared" si="10"/>
        <v>11.3</v>
      </c>
      <c r="Q44" s="22">
        <f t="shared" si="10"/>
        <v>44.3</v>
      </c>
      <c r="R44" s="24">
        <f>R35+R36+R37+R38+R39+R43</f>
        <v>287.90000000000003</v>
      </c>
    </row>
  </sheetData>
  <printOptions/>
  <pageMargins left="0.75" right="0.75" top="1" bottom="1" header="0.5" footer="0.5"/>
  <pageSetup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7" sqref="C7"/>
    </sheetView>
  </sheetViews>
  <sheetFormatPr defaultColWidth="9.140625" defaultRowHeight="12.75"/>
  <cols>
    <col min="1" max="1" width="12.140625" style="0" customWidth="1"/>
    <col min="2" max="2" width="18.421875" style="0" customWidth="1"/>
    <col min="3" max="3" width="24.00390625" style="0" customWidth="1"/>
  </cols>
  <sheetData>
    <row r="1" ht="12.75">
      <c r="A1" t="s">
        <v>107</v>
      </c>
    </row>
    <row r="3" ht="12.75">
      <c r="A3" t="s">
        <v>108</v>
      </c>
    </row>
    <row r="5" spans="2:4" ht="12.75">
      <c r="B5" t="s">
        <v>109</v>
      </c>
      <c r="D5" t="s">
        <v>110</v>
      </c>
    </row>
    <row r="6" spans="2:5" ht="12.75">
      <c r="B6" s="68" t="s">
        <v>111</v>
      </c>
      <c r="C6" s="68" t="s">
        <v>112</v>
      </c>
      <c r="D6" s="68" t="s">
        <v>111</v>
      </c>
      <c r="E6" s="68" t="s">
        <v>112</v>
      </c>
    </row>
    <row r="7" spans="1:5" ht="12.75">
      <c r="A7">
        <v>2008</v>
      </c>
      <c r="B7" s="69">
        <v>1831000</v>
      </c>
      <c r="C7" s="69">
        <f>B7*'[2]cash flow'!$B$58</f>
        <v>1692992110240</v>
      </c>
      <c r="D7" s="69">
        <v>0</v>
      </c>
      <c r="E7" s="69">
        <v>0</v>
      </c>
    </row>
    <row r="8" spans="1:5" ht="12.75">
      <c r="A8">
        <v>2009</v>
      </c>
      <c r="B8" s="69">
        <v>1818000</v>
      </c>
      <c r="C8" s="69">
        <f>B8*'[2]cash flow'!$B$58</f>
        <v>1680971958720</v>
      </c>
      <c r="D8" s="69">
        <v>0</v>
      </c>
      <c r="E8" s="69">
        <v>0</v>
      </c>
    </row>
    <row r="9" spans="1:5" ht="12.75">
      <c r="A9">
        <v>2010</v>
      </c>
      <c r="B9" s="69">
        <v>1549000</v>
      </c>
      <c r="C9" s="69">
        <f>B9*'[2]cash flow'!$B$58</f>
        <v>1432247284960</v>
      </c>
      <c r="D9" s="69">
        <v>0</v>
      </c>
      <c r="E9" s="69">
        <v>0</v>
      </c>
    </row>
    <row r="10" spans="1:5" ht="12.75">
      <c r="A10">
        <v>2011</v>
      </c>
      <c r="B10" s="69">
        <v>4974000</v>
      </c>
      <c r="C10" s="69">
        <f>B10*'[2]cash flow'!$B$58</f>
        <v>4599094896960</v>
      </c>
      <c r="D10" s="69">
        <v>0</v>
      </c>
      <c r="E10" s="69">
        <v>0</v>
      </c>
    </row>
    <row r="11" spans="1:5" ht="12.75">
      <c r="A11">
        <v>2012</v>
      </c>
      <c r="B11" s="69">
        <v>5730000</v>
      </c>
      <c r="C11" s="69">
        <f>B11*'[2]cash flow'!$B$58</f>
        <v>5298112939200</v>
      </c>
      <c r="D11" s="69">
        <v>0</v>
      </c>
      <c r="E11" s="69">
        <v>0</v>
      </c>
    </row>
    <row r="12" spans="2:5" ht="12.75">
      <c r="B12" s="69"/>
      <c r="C12" s="69"/>
      <c r="D12" s="69"/>
      <c r="E12" s="69"/>
    </row>
    <row r="13" spans="1:5" ht="12.75">
      <c r="A13" t="s">
        <v>113</v>
      </c>
      <c r="B13" s="69"/>
      <c r="C13" s="69"/>
      <c r="D13" s="69"/>
      <c r="E13" s="69"/>
    </row>
    <row r="14" spans="2:5" ht="12.75">
      <c r="B14" s="69"/>
      <c r="C14" s="69"/>
      <c r="D14" s="69"/>
      <c r="E14" s="69"/>
    </row>
    <row r="15" spans="2:5" ht="12.75">
      <c r="B15" s="69" t="s">
        <v>109</v>
      </c>
      <c r="C15" s="69"/>
      <c r="D15" s="69" t="s">
        <v>115</v>
      </c>
      <c r="E15" s="69"/>
    </row>
    <row r="16" spans="2:5" ht="12.75">
      <c r="B16" s="70" t="s">
        <v>111</v>
      </c>
      <c r="C16" s="70" t="s">
        <v>112</v>
      </c>
      <c r="D16" s="70" t="s">
        <v>111</v>
      </c>
      <c r="E16" s="70" t="s">
        <v>112</v>
      </c>
    </row>
    <row r="17" spans="1:5" ht="12.75">
      <c r="A17">
        <v>2008</v>
      </c>
      <c r="B17" s="69">
        <f>B7-D17</f>
        <v>1789264</v>
      </c>
      <c r="C17" s="69">
        <f>B17*'[2]cash flow'!$B$58</f>
        <v>1654401876098.56</v>
      </c>
      <c r="D17" s="69">
        <f>'cash flow'!C5/1000</f>
        <v>41736</v>
      </c>
      <c r="E17" s="69">
        <v>0</v>
      </c>
    </row>
    <row r="18" spans="1:5" ht="12.75">
      <c r="A18">
        <v>2009</v>
      </c>
      <c r="B18" s="69">
        <f>B8-D18</f>
        <v>1776264</v>
      </c>
      <c r="C18" s="69">
        <f>B18*'[2]cash flow'!$B$58</f>
        <v>1642381724578.56</v>
      </c>
      <c r="D18" s="69">
        <f>D17</f>
        <v>41736</v>
      </c>
      <c r="E18" s="69">
        <v>0</v>
      </c>
    </row>
    <row r="19" spans="1:5" ht="12.75">
      <c r="A19">
        <v>2010</v>
      </c>
      <c r="B19" s="69">
        <f>B9-D19</f>
        <v>1507264</v>
      </c>
      <c r="C19" s="69">
        <f>B19*'[2]cash flow'!$B$58</f>
        <v>1393657050818.56</v>
      </c>
      <c r="D19" s="69">
        <f>D18</f>
        <v>41736</v>
      </c>
      <c r="E19" s="69">
        <v>0</v>
      </c>
    </row>
    <row r="20" spans="1:5" ht="12.75">
      <c r="A20">
        <v>2011</v>
      </c>
      <c r="B20" s="69">
        <f>B10-D20</f>
        <v>4932264</v>
      </c>
      <c r="C20" s="69">
        <f>B20*'[2]cash flow'!$B$58</f>
        <v>4560504662818.561</v>
      </c>
      <c r="D20" s="69">
        <f>D19</f>
        <v>41736</v>
      </c>
      <c r="E20" s="69">
        <v>0</v>
      </c>
    </row>
    <row r="21" spans="1:5" ht="12.75">
      <c r="A21">
        <v>2012</v>
      </c>
      <c r="B21" s="69">
        <f>B11-D21</f>
        <v>5688264</v>
      </c>
      <c r="C21" s="69">
        <f>B21*'[2]cash flow'!$B$58</f>
        <v>5259522705058.561</v>
      </c>
      <c r="D21" s="69">
        <f>D20</f>
        <v>41736</v>
      </c>
      <c r="E21" s="69">
        <v>0</v>
      </c>
    </row>
    <row r="24" ht="12.75">
      <c r="A24" t="s">
        <v>114</v>
      </c>
    </row>
    <row r="26" spans="1:2" ht="12.75">
      <c r="A26">
        <v>2008</v>
      </c>
      <c r="B26" s="69">
        <f>C7-C17</f>
        <v>38590234141.43994</v>
      </c>
    </row>
    <row r="27" spans="1:2" ht="12.75">
      <c r="A27">
        <v>2009</v>
      </c>
      <c r="B27" s="69">
        <f>C8-C18</f>
        <v>38590234141.43994</v>
      </c>
    </row>
    <row r="28" spans="1:2" ht="12.75">
      <c r="A28">
        <v>2010</v>
      </c>
      <c r="B28" s="69">
        <f>C9-C19</f>
        <v>38590234141.43994</v>
      </c>
    </row>
    <row r="29" spans="1:2" ht="12.75">
      <c r="A29">
        <v>2011</v>
      </c>
      <c r="B29" s="69">
        <f>C10-C20</f>
        <v>38590234141.43945</v>
      </c>
    </row>
    <row r="30" spans="1:2" ht="12.75">
      <c r="A30">
        <v>2012</v>
      </c>
      <c r="B30" s="69">
        <f>C11-C21</f>
        <v>38590234141.43945</v>
      </c>
    </row>
    <row r="31" spans="1:2" ht="12.75">
      <c r="A31" s="68" t="s">
        <v>34</v>
      </c>
      <c r="B31" s="70">
        <f>SUM(B26:B30)</f>
        <v>192951170707.19873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E20" sqref="E20"/>
    </sheetView>
  </sheetViews>
  <sheetFormatPr defaultColWidth="9.140625" defaultRowHeight="12.75"/>
  <cols>
    <col min="1" max="1" width="23.421875" style="74" customWidth="1"/>
    <col min="2" max="2" width="11.140625" style="74" customWidth="1"/>
    <col min="3" max="3" width="10.57421875" style="74" customWidth="1"/>
    <col min="4" max="5" width="10.8515625" style="74" customWidth="1"/>
    <col min="6" max="6" width="10.57421875" style="74" customWidth="1"/>
    <col min="7" max="7" width="11.00390625" style="74" customWidth="1"/>
    <col min="8" max="8" width="13.00390625" style="74" customWidth="1"/>
    <col min="9" max="16384" width="9.140625" style="74" customWidth="1"/>
  </cols>
  <sheetData>
    <row r="2" spans="1:2" ht="25.5">
      <c r="A2" s="72" t="s">
        <v>116</v>
      </c>
      <c r="B2" s="73">
        <f>'cash flow'!B3/1000</f>
        <v>41736</v>
      </c>
    </row>
    <row r="3" spans="1:2" ht="25.5">
      <c r="A3" s="72" t="s">
        <v>117</v>
      </c>
      <c r="B3" s="72">
        <v>6</v>
      </c>
    </row>
    <row r="5" spans="1:11" ht="12.75">
      <c r="A5" s="81" t="s">
        <v>118</v>
      </c>
      <c r="B5" s="82">
        <f>0-H5</f>
        <v>-0.15</v>
      </c>
      <c r="C5" s="82">
        <f>0-G5</f>
        <v>-0.1</v>
      </c>
      <c r="D5" s="82">
        <f>0-F5</f>
        <v>-0.05</v>
      </c>
      <c r="E5" s="83">
        <v>0</v>
      </c>
      <c r="F5" s="82">
        <v>0.05</v>
      </c>
      <c r="G5" s="82">
        <v>0.1</v>
      </c>
      <c r="H5" s="82">
        <v>0.15</v>
      </c>
      <c r="I5" s="75"/>
      <c r="J5" s="75"/>
      <c r="K5" s="75"/>
    </row>
    <row r="6" spans="1:10" ht="12.75">
      <c r="A6" s="81" t="s">
        <v>119</v>
      </c>
      <c r="B6" s="84">
        <f aca="true" t="shared" si="0" ref="B6:H6">$B$2-$B$2*(-B5)</f>
        <v>35475.6</v>
      </c>
      <c r="C6" s="84">
        <f t="shared" si="0"/>
        <v>37562.4</v>
      </c>
      <c r="D6" s="84">
        <f t="shared" si="0"/>
        <v>39649.2</v>
      </c>
      <c r="E6" s="85">
        <f t="shared" si="0"/>
        <v>41736</v>
      </c>
      <c r="F6" s="84">
        <f t="shared" si="0"/>
        <v>43822.8</v>
      </c>
      <c r="G6" s="84">
        <f t="shared" si="0"/>
        <v>45909.6</v>
      </c>
      <c r="H6" s="84">
        <f t="shared" si="0"/>
        <v>47996.4</v>
      </c>
      <c r="I6" s="76"/>
      <c r="J6" s="76"/>
    </row>
    <row r="7" spans="1:8" ht="12.75">
      <c r="A7" s="81" t="s">
        <v>120</v>
      </c>
      <c r="B7" s="86">
        <v>0.0512</v>
      </c>
      <c r="C7" s="86">
        <v>0.0591</v>
      </c>
      <c r="D7" s="86">
        <v>0.0667</v>
      </c>
      <c r="E7" s="87">
        <v>0.0742</v>
      </c>
      <c r="F7" s="86">
        <v>0.0815</v>
      </c>
      <c r="G7" s="86">
        <v>0.0887</v>
      </c>
      <c r="H7" s="86">
        <v>0.0957</v>
      </c>
    </row>
    <row r="8" spans="1:8" ht="12.75">
      <c r="A8" s="81" t="s">
        <v>121</v>
      </c>
      <c r="B8" s="88">
        <v>12.44</v>
      </c>
      <c r="C8" s="88">
        <v>11.66</v>
      </c>
      <c r="D8" s="88">
        <v>10.97</v>
      </c>
      <c r="E8" s="89">
        <v>10.36</v>
      </c>
      <c r="F8" s="88">
        <v>9.82</v>
      </c>
      <c r="G8" s="88">
        <v>9.33</v>
      </c>
      <c r="H8" s="88">
        <v>8.88</v>
      </c>
    </row>
    <row r="9" ht="12.75">
      <c r="E9" s="79"/>
    </row>
    <row r="10" ht="12.75">
      <c r="E10" s="79"/>
    </row>
    <row r="11" spans="1:10" ht="12.75">
      <c r="A11" s="90" t="s">
        <v>122</v>
      </c>
      <c r="B11" s="82">
        <f>0-0.3</f>
        <v>-0.3</v>
      </c>
      <c r="C11" s="82">
        <f>0-0.2</f>
        <v>-0.2</v>
      </c>
      <c r="D11" s="82">
        <f>0-0.1</f>
        <v>-0.1</v>
      </c>
      <c r="E11" s="83">
        <v>0</v>
      </c>
      <c r="F11" s="82">
        <v>0.1</v>
      </c>
      <c r="G11" s="82">
        <v>0.2</v>
      </c>
      <c r="H11" s="82">
        <v>0.3</v>
      </c>
      <c r="I11" s="75"/>
      <c r="J11" s="75"/>
    </row>
    <row r="12" spans="1:8" ht="12.75">
      <c r="A12" s="81" t="s">
        <v>123</v>
      </c>
      <c r="B12" s="81">
        <f aca="true" t="shared" si="1" ref="B12:H12">$B$3-($B$3*(-B11))</f>
        <v>4.2</v>
      </c>
      <c r="C12" s="81">
        <f t="shared" si="1"/>
        <v>4.8</v>
      </c>
      <c r="D12" s="81">
        <f t="shared" si="1"/>
        <v>5.4</v>
      </c>
      <c r="E12" s="91">
        <f t="shared" si="1"/>
        <v>6</v>
      </c>
      <c r="F12" s="81">
        <f t="shared" si="1"/>
        <v>6.6</v>
      </c>
      <c r="G12" s="81">
        <f t="shared" si="1"/>
        <v>7.2</v>
      </c>
      <c r="H12" s="81">
        <f t="shared" si="1"/>
        <v>7.8</v>
      </c>
    </row>
    <row r="13" spans="1:10" ht="12.75">
      <c r="A13" s="81" t="s">
        <v>120</v>
      </c>
      <c r="B13" s="86">
        <v>0.0733</v>
      </c>
      <c r="C13" s="86">
        <v>0.0736</v>
      </c>
      <c r="D13" s="86">
        <v>0.0739</v>
      </c>
      <c r="E13" s="87">
        <v>0.0742</v>
      </c>
      <c r="F13" s="86">
        <v>0.0745</v>
      </c>
      <c r="G13" s="86">
        <v>0.0749</v>
      </c>
      <c r="H13" s="86">
        <v>0.0752</v>
      </c>
      <c r="I13" s="77"/>
      <c r="J13" s="77"/>
    </row>
    <row r="14" spans="1:9" ht="12.75">
      <c r="A14" s="81" t="s">
        <v>121</v>
      </c>
      <c r="B14" s="88">
        <v>10.41</v>
      </c>
      <c r="C14" s="88">
        <v>10.4</v>
      </c>
      <c r="D14" s="88">
        <v>10.38</v>
      </c>
      <c r="E14" s="89">
        <v>10.36</v>
      </c>
      <c r="F14" s="88">
        <v>10.35</v>
      </c>
      <c r="G14" s="88">
        <v>10.33</v>
      </c>
      <c r="H14" s="88">
        <v>10.31</v>
      </c>
      <c r="I14" s="7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irte</dc:creator>
  <cp:keywords/>
  <dc:description/>
  <cp:lastModifiedBy>Vaidotas Kuodys</cp:lastModifiedBy>
  <cp:lastPrinted>2005-10-18T13:03:06Z</cp:lastPrinted>
  <dcterms:created xsi:type="dcterms:W3CDTF">2005-07-28T14:48:17Z</dcterms:created>
  <dcterms:modified xsi:type="dcterms:W3CDTF">2008-05-30T09:02:23Z</dcterms:modified>
  <cp:category/>
  <cp:version/>
  <cp:contentType/>
  <cp:contentStatus/>
</cp:coreProperties>
</file>