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2" yWindow="65524" windowWidth="12600" windowHeight="12672" tabRatio="717" activeTab="0"/>
  </bookViews>
  <sheets>
    <sheet name="SG-ERU3 ER table V1" sheetId="1" r:id="rId1"/>
  </sheets>
  <definedNames>
    <definedName name="_xlnm.Print_Area" localSheetId="0">'SG-ERU3 ER table V1'!$A$1:$AV$33</definedName>
    <definedName name="OLE_LINK10" localSheetId="0">'SG-ERU3 ER table V1'!$AE$3</definedName>
    <definedName name="OLE_LINK11" localSheetId="0">'SG-ERU3 ER table V1'!$AE$4</definedName>
    <definedName name="OLE_LINK12" localSheetId="0">'SG-ERU3 ER table V1'!$AI$4</definedName>
    <definedName name="OLE_LINK3" localSheetId="0">'SG-ERU3 ER table V1'!$T$4</definedName>
    <definedName name="OLE_LINK4" localSheetId="0">'SG-ERU3 ER table V1'!$Z$3</definedName>
    <definedName name="OLE_LINK5" localSheetId="0">'SG-ERU3 ER table V1'!$Z$4</definedName>
    <definedName name="OLE_LINK7" localSheetId="0">'SG-ERU3 ER table V1'!$AD$3</definedName>
    <definedName name="OLE_LINK8" localSheetId="0">'SG-ERU3 ER table V1'!$AD$4</definedName>
  </definedNames>
  <calcPr fullCalcOnLoad="1"/>
</workbook>
</file>

<file path=xl/comments1.xml><?xml version="1.0" encoding="utf-8"?>
<comments xmlns="http://schemas.openxmlformats.org/spreadsheetml/2006/main">
  <authors>
    <author>Adam Hadulla</author>
    <author>A-TEC</author>
    <author>A-TEC5</author>
  </authors>
  <commentList>
    <comment ref="U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Z6"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AC6" authorId="0">
      <text>
        <r>
          <rPr>
            <b/>
            <sz val="8"/>
            <rFont val="Tahoma"/>
            <family val="0"/>
          </rPr>
          <t>Adam Hadulla:</t>
        </r>
        <r>
          <rPr>
            <sz val="8"/>
            <rFont val="Tahoma"/>
            <family val="0"/>
          </rPr>
          <t xml:space="preserve">
ex-ante value
constant</t>
        </r>
      </text>
    </comment>
    <comment ref="AD6" authorId="0">
      <text>
        <r>
          <rPr>
            <b/>
            <sz val="8"/>
            <rFont val="Tahoma"/>
            <family val="0"/>
          </rPr>
          <t>Adam Hadulla:</t>
        </r>
        <r>
          <rPr>
            <sz val="8"/>
            <rFont val="Tahoma"/>
            <family val="0"/>
          </rPr>
          <t xml:space="preserve">
ex-ante value
constant</t>
        </r>
      </text>
    </comment>
    <comment ref="AI6" authorId="0">
      <text>
        <r>
          <rPr>
            <b/>
            <sz val="8"/>
            <rFont val="Tahoma"/>
            <family val="0"/>
          </rPr>
          <t>Adam Hadulla:</t>
        </r>
        <r>
          <rPr>
            <sz val="8"/>
            <rFont val="Tahoma"/>
            <family val="0"/>
          </rPr>
          <t xml:space="preserve">
ex-ante value
constant</t>
        </r>
      </text>
    </comment>
    <comment ref="AQ6" authorId="0">
      <text>
        <r>
          <rPr>
            <b/>
            <sz val="8"/>
            <rFont val="Tahoma"/>
            <family val="0"/>
          </rPr>
          <t>Adam Hadulla:</t>
        </r>
        <r>
          <rPr>
            <sz val="8"/>
            <rFont val="Tahoma"/>
            <family val="0"/>
          </rPr>
          <t xml:space="preserve">
ex-ante value
constant</t>
        </r>
      </text>
    </comment>
    <comment ref="AX6" authorId="0">
      <text>
        <r>
          <rPr>
            <b/>
            <sz val="8"/>
            <rFont val="Tahoma"/>
            <family val="0"/>
          </rPr>
          <t>Adam Hadulla:</t>
        </r>
        <r>
          <rPr>
            <sz val="8"/>
            <rFont val="Tahoma"/>
            <family val="0"/>
          </rPr>
          <t xml:space="preserve">
ex-ante value 
constant
IPCC 2006</t>
        </r>
      </text>
    </comment>
    <comment ref="AR6" authorId="0">
      <text>
        <r>
          <rPr>
            <b/>
            <sz val="8"/>
            <rFont val="Tahoma"/>
            <family val="0"/>
          </rPr>
          <t>Adam Hadulla:</t>
        </r>
        <r>
          <rPr>
            <sz val="8"/>
            <rFont val="Tahoma"/>
            <family val="0"/>
          </rPr>
          <t xml:space="preserve">
ex-ante value
constant</t>
        </r>
      </text>
    </comment>
    <comment ref="R6" authorId="0">
      <text>
        <r>
          <rPr>
            <b/>
            <sz val="10"/>
            <rFont val="Tahoma"/>
            <family val="0"/>
          </rPr>
          <t>Adam Hadulla:</t>
        </r>
        <r>
          <rPr>
            <sz val="10"/>
            <rFont val="Tahoma"/>
            <family val="0"/>
          </rPr>
          <t xml:space="preserve">
Formula modified, uncombusted methane from flaring 
= MM</t>
        </r>
        <r>
          <rPr>
            <sz val="7"/>
            <rFont val="Tahoma"/>
            <family val="2"/>
          </rPr>
          <t>FL</t>
        </r>
        <r>
          <rPr>
            <sz val="10"/>
            <rFont val="Tahoma"/>
            <family val="0"/>
          </rPr>
          <t>-MD</t>
        </r>
        <r>
          <rPr>
            <sz val="7"/>
            <rFont val="Tahoma"/>
            <family val="2"/>
          </rPr>
          <t>FL</t>
        </r>
      </text>
    </comment>
    <comment ref="W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AV6" authorId="1">
      <text>
        <r>
          <rPr>
            <b/>
            <sz val="8"/>
            <rFont val="Tahoma"/>
            <family val="0"/>
          </rPr>
          <t xml:space="preserve">Adam Hadulla:
</t>
        </r>
        <r>
          <rPr>
            <sz val="8"/>
            <rFont val="Tahoma"/>
            <family val="2"/>
          </rPr>
          <t>The heat has not been measured but calculated using the utilised methane amount, the heating value of methane 9.965 kWh/m³ and the boiler efficiency</t>
        </r>
      </text>
    </comment>
    <comment ref="AY6" authorId="0">
      <text>
        <r>
          <rPr>
            <b/>
            <sz val="8"/>
            <rFont val="Tahoma"/>
            <family val="0"/>
          </rPr>
          <t>Adam Hadulla:</t>
        </r>
        <r>
          <rPr>
            <sz val="8"/>
            <rFont val="Tahoma"/>
            <family val="0"/>
          </rPr>
          <t xml:space="preserve">
ex-ante value 
constant
manufacturer date
boiler pass</t>
        </r>
      </text>
    </comment>
    <comment ref="S6" authorId="1">
      <text>
        <r>
          <rPr>
            <b/>
            <sz val="8"/>
            <rFont val="Tahoma"/>
            <family val="0"/>
          </rPr>
          <t>A-TEC:</t>
        </r>
        <r>
          <rPr>
            <sz val="8"/>
            <rFont val="Tahoma"/>
            <family val="0"/>
          </rPr>
          <t xml:space="preserve">
The own consumption of the cogeneration unit has been set to 3.5%, see PDD, Annex 2, pg. 61</t>
        </r>
      </text>
    </comment>
    <comment ref="AW6" authorId="0">
      <text>
        <r>
          <rPr>
            <b/>
            <sz val="8"/>
            <rFont val="Tahoma"/>
            <family val="0"/>
          </rPr>
          <t>Adam Hadulla:</t>
        </r>
        <r>
          <rPr>
            <sz val="8"/>
            <rFont val="Tahoma"/>
            <family val="0"/>
          </rPr>
          <t xml:space="preserve">
NEIA
2011 := 1.063</t>
        </r>
      </text>
    </comment>
    <comment ref="AW17" authorId="0">
      <text>
        <r>
          <rPr>
            <b/>
            <sz val="8"/>
            <rFont val="Tahoma"/>
            <family val="0"/>
          </rPr>
          <t>Adam Hadulla:</t>
        </r>
        <r>
          <rPr>
            <sz val="8"/>
            <rFont val="Tahoma"/>
            <family val="0"/>
          </rPr>
          <t xml:space="preserve">
NEIA
2011 := 1.063</t>
        </r>
      </text>
    </comment>
    <comment ref="T6" authorId="0">
      <text>
        <r>
          <rPr>
            <b/>
            <sz val="8"/>
            <rFont val="Tahoma"/>
            <family val="0"/>
          </rPr>
          <t>Adam Hadulla:</t>
        </r>
        <r>
          <rPr>
            <sz val="8"/>
            <rFont val="Tahoma"/>
            <family val="0"/>
          </rPr>
          <t xml:space="preserve">
NEIA
2011 := 1.063</t>
        </r>
      </text>
    </comment>
    <comment ref="T17" authorId="0">
      <text>
        <r>
          <rPr>
            <b/>
            <sz val="8"/>
            <rFont val="Tahoma"/>
            <family val="0"/>
          </rPr>
          <t>Adam Hadulla:</t>
        </r>
        <r>
          <rPr>
            <sz val="8"/>
            <rFont val="Tahoma"/>
            <family val="0"/>
          </rPr>
          <t xml:space="preserve">
NEIA
2011 := 1.063</t>
        </r>
      </text>
    </comment>
    <comment ref="H8" authorId="2">
      <text>
        <r>
          <rPr>
            <b/>
            <sz val="9"/>
            <rFont val="Tahoma"/>
            <family val="0"/>
          </rPr>
          <t>A-TEC5:</t>
        </r>
        <r>
          <rPr>
            <sz val="9"/>
            <rFont val="Tahoma"/>
            <family val="0"/>
          </rPr>
          <t xml:space="preserve">
methane concentration measured at CHP</t>
        </r>
      </text>
    </comment>
  </commentList>
</comments>
</file>

<file path=xl/sharedStrings.xml><?xml version="1.0" encoding="utf-8"?>
<sst xmlns="http://schemas.openxmlformats.org/spreadsheetml/2006/main" count="201" uniqueCount="147">
  <si>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</si>
  <si>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</si>
  <si>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</si>
  <si>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</si>
  <si>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</si>
  <si>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</si>
  <si>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</si>
  <si>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</si>
  <si>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</si>
  <si>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</si>
  <si>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</si>
  <si>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</si>
  <si>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</si>
  <si>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</si>
  <si>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</si>
  <si>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</si>
  <si>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</si>
  <si>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</si>
  <si>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</si>
  <si>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</si>
  <si>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</si>
  <si>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</si>
  <si>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</si>
  <si>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</si>
  <si>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</si>
  <si>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</si>
  <si>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</si>
  <si>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</si>
  <si>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</si>
  <si>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</si>
  <si>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</si>
  <si>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</si>
  <si>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</si>
  <si>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</si>
  <si>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</si>
  <si>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</si>
  <si>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</si>
  <si>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</si>
  <si>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</si>
  <si>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</si>
  <si>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</si>
  <si>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</si>
  <si>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</si>
  <si>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</si>
  <si>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</si>
  <si>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</si>
  <si>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</si>
  <si>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</si>
  <si>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Methane destroyed by heat generation</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</si>
  <si>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</si>
  <si>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</si>
  <si>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</si>
  <si>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</si>
  <si>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</si>
  <si>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t>t CO2eq</t>
  </si>
  <si>
    <t>MWh</t>
  </si>
  <si>
    <t>t CH4</t>
  </si>
  <si>
    <t>-</t>
  </si>
  <si>
    <t>t CO2 / MWh</t>
  </si>
  <si>
    <t>t CO2eq / 
t CH4</t>
  </si>
  <si>
    <t>ER</t>
  </si>
  <si>
    <t>Emission reductions</t>
  </si>
  <si>
    <t>Total Monitoring Period</t>
  </si>
  <si>
    <t>colour codes</t>
  </si>
  <si>
    <t>green</t>
  </si>
  <si>
    <t>input data</t>
  </si>
  <si>
    <t>white</t>
  </si>
  <si>
    <t>calculated data</t>
  </si>
  <si>
    <t xml:space="preserve">Project emissions </t>
  </si>
  <si>
    <t xml:space="preserve">Baseline emissions </t>
  </si>
  <si>
    <t>CMM captured in the project activity</t>
  </si>
  <si>
    <t>HEAT</t>
  </si>
  <si>
    <t>GEN</t>
  </si>
  <si>
    <t>BE</t>
  </si>
  <si>
    <t>PE</t>
  </si>
  <si>
    <t>data sources:</t>
  </si>
  <si>
    <t>Values put into MR</t>
  </si>
  <si>
    <t>blue</t>
  </si>
  <si>
    <t>Total 2011</t>
  </si>
  <si>
    <t>total methane amount utilised (sent to)</t>
  </si>
  <si>
    <t>methane amount sent to
boiler</t>
  </si>
  <si>
    <t>m³ CH4</t>
  </si>
  <si>
    <t>methane amount destroyed by flare</t>
  </si>
  <si>
    <t>methane amount sent to flare</t>
  </si>
  <si>
    <t>methane concen-tration (boiler)</t>
  </si>
  <si>
    <t xml:space="preserve">Flare combustion efficiency, determined by the flame temperature and operation hours </t>
  </si>
  <si>
    <t>Baseline emissions from release of methane into the atmosphere that is avoided by the project activity (flare)</t>
  </si>
  <si>
    <t>Baseline emissions from the production of power, heat or supply to gas grid replaced by the project activity (heat)</t>
  </si>
  <si>
    <t>Project emissions from methane destroyed and uncombusted methane (flare)</t>
  </si>
  <si>
    <t>Baseline emissions from the production of power, heat or supply to gas grid replaced by the project activity (power)</t>
  </si>
  <si>
    <t>Project emissions from methane destroyed (Total)</t>
  </si>
  <si>
    <t>Project emissions from uncombusted methane (Total)</t>
  </si>
  <si>
    <r>
      <t>Carbon emission factor of CONS</t>
    </r>
    <r>
      <rPr>
        <sz val="8"/>
        <rFont val="Arial"/>
        <family val="2"/>
      </rPr>
      <t>ELEC,PJ</t>
    </r>
  </si>
  <si>
    <r>
      <t>t CO</t>
    </r>
    <r>
      <rPr>
        <sz val="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</si>
  <si>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</si>
  <si>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</si>
  <si>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</si>
  <si>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</si>
  <si>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</si>
  <si>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t>
    </r>
  </si>
  <si>
    <r>
      <t>PE</t>
    </r>
    <r>
      <rPr>
        <vertAlign val="subscript"/>
        <sz val="11"/>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</si>
  <si>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</si>
  <si>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</si>
  <si>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</si>
  <si>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</si>
  <si>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</si>
  <si>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</si>
  <si>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</si>
  <si>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</si>
  <si>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</si>
  <si>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</si>
  <si>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</si>
  <si>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</si>
  <si>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</si>
  <si>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</si>
  <si>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</si>
  <si>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</si>
  <si>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</si>
  <si>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</si>
  <si>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</si>
  <si>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</si>
  <si>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CO2,Coal</t>
    </r>
  </si>
  <si>
    <r>
      <t>Eff</t>
    </r>
    <r>
      <rPr>
        <vertAlign val="subscript"/>
        <sz val="11"/>
        <color indexed="8"/>
        <rFont val="Times New Roman"/>
        <family val="1"/>
      </rPr>
      <t>hea</t>
    </r>
    <r>
      <rPr>
        <vertAlign val="subscript"/>
        <sz val="10"/>
        <rFont val="Arial"/>
        <family val="2"/>
      </rPr>
      <t>t</t>
    </r>
  </si>
  <si>
    <t>turquoise</t>
  </si>
  <si>
    <t>Extension since Version 3a</t>
  </si>
  <si>
    <t>P3/4</t>
  </si>
  <si>
    <t>Heat generation by boiler</t>
  </si>
  <si>
    <t>Heat generation by ventilation air heater</t>
  </si>
  <si>
    <t>Energy efficiency of VAH</t>
  </si>
  <si>
    <r>
      <t>Eff</t>
    </r>
    <r>
      <rPr>
        <vertAlign val="subscript"/>
        <sz val="11"/>
        <color indexed="8"/>
        <rFont val="Times New Roman"/>
        <family val="1"/>
      </rPr>
      <t>hea</t>
    </r>
    <r>
      <rPr>
        <vertAlign val="subscript"/>
        <sz val="10"/>
        <rFont val="Times New Roman"/>
        <family val="1"/>
      </rPr>
      <t>t,VAH</t>
    </r>
  </si>
  <si>
    <t>methane amount sent to
ventilation air heater</t>
  </si>
  <si>
    <t>methane amount sent to power plant</t>
  </si>
  <si>
    <t>methane amount sent to emergency generator</t>
  </si>
  <si>
    <t>Methane sent to heat plant</t>
  </si>
  <si>
    <t>Baseline emissions from release of methane into the atmosphere that is avoided by the project activity (heat plant)</t>
  </si>
  <si>
    <t>Baseline emissions from release of methane into the atmosphere that is avoided by the project activity (power plant)</t>
  </si>
  <si>
    <t>Project emissions from methane destroyed and uncombusted methane (heat plant)</t>
  </si>
  <si>
    <t>Project emissions from methane destroyed and uncombusted methane (power plant)</t>
  </si>
  <si>
    <t>yellow</t>
  </si>
  <si>
    <t>data no used, project parts not active yet</t>
  </si>
  <si>
    <t>Electricity generation by project (NZR Counter)</t>
  </si>
  <si>
    <t>16.-31.March-11</t>
  </si>
  <si>
    <t>Total 2012</t>
  </si>
  <si>
    <t>Emission Reductions - SG from 2011-03-16 to 2012-04-30</t>
  </si>
  <si>
    <t>SG-B1+VAH_Measuring_Data_2011-03-16 to 2012-04-30.V0.xls</t>
  </si>
  <si>
    <t>SG-M1_Measuring_Data_2011-03-16 to 2012-04-30.V1.xls</t>
  </si>
  <si>
    <t>SG-F1_Measuring_Data_2011-09-05 to 2012-04-30.V1.xls</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</si>
</sst>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mmm\-yyyy"/>
    <numFmt numFmtId="177" formatCode="[$-809]dd\ mmmm\ yyyy"/>
    <numFmt numFmtId="178" formatCode="d\.m\.yy\ h:mm;@"/>
    <numFmt numFmtId="179" formatCode="0.00000"/>
    <numFmt numFmtId="180" formatCode="0.0000"/>
    <numFmt numFmtId="181" formatCode="0.000"/>
    <numFmt numFmtId="182" formatCode="0.0"/>
    <numFmt numFmtId="183" formatCode="d/m/yy\ h:mm;@"/>
    <numFmt numFmtId="184" formatCode="yyyy\-mm\-dd;@"/>
    <numFmt numFmtId="185" formatCode="0.0%"/>
    <numFmt numFmtId="186" formatCode="0.000%"/>
    <numFmt numFmtId="187" formatCode="0.0000000"/>
    <numFmt numFmtId="188" formatCode="0.000000"/>
    <numFmt numFmtId="189" formatCode="mmmm\-yyyy"/>
    <numFmt numFmtId="190" formatCode="#,##0.0"/>
    <numFmt numFmtId="191" formatCode="#,##0.000"/>
    <numFmt numFmtId="192" formatCode="mmm\ yyyy"/>
    <numFmt numFmtId="193" formatCode="[$-409]mmmm\-yy;@"/>
    <numFmt numFmtId="194" formatCode="#,##0.0000"/>
  </numFmts>
  <fonts count="24">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name val="Tahoma"/>
      <family val="0"/>
    </font>
    <font>
      <b/>
      <sz val="10"/>
      <name val="Tahoma"/>
      <family val="0"/>
    </font>
    <font>
      <sz val="7"/>
      <name val="Tahoma"/>
      <family val="2"/>
    </font>
    <font>
      <sz val="10"/>
      <color indexed="8"/>
      <name val="Arial"/>
      <family val="0"/>
    </font>
    <font>
      <sz val="9"/>
      <name val="Tahoma"/>
      <family val="0"/>
    </font>
    <font>
      <b/>
      <sz val="9"/>
      <name val="Tahoma"/>
      <family val="0"/>
    </font>
    <font>
      <b/>
      <sz val="11"/>
      <name val="Times New Roman"/>
      <family val="1"/>
    </font>
    <font>
      <sz val="8"/>
      <name val="Arial"/>
      <family val="2"/>
    </font>
    <font>
      <sz val="11"/>
      <color indexed="8"/>
      <name val="Times New Roman"/>
      <family val="1"/>
    </font>
    <font>
      <vertAlign val="subscript"/>
      <sz val="11"/>
      <name val="Times New Roman"/>
      <family val="1"/>
    </font>
    <font>
      <sz val="11"/>
      <name val="Times New Roman"/>
      <family val="1"/>
    </font>
    <font>
      <vertAlign val="subscript"/>
      <sz val="11"/>
      <color indexed="8"/>
      <name val="Times New Roman"/>
      <family val="1"/>
    </font>
    <font>
      <vertAlign val="subscript"/>
      <sz val="10"/>
      <name val="Times New Roman"/>
      <family val="1"/>
    </font>
    <font>
      <vertAlign val="subscript"/>
      <sz val="10"/>
      <name val="Arial"/>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0" fillId="0" borderId="1" xfId="0" applyBorder="1" applyAlignment="1">
      <alignment/>
    </xf>
    <xf numFmtId="184"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185" fontId="0" fillId="0" borderId="0" xfId="0" applyNumberFormat="1" applyFill="1" applyAlignment="1">
      <alignment/>
    </xf>
    <xf numFmtId="0" fontId="0" fillId="0" borderId="0" xfId="0" applyFill="1" applyAlignment="1" quotePrefix="1">
      <alignment horizontal="center"/>
    </xf>
    <xf numFmtId="185" fontId="0" fillId="0" borderId="0" xfId="0" applyNumberFormat="1" applyFill="1" applyAlignment="1" quotePrefix="1">
      <alignment horizontal="center"/>
    </xf>
    <xf numFmtId="189" fontId="2" fillId="0" borderId="2" xfId="0" applyNumberFormat="1" applyFont="1" applyBorder="1" applyAlignment="1">
      <alignment horizontal="right"/>
    </xf>
    <xf numFmtId="3" fontId="2" fillId="0" borderId="2" xfId="0" applyNumberFormat="1" applyFont="1" applyBorder="1" applyAlignment="1">
      <alignment/>
    </xf>
    <xf numFmtId="3" fontId="0" fillId="0" borderId="0" xfId="0" applyNumberFormat="1" applyFill="1" applyAlignment="1">
      <alignment/>
    </xf>
    <xf numFmtId="0" fontId="0" fillId="0" borderId="0" xfId="0" applyAlignment="1">
      <alignment horizontal="right" vertical="center"/>
    </xf>
    <xf numFmtId="184" fontId="2"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85" fontId="0" fillId="0" borderId="0" xfId="0" applyNumberFormat="1" applyFill="1" applyAlignment="1" quotePrefix="1">
      <alignment horizontal="right"/>
    </xf>
    <xf numFmtId="181" fontId="0" fillId="0" borderId="0" xfId="0" applyNumberFormat="1" applyFill="1" applyAlignment="1" quotePrefix="1">
      <alignment horizontal="right"/>
    </xf>
    <xf numFmtId="185" fontId="0" fillId="0" borderId="0" xfId="19" applyNumberForma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2"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 borderId="1" xfId="0" applyNumberFormat="1" applyFont="1" applyFill="1" applyBorder="1" applyAlignment="1">
      <alignment/>
    </xf>
    <xf numFmtId="3" fontId="0" fillId="0" borderId="0" xfId="0" applyNumberFormat="1" applyAlignment="1">
      <alignment/>
    </xf>
    <xf numFmtId="0" fontId="0" fillId="4"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0" fontId="0" fillId="0" borderId="0" xfId="0" applyNumberFormat="1" applyFill="1" applyBorder="1" applyAlignment="1">
      <alignment/>
    </xf>
    <xf numFmtId="190" fontId="12" fillId="0" borderId="0" xfId="0" applyNumberFormat="1" applyFont="1" applyFill="1" applyBorder="1" applyAlignment="1">
      <alignment/>
    </xf>
    <xf numFmtId="182" fontId="0" fillId="0" borderId="0" xfId="0" applyNumberFormat="1" applyFill="1" applyBorder="1" applyAlignment="1">
      <alignment/>
    </xf>
    <xf numFmtId="3" fontId="0" fillId="2" borderId="0" xfId="0" applyNumberFormat="1" applyFill="1" applyAlignment="1">
      <alignment/>
    </xf>
    <xf numFmtId="3" fontId="2" fillId="4" borderId="2" xfId="0" applyNumberFormat="1" applyFont="1" applyFill="1" applyBorder="1" applyAlignment="1">
      <alignment horizontal="right" vertical="center"/>
    </xf>
    <xf numFmtId="3" fontId="2" fillId="0" borderId="2" xfId="0" applyNumberFormat="1" applyFont="1" applyFill="1" applyBorder="1" applyAlignment="1">
      <alignment/>
    </xf>
    <xf numFmtId="3" fontId="2" fillId="0" borderId="2" xfId="0" applyNumberFormat="1" applyFont="1" applyFill="1" applyBorder="1" applyAlignment="1">
      <alignment horizontal="right" vertical="center"/>
    </xf>
    <xf numFmtId="190" fontId="0" fillId="2" borderId="0" xfId="0" applyNumberFormat="1" applyFont="1" applyFill="1" applyBorder="1" applyAlignment="1">
      <alignment/>
    </xf>
    <xf numFmtId="0" fontId="0" fillId="0" borderId="3" xfId="0" applyBorder="1" applyAlignment="1">
      <alignment/>
    </xf>
    <xf numFmtId="3" fontId="0" fillId="0" borderId="3" xfId="0" applyNumberFormat="1" applyFill="1" applyBorder="1" applyAlignment="1">
      <alignment/>
    </xf>
    <xf numFmtId="3" fontId="2" fillId="0" borderId="4" xfId="0" applyNumberFormat="1" applyFont="1" applyBorder="1" applyAlignment="1">
      <alignment/>
    </xf>
    <xf numFmtId="182" fontId="0" fillId="0" borderId="0" xfId="0" applyNumberFormat="1" applyBorder="1" applyAlignment="1">
      <alignment/>
    </xf>
    <xf numFmtId="190" fontId="0" fillId="0" borderId="0" xfId="0" applyNumberFormat="1" applyAlignment="1">
      <alignment/>
    </xf>
    <xf numFmtId="190" fontId="0" fillId="0" borderId="0" xfId="0" applyNumberFormat="1" applyBorder="1" applyAlignment="1">
      <alignment/>
    </xf>
    <xf numFmtId="185" fontId="0" fillId="0" borderId="0" xfId="0" applyNumberFormat="1" applyFont="1" applyFill="1" applyBorder="1" applyAlignment="1">
      <alignment horizontal="center"/>
    </xf>
    <xf numFmtId="189" fontId="0" fillId="0" borderId="0" xfId="0" applyNumberFormat="1" applyBorder="1" applyAlignment="1">
      <alignment/>
    </xf>
    <xf numFmtId="190" fontId="0" fillId="0" borderId="0" xfId="0" applyNumberFormat="1" applyBorder="1" applyAlignment="1">
      <alignment/>
    </xf>
    <xf numFmtId="189" fontId="2" fillId="0" borderId="0" xfId="0" applyNumberFormat="1" applyFont="1" applyBorder="1" applyAlignment="1">
      <alignment horizontal="right"/>
    </xf>
    <xf numFmtId="185" fontId="0" fillId="0" borderId="0" xfId="0" applyNumberFormat="1" applyFill="1" applyBorder="1" applyAlignment="1" quotePrefix="1">
      <alignment horizontal="center"/>
    </xf>
    <xf numFmtId="3" fontId="2" fillId="4" borderId="2" xfId="0" applyNumberFormat="1" applyFont="1" applyFill="1" applyBorder="1" applyAlignment="1">
      <alignment/>
    </xf>
    <xf numFmtId="193" fontId="0" fillId="0" borderId="0" xfId="0" applyNumberFormat="1" applyAlignment="1">
      <alignment/>
    </xf>
    <xf numFmtId="190" fontId="0" fillId="2" borderId="0" xfId="0" applyNumberFormat="1" applyFill="1" applyAlignment="1">
      <alignment/>
    </xf>
    <xf numFmtId="190" fontId="0" fillId="5" borderId="0" xfId="0" applyNumberFormat="1" applyFill="1" applyAlignment="1">
      <alignment/>
    </xf>
    <xf numFmtId="190" fontId="2" fillId="0" borderId="2" xfId="0" applyNumberFormat="1" applyFont="1" applyBorder="1" applyAlignment="1">
      <alignment/>
    </xf>
    <xf numFmtId="190" fontId="2" fillId="0" borderId="2" xfId="0" applyNumberFormat="1" applyFont="1" applyFill="1" applyBorder="1" applyAlignment="1">
      <alignment horizontal="right" vertical="center"/>
    </xf>
    <xf numFmtId="0" fontId="3" fillId="0" borderId="0" xfId="0" applyFont="1" applyFill="1" applyAlignment="1">
      <alignment/>
    </xf>
    <xf numFmtId="0" fontId="0" fillId="0" borderId="0" xfId="0" applyFont="1" applyAlignment="1">
      <alignment/>
    </xf>
    <xf numFmtId="0" fontId="15" fillId="0" borderId="0" xfId="0" applyFont="1" applyAlignment="1">
      <alignment/>
    </xf>
    <xf numFmtId="1" fontId="0" fillId="0" borderId="0" xfId="0" applyNumberFormat="1" applyFont="1" applyAlignment="1">
      <alignment/>
    </xf>
    <xf numFmtId="2" fontId="0" fillId="0" borderId="0" xfId="0" applyNumberFormat="1"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left" wrapText="1"/>
    </xf>
    <xf numFmtId="0" fontId="0" fillId="0" borderId="0" xfId="0" applyFont="1" applyBorder="1" applyAlignment="1">
      <alignment wrapText="1"/>
    </xf>
    <xf numFmtId="0" fontId="0" fillId="0" borderId="3"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5" xfId="0" applyFont="1" applyBorder="1" applyAlignment="1">
      <alignment horizontal="right"/>
    </xf>
    <xf numFmtId="190" fontId="0" fillId="0" borderId="5" xfId="0" applyNumberFormat="1" applyFont="1" applyFill="1" applyBorder="1" applyAlignment="1">
      <alignment horizontal="right" wrapText="1"/>
    </xf>
    <xf numFmtId="190" fontId="0" fillId="0" borderId="6" xfId="0" applyNumberFormat="1" applyFont="1" applyFill="1" applyBorder="1" applyAlignment="1">
      <alignment horizontal="right" wrapText="1"/>
    </xf>
    <xf numFmtId="0" fontId="0" fillId="0" borderId="5" xfId="0" applyFont="1" applyFill="1" applyBorder="1" applyAlignment="1">
      <alignment horizontal="right"/>
    </xf>
    <xf numFmtId="0" fontId="0" fillId="0" borderId="5" xfId="0" applyFont="1" applyBorder="1" applyAlignment="1">
      <alignment horizontal="right" wrapText="1"/>
    </xf>
    <xf numFmtId="0" fontId="0" fillId="0" borderId="5" xfId="0" applyFont="1" applyFill="1" applyBorder="1" applyAlignment="1">
      <alignment horizontal="right" wrapText="1"/>
    </xf>
    <xf numFmtId="0" fontId="0" fillId="0" borderId="0" xfId="0" applyFont="1" applyAlignment="1">
      <alignment horizontal="right"/>
    </xf>
    <xf numFmtId="0" fontId="0" fillId="0" borderId="1" xfId="0" applyFont="1" applyBorder="1" applyAlignment="1">
      <alignment wrapText="1"/>
    </xf>
    <xf numFmtId="0" fontId="0" fillId="0" borderId="7" xfId="0" applyFont="1" applyBorder="1" applyAlignment="1">
      <alignment wrapText="1"/>
    </xf>
    <xf numFmtId="0" fontId="17" fillId="0" borderId="1" xfId="0" applyFont="1" applyBorder="1" applyAlignment="1">
      <alignment wrapText="1"/>
    </xf>
    <xf numFmtId="0" fontId="17" fillId="0" borderId="1" xfId="0" applyFont="1" applyBorder="1" applyAlignment="1">
      <alignment/>
    </xf>
    <xf numFmtId="0" fontId="19" fillId="0" borderId="1" xfId="0" applyFont="1" applyBorder="1" applyAlignment="1">
      <alignment wrapText="1"/>
    </xf>
    <xf numFmtId="0" fontId="17" fillId="0" borderId="1" xfId="0" applyFont="1" applyFill="1" applyBorder="1" applyAlignment="1">
      <alignment wrapText="1"/>
    </xf>
    <xf numFmtId="0" fontId="0" fillId="0" borderId="0" xfId="0" applyFont="1" applyAlignment="1">
      <alignment wrapText="1"/>
    </xf>
    <xf numFmtId="0" fontId="0" fillId="6" borderId="0" xfId="0" applyFill="1" applyAlignment="1">
      <alignment/>
    </xf>
    <xf numFmtId="0" fontId="3" fillId="6" borderId="0" xfId="0" applyFont="1" applyFill="1" applyAlignment="1">
      <alignment/>
    </xf>
    <xf numFmtId="0" fontId="17" fillId="6" borderId="1" xfId="0" applyFont="1" applyFill="1" applyBorder="1" applyAlignment="1">
      <alignment wrapText="1"/>
    </xf>
    <xf numFmtId="0" fontId="7" fillId="0" borderId="0" xfId="18" applyAlignment="1">
      <alignment/>
    </xf>
    <xf numFmtId="1" fontId="12" fillId="3" borderId="0" xfId="0" applyNumberFormat="1" applyFont="1" applyFill="1" applyAlignment="1">
      <alignment/>
    </xf>
    <xf numFmtId="3" fontId="0" fillId="0" borderId="0" xfId="0" applyNumberFormat="1" applyFill="1" applyAlignment="1">
      <alignment/>
    </xf>
    <xf numFmtId="0" fontId="2" fillId="0" borderId="5" xfId="0" applyFont="1" applyBorder="1" applyAlignment="1">
      <alignment horizontal="right" wrapText="1"/>
    </xf>
    <xf numFmtId="3" fontId="12" fillId="2" borderId="0" xfId="0" applyNumberFormat="1" applyFont="1" applyFill="1" applyAlignment="1">
      <alignment/>
    </xf>
    <xf numFmtId="189" fontId="0" fillId="0" borderId="0" xfId="0" applyNumberFormat="1" applyAlignment="1">
      <alignment horizontal="right"/>
    </xf>
    <xf numFmtId="0" fontId="0" fillId="0" borderId="5" xfId="0" applyBorder="1" applyAlignment="1">
      <alignment horizontal="right"/>
    </xf>
    <xf numFmtId="1" fontId="0" fillId="2" borderId="0" xfId="0" applyNumberFormat="1" applyFill="1" applyAlignment="1">
      <alignment/>
    </xf>
    <xf numFmtId="190" fontId="0" fillId="2" borderId="0" xfId="0" applyNumberFormat="1" applyFont="1" applyFill="1" applyAlignment="1">
      <alignment/>
    </xf>
    <xf numFmtId="3" fontId="2" fillId="4" borderId="4" xfId="0" applyNumberFormat="1" applyFont="1" applyFill="1" applyBorder="1" applyAlignment="1">
      <alignment horizontal="right" vertical="center"/>
    </xf>
    <xf numFmtId="185" fontId="0" fillId="0" borderId="0" xfId="0" applyNumberFormat="1" applyFill="1" applyAlignment="1">
      <alignment horizontal="center"/>
    </xf>
    <xf numFmtId="0" fontId="12" fillId="0" borderId="0" xfId="0" applyFont="1" applyAlignment="1">
      <alignment wrapText="1"/>
    </xf>
    <xf numFmtId="2" fontId="0" fillId="0" borderId="0" xfId="0" applyNumberFormat="1" applyAlignment="1">
      <alignment/>
    </xf>
    <xf numFmtId="0" fontId="0" fillId="5" borderId="0" xfId="0" applyFill="1" applyAlignment="1">
      <alignment/>
    </xf>
    <xf numFmtId="181" fontId="12" fillId="0" borderId="0" xfId="0" applyNumberFormat="1" applyFont="1" applyFill="1" applyAlignment="1" quotePrefix="1">
      <alignment horizontal="right"/>
    </xf>
    <xf numFmtId="3" fontId="0" fillId="2" borderId="0" xfId="0" applyNumberFormat="1" applyFill="1" applyAlignment="1">
      <alignment/>
    </xf>
    <xf numFmtId="1" fontId="0" fillId="3" borderId="0" xfId="0" applyNumberFormat="1" applyFont="1" applyFill="1" applyAlignment="1">
      <alignment/>
    </xf>
    <xf numFmtId="2" fontId="0" fillId="0" borderId="0" xfId="0" applyNumberFormat="1" applyFill="1" applyBorder="1" applyAlignment="1">
      <alignment/>
    </xf>
    <xf numFmtId="4" fontId="0" fillId="0" borderId="0" xfId="0" applyNumberFormat="1" applyFill="1" applyBorder="1" applyAlignment="1">
      <alignment/>
    </xf>
    <xf numFmtId="4" fontId="0" fillId="0" borderId="0" xfId="0" applyNumberFormat="1" applyAlignment="1">
      <alignment/>
    </xf>
    <xf numFmtId="190" fontId="12" fillId="2" borderId="0" xfId="0" applyNumberFormat="1" applyFont="1" applyFill="1" applyAlignment="1">
      <alignment/>
    </xf>
    <xf numFmtId="3" fontId="0" fillId="0" borderId="0" xfId="0" applyNumberFormat="1" applyFont="1" applyFill="1" applyBorder="1" applyAlignment="1">
      <alignment/>
    </xf>
    <xf numFmtId="2" fontId="0" fillId="0" borderId="0" xfId="0" applyNumberFormat="1" applyFont="1" applyFill="1" applyBorder="1" applyAlignment="1">
      <alignment/>
    </xf>
    <xf numFmtId="3" fontId="0" fillId="0" borderId="0" xfId="0" applyNumberFormat="1" applyFont="1" applyAlignment="1">
      <alignment/>
    </xf>
    <xf numFmtId="3" fontId="0" fillId="2" borderId="0" xfId="0" applyNumberFormat="1" applyFont="1" applyFill="1" applyAlignment="1">
      <alignment/>
    </xf>
    <xf numFmtId="3" fontId="0" fillId="0" borderId="0" xfId="0" applyNumberFormat="1" applyFont="1" applyAlignment="1">
      <alignment/>
    </xf>
    <xf numFmtId="190" fontId="0" fillId="0" borderId="0" xfId="0" applyNumberFormat="1"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5"/>
  <sheetViews>
    <sheetView tabSelected="1" workbookViewId="0" topLeftCell="A1">
      <pane xSplit="1" ySplit="5" topLeftCell="B6" activePane="bottomRight" state="frozen"/>
      <selection pane="topLeft" activeCell="K6" sqref="K6"/>
      <selection pane="topRight" activeCell="A1" sqref="A1"/>
      <selection pane="bottomLeft" activeCell="A7" sqref="A7"/>
      <selection pane="bottomRight" activeCell="K16" sqref="K16"/>
    </sheetView>
  </sheetViews>
  <sheetFormatPr defaultColWidth="11.421875" defaultRowHeight="12.75"/>
  <cols>
    <col min="1" max="1" width="15.8515625" style="3" customWidth="1"/>
    <col min="2" max="2" width="7.00390625" style="0" customWidth="1"/>
    <col min="3" max="3" width="8.140625" style="0" bestFit="1" customWidth="1"/>
    <col min="4" max="5" width="8.00390625" style="0" customWidth="1"/>
    <col min="6" max="7" width="8.140625" style="0" customWidth="1"/>
    <col min="8" max="8" width="6.140625" style="0" customWidth="1"/>
    <col min="9" max="9" width="7.8515625" style="0" customWidth="1"/>
    <col min="10" max="10" width="10.8515625" style="0" customWidth="1"/>
    <col min="11" max="11" width="8.7109375" style="0" customWidth="1"/>
    <col min="12" max="12" width="7.8515625" style="0" customWidth="1"/>
    <col min="13" max="13" width="9.00390625" style="0" customWidth="1"/>
    <col min="14" max="14" width="10.421875" style="0" customWidth="1"/>
    <col min="15" max="15" width="10.8515625" style="0" customWidth="1"/>
    <col min="16" max="16" width="11.140625" style="0" customWidth="1"/>
    <col min="17" max="17" width="8.140625" style="70" customWidth="1"/>
    <col min="18" max="18" width="7.7109375" style="70" customWidth="1"/>
    <col min="19" max="19" width="7.421875" style="0" customWidth="1"/>
    <col min="20" max="20" width="7.140625" style="0" customWidth="1"/>
    <col min="21" max="21" width="7.00390625" style="0" customWidth="1"/>
    <col min="22" max="22" width="7.140625" style="9" customWidth="1"/>
    <col min="23" max="23" width="10.7109375" style="9" customWidth="1"/>
    <col min="24" max="24" width="7.00390625" style="0" customWidth="1"/>
    <col min="25" max="25" width="6.8515625" style="0" customWidth="1"/>
    <col min="26" max="26" width="9.00390625" style="0" customWidth="1"/>
    <col min="27" max="27" width="8.8515625" style="0" customWidth="1"/>
    <col min="28" max="28" width="9.421875" style="0" customWidth="1"/>
    <col min="29" max="29" width="8.140625" style="0" customWidth="1"/>
    <col min="30" max="30" width="8.8515625" style="0" customWidth="1"/>
    <col min="31" max="31" width="9.7109375" style="0" customWidth="1"/>
    <col min="32" max="32" width="7.8515625" style="0" customWidth="1"/>
    <col min="33" max="33" width="8.00390625" style="0" customWidth="1"/>
    <col min="34" max="34" width="7.28125" style="0" customWidth="1"/>
    <col min="35" max="35" width="9.57421875" style="9" customWidth="1"/>
    <col min="36" max="36" width="9.28125" style="0" customWidth="1"/>
    <col min="37" max="37" width="11.8515625" style="0" bestFit="1" customWidth="1"/>
    <col min="38" max="38" width="12.7109375" style="0" customWidth="1"/>
    <col min="39" max="39" width="12.8515625" style="0" bestFit="1" customWidth="1"/>
    <col min="40" max="40" width="12.00390625" style="0" bestFit="1" customWidth="1"/>
    <col min="41" max="41" width="12.7109375" style="0" bestFit="1" customWidth="1"/>
    <col min="42" max="42" width="9.00390625" style="0" customWidth="1"/>
    <col min="43" max="43" width="9.57421875" style="0" customWidth="1"/>
    <col min="44" max="44" width="9.8515625" style="0" customWidth="1"/>
    <col min="45" max="45" width="8.28125" style="0" customWidth="1"/>
    <col min="46" max="49" width="7.140625" style="0" customWidth="1"/>
    <col min="50" max="50" width="9.8515625" style="0" bestFit="1" customWidth="1"/>
    <col min="51" max="51" width="6.28125" style="0" customWidth="1"/>
    <col min="52" max="52" width="6.00390625" style="0" bestFit="1" customWidth="1"/>
  </cols>
  <sheetData>
    <row r="1" spans="1:18" ht="18">
      <c r="A1" s="1" t="s">
        <v>143</v>
      </c>
      <c r="Q1" s="65"/>
      <c r="R1" s="65"/>
    </row>
    <row r="2" spans="1:51" ht="18">
      <c r="A2" s="1"/>
      <c r="H2" s="5"/>
      <c r="I2" s="47"/>
      <c r="L2" s="6" t="s">
        <v>34</v>
      </c>
      <c r="M2" s="6" t="s">
        <v>2</v>
      </c>
      <c r="N2" s="95" t="s">
        <v>125</v>
      </c>
      <c r="O2" s="95" t="s">
        <v>125</v>
      </c>
      <c r="P2" s="95" t="s">
        <v>125</v>
      </c>
      <c r="Q2" s="6" t="s">
        <v>3</v>
      </c>
      <c r="R2" s="66" t="s">
        <v>4</v>
      </c>
      <c r="S2" s="6" t="s">
        <v>5</v>
      </c>
      <c r="T2" s="6" t="s">
        <v>6</v>
      </c>
      <c r="U2" s="6" t="s">
        <v>35</v>
      </c>
      <c r="V2" s="21" t="s">
        <v>36</v>
      </c>
      <c r="W2" s="6" t="s">
        <v>37</v>
      </c>
      <c r="X2" s="7" t="s">
        <v>38</v>
      </c>
      <c r="Y2" s="7" t="s">
        <v>39</v>
      </c>
      <c r="Z2" s="7" t="s">
        <v>40</v>
      </c>
      <c r="AA2" s="6" t="s">
        <v>7</v>
      </c>
      <c r="AB2" s="6" t="s">
        <v>8</v>
      </c>
      <c r="AC2" s="6" t="s">
        <v>9</v>
      </c>
      <c r="AD2" s="6" t="s">
        <v>10</v>
      </c>
      <c r="AE2" s="6" t="s">
        <v>11</v>
      </c>
      <c r="AF2" s="6" t="s">
        <v>12</v>
      </c>
      <c r="AG2" s="6" t="s">
        <v>13</v>
      </c>
      <c r="AH2" s="6" t="s">
        <v>14</v>
      </c>
      <c r="AI2" s="64" t="s">
        <v>16</v>
      </c>
      <c r="AJ2" s="6" t="s">
        <v>17</v>
      </c>
      <c r="AK2" s="95" t="s">
        <v>18</v>
      </c>
      <c r="AL2" s="95" t="s">
        <v>18</v>
      </c>
      <c r="AM2" s="95" t="s">
        <v>18</v>
      </c>
      <c r="AN2" s="95" t="s">
        <v>19</v>
      </c>
      <c r="AO2" s="95" t="s">
        <v>19</v>
      </c>
      <c r="AP2" s="6" t="s">
        <v>20</v>
      </c>
      <c r="AQ2" s="6" t="s">
        <v>21</v>
      </c>
      <c r="AR2" s="6" t="s">
        <v>22</v>
      </c>
      <c r="AS2" s="6" t="s">
        <v>23</v>
      </c>
      <c r="AT2" s="6" t="s">
        <v>24</v>
      </c>
      <c r="AU2" s="95"/>
      <c r="AV2" s="95"/>
      <c r="AW2" s="6" t="s">
        <v>25</v>
      </c>
      <c r="AX2" s="6" t="s">
        <v>26</v>
      </c>
      <c r="AY2" s="6" t="s">
        <v>27</v>
      </c>
    </row>
    <row r="3" spans="1:52" s="93" customFormat="1" ht="66">
      <c r="A3" s="87"/>
      <c r="B3" s="87"/>
      <c r="C3" s="87"/>
      <c r="D3" s="87"/>
      <c r="E3" s="87"/>
      <c r="F3" s="87"/>
      <c r="G3" s="87"/>
      <c r="H3" s="87"/>
      <c r="I3" s="88"/>
      <c r="J3" s="87"/>
      <c r="K3" s="89" t="s">
        <v>60</v>
      </c>
      <c r="L3" s="89" t="s">
        <v>74</v>
      </c>
      <c r="M3" s="89" t="s">
        <v>98</v>
      </c>
      <c r="N3" s="96" t="s">
        <v>99</v>
      </c>
      <c r="O3" s="96" t="s">
        <v>99</v>
      </c>
      <c r="P3" s="96" t="s">
        <v>99</v>
      </c>
      <c r="Q3" s="89" t="s">
        <v>99</v>
      </c>
      <c r="R3" s="91" t="s">
        <v>100</v>
      </c>
      <c r="S3" s="89" t="s">
        <v>101</v>
      </c>
      <c r="T3" s="89" t="s">
        <v>102</v>
      </c>
      <c r="U3" s="89" t="s">
        <v>103</v>
      </c>
      <c r="V3" s="89" t="s">
        <v>104</v>
      </c>
      <c r="W3" s="89" t="s">
        <v>105</v>
      </c>
      <c r="X3" s="89" t="s">
        <v>106</v>
      </c>
      <c r="Y3" s="89" t="s">
        <v>107</v>
      </c>
      <c r="Z3" s="89" t="s">
        <v>108</v>
      </c>
      <c r="AA3" s="90" t="s">
        <v>109</v>
      </c>
      <c r="AB3" s="90" t="s">
        <v>110</v>
      </c>
      <c r="AC3" s="89" t="s">
        <v>111</v>
      </c>
      <c r="AD3" s="89" t="s">
        <v>112</v>
      </c>
      <c r="AE3" s="89" t="s">
        <v>113</v>
      </c>
      <c r="AF3" s="89" t="s">
        <v>114</v>
      </c>
      <c r="AG3" s="89" t="s">
        <v>115</v>
      </c>
      <c r="AH3" s="89" t="s">
        <v>15</v>
      </c>
      <c r="AI3" s="92" t="s">
        <v>116</v>
      </c>
      <c r="AJ3" s="89" t="s">
        <v>73</v>
      </c>
      <c r="AK3" s="96" t="s">
        <v>117</v>
      </c>
      <c r="AL3" s="96" t="s">
        <v>117</v>
      </c>
      <c r="AM3" s="96" t="s">
        <v>117</v>
      </c>
      <c r="AN3" s="96" t="s">
        <v>118</v>
      </c>
      <c r="AO3" s="96" t="s">
        <v>118</v>
      </c>
      <c r="AP3" s="89" t="s">
        <v>119</v>
      </c>
      <c r="AQ3" s="89" t="s">
        <v>116</v>
      </c>
      <c r="AR3" s="89" t="s">
        <v>112</v>
      </c>
      <c r="AS3" s="89" t="s">
        <v>72</v>
      </c>
      <c r="AT3" s="89" t="s">
        <v>71</v>
      </c>
      <c r="AU3" s="96"/>
      <c r="AV3" s="96"/>
      <c r="AW3" s="89" t="s">
        <v>120</v>
      </c>
      <c r="AX3" s="89" t="s">
        <v>121</v>
      </c>
      <c r="AY3" s="89" t="s">
        <v>122</v>
      </c>
      <c r="AZ3" s="89" t="s">
        <v>129</v>
      </c>
    </row>
    <row r="4" spans="1:52" s="79" customFormat="1" ht="153">
      <c r="A4" s="71" t="s">
        <v>0</v>
      </c>
      <c r="B4" s="72" t="s">
        <v>82</v>
      </c>
      <c r="C4" s="72" t="s">
        <v>83</v>
      </c>
      <c r="D4" s="73" t="s">
        <v>131</v>
      </c>
      <c r="E4" s="73" t="s">
        <v>132</v>
      </c>
      <c r="F4" s="73" t="s">
        <v>80</v>
      </c>
      <c r="G4" s="73" t="s">
        <v>130</v>
      </c>
      <c r="H4" s="74" t="s">
        <v>84</v>
      </c>
      <c r="I4" s="75" t="s">
        <v>79</v>
      </c>
      <c r="J4" s="76" t="s">
        <v>79</v>
      </c>
      <c r="K4" s="77" t="s">
        <v>61</v>
      </c>
      <c r="L4" s="77" t="s">
        <v>68</v>
      </c>
      <c r="M4" s="77" t="s">
        <v>41</v>
      </c>
      <c r="N4" s="77" t="s">
        <v>88</v>
      </c>
      <c r="O4" s="77" t="s">
        <v>136</v>
      </c>
      <c r="P4" s="77" t="s">
        <v>137</v>
      </c>
      <c r="Q4" s="77" t="s">
        <v>90</v>
      </c>
      <c r="R4" s="77" t="s">
        <v>91</v>
      </c>
      <c r="S4" s="78" t="s">
        <v>42</v>
      </c>
      <c r="T4" s="77" t="s">
        <v>92</v>
      </c>
      <c r="U4" s="77" t="s">
        <v>43</v>
      </c>
      <c r="V4" s="78" t="s">
        <v>44</v>
      </c>
      <c r="W4" s="78" t="s">
        <v>85</v>
      </c>
      <c r="X4" s="77" t="s">
        <v>45</v>
      </c>
      <c r="Y4" s="77" t="s">
        <v>46</v>
      </c>
      <c r="Z4" s="77" t="s">
        <v>47</v>
      </c>
      <c r="AA4" s="108" t="s">
        <v>48</v>
      </c>
      <c r="AB4" s="108" t="s">
        <v>133</v>
      </c>
      <c r="AC4" s="77" t="s">
        <v>49</v>
      </c>
      <c r="AD4" s="77" t="s">
        <v>29</v>
      </c>
      <c r="AE4" s="77" t="s">
        <v>50</v>
      </c>
      <c r="AF4" s="77" t="s">
        <v>51</v>
      </c>
      <c r="AG4" s="77" t="s">
        <v>53</v>
      </c>
      <c r="AH4" s="77" t="s">
        <v>52</v>
      </c>
      <c r="AI4" s="78" t="s">
        <v>28</v>
      </c>
      <c r="AJ4" s="77" t="s">
        <v>69</v>
      </c>
      <c r="AK4" s="77" t="s">
        <v>86</v>
      </c>
      <c r="AL4" s="77" t="s">
        <v>135</v>
      </c>
      <c r="AM4" s="77" t="s">
        <v>134</v>
      </c>
      <c r="AN4" s="77" t="s">
        <v>87</v>
      </c>
      <c r="AO4" s="77" t="s">
        <v>89</v>
      </c>
      <c r="AP4" s="77" t="s">
        <v>70</v>
      </c>
      <c r="AQ4" s="77" t="s">
        <v>28</v>
      </c>
      <c r="AR4" s="77" t="s">
        <v>29</v>
      </c>
      <c r="AS4" s="77" t="s">
        <v>140</v>
      </c>
      <c r="AT4" s="77" t="s">
        <v>30</v>
      </c>
      <c r="AU4" s="77" t="s">
        <v>126</v>
      </c>
      <c r="AV4" s="77" t="s">
        <v>127</v>
      </c>
      <c r="AW4" s="77" t="s">
        <v>31</v>
      </c>
      <c r="AX4" s="77" t="s">
        <v>32</v>
      </c>
      <c r="AY4" s="93" t="s">
        <v>33</v>
      </c>
      <c r="AZ4" s="93" t="s">
        <v>128</v>
      </c>
    </row>
    <row r="5" spans="1:52" s="86" customFormat="1" ht="39" thickBot="1">
      <c r="A5" s="80"/>
      <c r="B5" s="81" t="s">
        <v>56</v>
      </c>
      <c r="C5" s="81" t="s">
        <v>56</v>
      </c>
      <c r="D5" s="81" t="s">
        <v>56</v>
      </c>
      <c r="E5" s="81" t="s">
        <v>56</v>
      </c>
      <c r="F5" s="81" t="s">
        <v>56</v>
      </c>
      <c r="G5" s="81" t="s">
        <v>56</v>
      </c>
      <c r="H5" s="80" t="s">
        <v>1</v>
      </c>
      <c r="I5" s="82" t="s">
        <v>56</v>
      </c>
      <c r="J5" s="83" t="s">
        <v>81</v>
      </c>
      <c r="K5" s="84" t="s">
        <v>93</v>
      </c>
      <c r="L5" s="84" t="s">
        <v>93</v>
      </c>
      <c r="M5" s="84" t="s">
        <v>93</v>
      </c>
      <c r="N5" s="84" t="s">
        <v>93</v>
      </c>
      <c r="O5" s="84" t="s">
        <v>93</v>
      </c>
      <c r="P5" s="84" t="s">
        <v>93</v>
      </c>
      <c r="Q5" s="84" t="s">
        <v>93</v>
      </c>
      <c r="R5" s="84" t="s">
        <v>93</v>
      </c>
      <c r="S5" s="84" t="s">
        <v>55</v>
      </c>
      <c r="T5" s="84" t="s">
        <v>58</v>
      </c>
      <c r="U5" s="84" t="s">
        <v>94</v>
      </c>
      <c r="V5" s="84" t="s">
        <v>95</v>
      </c>
      <c r="W5" s="85" t="s">
        <v>1</v>
      </c>
      <c r="X5" s="84" t="s">
        <v>95</v>
      </c>
      <c r="Y5" s="84" t="s">
        <v>95</v>
      </c>
      <c r="Z5" s="84" t="s">
        <v>1</v>
      </c>
      <c r="AA5" s="84" t="s">
        <v>95</v>
      </c>
      <c r="AB5" s="84" t="s">
        <v>95</v>
      </c>
      <c r="AC5" s="84" t="s">
        <v>1</v>
      </c>
      <c r="AD5" s="84" t="s">
        <v>96</v>
      </c>
      <c r="AE5" s="84" t="s">
        <v>97</v>
      </c>
      <c r="AF5" s="84" t="s">
        <v>1</v>
      </c>
      <c r="AG5" s="84" t="s">
        <v>1</v>
      </c>
      <c r="AH5" s="84" t="s">
        <v>57</v>
      </c>
      <c r="AI5" s="85" t="s">
        <v>59</v>
      </c>
      <c r="AJ5" s="84" t="s">
        <v>54</v>
      </c>
      <c r="AK5" s="84" t="s">
        <v>54</v>
      </c>
      <c r="AL5" s="84" t="s">
        <v>54</v>
      </c>
      <c r="AM5" s="84" t="s">
        <v>54</v>
      </c>
      <c r="AN5" s="84" t="s">
        <v>54</v>
      </c>
      <c r="AO5" s="84" t="s">
        <v>54</v>
      </c>
      <c r="AP5" s="84" t="s">
        <v>56</v>
      </c>
      <c r="AQ5" s="84" t="s">
        <v>59</v>
      </c>
      <c r="AR5" s="84" t="s">
        <v>59</v>
      </c>
      <c r="AS5" s="84" t="s">
        <v>55</v>
      </c>
      <c r="AT5" s="84" t="s">
        <v>55</v>
      </c>
      <c r="AU5" s="84" t="s">
        <v>55</v>
      </c>
      <c r="AV5" s="84" t="s">
        <v>55</v>
      </c>
      <c r="AW5" s="84" t="s">
        <v>58</v>
      </c>
      <c r="AX5" s="84" t="s">
        <v>58</v>
      </c>
      <c r="AY5" s="100" t="s">
        <v>1</v>
      </c>
      <c r="AZ5" s="103" t="s">
        <v>1</v>
      </c>
    </row>
    <row r="6" spans="1:52" ht="12.75">
      <c r="A6" s="102" t="s">
        <v>141</v>
      </c>
      <c r="B6" s="60">
        <v>0</v>
      </c>
      <c r="C6" s="60">
        <v>0</v>
      </c>
      <c r="D6" s="60">
        <v>44.7303834049114</v>
      </c>
      <c r="E6" s="61">
        <v>0</v>
      </c>
      <c r="F6" s="60">
        <v>93.96045764235092</v>
      </c>
      <c r="G6" s="60">
        <v>0.13659093824992846</v>
      </c>
      <c r="H6" s="46">
        <v>44.10364609374997</v>
      </c>
      <c r="I6" s="48">
        <f>SUM(C6:G6)</f>
        <v>138.82743198551225</v>
      </c>
      <c r="J6" s="16">
        <f>I6/0.717*1000</f>
        <v>193622.63875245783</v>
      </c>
      <c r="K6" s="29">
        <f aca="true" t="shared" si="0" ref="K6:K15">AJ6-L6</f>
        <v>3251.505598078475</v>
      </c>
      <c r="L6" s="29">
        <f>M6+N6+O6+P6</f>
        <v>401.92350637883663</v>
      </c>
      <c r="M6" s="32">
        <f>S6*T6</f>
        <v>7.480065250000001</v>
      </c>
      <c r="N6" s="29">
        <f>(U6)*(AD$6+AE6*AH6)+(AI$6*(V6-U6))</f>
        <v>0</v>
      </c>
      <c r="O6" s="29">
        <f>(AA6)*(AD$6+AE6*AH6)+(AI$6*AB6*(1-AC$6))</f>
        <v>267.35323927963213</v>
      </c>
      <c r="P6" s="29">
        <f>(X6)*(AD$6+AE6*AH6)+(AI$6*Y6*(1-Z$6))</f>
        <v>127.09020184920452</v>
      </c>
      <c r="Q6" s="29">
        <f>(U6+X6+AA6)*(AD$6+AE6*AH6)</f>
        <v>379.86656077035786</v>
      </c>
      <c r="R6" s="67">
        <f aca="true" t="shared" si="1" ref="R6:R13">AI$6*((V6-U6)+Y6*(1-Z$6)+AB6*(1-AC$6))</f>
        <v>14.5768803584788</v>
      </c>
      <c r="S6" s="38">
        <f>AS6*0.035</f>
        <v>7.036750000000001</v>
      </c>
      <c r="T6" s="111">
        <v>1.063</v>
      </c>
      <c r="U6" s="16">
        <f>B6</f>
        <v>0</v>
      </c>
      <c r="V6" s="16">
        <f aca="true" t="shared" si="2" ref="U6:V15">C6</f>
        <v>0</v>
      </c>
      <c r="W6" s="23"/>
      <c r="X6" s="22">
        <f>Y6*$Z$6</f>
        <v>44.506731487886846</v>
      </c>
      <c r="Y6" s="16">
        <f aca="true" t="shared" si="3" ref="Y6:Y15">D6</f>
        <v>44.7303834049114</v>
      </c>
      <c r="Z6" s="23">
        <v>0.995</v>
      </c>
      <c r="AA6" s="22">
        <f>AB6*AC$6</f>
        <v>93.62656333769783</v>
      </c>
      <c r="AB6" s="16">
        <f>F6+G6</f>
        <v>94.09704858060084</v>
      </c>
      <c r="AC6" s="11">
        <v>0.995</v>
      </c>
      <c r="AD6" s="10">
        <v>2.75</v>
      </c>
      <c r="AE6">
        <v>0</v>
      </c>
      <c r="AF6" s="25">
        <f aca="true" t="shared" si="4" ref="AF6:AF15">H6/100</f>
        <v>0.4410364609374997</v>
      </c>
      <c r="AG6" s="9">
        <v>0</v>
      </c>
      <c r="AH6">
        <f aca="true" t="shared" si="5" ref="AH6:AH11">IF(AF6,AG6/AF6,0)</f>
        <v>0</v>
      </c>
      <c r="AI6" s="10">
        <v>21</v>
      </c>
      <c r="AJ6" s="29">
        <f>SUM(AK6:AO6)</f>
        <v>3653.4291044573115</v>
      </c>
      <c r="AK6" s="29">
        <f>V6*$AQ$6</f>
        <v>0</v>
      </c>
      <c r="AL6" s="29">
        <f>Y6*$AQ$6</f>
        <v>939.3380515031394</v>
      </c>
      <c r="AM6" s="29">
        <f>AB6*$AQ$6</f>
        <v>1976.0380201926178</v>
      </c>
      <c r="AN6" s="29">
        <f>AT6*AX$6/AY$6</f>
        <v>524.3368827615541</v>
      </c>
      <c r="AO6" s="29">
        <f>AS6*AW$6</f>
        <v>213.71615</v>
      </c>
      <c r="AP6" s="29">
        <f>(V6+Y6+AB6)</f>
        <v>138.82743198551225</v>
      </c>
      <c r="AQ6" s="27">
        <v>21</v>
      </c>
      <c r="AR6" s="27">
        <v>2.75</v>
      </c>
      <c r="AS6" s="112">
        <v>201.05</v>
      </c>
      <c r="AT6" s="99">
        <f>SUM(AU6:AV6)</f>
        <v>1400.9000684469001</v>
      </c>
      <c r="AU6" s="121">
        <v>1399.0302026999996</v>
      </c>
      <c r="AV6" s="16">
        <f>G6*13.898*$AZ$6</f>
        <v>1.869865746900543</v>
      </c>
      <c r="AW6" s="111">
        <v>1.063</v>
      </c>
      <c r="AX6" s="26">
        <v>0.3406</v>
      </c>
      <c r="AY6" s="33">
        <v>0.91</v>
      </c>
      <c r="AZ6">
        <v>0.985</v>
      </c>
    </row>
    <row r="7" spans="1:52" ht="12.75">
      <c r="A7" s="59">
        <v>40634</v>
      </c>
      <c r="B7" s="60">
        <v>0</v>
      </c>
      <c r="C7" s="60">
        <v>0</v>
      </c>
      <c r="D7" s="60">
        <v>139.48765738725947</v>
      </c>
      <c r="E7" s="61">
        <v>0</v>
      </c>
      <c r="F7" s="60">
        <v>176.16996628854514</v>
      </c>
      <c r="G7" s="60">
        <v>0</v>
      </c>
      <c r="H7" s="46">
        <v>45.42735592515581</v>
      </c>
      <c r="I7" s="48">
        <f aca="true" t="shared" si="6" ref="I7:I20">SUM(C7:G7)</f>
        <v>315.65762367580464</v>
      </c>
      <c r="J7" s="16">
        <f aca="true" t="shared" si="7" ref="J7:J17">I7/0.717*1000</f>
        <v>440247.73176541796</v>
      </c>
      <c r="K7" s="29">
        <f t="shared" si="0"/>
        <v>7129.073028105874</v>
      </c>
      <c r="L7" s="29">
        <f aca="true" t="shared" si="8" ref="L7:L17">M7+N7+O7+P7</f>
        <v>921.7746912688799</v>
      </c>
      <c r="M7" s="32">
        <f aca="true" t="shared" si="9" ref="M7:M15">S7*T7</f>
        <v>24.912468000000004</v>
      </c>
      <c r="N7" s="29">
        <f aca="true" t="shared" si="10" ref="N7:N17">(U7)*(AD$6+AE7*AH7)+(AI$6*(V7-U7))</f>
        <v>0</v>
      </c>
      <c r="O7" s="29">
        <f aca="true" t="shared" si="11" ref="O7:O13">(AA7)*(AD$6+AE7*AH7)+(AI$6*AB7*(1-AC$6))</f>
        <v>500.54291671732886</v>
      </c>
      <c r="P7" s="29">
        <f aca="true" t="shared" si="12" ref="P7:P13">(X7)*(AD$6+AE7*AH7)+(AI$6*Y7*(1-Z$6))</f>
        <v>396.319306551551</v>
      </c>
      <c r="Q7" s="29">
        <f aca="true" t="shared" si="13" ref="Q7:Q17">(U7+X7+AA7)*(AD$6+AE7*AH7)</f>
        <v>863.7181727829203</v>
      </c>
      <c r="R7" s="67">
        <f t="shared" si="1"/>
        <v>33.14405048595951</v>
      </c>
      <c r="S7" s="38">
        <f aca="true" t="shared" si="14" ref="S7:S18">AS7*0.035</f>
        <v>23.436000000000003</v>
      </c>
      <c r="T7" s="111">
        <v>1.063</v>
      </c>
      <c r="U7" s="16">
        <f t="shared" si="2"/>
        <v>0</v>
      </c>
      <c r="V7" s="16">
        <f t="shared" si="2"/>
        <v>0</v>
      </c>
      <c r="W7" s="23"/>
      <c r="X7" s="22">
        <f aca="true" t="shared" si="15" ref="X7:X20">Y7*$Z$6</f>
        <v>138.79021910032318</v>
      </c>
      <c r="Y7" s="16">
        <f t="shared" si="3"/>
        <v>139.48765738725947</v>
      </c>
      <c r="Z7" s="23"/>
      <c r="AA7" s="22">
        <f aca="true" t="shared" si="16" ref="AA7:AA15">AB7*AC$6</f>
        <v>175.2891164571024</v>
      </c>
      <c r="AB7" s="16">
        <f aca="true" t="shared" si="17" ref="AB7:AB15">F7+G7</f>
        <v>176.16996628854514</v>
      </c>
      <c r="AC7" s="11"/>
      <c r="AD7" s="10"/>
      <c r="AE7">
        <v>0</v>
      </c>
      <c r="AF7" s="25">
        <f t="shared" si="4"/>
        <v>0.4542735592515581</v>
      </c>
      <c r="AG7" s="9">
        <v>0</v>
      </c>
      <c r="AH7">
        <f t="shared" si="5"/>
        <v>0</v>
      </c>
      <c r="AI7" s="10"/>
      <c r="AJ7" s="29">
        <f aca="true" t="shared" si="18" ref="AJ7:AJ20">SUM(AK7:AO7)</f>
        <v>8050.847719374754</v>
      </c>
      <c r="AK7" s="29">
        <f aca="true" t="shared" si="19" ref="AK7:AK15">V7*$AQ$6</f>
        <v>0</v>
      </c>
      <c r="AL7" s="29">
        <f aca="true" t="shared" si="20" ref="AL7:AL20">Y7*$AQ$6</f>
        <v>2929.240805132449</v>
      </c>
      <c r="AM7" s="29">
        <f aca="true" t="shared" si="21" ref="AM7:AM15">AB7*$AQ$6</f>
        <v>3699.569292059448</v>
      </c>
      <c r="AN7" s="29">
        <f aca="true" t="shared" si="22" ref="AN7:AN15">AT7*AX$6/AY$6</f>
        <v>710.2528221828557</v>
      </c>
      <c r="AO7" s="29">
        <f aca="true" t="shared" si="23" ref="AO7:AO15">AS7*AW$6</f>
        <v>711.7848</v>
      </c>
      <c r="AP7" s="29">
        <f>(V7+Y7+AB7)</f>
        <v>315.65762367580464</v>
      </c>
      <c r="AQ7" s="28"/>
      <c r="AR7" s="28"/>
      <c r="AS7" s="112">
        <v>669.6</v>
      </c>
      <c r="AT7" s="99">
        <f aca="true" t="shared" si="24" ref="AT7:AT20">SUM(AU7:AV7)</f>
        <v>1897.622043999996</v>
      </c>
      <c r="AU7" s="121">
        <v>1897.622043999996</v>
      </c>
      <c r="AV7" s="16">
        <f aca="true" t="shared" si="25" ref="AV7:AV20">G7*13.898*$AZ$6</f>
        <v>0</v>
      </c>
      <c r="AW7" s="24"/>
      <c r="AX7" s="26"/>
      <c r="AY7" s="33"/>
      <c r="AZ7" s="33"/>
    </row>
    <row r="8" spans="1:52" ht="12.75">
      <c r="A8" s="59">
        <v>40664</v>
      </c>
      <c r="B8" s="60">
        <v>0</v>
      </c>
      <c r="C8" s="60">
        <v>0</v>
      </c>
      <c r="D8" s="60">
        <v>129.9328969776351</v>
      </c>
      <c r="E8" s="61">
        <v>0</v>
      </c>
      <c r="F8" s="60">
        <v>0</v>
      </c>
      <c r="G8" s="60">
        <v>0</v>
      </c>
      <c r="H8" s="46">
        <v>42.749925828300306</v>
      </c>
      <c r="I8" s="48">
        <f t="shared" si="6"/>
        <v>129.9328969776351</v>
      </c>
      <c r="J8" s="16">
        <f t="shared" si="7"/>
        <v>181217.42953645063</v>
      </c>
      <c r="K8" s="29">
        <f t="shared" si="0"/>
        <v>2991.3600027426314</v>
      </c>
      <c r="L8" s="29">
        <f t="shared" si="8"/>
        <v>392.0919837877057</v>
      </c>
      <c r="M8" s="32">
        <f t="shared" si="9"/>
        <v>22.92014025</v>
      </c>
      <c r="N8" s="29">
        <f t="shared" si="10"/>
        <v>0</v>
      </c>
      <c r="O8" s="29">
        <f t="shared" si="11"/>
        <v>0</v>
      </c>
      <c r="P8" s="29">
        <f t="shared" si="12"/>
        <v>369.17184353770574</v>
      </c>
      <c r="Q8" s="29">
        <f t="shared" si="13"/>
        <v>355.52888935505405</v>
      </c>
      <c r="R8" s="67">
        <f t="shared" si="1"/>
        <v>13.642954182651698</v>
      </c>
      <c r="S8" s="38">
        <f t="shared" si="14"/>
        <v>21.56175</v>
      </c>
      <c r="T8" s="111">
        <v>1.063</v>
      </c>
      <c r="U8" s="16">
        <f t="shared" si="2"/>
        <v>0</v>
      </c>
      <c r="V8" s="16">
        <f t="shared" si="2"/>
        <v>0</v>
      </c>
      <c r="W8" s="23"/>
      <c r="X8" s="22">
        <f t="shared" si="15"/>
        <v>129.28323249274692</v>
      </c>
      <c r="Y8" s="16">
        <f t="shared" si="3"/>
        <v>129.9328969776351</v>
      </c>
      <c r="Z8" s="23"/>
      <c r="AA8" s="22">
        <f t="shared" si="16"/>
        <v>0</v>
      </c>
      <c r="AB8" s="16">
        <f t="shared" si="17"/>
        <v>0</v>
      </c>
      <c r="AC8" s="11"/>
      <c r="AD8" s="10"/>
      <c r="AE8">
        <v>0</v>
      </c>
      <c r="AF8" s="25">
        <f t="shared" si="4"/>
        <v>0.42749925828300306</v>
      </c>
      <c r="AG8" s="9">
        <v>0</v>
      </c>
      <c r="AH8">
        <f t="shared" si="5"/>
        <v>0</v>
      </c>
      <c r="AI8" s="10"/>
      <c r="AJ8" s="29">
        <f t="shared" si="18"/>
        <v>3383.4519865303373</v>
      </c>
      <c r="AK8" s="29">
        <f t="shared" si="19"/>
        <v>0</v>
      </c>
      <c r="AL8" s="29">
        <f t="shared" si="20"/>
        <v>2728.590836530337</v>
      </c>
      <c r="AM8" s="29">
        <f t="shared" si="21"/>
        <v>0</v>
      </c>
      <c r="AN8" s="29">
        <f t="shared" si="22"/>
        <v>0</v>
      </c>
      <c r="AO8" s="29">
        <f t="shared" si="23"/>
        <v>654.86115</v>
      </c>
      <c r="AP8" s="29">
        <f aca="true" t="shared" si="26" ref="AP8:AP13">(V8+Y8+AB8)</f>
        <v>129.9328969776351</v>
      </c>
      <c r="AQ8" s="28"/>
      <c r="AR8" s="28"/>
      <c r="AS8" s="112">
        <v>616.05</v>
      </c>
      <c r="AT8" s="99">
        <f t="shared" si="24"/>
        <v>0</v>
      </c>
      <c r="AU8" s="121">
        <v>0</v>
      </c>
      <c r="AV8" s="16">
        <f t="shared" si="25"/>
        <v>0</v>
      </c>
      <c r="AW8" s="24"/>
      <c r="AX8" s="26"/>
      <c r="AY8" s="33"/>
      <c r="AZ8" s="33"/>
    </row>
    <row r="9" spans="1:52" ht="12.75">
      <c r="A9" s="59">
        <v>40695</v>
      </c>
      <c r="B9" s="60">
        <v>0</v>
      </c>
      <c r="C9" s="60">
        <v>0</v>
      </c>
      <c r="D9" s="60">
        <v>116.48816710026617</v>
      </c>
      <c r="E9" s="61">
        <v>0</v>
      </c>
      <c r="F9" s="117">
        <v>28.108457265849946</v>
      </c>
      <c r="G9" s="60">
        <v>0</v>
      </c>
      <c r="H9" s="46">
        <v>48.148417543859644</v>
      </c>
      <c r="I9" s="48">
        <f t="shared" si="6"/>
        <v>144.59662436611612</v>
      </c>
      <c r="J9" s="16">
        <f t="shared" si="7"/>
        <v>201668.93217031538</v>
      </c>
      <c r="K9" s="29">
        <f t="shared" si="0"/>
        <v>3324.0440567682103</v>
      </c>
      <c r="L9" s="29">
        <f t="shared" si="8"/>
        <v>429.69809398022744</v>
      </c>
      <c r="M9" s="32">
        <f t="shared" si="9"/>
        <v>18.862935</v>
      </c>
      <c r="N9" s="29">
        <f t="shared" si="10"/>
        <v>0</v>
      </c>
      <c r="O9" s="29">
        <f t="shared" si="11"/>
        <v>79.86315420659616</v>
      </c>
      <c r="P9" s="29">
        <f t="shared" si="12"/>
        <v>330.9720047736313</v>
      </c>
      <c r="Q9" s="29">
        <f t="shared" si="13"/>
        <v>395.6525134217852</v>
      </c>
      <c r="R9" s="67">
        <f t="shared" si="1"/>
        <v>15.182645558442204</v>
      </c>
      <c r="S9" s="38">
        <f t="shared" si="14"/>
        <v>17.745</v>
      </c>
      <c r="T9" s="111">
        <v>1.063</v>
      </c>
      <c r="U9" s="16">
        <f t="shared" si="2"/>
        <v>0</v>
      </c>
      <c r="V9" s="16">
        <f t="shared" si="2"/>
        <v>0</v>
      </c>
      <c r="W9" s="23"/>
      <c r="X9" s="22">
        <f t="shared" si="15"/>
        <v>115.90572626476484</v>
      </c>
      <c r="Y9" s="16">
        <f t="shared" si="3"/>
        <v>116.48816710026617</v>
      </c>
      <c r="Z9" s="23"/>
      <c r="AA9" s="22">
        <f t="shared" si="16"/>
        <v>27.967914979520696</v>
      </c>
      <c r="AB9" s="16">
        <f t="shared" si="17"/>
        <v>28.108457265849946</v>
      </c>
      <c r="AC9" s="11"/>
      <c r="AD9" s="10"/>
      <c r="AE9">
        <v>0</v>
      </c>
      <c r="AF9" s="25">
        <f t="shared" si="4"/>
        <v>0.48148417543859645</v>
      </c>
      <c r="AG9" s="9">
        <v>0</v>
      </c>
      <c r="AH9">
        <f t="shared" si="5"/>
        <v>0</v>
      </c>
      <c r="AI9" s="10"/>
      <c r="AJ9" s="29">
        <f t="shared" si="18"/>
        <v>3753.742150748438</v>
      </c>
      <c r="AK9" s="29">
        <f t="shared" si="19"/>
        <v>0</v>
      </c>
      <c r="AL9" s="29">
        <f t="shared" si="20"/>
        <v>2446.2515091055893</v>
      </c>
      <c r="AM9" s="29">
        <f t="shared" si="21"/>
        <v>590.2776025828489</v>
      </c>
      <c r="AN9" s="29">
        <f t="shared" si="22"/>
        <v>178.27203905999986</v>
      </c>
      <c r="AO9" s="29">
        <f t="shared" si="23"/>
        <v>538.9409999999999</v>
      </c>
      <c r="AP9" s="29">
        <f t="shared" si="26"/>
        <v>144.59662436611612</v>
      </c>
      <c r="AQ9" s="28"/>
      <c r="AR9" s="28"/>
      <c r="AS9" s="112">
        <v>507</v>
      </c>
      <c r="AT9" s="99">
        <f t="shared" si="24"/>
        <v>476.29934099999963</v>
      </c>
      <c r="AU9" s="121">
        <v>476.29934099999963</v>
      </c>
      <c r="AV9" s="16">
        <f t="shared" si="25"/>
        <v>0</v>
      </c>
      <c r="AW9" s="24"/>
      <c r="AX9" s="26"/>
      <c r="AY9" s="33"/>
      <c r="AZ9" s="33"/>
    </row>
    <row r="10" spans="1:52" ht="12.75">
      <c r="A10" s="59">
        <v>40725</v>
      </c>
      <c r="B10" s="60">
        <v>0</v>
      </c>
      <c r="C10" s="60">
        <v>0</v>
      </c>
      <c r="D10" s="60">
        <v>141.6213212085297</v>
      </c>
      <c r="E10" s="61">
        <v>0</v>
      </c>
      <c r="F10" s="117">
        <v>91.45527440959015</v>
      </c>
      <c r="G10" s="60">
        <v>0</v>
      </c>
      <c r="H10" s="46">
        <v>50.51342168237849</v>
      </c>
      <c r="I10" s="48">
        <f t="shared" si="6"/>
        <v>233.07659561811985</v>
      </c>
      <c r="J10" s="16">
        <f t="shared" si="7"/>
        <v>325071.9604157878</v>
      </c>
      <c r="K10" s="29">
        <f t="shared" si="0"/>
        <v>5036.073997293391</v>
      </c>
      <c r="L10" s="29">
        <f t="shared" si="8"/>
        <v>682.433052549983</v>
      </c>
      <c r="M10" s="32">
        <f t="shared" si="9"/>
        <v>20.20417525</v>
      </c>
      <c r="N10" s="29">
        <f t="shared" si="10"/>
        <v>0</v>
      </c>
      <c r="O10" s="29">
        <f t="shared" si="11"/>
        <v>259.847298416248</v>
      </c>
      <c r="P10" s="29">
        <f t="shared" si="12"/>
        <v>402.381578883735</v>
      </c>
      <c r="Q10" s="29">
        <f t="shared" si="13"/>
        <v>637.7558347600805</v>
      </c>
      <c r="R10" s="67">
        <f t="shared" si="1"/>
        <v>24.473042539902604</v>
      </c>
      <c r="S10" s="38">
        <f t="shared" si="14"/>
        <v>19.00675</v>
      </c>
      <c r="T10" s="111">
        <v>1.063</v>
      </c>
      <c r="U10" s="16">
        <f t="shared" si="2"/>
        <v>0</v>
      </c>
      <c r="V10" s="16">
        <f t="shared" si="2"/>
        <v>0</v>
      </c>
      <c r="W10" s="23"/>
      <c r="X10" s="22">
        <f t="shared" si="15"/>
        <v>140.91321460248705</v>
      </c>
      <c r="Y10" s="16">
        <f t="shared" si="3"/>
        <v>141.6213212085297</v>
      </c>
      <c r="Z10" s="23"/>
      <c r="AA10" s="22">
        <f t="shared" si="16"/>
        <v>90.99799803754219</v>
      </c>
      <c r="AB10" s="16">
        <f t="shared" si="17"/>
        <v>91.45527440959015</v>
      </c>
      <c r="AC10" s="11"/>
      <c r="AD10" s="10"/>
      <c r="AE10">
        <v>0</v>
      </c>
      <c r="AF10" s="25">
        <f t="shared" si="4"/>
        <v>0.5051342168237849</v>
      </c>
      <c r="AG10" s="9">
        <v>0</v>
      </c>
      <c r="AH10">
        <f t="shared" si="5"/>
        <v>0</v>
      </c>
      <c r="AI10" s="10"/>
      <c r="AJ10" s="29">
        <f t="shared" si="18"/>
        <v>5718.507049843373</v>
      </c>
      <c r="AK10" s="29">
        <f t="shared" si="19"/>
        <v>0</v>
      </c>
      <c r="AL10" s="29">
        <f t="shared" si="20"/>
        <v>2974.0477453791236</v>
      </c>
      <c r="AM10" s="29">
        <f t="shared" si="21"/>
        <v>1920.560762601393</v>
      </c>
      <c r="AN10" s="29">
        <f t="shared" si="22"/>
        <v>246.63639186285718</v>
      </c>
      <c r="AO10" s="29">
        <f t="shared" si="23"/>
        <v>577.2621499999999</v>
      </c>
      <c r="AP10" s="29">
        <f t="shared" si="26"/>
        <v>233.07659561811985</v>
      </c>
      <c r="AQ10" s="28"/>
      <c r="AR10" s="28"/>
      <c r="AS10" s="112">
        <v>543.05</v>
      </c>
      <c r="AT10" s="99">
        <f t="shared" si="24"/>
        <v>658.9521920000001</v>
      </c>
      <c r="AU10" s="121">
        <v>658.9521920000001</v>
      </c>
      <c r="AV10" s="16">
        <f t="shared" si="25"/>
        <v>0</v>
      </c>
      <c r="AW10" s="24"/>
      <c r="AX10" s="26"/>
      <c r="AY10" s="33"/>
      <c r="AZ10" s="33"/>
    </row>
    <row r="11" spans="1:52" ht="12.75">
      <c r="A11" s="59">
        <v>40756</v>
      </c>
      <c r="B11" s="60">
        <v>0</v>
      </c>
      <c r="C11" s="60">
        <v>0</v>
      </c>
      <c r="D11" s="60">
        <v>120.8309919179132</v>
      </c>
      <c r="E11" s="61">
        <v>0</v>
      </c>
      <c r="F11" s="60">
        <v>73.63668823874998</v>
      </c>
      <c r="G11" s="60">
        <v>0</v>
      </c>
      <c r="H11" s="46">
        <v>44.36599381188122</v>
      </c>
      <c r="I11" s="48">
        <f t="shared" si="6"/>
        <v>194.46768015666316</v>
      </c>
      <c r="J11" s="16">
        <f t="shared" si="7"/>
        <v>271224.1006369082</v>
      </c>
      <c r="K11" s="29">
        <f t="shared" si="0"/>
        <v>4235.988497659093</v>
      </c>
      <c r="L11" s="29">
        <f t="shared" si="8"/>
        <v>572.5066607451193</v>
      </c>
      <c r="M11" s="32">
        <f t="shared" si="9"/>
        <v>19.9753645</v>
      </c>
      <c r="N11" s="29">
        <f t="shared" si="10"/>
        <v>0</v>
      </c>
      <c r="O11" s="29">
        <f t="shared" si="11"/>
        <v>209.2202404583484</v>
      </c>
      <c r="P11" s="29">
        <f t="shared" si="12"/>
        <v>343.3110557867709</v>
      </c>
      <c r="Q11" s="29">
        <f t="shared" si="13"/>
        <v>532.1121898286696</v>
      </c>
      <c r="R11" s="67">
        <f t="shared" si="1"/>
        <v>20.41910641644965</v>
      </c>
      <c r="S11" s="38">
        <f t="shared" si="14"/>
        <v>18.791500000000003</v>
      </c>
      <c r="T11" s="111">
        <v>1.063</v>
      </c>
      <c r="U11" s="16">
        <f t="shared" si="2"/>
        <v>0</v>
      </c>
      <c r="V11" s="16">
        <f t="shared" si="2"/>
        <v>0</v>
      </c>
      <c r="W11" s="23"/>
      <c r="X11" s="22">
        <f t="shared" si="15"/>
        <v>120.22683695832363</v>
      </c>
      <c r="Y11" s="16">
        <f t="shared" si="3"/>
        <v>120.8309919179132</v>
      </c>
      <c r="Z11" s="23"/>
      <c r="AA11" s="22">
        <f t="shared" si="16"/>
        <v>73.26850479755623</v>
      </c>
      <c r="AB11" s="16">
        <f t="shared" si="17"/>
        <v>73.63668823874998</v>
      </c>
      <c r="AC11" s="11"/>
      <c r="AD11" s="10"/>
      <c r="AE11">
        <v>0</v>
      </c>
      <c r="AF11" s="25">
        <f t="shared" si="4"/>
        <v>0.44365993811881216</v>
      </c>
      <c r="AG11" s="9">
        <v>0</v>
      </c>
      <c r="AH11">
        <f t="shared" si="5"/>
        <v>0</v>
      </c>
      <c r="AI11" s="10"/>
      <c r="AJ11" s="29">
        <f t="shared" si="18"/>
        <v>4808.495158404212</v>
      </c>
      <c r="AK11" s="29">
        <f t="shared" si="19"/>
        <v>0</v>
      </c>
      <c r="AL11" s="29">
        <f t="shared" si="20"/>
        <v>2537.450830276177</v>
      </c>
      <c r="AM11" s="29">
        <f t="shared" si="21"/>
        <v>1546.3704530137497</v>
      </c>
      <c r="AN11" s="29">
        <f t="shared" si="22"/>
        <v>153.94917511428577</v>
      </c>
      <c r="AO11" s="29">
        <f t="shared" si="23"/>
        <v>570.7247</v>
      </c>
      <c r="AP11" s="29">
        <f t="shared" si="26"/>
        <v>194.46768015666316</v>
      </c>
      <c r="AQ11" s="28"/>
      <c r="AR11" s="28"/>
      <c r="AS11" s="112">
        <v>536.9</v>
      </c>
      <c r="AT11" s="99">
        <f t="shared" si="24"/>
        <v>411.31459000000007</v>
      </c>
      <c r="AU11" s="121">
        <v>411.31459000000007</v>
      </c>
      <c r="AV11" s="16">
        <f t="shared" si="25"/>
        <v>0</v>
      </c>
      <c r="AW11" s="24"/>
      <c r="AX11" s="26"/>
      <c r="AY11" s="33"/>
      <c r="AZ11" s="33"/>
    </row>
    <row r="12" spans="1:52" ht="12.75">
      <c r="A12" s="59">
        <v>40787</v>
      </c>
      <c r="B12" s="60">
        <v>77.7</v>
      </c>
      <c r="C12" s="60">
        <v>78.5</v>
      </c>
      <c r="D12" s="60">
        <v>20.073659681108918</v>
      </c>
      <c r="E12" s="61">
        <v>0</v>
      </c>
      <c r="F12" s="60">
        <v>113.46787457720087</v>
      </c>
      <c r="G12" s="60">
        <v>0</v>
      </c>
      <c r="H12" s="46">
        <v>48.32584607142863</v>
      </c>
      <c r="I12" s="48">
        <f t="shared" si="6"/>
        <v>212.0415342583098</v>
      </c>
      <c r="J12" s="16">
        <f t="shared" si="7"/>
        <v>295734.3574035004</v>
      </c>
      <c r="K12" s="29">
        <f>AJ12-L12</f>
        <v>4204.449383490225</v>
      </c>
      <c r="L12" s="29">
        <f t="shared" si="8"/>
        <v>613.4157567114227</v>
      </c>
      <c r="M12" s="32">
        <f t="shared" si="9"/>
        <v>3.5158725</v>
      </c>
      <c r="N12" s="29">
        <f t="shared" si="10"/>
        <v>230.47499999999997</v>
      </c>
      <c r="O12" s="29">
        <f t="shared" si="11"/>
        <v>322.39059864247196</v>
      </c>
      <c r="P12" s="29">
        <f t="shared" si="12"/>
        <v>57.034285568950715</v>
      </c>
      <c r="Q12" s="29">
        <f t="shared" si="13"/>
        <v>579.0780231143001</v>
      </c>
      <c r="R12" s="67">
        <f t="shared" si="1"/>
        <v>30.82186109712248</v>
      </c>
      <c r="S12" s="38">
        <f t="shared" si="14"/>
        <v>3.3075</v>
      </c>
      <c r="T12" s="111">
        <v>1.063</v>
      </c>
      <c r="U12" s="16">
        <f t="shared" si="2"/>
        <v>77.7</v>
      </c>
      <c r="V12" s="16">
        <f t="shared" si="2"/>
        <v>78.5</v>
      </c>
      <c r="W12" s="23"/>
      <c r="X12" s="22">
        <f t="shared" si="15"/>
        <v>19.973291382703373</v>
      </c>
      <c r="Y12" s="16">
        <f t="shared" si="3"/>
        <v>20.073659681108918</v>
      </c>
      <c r="Z12" s="23"/>
      <c r="AA12" s="22">
        <f t="shared" si="16"/>
        <v>112.90053520431486</v>
      </c>
      <c r="AB12" s="16">
        <f t="shared" si="17"/>
        <v>113.46787457720087</v>
      </c>
      <c r="AC12" s="11"/>
      <c r="AD12" s="10"/>
      <c r="AE12">
        <v>0</v>
      </c>
      <c r="AF12" s="25">
        <f t="shared" si="4"/>
        <v>0.4832584607142863</v>
      </c>
      <c r="AG12" s="9">
        <v>0</v>
      </c>
      <c r="AH12">
        <f>IF(AF12,AG12/AF12,0)</f>
        <v>0</v>
      </c>
      <c r="AI12" s="10"/>
      <c r="AJ12" s="29">
        <f t="shared" si="18"/>
        <v>4817.865140201648</v>
      </c>
      <c r="AK12" s="29">
        <f t="shared" si="19"/>
        <v>1648.5</v>
      </c>
      <c r="AL12" s="29">
        <f t="shared" si="20"/>
        <v>421.54685330328726</v>
      </c>
      <c r="AM12" s="29">
        <f t="shared" si="21"/>
        <v>2382.8253661212184</v>
      </c>
      <c r="AN12" s="29">
        <f t="shared" si="22"/>
        <v>264.5394207771425</v>
      </c>
      <c r="AO12" s="29">
        <f>AS12*AW$6</f>
        <v>100.45349999999999</v>
      </c>
      <c r="AP12" s="29">
        <f t="shared" si="26"/>
        <v>212.0415342583098</v>
      </c>
      <c r="AQ12" s="28"/>
      <c r="AR12" s="28"/>
      <c r="AS12" s="112">
        <v>94.5</v>
      </c>
      <c r="AT12" s="99">
        <f t="shared" si="24"/>
        <v>706.784711999999</v>
      </c>
      <c r="AU12" s="121">
        <v>706.784711999999</v>
      </c>
      <c r="AV12" s="16">
        <f t="shared" si="25"/>
        <v>0</v>
      </c>
      <c r="AW12" s="24"/>
      <c r="AX12" s="26"/>
      <c r="AY12" s="33"/>
      <c r="AZ12" s="33"/>
    </row>
    <row r="13" spans="1:52" ht="12.75">
      <c r="A13" s="59">
        <v>40817</v>
      </c>
      <c r="B13" s="60">
        <v>138.96965999999898</v>
      </c>
      <c r="C13" s="60">
        <v>139.954</v>
      </c>
      <c r="D13" s="60">
        <v>52.88004751737199</v>
      </c>
      <c r="E13" s="61">
        <v>0</v>
      </c>
      <c r="F13" s="60">
        <v>158.57518667490524</v>
      </c>
      <c r="G13" s="60">
        <v>0</v>
      </c>
      <c r="H13" s="46">
        <v>43.062712020033445</v>
      </c>
      <c r="I13" s="48">
        <f t="shared" si="6"/>
        <v>351.40923419227727</v>
      </c>
      <c r="J13" s="16">
        <f t="shared" si="7"/>
        <v>490110.5079390199</v>
      </c>
      <c r="K13" s="29">
        <f t="shared" si="0"/>
        <v>6753.703845076137</v>
      </c>
      <c r="L13" s="29">
        <f t="shared" si="8"/>
        <v>1013.9797393988264</v>
      </c>
      <c r="M13" s="32">
        <f t="shared" si="9"/>
        <v>10.344850250000002</v>
      </c>
      <c r="N13" s="29">
        <f t="shared" si="10"/>
        <v>402.8377050000188</v>
      </c>
      <c r="O13" s="29">
        <f t="shared" si="11"/>
        <v>450.55174914007455</v>
      </c>
      <c r="P13" s="29">
        <f t="shared" si="12"/>
        <v>150.24543500873315</v>
      </c>
      <c r="Q13" s="29">
        <f t="shared" si="13"/>
        <v>960.7609495586157</v>
      </c>
      <c r="R13" s="67">
        <f t="shared" si="1"/>
        <v>42.87393959021068</v>
      </c>
      <c r="S13" s="38">
        <f t="shared" si="14"/>
        <v>9.731750000000002</v>
      </c>
      <c r="T13" s="111">
        <v>1.063</v>
      </c>
      <c r="U13" s="16">
        <f t="shared" si="2"/>
        <v>138.96965999999898</v>
      </c>
      <c r="V13" s="16">
        <f t="shared" si="2"/>
        <v>139.954</v>
      </c>
      <c r="W13" s="23"/>
      <c r="X13" s="22">
        <f t="shared" si="15"/>
        <v>52.61564727978513</v>
      </c>
      <c r="Y13" s="16">
        <f t="shared" si="3"/>
        <v>52.88004751737199</v>
      </c>
      <c r="Z13" s="23"/>
      <c r="AA13" s="22">
        <f t="shared" si="16"/>
        <v>157.78231074153072</v>
      </c>
      <c r="AB13" s="16">
        <f t="shared" si="17"/>
        <v>158.57518667490524</v>
      </c>
      <c r="AC13" s="11"/>
      <c r="AD13" s="10"/>
      <c r="AE13">
        <v>0</v>
      </c>
      <c r="AF13" s="25">
        <f t="shared" si="4"/>
        <v>0.43062712020033445</v>
      </c>
      <c r="AG13" s="9">
        <v>0</v>
      </c>
      <c r="AH13">
        <v>0</v>
      </c>
      <c r="AI13" s="10"/>
      <c r="AJ13" s="29">
        <f t="shared" si="18"/>
        <v>7767.683584474964</v>
      </c>
      <c r="AK13" s="29">
        <f t="shared" si="19"/>
        <v>2939.034</v>
      </c>
      <c r="AL13" s="29">
        <f t="shared" si="20"/>
        <v>1110.4809978648118</v>
      </c>
      <c r="AM13" s="29">
        <f t="shared" si="21"/>
        <v>3330.07892017301</v>
      </c>
      <c r="AN13" s="29">
        <f t="shared" si="22"/>
        <v>92.5225164371427</v>
      </c>
      <c r="AO13" s="29">
        <f t="shared" si="23"/>
        <v>295.56714999999997</v>
      </c>
      <c r="AP13" s="29">
        <f t="shared" si="26"/>
        <v>351.40923419227727</v>
      </c>
      <c r="AQ13" s="28"/>
      <c r="AR13" s="28"/>
      <c r="AS13" s="112">
        <v>278.05</v>
      </c>
      <c r="AT13" s="99">
        <f t="shared" si="24"/>
        <v>247.19756299999958</v>
      </c>
      <c r="AU13" s="121">
        <v>247.19756299999958</v>
      </c>
      <c r="AV13" s="16">
        <f t="shared" si="25"/>
        <v>0</v>
      </c>
      <c r="AW13" s="24"/>
      <c r="AX13" s="26"/>
      <c r="AY13" s="33"/>
      <c r="AZ13" s="33"/>
    </row>
    <row r="14" spans="1:52" ht="12.75">
      <c r="A14" s="59">
        <v>40848</v>
      </c>
      <c r="B14" s="60">
        <v>101.69795500000042</v>
      </c>
      <c r="C14" s="60">
        <v>108.991</v>
      </c>
      <c r="D14" s="60">
        <v>115.85322529479875</v>
      </c>
      <c r="E14" s="61">
        <v>0</v>
      </c>
      <c r="F14" s="60">
        <v>539.6867885217894</v>
      </c>
      <c r="G14" s="60">
        <v>23.14718301999961</v>
      </c>
      <c r="H14" s="46">
        <v>46.42654664774728</v>
      </c>
      <c r="I14" s="48">
        <f>SUM(C14:G14)</f>
        <v>787.6781968365877</v>
      </c>
      <c r="J14" s="16">
        <f t="shared" si="7"/>
        <v>1098574.8909854782</v>
      </c>
      <c r="K14" s="29">
        <f>AJ14-L14</f>
        <v>15227.325479472624</v>
      </c>
      <c r="L14" s="29">
        <f>M14+N14+O14+P14</f>
        <v>2382.160423761947</v>
      </c>
      <c r="M14" s="32">
        <f>S14*T14</f>
        <v>21.0171045</v>
      </c>
      <c r="N14" s="29">
        <f>(U14)*(AD$6+AE14*AH14)+(AI$6*(V14-U14))</f>
        <v>432.8233212499923</v>
      </c>
      <c r="O14" s="29">
        <f>(AA14)*(AD$6+AE14*AH14)+(AI$6*AB14*(1-AC$6))</f>
        <v>1599.1520216431077</v>
      </c>
      <c r="P14" s="29">
        <f>(X14)*(AD$6+AE14*AH14)+(AI$6*Y14*(1-Z$6))</f>
        <v>329.16797636884695</v>
      </c>
      <c r="Q14" s="29">
        <f>(U14+X14+AA14)*(AD$6+AE14*AH14)</f>
        <v>2136.727218594114</v>
      </c>
      <c r="R14" s="67">
        <f>AI$6*((V14-U14)+Y14*(1-Z$6)+AB14*(1-AC$6))</f>
        <v>224.41610066783295</v>
      </c>
      <c r="S14" s="38">
        <f>AS14*0.035</f>
        <v>19.7715</v>
      </c>
      <c r="T14" s="111">
        <v>1.063</v>
      </c>
      <c r="U14" s="16">
        <f>B14</f>
        <v>101.69795500000042</v>
      </c>
      <c r="V14" s="16">
        <f>C14</f>
        <v>108.991</v>
      </c>
      <c r="W14" s="23"/>
      <c r="X14" s="22">
        <f>Y14*$Z$6</f>
        <v>115.27395916832475</v>
      </c>
      <c r="Y14" s="16">
        <f>D14</f>
        <v>115.85322529479875</v>
      </c>
      <c r="Z14" s="23"/>
      <c r="AA14" s="22">
        <f>AB14*AC$6</f>
        <v>560.01980168408</v>
      </c>
      <c r="AB14" s="16">
        <f>F14+G14</f>
        <v>562.833971541789</v>
      </c>
      <c r="AC14" s="11"/>
      <c r="AD14" s="10"/>
      <c r="AE14">
        <v>0</v>
      </c>
      <c r="AF14" s="25">
        <f>H14/100</f>
        <v>0.4642654664774728</v>
      </c>
      <c r="AG14" s="9">
        <v>0</v>
      </c>
      <c r="AH14">
        <v>0</v>
      </c>
      <c r="AI14" s="10"/>
      <c r="AJ14" s="29">
        <f>SUM(AK14:AO14)</f>
        <v>17609.48590323457</v>
      </c>
      <c r="AK14" s="29">
        <f>V14*$AQ$6</f>
        <v>2288.811</v>
      </c>
      <c r="AL14" s="29">
        <f>Y14*$AQ$6</f>
        <v>2432.917731190774</v>
      </c>
      <c r="AM14" s="29">
        <f>AB14*$AQ$6</f>
        <v>11819.513402377568</v>
      </c>
      <c r="AN14" s="29">
        <f>AT14*AX$6/AY$6</f>
        <v>467.7550696662252</v>
      </c>
      <c r="AO14" s="29">
        <f>AS14*AW$6</f>
        <v>600.4887</v>
      </c>
      <c r="AP14" s="29">
        <f>(V14+Y14+AB14)</f>
        <v>787.6781968365877</v>
      </c>
      <c r="AQ14" s="28"/>
      <c r="AR14" s="28"/>
      <c r="AS14" s="112">
        <v>564.9</v>
      </c>
      <c r="AT14" s="99">
        <f>SUM(AU14:AV14)</f>
        <v>1249.7272853677773</v>
      </c>
      <c r="AU14" s="121">
        <v>932.853229000002</v>
      </c>
      <c r="AV14" s="16">
        <f>G14*13.898*$AZ$6</f>
        <v>316.87405636777527</v>
      </c>
      <c r="AW14" s="24"/>
      <c r="AX14" s="26"/>
      <c r="AY14" s="33"/>
      <c r="AZ14" s="33"/>
    </row>
    <row r="15" spans="1:52" ht="13.5" thickBot="1">
      <c r="A15" s="59">
        <v>40878</v>
      </c>
      <c r="B15" s="60">
        <v>51.802685</v>
      </c>
      <c r="C15" s="60">
        <v>49.506</v>
      </c>
      <c r="D15" s="60">
        <v>131.84083019810262</v>
      </c>
      <c r="E15" s="61">
        <v>0</v>
      </c>
      <c r="F15" s="60">
        <v>390.37136396134355</v>
      </c>
      <c r="G15" s="60">
        <v>14.949263739795777</v>
      </c>
      <c r="H15" s="46">
        <v>50.53483127572025</v>
      </c>
      <c r="I15" s="48">
        <f t="shared" si="6"/>
        <v>586.667457899242</v>
      </c>
      <c r="J15" s="16">
        <f t="shared" si="7"/>
        <v>818225.1853545913</v>
      </c>
      <c r="K15" s="29">
        <f t="shared" si="0"/>
        <v>11667.031928191125</v>
      </c>
      <c r="L15" s="29">
        <f t="shared" si="8"/>
        <v>1640.4328182562213</v>
      </c>
      <c r="M15" s="32">
        <f t="shared" si="9"/>
        <v>19.99582725</v>
      </c>
      <c r="N15" s="29">
        <f t="shared" si="10"/>
        <v>94.22699875000006</v>
      </c>
      <c r="O15" s="29">
        <f>(AA15)*(AD$6+AE15*AH15)+(AI$6*AB15*(1-AC$6))</f>
        <v>1151.6172334558619</v>
      </c>
      <c r="P15" s="29">
        <f>(X15)*(AD$6+AE15*AH15)+(AI$6*Y15*(1-Z$6))</f>
        <v>374.5927588003591</v>
      </c>
      <c r="Q15" s="29">
        <f t="shared" si="13"/>
        <v>1612.2654229268005</v>
      </c>
      <c r="R15" s="67">
        <f>AI$6*((V15-U15)+Y15*(1-Z$6)+AB15*(1-AC$6))</f>
        <v>8.171568079420524</v>
      </c>
      <c r="S15" s="38">
        <f t="shared" si="14"/>
        <v>18.810750000000002</v>
      </c>
      <c r="T15" s="111">
        <v>1.063</v>
      </c>
      <c r="U15" s="16">
        <f t="shared" si="2"/>
        <v>51.802685</v>
      </c>
      <c r="V15" s="16">
        <f t="shared" si="2"/>
        <v>49.506</v>
      </c>
      <c r="W15" s="23"/>
      <c r="X15" s="22">
        <f t="shared" si="15"/>
        <v>131.1816260471121</v>
      </c>
      <c r="Y15" s="16">
        <f t="shared" si="3"/>
        <v>131.84083019810262</v>
      </c>
      <c r="Z15" s="23"/>
      <c r="AA15" s="22">
        <f t="shared" si="16"/>
        <v>403.2940245626336</v>
      </c>
      <c r="AB15" s="16">
        <f t="shared" si="17"/>
        <v>405.3206277011393</v>
      </c>
      <c r="AC15" s="11"/>
      <c r="AD15" s="10"/>
      <c r="AE15">
        <v>0</v>
      </c>
      <c r="AF15" s="25">
        <f t="shared" si="4"/>
        <v>0.5053483127572025</v>
      </c>
      <c r="AG15" s="9">
        <v>0</v>
      </c>
      <c r="AH15">
        <v>0</v>
      </c>
      <c r="AI15" s="10"/>
      <c r="AJ15" s="29">
        <f t="shared" si="18"/>
        <v>13307.464746447347</v>
      </c>
      <c r="AK15" s="29">
        <f t="shared" si="19"/>
        <v>1039.626</v>
      </c>
      <c r="AL15" s="29">
        <f t="shared" si="20"/>
        <v>2768.657434160155</v>
      </c>
      <c r="AM15" s="29">
        <f t="shared" si="21"/>
        <v>8511.733181723925</v>
      </c>
      <c r="AN15" s="29">
        <f t="shared" si="22"/>
        <v>416.1387805632675</v>
      </c>
      <c r="AO15" s="29">
        <f t="shared" si="23"/>
        <v>571.30935</v>
      </c>
      <c r="AP15" s="29">
        <f>(V15+Y15+AB15)</f>
        <v>586.667457899242</v>
      </c>
      <c r="AQ15" s="28"/>
      <c r="AR15" s="28"/>
      <c r="AS15" s="112">
        <v>537.45</v>
      </c>
      <c r="AT15" s="99">
        <f t="shared" si="24"/>
        <v>1111.8211694438446</v>
      </c>
      <c r="AU15" s="121">
        <v>907.1727749999982</v>
      </c>
      <c r="AV15" s="16">
        <f t="shared" si="25"/>
        <v>204.64839444384646</v>
      </c>
      <c r="AW15" s="24"/>
      <c r="AX15" s="26"/>
      <c r="AY15" s="33"/>
      <c r="AZ15" s="33"/>
    </row>
    <row r="16" spans="1:52" ht="13.5" thickBot="1">
      <c r="A16" s="14" t="s">
        <v>78</v>
      </c>
      <c r="B16" s="15">
        <f>SUM(B6:B15)</f>
        <v>370.17029999999943</v>
      </c>
      <c r="C16" s="15">
        <f>SUM(C6:C15)</f>
        <v>376.951</v>
      </c>
      <c r="D16" s="15">
        <f>SUM(D6:D15)</f>
        <v>1013.7391806878973</v>
      </c>
      <c r="E16" s="15">
        <v>0</v>
      </c>
      <c r="F16" s="15">
        <f>SUM(F6:F15)</f>
        <v>1665.4320575803251</v>
      </c>
      <c r="G16" s="15">
        <f>SUM(G6:G15)</f>
        <v>38.233037698045315</v>
      </c>
      <c r="H16" s="62">
        <f>AVERAGE(H9:H15)</f>
        <v>47.339681293292706</v>
      </c>
      <c r="I16" s="49">
        <f aca="true" t="shared" si="27" ref="I16:S16">SUM(I6:I15)</f>
        <v>3094.355275966268</v>
      </c>
      <c r="J16" s="44">
        <f t="shared" si="27"/>
        <v>4315697.734959927</v>
      </c>
      <c r="K16" s="58">
        <f t="shared" si="27"/>
        <v>63820.55581687779</v>
      </c>
      <c r="L16" s="58">
        <f t="shared" si="27"/>
        <v>9050.416726839168</v>
      </c>
      <c r="M16" s="58">
        <f t="shared" si="27"/>
        <v>169.22880274999997</v>
      </c>
      <c r="N16" s="58">
        <f t="shared" si="27"/>
        <v>1160.3630250000112</v>
      </c>
      <c r="O16" s="58">
        <f t="shared" si="27"/>
        <v>4840.53845195967</v>
      </c>
      <c r="P16" s="58">
        <f t="shared" si="27"/>
        <v>2880.2864471294884</v>
      </c>
      <c r="Q16" s="15">
        <f t="shared" si="27"/>
        <v>8453.465775112698</v>
      </c>
      <c r="R16" s="15">
        <f t="shared" si="27"/>
        <v>427.72214897647115</v>
      </c>
      <c r="S16" s="15">
        <f t="shared" si="27"/>
        <v>159.19925000000003</v>
      </c>
      <c r="T16" s="15"/>
      <c r="U16" s="15">
        <f>SUM(U6:U15)</f>
        <v>370.17029999999943</v>
      </c>
      <c r="V16" s="15">
        <f>SUM(V6:V15)</f>
        <v>376.951</v>
      </c>
      <c r="W16" s="15"/>
      <c r="X16" s="15">
        <f>SUM(X6:X15)</f>
        <v>1008.6704847844577</v>
      </c>
      <c r="Y16" s="44">
        <f>SUM(Y6:Y15)</f>
        <v>1013.7391806878973</v>
      </c>
      <c r="Z16" s="44"/>
      <c r="AA16" s="15">
        <f>SUM(AA6:AA15)</f>
        <v>1695.1467698019787</v>
      </c>
      <c r="AB16" s="44">
        <f>SUM(AB6:AB15)</f>
        <v>1703.6650952783705</v>
      </c>
      <c r="AC16" s="15"/>
      <c r="AD16" s="15"/>
      <c r="AE16" s="15"/>
      <c r="AF16" s="15"/>
      <c r="AG16" s="15"/>
      <c r="AH16" s="15"/>
      <c r="AI16" s="44"/>
      <c r="AJ16" s="58">
        <f aca="true" t="shared" si="28" ref="AJ16:AP16">SUM(AJ6:AJ15)</f>
        <v>72870.97254371695</v>
      </c>
      <c r="AK16" s="58">
        <f t="shared" si="28"/>
        <v>7915.971</v>
      </c>
      <c r="AL16" s="58">
        <f t="shared" si="28"/>
        <v>21288.522794445846</v>
      </c>
      <c r="AM16" s="58">
        <f t="shared" si="28"/>
        <v>35776.967000845776</v>
      </c>
      <c r="AN16" s="58">
        <f t="shared" si="28"/>
        <v>3054.4030984253304</v>
      </c>
      <c r="AO16" s="58">
        <f t="shared" si="28"/>
        <v>4835.10865</v>
      </c>
      <c r="AP16" s="15">
        <f t="shared" si="28"/>
        <v>3094.355275966268</v>
      </c>
      <c r="AQ16" s="15"/>
      <c r="AR16" s="15"/>
      <c r="AS16" s="44">
        <f>SUM(AS6:AS15)</f>
        <v>4548.55</v>
      </c>
      <c r="AT16" s="44">
        <f>SUM(AT6:AT15)</f>
        <v>8160.618965258516</v>
      </c>
      <c r="AU16" s="44">
        <f>SUM(AU6:AU15)</f>
        <v>7637.226648699994</v>
      </c>
      <c r="AV16" s="44">
        <f>SUM(AV6:AV15)</f>
        <v>523.3923165585222</v>
      </c>
      <c r="AW16" s="15"/>
      <c r="AX16" s="15"/>
      <c r="AY16" s="15"/>
      <c r="AZ16" s="15"/>
    </row>
    <row r="17" spans="1:52" ht="12.75">
      <c r="A17" s="59">
        <v>40909</v>
      </c>
      <c r="B17" s="60">
        <v>0</v>
      </c>
      <c r="C17" s="60">
        <v>0</v>
      </c>
      <c r="D17" s="60">
        <v>78.12001982045014</v>
      </c>
      <c r="E17" s="61">
        <v>0</v>
      </c>
      <c r="F17" s="60">
        <v>275.39955021163513</v>
      </c>
      <c r="G17" s="60">
        <v>39.32565127594874</v>
      </c>
      <c r="H17" s="46">
        <v>43.63396001378856</v>
      </c>
      <c r="I17" s="48">
        <f t="shared" si="6"/>
        <v>392.845221308034</v>
      </c>
      <c r="J17" s="16">
        <f t="shared" si="7"/>
        <v>547901.2849484435</v>
      </c>
      <c r="K17" s="29">
        <f>AJ17-L17</f>
        <v>8128.789163172762</v>
      </c>
      <c r="L17" s="29">
        <f t="shared" si="8"/>
        <v>1129.5299402914518</v>
      </c>
      <c r="M17" s="32">
        <f>S17*T17</f>
        <v>13.35845525</v>
      </c>
      <c r="N17" s="29">
        <f t="shared" si="10"/>
        <v>0</v>
      </c>
      <c r="O17" s="29">
        <f>(AA17)*(AD$6+AE17*AH17)+(AI$6*AB17*(1-AC$6))</f>
        <v>894.2129787265978</v>
      </c>
      <c r="P17" s="29">
        <f>(X17)*(AD$6+AE17*AH17)+(AI$6*Y17*(1-Z$6))</f>
        <v>221.95850631485393</v>
      </c>
      <c r="Q17" s="29">
        <f t="shared" si="13"/>
        <v>1074.9227368041081</v>
      </c>
      <c r="R17" s="67">
        <f>AI$6*((V17-U17)+Y17*(1-Z$6)+AB17*(1-AC$6))</f>
        <v>41.248748237343605</v>
      </c>
      <c r="S17" s="38">
        <f>AS17*0.035</f>
        <v>12.56675</v>
      </c>
      <c r="T17" s="111">
        <v>1.063</v>
      </c>
      <c r="U17" s="16">
        <f aca="true" t="shared" si="29" ref="U17:V20">B17</f>
        <v>0</v>
      </c>
      <c r="V17" s="16">
        <f t="shared" si="29"/>
        <v>0</v>
      </c>
      <c r="W17" s="23"/>
      <c r="X17" s="22">
        <f t="shared" si="15"/>
        <v>77.72941972134788</v>
      </c>
      <c r="Y17" s="16">
        <f>D17</f>
        <v>78.12001982045014</v>
      </c>
      <c r="Z17" s="23"/>
      <c r="AA17" s="22">
        <f>AB17*AC$6</f>
        <v>313.151575480146</v>
      </c>
      <c r="AB17" s="16">
        <f>F17+G17</f>
        <v>314.7252014875839</v>
      </c>
      <c r="AC17" s="11"/>
      <c r="AD17" s="10"/>
      <c r="AE17">
        <v>0</v>
      </c>
      <c r="AF17" s="25">
        <f>H17/100</f>
        <v>0.4363396001378856</v>
      </c>
      <c r="AG17" s="9">
        <v>0</v>
      </c>
      <c r="AH17">
        <f>IF(AF17,AG17/AF17,0)</f>
        <v>0</v>
      </c>
      <c r="AI17" s="10"/>
      <c r="AJ17" s="29">
        <f t="shared" si="18"/>
        <v>9258.319103464213</v>
      </c>
      <c r="AK17" s="29">
        <f>V17*$AQ$6</f>
        <v>0</v>
      </c>
      <c r="AL17" s="29">
        <f t="shared" si="20"/>
        <v>1640.5204162294528</v>
      </c>
      <c r="AM17" s="29">
        <f>AB17*$AQ$6</f>
        <v>6609.229231239262</v>
      </c>
      <c r="AN17" s="29">
        <f>AT17*AX$6/AY$6</f>
        <v>626.8993059954986</v>
      </c>
      <c r="AO17" s="29">
        <f>AS17*AW$17</f>
        <v>381.67015</v>
      </c>
      <c r="AP17" s="29">
        <f>(V17+Y17+AB17)</f>
        <v>392.845221308034</v>
      </c>
      <c r="AQ17" s="28"/>
      <c r="AR17" s="28"/>
      <c r="AS17" s="104">
        <v>359.05</v>
      </c>
      <c r="AT17" s="99">
        <f t="shared" si="24"/>
        <v>1674.9218099116374</v>
      </c>
      <c r="AU17" s="42">
        <v>1136.5721269999988</v>
      </c>
      <c r="AV17" s="16">
        <f t="shared" si="25"/>
        <v>538.3496829116385</v>
      </c>
      <c r="AW17" s="111">
        <v>1.063</v>
      </c>
      <c r="AX17" s="26"/>
      <c r="AY17" s="33"/>
      <c r="AZ17" s="33"/>
    </row>
    <row r="18" spans="1:52" ht="12.75">
      <c r="A18" s="59">
        <v>40940</v>
      </c>
      <c r="B18" s="60">
        <v>89.59079500000003</v>
      </c>
      <c r="C18" s="60">
        <v>90.673</v>
      </c>
      <c r="D18" s="60">
        <v>82.40771155504648</v>
      </c>
      <c r="E18" s="61">
        <v>0</v>
      </c>
      <c r="F18" s="60">
        <v>510.2321610694006</v>
      </c>
      <c r="G18" s="60">
        <v>79.33227853590694</v>
      </c>
      <c r="H18" s="46">
        <v>50.86867979576948</v>
      </c>
      <c r="I18" s="48">
        <f t="shared" si="6"/>
        <v>762.6451511603541</v>
      </c>
      <c r="J18" s="16">
        <f>I18/0.717*1000</f>
        <v>1063661.298689476</v>
      </c>
      <c r="K18" s="29">
        <f>AJ18-L18</f>
        <v>15153.326057840568</v>
      </c>
      <c r="L18" s="29">
        <f>M18+N18+O18+P18</f>
        <v>2190.8260034843556</v>
      </c>
      <c r="M18" s="32">
        <f>S18*T18</f>
        <v>12.48413775</v>
      </c>
      <c r="N18" s="29">
        <f>(U18)*(AD$6+AE18*AH18)+(AI$6*(V18-U18))</f>
        <v>269.10099124999954</v>
      </c>
      <c r="O18" s="29">
        <f>(AA18)*(AD$6+AE18*AH18)+(AI$6*AB18*(1-AC$6))</f>
        <v>1675.0999640285804</v>
      </c>
      <c r="P18" s="29">
        <f>(X18)*(AD$6+AE18*AH18)+(AI$6*Y18*(1-Z$6))</f>
        <v>234.1409104557758</v>
      </c>
      <c r="Q18" s="29">
        <f>(U18+X18+AA18)*(AD$6+AE18*AH18)</f>
        <v>2085.058484862519</v>
      </c>
      <c r="R18" s="67">
        <f>AI$6*((V18-U18)+Y18*(1-Z$6)+AB18*(1-AC$6))</f>
        <v>93.28338087183668</v>
      </c>
      <c r="S18" s="38">
        <f t="shared" si="14"/>
        <v>11.744250000000001</v>
      </c>
      <c r="T18" s="111">
        <v>1.063</v>
      </c>
      <c r="U18" s="16">
        <f t="shared" si="29"/>
        <v>89.59079500000003</v>
      </c>
      <c r="V18" s="16">
        <f t="shared" si="29"/>
        <v>90.673</v>
      </c>
      <c r="W18" s="23"/>
      <c r="X18" s="22">
        <f t="shared" si="15"/>
        <v>81.99567299727124</v>
      </c>
      <c r="Y18" s="16">
        <f>D18</f>
        <v>82.40771155504648</v>
      </c>
      <c r="Z18" s="23"/>
      <c r="AA18" s="22">
        <f>AB18*AC$6</f>
        <v>586.6166174072811</v>
      </c>
      <c r="AB18" s="16">
        <f>F18+G18</f>
        <v>589.5644396053076</v>
      </c>
      <c r="AC18" s="11"/>
      <c r="AD18" s="10"/>
      <c r="AE18">
        <v>0</v>
      </c>
      <c r="AF18" s="25">
        <f>H18/100</f>
        <v>0.5086867979576948</v>
      </c>
      <c r="AG18" s="9">
        <v>0</v>
      </c>
      <c r="AH18">
        <f>IF(AF18,AG18/AF18,0)</f>
        <v>0</v>
      </c>
      <c r="AI18" s="10"/>
      <c r="AJ18" s="29">
        <f t="shared" si="18"/>
        <v>17344.152061324923</v>
      </c>
      <c r="AK18" s="29">
        <f>V18*$AQ$6</f>
        <v>1904.133</v>
      </c>
      <c r="AL18" s="29">
        <f t="shared" si="20"/>
        <v>1730.561942655976</v>
      </c>
      <c r="AM18" s="29">
        <f>AB18*$AQ$6</f>
        <v>12380.853231711459</v>
      </c>
      <c r="AN18" s="29">
        <f>AT18*AX$6/AY$6</f>
        <v>971.9142369574877</v>
      </c>
      <c r="AO18" s="29">
        <f>AS18*AW$17</f>
        <v>356.68965</v>
      </c>
      <c r="AP18" s="29">
        <f>(V18+Y18+AB18)</f>
        <v>762.6451511603541</v>
      </c>
      <c r="AQ18" s="28"/>
      <c r="AR18" s="28"/>
      <c r="AS18" s="104">
        <v>335.55</v>
      </c>
      <c r="AT18" s="99">
        <f t="shared" si="24"/>
        <v>2596.717426985654</v>
      </c>
      <c r="AU18" s="101">
        <v>1510.6958200000001</v>
      </c>
      <c r="AV18" s="16">
        <f t="shared" si="25"/>
        <v>1086.021606985654</v>
      </c>
      <c r="AW18" s="24"/>
      <c r="AX18" s="26"/>
      <c r="AY18" s="33"/>
      <c r="AZ18" s="33"/>
    </row>
    <row r="19" spans="1:52" ht="12.75">
      <c r="A19" s="59">
        <v>40969</v>
      </c>
      <c r="B19" s="105">
        <v>260.23528499999986</v>
      </c>
      <c r="C19" s="105">
        <v>262.917</v>
      </c>
      <c r="D19" s="105">
        <v>116.00283701442805</v>
      </c>
      <c r="E19" s="61">
        <v>0</v>
      </c>
      <c r="F19" s="105">
        <v>692.3625392804865</v>
      </c>
      <c r="G19" s="60">
        <v>27.636045712594136</v>
      </c>
      <c r="H19" s="46">
        <v>49.15305794137689</v>
      </c>
      <c r="I19" s="48">
        <f>SUM(C19:G19)</f>
        <v>1098.9184220075088</v>
      </c>
      <c r="J19" s="16">
        <f>I19/0.717*1000</f>
        <v>1532661.67644004</v>
      </c>
      <c r="K19" s="29">
        <f>AJ19-L19</f>
        <v>21068.30363796249</v>
      </c>
      <c r="L19" s="29">
        <f>M19+N19+O19+P19</f>
        <v>3166.087120278836</v>
      </c>
      <c r="M19" s="32">
        <f>S19*T19</f>
        <v>18.83503125</v>
      </c>
      <c r="N19" s="29">
        <f>(U19)*(AD$6+AE19*AH19)+(AI$6*(V19-U19))</f>
        <v>771.9630487500019</v>
      </c>
      <c r="O19" s="29">
        <f>(AA19)*(AD$6+AE19*AH19)+(AI$6*AB19*(1-AC$6))</f>
        <v>2045.6959796115907</v>
      </c>
      <c r="P19" s="29">
        <f>(X19)*(AD$6+AE19*AH19)+(AI$6*Y19*(1-Z$6))</f>
        <v>329.5930606672437</v>
      </c>
      <c r="Q19" s="29">
        <f>(U19+X19+AA19)*(AD$6+AE19*AH19)</f>
        <v>3003.1559247180458</v>
      </c>
      <c r="R19" s="67">
        <f>AI$6*((V19-U19)+Y19*(1-Z$6)+AB19*(1-AC$6))</f>
        <v>144.09616431079084</v>
      </c>
      <c r="S19" s="38">
        <f>AS19*0.035</f>
        <v>17.71875</v>
      </c>
      <c r="T19" s="111">
        <v>1.063</v>
      </c>
      <c r="U19" s="16">
        <f>B19</f>
        <v>260.23528499999986</v>
      </c>
      <c r="V19" s="16">
        <f>C19</f>
        <v>262.917</v>
      </c>
      <c r="W19" s="23"/>
      <c r="X19" s="22">
        <f>Y19*$Z$6</f>
        <v>115.42282282935591</v>
      </c>
      <c r="Y19" s="16">
        <f>D19</f>
        <v>116.00283701442805</v>
      </c>
      <c r="Z19" s="23"/>
      <c r="AA19" s="22">
        <f>AB19*AC$6</f>
        <v>716.3985920681154</v>
      </c>
      <c r="AB19" s="16">
        <f>F19+G19</f>
        <v>719.9985849930807</v>
      </c>
      <c r="AC19" s="11"/>
      <c r="AD19" s="10"/>
      <c r="AE19">
        <v>1</v>
      </c>
      <c r="AF19" s="25">
        <f>H19/100</f>
        <v>0.49153057941376893</v>
      </c>
      <c r="AG19" s="9">
        <v>0</v>
      </c>
      <c r="AH19">
        <f>IF(AF19,AG19/AF19,0)</f>
        <v>0</v>
      </c>
      <c r="AI19" s="10"/>
      <c r="AJ19" s="29">
        <f>SUM(AK19:AO19)</f>
        <v>24234.390758241327</v>
      </c>
      <c r="AK19" s="29">
        <f>V19*$AQ$6</f>
        <v>5521.257</v>
      </c>
      <c r="AL19" s="29">
        <f>Y19*$AQ$6</f>
        <v>2436.059577302989</v>
      </c>
      <c r="AM19" s="29">
        <f>AB19*$AQ$6</f>
        <v>15119.970284854695</v>
      </c>
      <c r="AN19" s="29">
        <f>AT19*AX$6/AY$6</f>
        <v>618.9601460836416</v>
      </c>
      <c r="AO19" s="29">
        <f>AS19*AW$17</f>
        <v>538.14375</v>
      </c>
      <c r="AP19" s="29">
        <f>(V19+Y19+AB19)</f>
        <v>1098.9184220075088</v>
      </c>
      <c r="AQ19" s="28"/>
      <c r="AR19" s="28"/>
      <c r="AS19" s="104">
        <v>506.25</v>
      </c>
      <c r="AT19" s="99">
        <f>SUM(AU19:AV19)</f>
        <v>1653.7103139639278</v>
      </c>
      <c r="AU19" s="101">
        <v>1275.385837099999</v>
      </c>
      <c r="AV19" s="16">
        <f>G19*13.898*$AZ$6</f>
        <v>378.32447686392874</v>
      </c>
      <c r="AW19" s="24"/>
      <c r="AX19" s="26"/>
      <c r="AY19" s="33"/>
      <c r="AZ19" s="33"/>
    </row>
    <row r="20" spans="1:48" ht="13.5" thickBot="1">
      <c r="A20" s="59">
        <v>41000</v>
      </c>
      <c r="B20" s="105">
        <v>395.1891250000011</v>
      </c>
      <c r="C20" s="105">
        <v>397.287</v>
      </c>
      <c r="D20" s="105">
        <v>150.0254388426825</v>
      </c>
      <c r="E20" s="61">
        <v>0</v>
      </c>
      <c r="F20" s="105">
        <v>557.391068074039</v>
      </c>
      <c r="G20" s="60">
        <v>0</v>
      </c>
      <c r="H20" s="46">
        <v>50.46339822667699</v>
      </c>
      <c r="I20" s="48">
        <f t="shared" si="6"/>
        <v>1104.7035069167214</v>
      </c>
      <c r="J20" s="16">
        <f>I20/0.717*1000</f>
        <v>1540730.135169765</v>
      </c>
      <c r="K20" s="29">
        <f>AJ20-L20</f>
        <v>21594.380997317756</v>
      </c>
      <c r="L20" s="29">
        <f>M20+N20+O20+P20</f>
        <v>3165.0712045271134</v>
      </c>
      <c r="M20" s="32">
        <f>S20*T20</f>
        <v>24.2985855</v>
      </c>
      <c r="N20" s="29">
        <f>(U20)*(AD$6+AE20*AH20)+(AI$6*(V20-U20))</f>
        <v>1130.8254687499789</v>
      </c>
      <c r="O20" s="29">
        <f>(AA20)*(AD$6+AE20*AH20)+(AI$6*AB20*(1-AC$6))</f>
        <v>1583.6873721653633</v>
      </c>
      <c r="P20" s="29">
        <f>(X20)*(AD$6+AE20*AH20)+(AI$6*Y20*(1-Z$6))</f>
        <v>426.25977811177165</v>
      </c>
      <c r="Q20" s="29">
        <f>(U20+X20+AA20)*(AD$6+AE20*AH20)</f>
        <v>3022.438510800882</v>
      </c>
      <c r="R20" s="67">
        <f>AI$6*((V20-U20)+Y20*(1-Z$6)+AB20*(1-AC$6))</f>
        <v>118.3341082262317</v>
      </c>
      <c r="S20" s="38">
        <f>AS20*0.035</f>
        <v>22.858500000000003</v>
      </c>
      <c r="T20" s="111">
        <v>1.063</v>
      </c>
      <c r="U20" s="16">
        <f t="shared" si="29"/>
        <v>395.1891250000011</v>
      </c>
      <c r="V20" s="16">
        <f t="shared" si="29"/>
        <v>397.287</v>
      </c>
      <c r="X20" s="22">
        <f t="shared" si="15"/>
        <v>149.27531164846908</v>
      </c>
      <c r="Y20" s="16">
        <f>D20</f>
        <v>150.0254388426825</v>
      </c>
      <c r="AA20" s="22">
        <f>AB20*AC$6</f>
        <v>554.6041127336688</v>
      </c>
      <c r="AB20" s="16">
        <f>F20+G20</f>
        <v>557.391068074039</v>
      </c>
      <c r="AE20">
        <v>0</v>
      </c>
      <c r="AF20" s="25">
        <f>H20/100</f>
        <v>0.5046339822667699</v>
      </c>
      <c r="AG20" s="9">
        <v>0</v>
      </c>
      <c r="AH20">
        <f>IF(AF20,AG20/AF20,0)</f>
        <v>0</v>
      </c>
      <c r="AJ20" s="29">
        <f t="shared" si="18"/>
        <v>24759.45220184487</v>
      </c>
      <c r="AK20" s="29">
        <f>V20*$AQ$6</f>
        <v>8343.027</v>
      </c>
      <c r="AL20" s="29">
        <f t="shared" si="20"/>
        <v>3150.5342156963325</v>
      </c>
      <c r="AM20" s="29">
        <f>AB20*$AQ$6</f>
        <v>11705.21242955482</v>
      </c>
      <c r="AN20" s="29">
        <f>AT20*AX$6/AY$6</f>
        <v>866.4332565937174</v>
      </c>
      <c r="AO20" s="29">
        <f>AS20*AW$17</f>
        <v>694.2453</v>
      </c>
      <c r="AP20" s="29">
        <f>(V20+Y20+AB20)</f>
        <v>1104.7035069167214</v>
      </c>
      <c r="AS20" s="104">
        <v>653.1</v>
      </c>
      <c r="AT20" s="99">
        <f t="shared" si="24"/>
        <v>2314.8980138000084</v>
      </c>
      <c r="AU20" s="101">
        <v>2314.8980138000084</v>
      </c>
      <c r="AV20" s="16">
        <f t="shared" si="25"/>
        <v>0</v>
      </c>
    </row>
    <row r="21" spans="1:52" ht="13.5" thickBot="1">
      <c r="A21" s="14" t="s">
        <v>142</v>
      </c>
      <c r="B21" s="15">
        <f>SUM(B17:B20)</f>
        <v>745.0152050000011</v>
      </c>
      <c r="C21" s="15">
        <f>SUM(C17:C20)</f>
        <v>750.877</v>
      </c>
      <c r="D21" s="15">
        <f>SUM(D17:D20)</f>
        <v>426.55600723260716</v>
      </c>
      <c r="E21" s="15">
        <v>0</v>
      </c>
      <c r="F21" s="15">
        <f>SUM(F17:F20)</f>
        <v>2035.3853186355614</v>
      </c>
      <c r="G21" s="15">
        <f>SUM(G17:G20)</f>
        <v>146.29397552444982</v>
      </c>
      <c r="H21" s="62">
        <f>AVERAGE(H17:H20)</f>
        <v>48.52977399440298</v>
      </c>
      <c r="I21" s="49">
        <f>SUM(I17:I20)</f>
        <v>3359.112301392618</v>
      </c>
      <c r="J21" s="49">
        <f>SUM(J17:J20)</f>
        <v>4684954.395247725</v>
      </c>
      <c r="K21" s="58">
        <f>SUM(K17:K20)</f>
        <v>65944.79985629357</v>
      </c>
      <c r="L21" s="58">
        <f aca="true" t="shared" si="30" ref="L21:S21">SUM(L17:L20)</f>
        <v>9651.514268581757</v>
      </c>
      <c r="M21" s="58">
        <f t="shared" si="30"/>
        <v>68.97620975000001</v>
      </c>
      <c r="N21" s="58">
        <f t="shared" si="30"/>
        <v>2171.8895087499805</v>
      </c>
      <c r="O21" s="58">
        <f t="shared" si="30"/>
        <v>6198.696294532132</v>
      </c>
      <c r="P21" s="58">
        <f t="shared" si="30"/>
        <v>1211.952255549645</v>
      </c>
      <c r="Q21" s="44">
        <f t="shared" si="30"/>
        <v>9185.575657185555</v>
      </c>
      <c r="R21" s="44">
        <f t="shared" si="30"/>
        <v>396.9624016462028</v>
      </c>
      <c r="S21" s="44">
        <f t="shared" si="30"/>
        <v>64.88825</v>
      </c>
      <c r="T21" s="15"/>
      <c r="U21" s="15">
        <f>SUM(U17:U20)</f>
        <v>745.0152050000011</v>
      </c>
      <c r="V21" s="15">
        <f>SUM(V17:V20)</f>
        <v>750.877</v>
      </c>
      <c r="W21" s="15">
        <f>SUM(W17:W20)</f>
        <v>0</v>
      </c>
      <c r="X21" s="15">
        <f>SUM(X17:X20)</f>
        <v>424.4232271964441</v>
      </c>
      <c r="Y21" s="15">
        <f>SUM(Y17:Y20)</f>
        <v>426.55600723260716</v>
      </c>
      <c r="Z21" s="15"/>
      <c r="AA21" s="15">
        <f>SUM(AA17:AA20)</f>
        <v>2170.7708976892113</v>
      </c>
      <c r="AB21" s="15">
        <f>SUM(AB17:AB20)</f>
        <v>2181.6792941600115</v>
      </c>
      <c r="AC21" s="15"/>
      <c r="AD21" s="15"/>
      <c r="AE21" s="15"/>
      <c r="AF21" s="15"/>
      <c r="AG21" s="15"/>
      <c r="AH21" s="15"/>
      <c r="AI21" s="15"/>
      <c r="AJ21" s="15">
        <f aca="true" t="shared" si="31" ref="AJ21:AP21">SUM(AJ17:AJ20)</f>
        <v>75596.31412487532</v>
      </c>
      <c r="AK21" s="15">
        <f t="shared" si="31"/>
        <v>15768.417</v>
      </c>
      <c r="AL21" s="15">
        <f t="shared" si="31"/>
        <v>8957.67615188475</v>
      </c>
      <c r="AM21" s="15">
        <f t="shared" si="31"/>
        <v>45815.265177360234</v>
      </c>
      <c r="AN21" s="15">
        <f t="shared" si="31"/>
        <v>3084.206945630345</v>
      </c>
      <c r="AO21" s="15">
        <f t="shared" si="31"/>
        <v>1970.74885</v>
      </c>
      <c r="AP21" s="15">
        <f t="shared" si="31"/>
        <v>3359.112301392618</v>
      </c>
      <c r="AQ21" s="15"/>
      <c r="AR21" s="15"/>
      <c r="AS21" s="44">
        <f>SUM(AS17:AS20)</f>
        <v>1853.9499999999998</v>
      </c>
      <c r="AT21" s="44">
        <f>SUM(AT17:AT20)</f>
        <v>8240.247564661227</v>
      </c>
      <c r="AU21" s="44">
        <f>SUM(AU17:AU20)</f>
        <v>6237.551797900007</v>
      </c>
      <c r="AV21" s="44">
        <f>SUM(AV17:AV20)</f>
        <v>2002.6957667612214</v>
      </c>
      <c r="AW21" s="15"/>
      <c r="AX21" s="15"/>
      <c r="AY21" s="15"/>
      <c r="AZ21" s="15"/>
    </row>
    <row r="22" spans="1:52" s="17" customFormat="1" ht="27" thickBot="1">
      <c r="A22" s="18" t="s">
        <v>62</v>
      </c>
      <c r="B22" s="19">
        <f aca="true" t="shared" si="32" ref="B22:G22">B16+B21</f>
        <v>1115.1855050000004</v>
      </c>
      <c r="C22" s="43">
        <f t="shared" si="32"/>
        <v>1127.828</v>
      </c>
      <c r="D22" s="43">
        <f t="shared" si="32"/>
        <v>1440.2951879205043</v>
      </c>
      <c r="E22" s="45">
        <f t="shared" si="32"/>
        <v>0</v>
      </c>
      <c r="F22" s="43">
        <f t="shared" si="32"/>
        <v>3700.8173762158867</v>
      </c>
      <c r="G22" s="43">
        <f t="shared" si="32"/>
        <v>184.52701322249513</v>
      </c>
      <c r="H22" s="63">
        <f>AVERAGE(H17:H20,H9:H15)</f>
        <v>47.772442275514635</v>
      </c>
      <c r="I22" s="106">
        <f aca="true" t="shared" si="33" ref="I22:S22">I16+I21</f>
        <v>6453.467577358886</v>
      </c>
      <c r="J22" s="45">
        <f t="shared" si="33"/>
        <v>9000652.130207652</v>
      </c>
      <c r="K22" s="43">
        <f t="shared" si="33"/>
        <v>129765.35567317136</v>
      </c>
      <c r="L22" s="43">
        <f t="shared" si="33"/>
        <v>18701.930995420924</v>
      </c>
      <c r="M22" s="43">
        <f t="shared" si="33"/>
        <v>238.20501249999998</v>
      </c>
      <c r="N22" s="43">
        <f t="shared" si="33"/>
        <v>3332.252533749992</v>
      </c>
      <c r="O22" s="43">
        <f t="shared" si="33"/>
        <v>11039.234746491802</v>
      </c>
      <c r="P22" s="43">
        <f t="shared" si="33"/>
        <v>4092.2387026791334</v>
      </c>
      <c r="Q22" s="19">
        <f t="shared" si="33"/>
        <v>17639.041432298254</v>
      </c>
      <c r="R22" s="19">
        <f t="shared" si="33"/>
        <v>824.6845506226739</v>
      </c>
      <c r="S22" s="19">
        <f t="shared" si="33"/>
        <v>224.08750000000003</v>
      </c>
      <c r="T22" s="19"/>
      <c r="U22" s="19">
        <f>U16+U21</f>
        <v>1115.1855050000004</v>
      </c>
      <c r="V22" s="19">
        <f>V16+V21</f>
        <v>1127.828</v>
      </c>
      <c r="W22" s="19"/>
      <c r="X22" s="19">
        <f>X16+X21</f>
        <v>1433.0937119809018</v>
      </c>
      <c r="Y22" s="19">
        <f>Y16+Y21</f>
        <v>1440.2951879205043</v>
      </c>
      <c r="Z22" s="19"/>
      <c r="AA22" s="19">
        <f>AA16+AA21</f>
        <v>3865.91766749119</v>
      </c>
      <c r="AB22" s="45">
        <f>AB16+AB21</f>
        <v>3885.3443894383818</v>
      </c>
      <c r="AC22" s="19"/>
      <c r="AD22" s="19"/>
      <c r="AE22" s="19"/>
      <c r="AF22" s="19"/>
      <c r="AG22" s="19"/>
      <c r="AH22" s="19"/>
      <c r="AI22" s="45"/>
      <c r="AJ22" s="43">
        <f aca="true" t="shared" si="34" ref="AJ22:AP22">AJ16+AJ21</f>
        <v>148467.28666859228</v>
      </c>
      <c r="AK22" s="43">
        <f t="shared" si="34"/>
        <v>23684.388</v>
      </c>
      <c r="AL22" s="43">
        <f t="shared" si="34"/>
        <v>30246.198946330594</v>
      </c>
      <c r="AM22" s="43">
        <f t="shared" si="34"/>
        <v>81592.232178206</v>
      </c>
      <c r="AN22" s="43">
        <f t="shared" si="34"/>
        <v>6138.610044055676</v>
      </c>
      <c r="AO22" s="43">
        <f t="shared" si="34"/>
        <v>6805.8575</v>
      </c>
      <c r="AP22" s="19">
        <f t="shared" si="34"/>
        <v>6453.467577358886</v>
      </c>
      <c r="AQ22" s="19"/>
      <c r="AR22" s="19"/>
      <c r="AS22" s="43">
        <f>AS16+AS21</f>
        <v>6402.5</v>
      </c>
      <c r="AT22" s="45">
        <f>AT16+AT21</f>
        <v>16400.866529919746</v>
      </c>
      <c r="AU22" s="43">
        <f>AU16+AU21</f>
        <v>13874.778446600001</v>
      </c>
      <c r="AV22" s="43">
        <f>AV16+AV21</f>
        <v>2526.0880833197434</v>
      </c>
      <c r="AW22" s="19"/>
      <c r="AX22" s="19"/>
      <c r="AY22" s="19"/>
      <c r="AZ22" s="19"/>
    </row>
    <row r="23" spans="8:48" ht="12.75">
      <c r="H23" s="4"/>
      <c r="K23" s="4"/>
      <c r="L23" s="4"/>
      <c r="N23" s="4"/>
      <c r="O23" s="4"/>
      <c r="P23" s="4"/>
      <c r="Q23" s="4"/>
      <c r="R23" s="68"/>
      <c r="S23" s="9"/>
      <c r="T23" s="12"/>
      <c r="U23" s="9"/>
      <c r="W23" s="107"/>
      <c r="X23" s="9"/>
      <c r="Y23" s="9"/>
      <c r="Z23" s="107"/>
      <c r="AA23" s="4"/>
      <c r="AB23" s="4"/>
      <c r="AC23" s="11"/>
      <c r="AD23" s="10"/>
      <c r="AF23" s="8"/>
      <c r="AG23" s="9"/>
      <c r="AI23" s="10"/>
      <c r="AJ23" s="4"/>
      <c r="AK23" s="4"/>
      <c r="AL23" s="4"/>
      <c r="AM23" s="4"/>
      <c r="AN23" s="109"/>
      <c r="AO23" s="4"/>
      <c r="AP23" s="4"/>
      <c r="AS23" s="35"/>
      <c r="AT23" s="4"/>
      <c r="AU23" s="4"/>
      <c r="AV23" s="4"/>
    </row>
    <row r="24" spans="1:47" ht="12.75">
      <c r="A24" s="31" t="s">
        <v>63</v>
      </c>
      <c r="B24" s="2"/>
      <c r="C24" s="2"/>
      <c r="D24" s="5"/>
      <c r="E24" s="5"/>
      <c r="F24" s="5"/>
      <c r="G24" s="5"/>
      <c r="H24" s="51"/>
      <c r="I24" s="51"/>
      <c r="J24" s="55"/>
      <c r="L24" s="38"/>
      <c r="M24" s="20"/>
      <c r="N24" s="20"/>
      <c r="O24" s="20"/>
      <c r="P24" s="20"/>
      <c r="Q24" s="20"/>
      <c r="R24" s="69"/>
      <c r="S24" s="20"/>
      <c r="U24" s="9"/>
      <c r="W24" s="20"/>
      <c r="X24" s="5"/>
      <c r="Y24" s="5"/>
      <c r="Z24" s="13"/>
      <c r="AA24" s="4"/>
      <c r="AB24" s="4"/>
      <c r="AC24" s="11"/>
      <c r="AD24" s="10"/>
      <c r="AF24" s="8"/>
      <c r="AG24" s="9"/>
      <c r="AI24" s="10"/>
      <c r="AJ24" s="4"/>
      <c r="AK24" s="4"/>
      <c r="AL24" s="4"/>
      <c r="AM24" s="4"/>
      <c r="AN24" s="4"/>
      <c r="AO24" s="4"/>
      <c r="AP24" s="4"/>
      <c r="AQ24" s="122"/>
      <c r="AR24" s="122"/>
      <c r="AS24" s="122"/>
      <c r="AU24" s="35"/>
    </row>
    <row r="25" spans="1:48" ht="12.75">
      <c r="A25" s="30" t="s">
        <v>64</v>
      </c>
      <c r="B25" t="s">
        <v>65</v>
      </c>
      <c r="H25" s="51"/>
      <c r="I25" s="51"/>
      <c r="J25" s="51"/>
      <c r="P25" s="20"/>
      <c r="Q25" s="69"/>
      <c r="R25" s="69"/>
      <c r="S25" s="20"/>
      <c r="U25" s="9"/>
      <c r="W25" s="53"/>
      <c r="X25" s="20"/>
      <c r="Y25" s="20"/>
      <c r="Z25" s="13"/>
      <c r="AA25" s="4"/>
      <c r="AB25" s="4"/>
      <c r="AC25" s="11"/>
      <c r="AD25" s="10"/>
      <c r="AF25" s="8"/>
      <c r="AG25" s="9"/>
      <c r="AI25" s="10"/>
      <c r="AJ25" s="4"/>
      <c r="AK25" s="4"/>
      <c r="AL25" s="4"/>
      <c r="AM25" s="4"/>
      <c r="AN25" s="4"/>
      <c r="AO25" s="4"/>
      <c r="AP25" s="4"/>
      <c r="AQ25" s="122"/>
      <c r="AR25" s="123"/>
      <c r="AS25" s="123"/>
      <c r="AU25" s="20"/>
      <c r="AV25" s="20"/>
    </row>
    <row r="26" spans="1:48" ht="12.75">
      <c r="A26" s="110" t="s">
        <v>138</v>
      </c>
      <c r="B26" t="s">
        <v>139</v>
      </c>
      <c r="H26" s="51"/>
      <c r="I26" s="51"/>
      <c r="J26" s="51"/>
      <c r="P26" s="20"/>
      <c r="Q26" s="69"/>
      <c r="R26" s="69"/>
      <c r="S26" s="20"/>
      <c r="U26" s="9"/>
      <c r="W26" s="54"/>
      <c r="X26" s="41"/>
      <c r="Y26" s="20"/>
      <c r="Z26" s="52"/>
      <c r="AA26" s="4"/>
      <c r="AB26" s="4"/>
      <c r="AC26" s="11"/>
      <c r="AD26" s="10"/>
      <c r="AF26" s="8"/>
      <c r="AG26" s="9"/>
      <c r="AI26" s="10"/>
      <c r="AJ26" s="4"/>
      <c r="AK26" s="4"/>
      <c r="AL26" s="4"/>
      <c r="AM26" s="4"/>
      <c r="AN26" s="109"/>
      <c r="AO26" s="4"/>
      <c r="AP26" s="4"/>
      <c r="AQ26" s="65"/>
      <c r="AR26" s="123"/>
      <c r="AS26" s="122"/>
      <c r="AU26" s="115"/>
      <c r="AV26" s="37"/>
    </row>
    <row r="27" spans="1:48" ht="12.75">
      <c r="A27" t="s">
        <v>66</v>
      </c>
      <c r="B27" t="s">
        <v>67</v>
      </c>
      <c r="E27" s="20"/>
      <c r="H27" s="51"/>
      <c r="I27" s="51"/>
      <c r="J27" s="51"/>
      <c r="O27" s="109"/>
      <c r="P27" s="37"/>
      <c r="Q27" s="118"/>
      <c r="R27" s="119"/>
      <c r="S27" s="37"/>
      <c r="T27" s="12"/>
      <c r="U27" s="9"/>
      <c r="W27" s="54"/>
      <c r="X27" s="41"/>
      <c r="Y27" s="20"/>
      <c r="Z27" s="52"/>
      <c r="AA27" s="4"/>
      <c r="AB27" s="4"/>
      <c r="AC27" s="11"/>
      <c r="AD27" s="10"/>
      <c r="AF27" s="8"/>
      <c r="AG27" s="9"/>
      <c r="AI27" s="10"/>
      <c r="AJ27" s="4"/>
      <c r="AK27" s="4"/>
      <c r="AL27" s="4"/>
      <c r="AM27" s="4"/>
      <c r="AN27" s="109"/>
      <c r="AO27" s="4"/>
      <c r="AP27" s="4"/>
      <c r="AQ27" s="65"/>
      <c r="AR27" s="123"/>
      <c r="AS27" s="122"/>
      <c r="AU27" s="115"/>
      <c r="AV27" s="37"/>
    </row>
    <row r="28" spans="1:48" ht="12.75">
      <c r="A28" s="36" t="s">
        <v>77</v>
      </c>
      <c r="B28" t="s">
        <v>76</v>
      </c>
      <c r="C28" s="20"/>
      <c r="D28" s="20"/>
      <c r="E28" s="20"/>
      <c r="F28" s="20"/>
      <c r="G28" s="20"/>
      <c r="H28" s="39"/>
      <c r="I28" s="51"/>
      <c r="J28" s="51"/>
      <c r="O28" s="109"/>
      <c r="P28" s="35"/>
      <c r="Q28" s="120"/>
      <c r="R28" s="68"/>
      <c r="S28" s="16"/>
      <c r="T28" s="12"/>
      <c r="U28" s="9"/>
      <c r="W28" s="54"/>
      <c r="X28" s="41"/>
      <c r="Y28" s="20"/>
      <c r="Z28" s="52"/>
      <c r="AA28" s="4"/>
      <c r="AB28" s="4"/>
      <c r="AC28" s="11"/>
      <c r="AD28" s="10"/>
      <c r="AF28" s="8"/>
      <c r="AG28" s="9"/>
      <c r="AI28" s="10"/>
      <c r="AJ28" s="4"/>
      <c r="AK28" s="4"/>
      <c r="AL28" s="4"/>
      <c r="AM28" s="4"/>
      <c r="AN28" s="109"/>
      <c r="AO28" s="4"/>
      <c r="AP28" s="4"/>
      <c r="AQ28" s="65"/>
      <c r="AR28" s="123"/>
      <c r="AS28" s="122"/>
      <c r="AT28" s="51"/>
      <c r="AU28" s="116"/>
      <c r="AV28" s="35"/>
    </row>
    <row r="29" spans="1:48" ht="12.75">
      <c r="A29" s="94" t="s">
        <v>123</v>
      </c>
      <c r="B29" s="35" t="s">
        <v>124</v>
      </c>
      <c r="C29" s="20"/>
      <c r="D29" s="20"/>
      <c r="F29" s="20"/>
      <c r="G29" s="20"/>
      <c r="H29" s="39"/>
      <c r="I29" s="51"/>
      <c r="J29" s="51"/>
      <c r="O29" s="109"/>
      <c r="P29" s="35"/>
      <c r="Q29" s="120"/>
      <c r="R29" s="68"/>
      <c r="S29" s="16"/>
      <c r="T29" s="12"/>
      <c r="U29" s="9"/>
      <c r="W29" s="54"/>
      <c r="X29" s="41"/>
      <c r="Y29" s="20"/>
      <c r="Z29" s="52"/>
      <c r="AA29" s="4"/>
      <c r="AB29" s="4"/>
      <c r="AC29" s="11"/>
      <c r="AD29" s="10"/>
      <c r="AF29" s="8"/>
      <c r="AG29" s="9"/>
      <c r="AI29" s="97"/>
      <c r="AJ29" s="4"/>
      <c r="AK29" s="4"/>
      <c r="AL29" s="4"/>
      <c r="AM29" s="4"/>
      <c r="AN29" s="109"/>
      <c r="AO29" s="4"/>
      <c r="AP29" s="4"/>
      <c r="AQ29" s="65"/>
      <c r="AR29" s="123"/>
      <c r="AS29" s="122"/>
      <c r="AT29" s="51"/>
      <c r="AU29" s="116"/>
      <c r="AV29" s="35"/>
    </row>
    <row r="30" spans="1:48" ht="12.75">
      <c r="A30" s="34" t="s">
        <v>75</v>
      </c>
      <c r="B30" s="2"/>
      <c r="C30" s="2"/>
      <c r="D30" s="5"/>
      <c r="E30" s="5"/>
      <c r="F30" s="5"/>
      <c r="G30" s="5"/>
      <c r="H30" s="39"/>
      <c r="I30" s="51"/>
      <c r="J30" s="51"/>
      <c r="O30" s="109"/>
      <c r="P30" s="35"/>
      <c r="Q30" s="120"/>
      <c r="R30" s="68"/>
      <c r="S30" s="35"/>
      <c r="V30"/>
      <c r="W30" s="54"/>
      <c r="X30" s="41"/>
      <c r="Y30" s="20"/>
      <c r="Z30" s="52"/>
      <c r="AN30" s="109"/>
      <c r="AQ30" s="65"/>
      <c r="AR30" s="123"/>
      <c r="AS30" s="122"/>
      <c r="AT30" s="51"/>
      <c r="AU30" s="116"/>
      <c r="AV30" s="35"/>
    </row>
    <row r="31" spans="1:48" ht="12.75">
      <c r="A31" s="113" t="s">
        <v>144</v>
      </c>
      <c r="B31" s="35"/>
      <c r="C31" s="20"/>
      <c r="D31" s="20"/>
      <c r="E31" s="20"/>
      <c r="F31" s="20"/>
      <c r="G31" s="20"/>
      <c r="H31" s="40"/>
      <c r="I31" s="51"/>
      <c r="J31" s="51"/>
      <c r="O31" s="109"/>
      <c r="P31" s="35"/>
      <c r="Q31" s="120"/>
      <c r="R31" s="68"/>
      <c r="S31" s="16"/>
      <c r="T31" s="12"/>
      <c r="U31" s="9"/>
      <c r="W31" s="54"/>
      <c r="X31" s="50"/>
      <c r="Y31" s="5"/>
      <c r="Z31" s="52"/>
      <c r="AA31" s="4"/>
      <c r="AB31" s="4"/>
      <c r="AC31" s="11"/>
      <c r="AD31" s="10"/>
      <c r="AF31" s="8"/>
      <c r="AG31" s="9"/>
      <c r="AI31" s="10"/>
      <c r="AJ31" s="4"/>
      <c r="AK31" s="4"/>
      <c r="AL31" s="4"/>
      <c r="AM31" s="4"/>
      <c r="AN31" s="109"/>
      <c r="AO31" s="4"/>
      <c r="AP31" s="4"/>
      <c r="AQ31" s="65"/>
      <c r="AR31" s="123"/>
      <c r="AS31" s="122"/>
      <c r="AT31" s="51"/>
      <c r="AU31" s="116"/>
      <c r="AV31" s="35"/>
    </row>
    <row r="32" spans="1:48" ht="12.75">
      <c r="A32" s="98" t="s">
        <v>145</v>
      </c>
      <c r="B32" s="35"/>
      <c r="C32" s="20"/>
      <c r="D32" s="20"/>
      <c r="E32" s="20"/>
      <c r="F32" s="20"/>
      <c r="G32" s="20"/>
      <c r="H32" s="39"/>
      <c r="I32" s="51"/>
      <c r="J32" s="51"/>
      <c r="O32" s="109"/>
      <c r="P32" s="35"/>
      <c r="Q32" s="120"/>
      <c r="R32" s="68"/>
      <c r="S32" s="16"/>
      <c r="T32" s="12"/>
      <c r="U32" s="9"/>
      <c r="W32" s="54"/>
      <c r="X32" s="41"/>
      <c r="Y32" s="39"/>
      <c r="Z32" s="52"/>
      <c r="AA32" s="4"/>
      <c r="AB32" s="4"/>
      <c r="AC32" s="11"/>
      <c r="AD32" s="10"/>
      <c r="AF32" s="8"/>
      <c r="AG32" s="9"/>
      <c r="AI32" s="10"/>
      <c r="AJ32" s="4"/>
      <c r="AK32" s="4"/>
      <c r="AL32" s="4"/>
      <c r="AM32" s="4"/>
      <c r="AN32" s="109"/>
      <c r="AO32" s="4"/>
      <c r="AP32" s="4"/>
      <c r="AQ32" s="65"/>
      <c r="AR32" s="123"/>
      <c r="AS32" s="122"/>
      <c r="AT32" s="51"/>
      <c r="AU32" s="116"/>
      <c r="AV32" s="35"/>
    </row>
    <row r="33" spans="1:48" ht="12.75">
      <c r="A33" s="98" t="s">
        <v>146</v>
      </c>
      <c r="B33" s="35"/>
      <c r="C33" s="20"/>
      <c r="D33" s="20"/>
      <c r="E33" s="20"/>
      <c r="F33" s="20"/>
      <c r="G33" s="20"/>
      <c r="H33" s="39"/>
      <c r="I33" s="51"/>
      <c r="J33" s="51"/>
      <c r="O33" s="109"/>
      <c r="P33" s="35"/>
      <c r="Q33" s="120"/>
      <c r="R33" s="68"/>
      <c r="S33" s="16"/>
      <c r="T33" s="12"/>
      <c r="U33" s="9"/>
      <c r="W33" s="54"/>
      <c r="X33" s="41"/>
      <c r="Y33" s="55"/>
      <c r="Z33" s="52"/>
      <c r="AA33" s="4"/>
      <c r="AB33" s="4"/>
      <c r="AC33" s="11"/>
      <c r="AD33" s="10"/>
      <c r="AF33" s="8"/>
      <c r="AG33" s="9"/>
      <c r="AI33" s="10"/>
      <c r="AJ33" s="4"/>
      <c r="AK33" s="4"/>
      <c r="AL33" s="4"/>
      <c r="AM33" s="4"/>
      <c r="AN33" s="109"/>
      <c r="AO33" s="4"/>
      <c r="AP33" s="4"/>
      <c r="AQ33" s="65"/>
      <c r="AR33" s="123"/>
      <c r="AS33" s="122"/>
      <c r="AT33" s="51"/>
      <c r="AU33" s="116"/>
      <c r="AV33" s="35"/>
    </row>
    <row r="34" spans="1:48" ht="12.75">
      <c r="A34"/>
      <c r="B34" s="35"/>
      <c r="C34" s="20"/>
      <c r="D34" s="20"/>
      <c r="E34" s="20"/>
      <c r="F34" s="20"/>
      <c r="G34" s="20"/>
      <c r="H34" s="39"/>
      <c r="I34" s="51"/>
      <c r="J34" s="51"/>
      <c r="O34" s="109"/>
      <c r="P34" s="35"/>
      <c r="Q34" s="120"/>
      <c r="R34" s="68"/>
      <c r="S34" s="16"/>
      <c r="T34" s="12"/>
      <c r="U34" s="9"/>
      <c r="W34" s="54"/>
      <c r="X34" s="41"/>
      <c r="Y34" s="55"/>
      <c r="Z34" s="52"/>
      <c r="AA34" s="4"/>
      <c r="AB34" s="4"/>
      <c r="AC34" s="11"/>
      <c r="AD34" s="10"/>
      <c r="AF34" s="8"/>
      <c r="AG34" s="9"/>
      <c r="AI34" s="10"/>
      <c r="AJ34" s="4"/>
      <c r="AK34" s="4"/>
      <c r="AL34" s="4"/>
      <c r="AM34" s="4"/>
      <c r="AN34" s="109"/>
      <c r="AO34" s="4"/>
      <c r="AP34" s="4"/>
      <c r="AQ34" s="65"/>
      <c r="AR34" s="123"/>
      <c r="AS34" s="122"/>
      <c r="AT34" s="51"/>
      <c r="AU34" s="116"/>
      <c r="AV34" s="35"/>
    </row>
    <row r="35" spans="1:48" ht="12.75">
      <c r="A35"/>
      <c r="B35" s="35"/>
      <c r="C35" s="20"/>
      <c r="D35" s="20"/>
      <c r="E35" s="20"/>
      <c r="F35" s="20"/>
      <c r="G35" s="20"/>
      <c r="H35" s="39"/>
      <c r="I35" s="51"/>
      <c r="J35" s="51"/>
      <c r="O35" s="109"/>
      <c r="P35" s="35"/>
      <c r="Q35" s="120"/>
      <c r="R35" s="68"/>
      <c r="S35" s="16"/>
      <c r="T35" s="12"/>
      <c r="U35" s="9"/>
      <c r="W35" s="56"/>
      <c r="X35" s="41"/>
      <c r="Y35" s="41"/>
      <c r="Z35" s="52"/>
      <c r="AA35" s="4"/>
      <c r="AB35" s="4"/>
      <c r="AC35" s="11"/>
      <c r="AD35" s="10"/>
      <c r="AF35" s="8"/>
      <c r="AG35" s="9"/>
      <c r="AI35" s="10"/>
      <c r="AJ35" s="4"/>
      <c r="AK35" s="4"/>
      <c r="AL35" s="4"/>
      <c r="AM35" s="4"/>
      <c r="AN35" s="109"/>
      <c r="AO35" s="4"/>
      <c r="AP35" s="4"/>
      <c r="AQ35" s="65"/>
      <c r="AR35" s="123"/>
      <c r="AS35" s="122"/>
      <c r="AU35" s="116"/>
      <c r="AV35" s="35"/>
    </row>
    <row r="36" spans="1:48" ht="12.75">
      <c r="A36"/>
      <c r="B36" s="35"/>
      <c r="C36" s="20"/>
      <c r="D36" s="20"/>
      <c r="E36" s="20"/>
      <c r="F36" s="20"/>
      <c r="G36" s="20"/>
      <c r="H36" s="114"/>
      <c r="I36" s="51"/>
      <c r="J36" s="51"/>
      <c r="O36" s="109"/>
      <c r="P36" s="35"/>
      <c r="Q36" s="120"/>
      <c r="R36" s="68"/>
      <c r="S36" s="16"/>
      <c r="T36" s="12"/>
      <c r="U36" s="9"/>
      <c r="W36" s="54"/>
      <c r="X36" s="52"/>
      <c r="Y36" s="55"/>
      <c r="Z36" s="52"/>
      <c r="AA36" s="4"/>
      <c r="AB36" s="4"/>
      <c r="AC36" s="11"/>
      <c r="AD36" s="10"/>
      <c r="AF36" s="8"/>
      <c r="AG36" s="9"/>
      <c r="AI36" s="10"/>
      <c r="AJ36" s="4"/>
      <c r="AK36" s="4"/>
      <c r="AL36" s="4"/>
      <c r="AM36" s="4"/>
      <c r="AN36" s="109"/>
      <c r="AO36" s="4"/>
      <c r="AP36" s="4"/>
      <c r="AQ36" s="65"/>
      <c r="AR36" s="123"/>
      <c r="AS36" s="122"/>
      <c r="AU36" s="116"/>
      <c r="AV36" s="35"/>
    </row>
    <row r="37" spans="1:48" ht="12.75">
      <c r="A37"/>
      <c r="B37" s="35"/>
      <c r="C37" s="20"/>
      <c r="D37" s="20"/>
      <c r="E37" s="20"/>
      <c r="F37" s="20"/>
      <c r="G37" s="20"/>
      <c r="H37" s="114"/>
      <c r="I37" s="51"/>
      <c r="J37" s="51"/>
      <c r="O37" s="109"/>
      <c r="P37" s="35"/>
      <c r="Q37" s="120"/>
      <c r="R37" s="68"/>
      <c r="S37" s="16"/>
      <c r="T37" s="12"/>
      <c r="U37" s="9"/>
      <c r="W37" s="54"/>
      <c r="X37" s="52"/>
      <c r="Y37" s="41"/>
      <c r="Z37" s="52"/>
      <c r="AA37" s="4"/>
      <c r="AB37" s="4"/>
      <c r="AC37" s="11"/>
      <c r="AD37" s="10"/>
      <c r="AF37" s="8"/>
      <c r="AG37" s="9"/>
      <c r="AI37" s="10"/>
      <c r="AJ37" s="4"/>
      <c r="AK37" s="4"/>
      <c r="AL37" s="4"/>
      <c r="AM37" s="4"/>
      <c r="AN37" s="4"/>
      <c r="AO37" s="4"/>
      <c r="AP37" s="4"/>
      <c r="AQ37" s="65"/>
      <c r="AR37" s="123"/>
      <c r="AS37" s="122"/>
      <c r="AU37" s="116"/>
      <c r="AV37" s="35"/>
    </row>
    <row r="38" spans="1:48" ht="12.75">
      <c r="A38"/>
      <c r="B38" s="35"/>
      <c r="C38" s="20"/>
      <c r="D38" s="20"/>
      <c r="E38" s="20"/>
      <c r="F38" s="20"/>
      <c r="G38" s="20"/>
      <c r="H38" s="114"/>
      <c r="I38" s="20"/>
      <c r="O38" s="109"/>
      <c r="P38" s="35"/>
      <c r="Q38" s="120"/>
      <c r="R38" s="68"/>
      <c r="S38" s="16"/>
      <c r="T38" s="12"/>
      <c r="U38" s="9"/>
      <c r="W38" s="57"/>
      <c r="X38" s="20"/>
      <c r="Y38" s="20"/>
      <c r="Z38" s="52"/>
      <c r="AA38" s="4"/>
      <c r="AB38" s="4"/>
      <c r="AC38" s="11"/>
      <c r="AD38" s="10"/>
      <c r="AF38" s="8"/>
      <c r="AG38" s="9"/>
      <c r="AI38" s="10"/>
      <c r="AJ38" s="4"/>
      <c r="AK38" s="4"/>
      <c r="AL38" s="4"/>
      <c r="AM38" s="4"/>
      <c r="AN38" s="4"/>
      <c r="AO38" s="4"/>
      <c r="AP38" s="4"/>
      <c r="AQ38" s="65"/>
      <c r="AR38" s="123"/>
      <c r="AS38" s="122"/>
      <c r="AU38" s="116"/>
      <c r="AV38" s="35"/>
    </row>
    <row r="39" spans="2:48" ht="12.75">
      <c r="B39" s="35"/>
      <c r="C39" s="20"/>
      <c r="D39" s="20"/>
      <c r="E39" s="20"/>
      <c r="F39" s="20"/>
      <c r="G39" s="20"/>
      <c r="H39" s="114"/>
      <c r="I39" s="20"/>
      <c r="O39" s="109"/>
      <c r="P39" s="35"/>
      <c r="Q39" s="120"/>
      <c r="R39" s="68"/>
      <c r="S39" s="16"/>
      <c r="T39" s="12"/>
      <c r="U39" s="9"/>
      <c r="W39" s="13"/>
      <c r="X39" s="9"/>
      <c r="Y39" s="9"/>
      <c r="Z39" s="13"/>
      <c r="AA39" s="4"/>
      <c r="AB39" s="4"/>
      <c r="AC39" s="11"/>
      <c r="AD39" s="10"/>
      <c r="AF39" s="8"/>
      <c r="AG39" s="9"/>
      <c r="AI39" s="10"/>
      <c r="AJ39" s="4"/>
      <c r="AK39" s="4"/>
      <c r="AL39" s="4"/>
      <c r="AM39" s="4"/>
      <c r="AN39" s="4"/>
      <c r="AO39" s="4"/>
      <c r="AP39" s="4"/>
      <c r="AQ39" s="65"/>
      <c r="AR39" s="123"/>
      <c r="AS39" s="122"/>
      <c r="AU39" s="116"/>
      <c r="AV39" s="35"/>
    </row>
    <row r="40" spans="2:48" ht="12.75">
      <c r="B40" s="35"/>
      <c r="C40" s="37"/>
      <c r="D40" s="37"/>
      <c r="E40" s="37"/>
      <c r="F40" s="37"/>
      <c r="G40" s="37"/>
      <c r="H40" s="41"/>
      <c r="I40" s="37"/>
      <c r="O40" s="109"/>
      <c r="P40" s="35"/>
      <c r="Q40" s="120"/>
      <c r="R40" s="68"/>
      <c r="S40" s="16"/>
      <c r="T40" s="12"/>
      <c r="U40" s="9"/>
      <c r="W40" s="13"/>
      <c r="X40" s="9"/>
      <c r="Y40" s="9"/>
      <c r="Z40" s="13"/>
      <c r="AA40" s="4"/>
      <c r="AB40" s="4"/>
      <c r="AC40" s="11"/>
      <c r="AD40" s="10"/>
      <c r="AF40" s="8"/>
      <c r="AG40" s="9"/>
      <c r="AI40" s="10"/>
      <c r="AJ40" s="4"/>
      <c r="AK40" s="4"/>
      <c r="AL40" s="4"/>
      <c r="AM40" s="4"/>
      <c r="AN40" s="4"/>
      <c r="AO40" s="4"/>
      <c r="AP40" s="4"/>
      <c r="AQ40" s="65"/>
      <c r="AR40" s="123"/>
      <c r="AS40" s="122"/>
      <c r="AU40" s="116"/>
      <c r="AV40" s="35"/>
    </row>
    <row r="41" spans="3:48" ht="12.75">
      <c r="C41" s="20"/>
      <c r="D41" s="20"/>
      <c r="E41" s="20"/>
      <c r="F41" s="20"/>
      <c r="G41" s="20"/>
      <c r="H41" s="20"/>
      <c r="I41" s="20"/>
      <c r="O41" s="109"/>
      <c r="P41" s="35"/>
      <c r="Q41" s="120"/>
      <c r="R41" s="68"/>
      <c r="S41" s="35"/>
      <c r="AQ41" s="65"/>
      <c r="AR41" s="123"/>
      <c r="AS41" s="122"/>
      <c r="AU41" s="116"/>
      <c r="AV41" s="35"/>
    </row>
    <row r="42" spans="15:48" ht="12.75">
      <c r="O42" s="109"/>
      <c r="P42" s="35"/>
      <c r="Q42" s="120"/>
      <c r="R42" s="68"/>
      <c r="S42" s="35"/>
      <c r="AQ42" s="65"/>
      <c r="AR42" s="123"/>
      <c r="AS42" s="122"/>
      <c r="AU42" s="116"/>
      <c r="AV42" s="35"/>
    </row>
    <row r="43" spans="15:48" ht="12.75">
      <c r="O43" s="109"/>
      <c r="P43" s="35"/>
      <c r="Q43" s="120"/>
      <c r="R43" s="68"/>
      <c r="S43" s="35"/>
      <c r="AQ43" s="65"/>
      <c r="AR43" s="123"/>
      <c r="AS43" s="122"/>
      <c r="AU43" s="116"/>
      <c r="AV43" s="35"/>
    </row>
    <row r="44" spans="15:48" ht="12.75">
      <c r="O44" s="109"/>
      <c r="P44" s="35"/>
      <c r="Q44" s="120"/>
      <c r="R44" s="68"/>
      <c r="S44" s="35"/>
      <c r="AQ44" s="122"/>
      <c r="AR44" s="123"/>
      <c r="AS44" s="122"/>
      <c r="AU44" s="116"/>
      <c r="AV44" s="35"/>
    </row>
    <row r="45" spans="15:19" ht="12.75">
      <c r="O45" s="109"/>
      <c r="P45" s="35"/>
      <c r="Q45" s="120"/>
      <c r="R45" s="68"/>
      <c r="S45" s="35"/>
    </row>
  </sheetData>
  <printOptions horizontalCentered="1"/>
  <pageMargins left="0.2" right="0.17" top="0.61" bottom="0.61" header="0.5118110236220472" footer="0.3"/>
  <pageSetup fitToHeight="1" fitToWidth="1" horizontalDpi="600" verticalDpi="600" orientation="landscape" paperSize="9" scale="34"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A-TEC</cp:lastModifiedBy>
  <cp:lastPrinted>2011-04-27T15:13:25Z</cp:lastPrinted>
  <dcterms:created xsi:type="dcterms:W3CDTF">2008-12-06T07:55:45Z</dcterms:created>
  <dcterms:modified xsi:type="dcterms:W3CDTF">2012-05-30T13:54:23Z</dcterms:modified>
  <cp:category/>
  <cp:version/>
  <cp:contentType/>
  <cp:contentStatus/>
</cp:coreProperties>
</file>