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2045" windowHeight="5520" tabRatio="761" activeTab="7"/>
  </bookViews>
  <sheets>
    <sheet name="Wind invest budget" sheetId="16" r:id="rId1"/>
    <sheet name="Monthly" sheetId="18" state="hidden" r:id="rId2"/>
    <sheet name="Financial Projection" sheetId="30" r:id="rId3"/>
    <sheet name="Estimate" sheetId="8" state="hidden" r:id="rId4"/>
    <sheet name="Actual" sheetId="9" state="hidden" r:id="rId5"/>
    <sheet name="Estimate vs Actual" sheetId="7" state="hidden" r:id="rId6"/>
    <sheet name="Sensitivity" sheetId="33" r:id="rId7"/>
    <sheet name="Data sources" sheetId="34" r:id="rId8"/>
    <sheet name="ERUs" sheetId="35" r:id="rId9"/>
  </sheets>
  <definedNames>
    <definedName name="a" localSheetId="2">#REF!</definedName>
    <definedName name="a">#REF!</definedName>
    <definedName name="eur">15.64664</definedName>
    <definedName name="kd" localSheetId="2">#REF!</definedName>
    <definedName name="kd" localSheetId="1">#REF!</definedName>
    <definedName name="kd">#REF!</definedName>
    <definedName name="omt" localSheetId="2">#REF!</definedName>
    <definedName name="omt" localSheetId="1">#REF!</definedName>
    <definedName name="omt">#REF!</definedName>
    <definedName name="Prindiala" localSheetId="2">'Financial Projection'!$B$1:$X$77</definedName>
    <definedName name="Prindiala" localSheetId="1">Monthly!$A$1:$W$23</definedName>
    <definedName name="q" localSheetId="2">#REF!</definedName>
    <definedName name="q">#REF!</definedName>
    <definedName name="Re" localSheetId="2">#REF!</definedName>
    <definedName name="Re" localSheetId="1">#REF!</definedName>
    <definedName name="Re">#REF!</definedName>
    <definedName name="t" localSheetId="2">#REF!</definedName>
    <definedName name="t" localSheetId="1">#REF!</definedName>
    <definedName name="t">#REF!</definedName>
    <definedName name="T_Eq" localSheetId="2">#REF!</definedName>
    <definedName name="T_Eq" localSheetId="1">#REF!</definedName>
    <definedName name="T_Eq">#REF!</definedName>
    <definedName name="WACC" localSheetId="2">#REF!</definedName>
    <definedName name="WACC" localSheetId="1">#REF!</definedName>
    <definedName name="WACC">#REF!</definedName>
  </definedNames>
  <calcPr calcId="125725"/>
</workbook>
</file>

<file path=xl/calcChain.xml><?xml version="1.0" encoding="utf-8"?>
<calcChain xmlns="http://schemas.openxmlformats.org/spreadsheetml/2006/main">
  <c r="K5" i="30"/>
  <c r="K19"/>
  <c r="E4" s="1"/>
  <c r="K18"/>
  <c r="P25"/>
  <c r="C16" i="16"/>
  <c r="E15" i="33" l="1"/>
  <c r="D8" i="35"/>
  <c r="C13" i="16"/>
  <c r="G22" i="30"/>
  <c r="H22" s="1"/>
  <c r="I22" s="1"/>
  <c r="J22" s="1"/>
  <c r="K22" s="1"/>
  <c r="L22" s="1"/>
  <c r="M22" s="1"/>
  <c r="N22" s="1"/>
  <c r="O22" s="1"/>
  <c r="P22" s="1"/>
  <c r="Q22" s="1"/>
  <c r="R22" s="1"/>
  <c r="S22" s="1"/>
  <c r="T22" s="1"/>
  <c r="U22" s="1"/>
  <c r="V22" s="1"/>
  <c r="W22" s="1"/>
  <c r="X22" s="1"/>
  <c r="Y22" s="1"/>
  <c r="D71"/>
  <c r="D72" s="1"/>
  <c r="F36"/>
  <c r="E36" s="1"/>
  <c r="E34"/>
  <c r="D4" i="35" l="1"/>
  <c r="E4"/>
  <c r="G34" i="30"/>
  <c r="H34" s="1"/>
  <c r="I34" s="1"/>
  <c r="J34" s="1"/>
  <c r="K34" s="1"/>
  <c r="L34" s="1"/>
  <c r="M34" s="1"/>
  <c r="N34" s="1"/>
  <c r="O34" s="1"/>
  <c r="P34" s="1"/>
  <c r="Q34" s="1"/>
  <c r="R34" s="1"/>
  <c r="S34" s="1"/>
  <c r="T34" s="1"/>
  <c r="U34" s="1"/>
  <c r="V34" s="1"/>
  <c r="W34" s="1"/>
  <c r="X34" s="1"/>
  <c r="Q25"/>
  <c r="R25" s="1"/>
  <c r="S25" s="1"/>
  <c r="T25" s="1"/>
  <c r="U25" s="1"/>
  <c r="V25" s="1"/>
  <c r="W25" s="1"/>
  <c r="X25" s="1"/>
  <c r="Y25" s="1"/>
  <c r="F28"/>
  <c r="F4" i="35" l="1"/>
  <c r="C9" i="16"/>
  <c r="F32" i="30"/>
  <c r="G32" s="1"/>
  <c r="H32" s="1"/>
  <c r="I32" s="1"/>
  <c r="J32" s="1"/>
  <c r="K32" s="1"/>
  <c r="L32" s="1"/>
  <c r="M32" s="1"/>
  <c r="N32" s="1"/>
  <c r="O32" s="1"/>
  <c r="P32" s="1"/>
  <c r="Q32" s="1"/>
  <c r="R32" s="1"/>
  <c r="S32" s="1"/>
  <c r="T32" s="1"/>
  <c r="U32" s="1"/>
  <c r="V32" s="1"/>
  <c r="W32" s="1"/>
  <c r="X32" s="1"/>
  <c r="G78"/>
  <c r="H78" s="1"/>
  <c r="I78" s="1"/>
  <c r="J78" s="1"/>
  <c r="K78" s="1"/>
  <c r="L78" s="1"/>
  <c r="M78" s="1"/>
  <c r="N78" s="1"/>
  <c r="O78" s="1"/>
  <c r="P78" s="1"/>
  <c r="Q78" s="1"/>
  <c r="R78" s="1"/>
  <c r="S78" s="1"/>
  <c r="T78" s="1"/>
  <c r="U78" s="1"/>
  <c r="V78" s="1"/>
  <c r="W78" s="1"/>
  <c r="X78" s="1"/>
  <c r="F76"/>
  <c r="G76" s="1"/>
  <c r="H76" s="1"/>
  <c r="I76" s="1"/>
  <c r="J76" s="1"/>
  <c r="K76" s="1"/>
  <c r="L76" s="1"/>
  <c r="M76" s="1"/>
  <c r="N76" s="1"/>
  <c r="O76" s="1"/>
  <c r="P76" s="1"/>
  <c r="Q76" s="1"/>
  <c r="R76" s="1"/>
  <c r="S76" s="1"/>
  <c r="T76" s="1"/>
  <c r="U76" s="1"/>
  <c r="V76" s="1"/>
  <c r="W76" s="1"/>
  <c r="X76" s="1"/>
  <c r="E76"/>
  <c r="Y69"/>
  <c r="X69"/>
  <c r="W69"/>
  <c r="V69"/>
  <c r="U69"/>
  <c r="T69"/>
  <c r="S69"/>
  <c r="R69"/>
  <c r="E56"/>
  <c r="Y45"/>
  <c r="X45"/>
  <c r="W45"/>
  <c r="V45"/>
  <c r="U45"/>
  <c r="T45"/>
  <c r="S45"/>
  <c r="R45"/>
  <c r="F38"/>
  <c r="G38" s="1"/>
  <c r="H38" s="1"/>
  <c r="I38" s="1"/>
  <c r="J38" s="1"/>
  <c r="K38" s="1"/>
  <c r="L38" s="1"/>
  <c r="M38" s="1"/>
  <c r="N38" s="1"/>
  <c r="O38" s="1"/>
  <c r="P38" s="1"/>
  <c r="Q38" s="1"/>
  <c r="R38" s="1"/>
  <c r="S38" s="1"/>
  <c r="T38" s="1"/>
  <c r="U38" s="1"/>
  <c r="V38" s="1"/>
  <c r="W38" s="1"/>
  <c r="X38" s="1"/>
  <c r="E38"/>
  <c r="G37"/>
  <c r="H37" s="1"/>
  <c r="I37" s="1"/>
  <c r="J37" s="1"/>
  <c r="K37" s="1"/>
  <c r="L37" s="1"/>
  <c r="M37" s="1"/>
  <c r="N37" s="1"/>
  <c r="O37" s="1"/>
  <c r="P37" s="1"/>
  <c r="Q37" s="1"/>
  <c r="R37" s="1"/>
  <c r="S37" s="1"/>
  <c r="T37" s="1"/>
  <c r="U37" s="1"/>
  <c r="V37" s="1"/>
  <c r="W37" s="1"/>
  <c r="X37" s="1"/>
  <c r="E37"/>
  <c r="G36"/>
  <c r="H36" s="1"/>
  <c r="I36" s="1"/>
  <c r="J36" s="1"/>
  <c r="K36" s="1"/>
  <c r="L36" s="1"/>
  <c r="M36" s="1"/>
  <c r="N36" s="1"/>
  <c r="O36" s="1"/>
  <c r="P36" s="1"/>
  <c r="Q36" s="1"/>
  <c r="R36" s="1"/>
  <c r="S36" s="1"/>
  <c r="T36" s="1"/>
  <c r="U36" s="1"/>
  <c r="V36" s="1"/>
  <c r="W36" s="1"/>
  <c r="X36" s="1"/>
  <c r="H35"/>
  <c r="I35"/>
  <c r="J35" s="1"/>
  <c r="K35" s="1"/>
  <c r="L35" s="1"/>
  <c r="M35" s="1"/>
  <c r="N35" s="1"/>
  <c r="O35" s="1"/>
  <c r="P35" s="1"/>
  <c r="Q35" s="1"/>
  <c r="R35" s="1"/>
  <c r="S35" s="1"/>
  <c r="T35" s="1"/>
  <c r="U35" s="1"/>
  <c r="V35" s="1"/>
  <c r="W35" s="1"/>
  <c r="X35" s="1"/>
  <c r="E35"/>
  <c r="Y24"/>
  <c r="Y27" s="1"/>
  <c r="Y30" s="1"/>
  <c r="D23"/>
  <c r="F20"/>
  <c r="G20" s="1"/>
  <c r="H20" s="1"/>
  <c r="I20" s="1"/>
  <c r="J20" s="1"/>
  <c r="K20" s="1"/>
  <c r="L20" s="1"/>
  <c r="M20" s="1"/>
  <c r="N20" s="1"/>
  <c r="O20" s="1"/>
  <c r="P20" s="1"/>
  <c r="Q20" s="1"/>
  <c r="R20" s="1"/>
  <c r="S20" s="1"/>
  <c r="T20" s="1"/>
  <c r="U20" s="1"/>
  <c r="V20" s="1"/>
  <c r="W20" s="1"/>
  <c r="X20" s="1"/>
  <c r="F14"/>
  <c r="E7"/>
  <c r="K4"/>
  <c r="B1"/>
  <c r="D34" i="16"/>
  <c r="D14"/>
  <c r="C5"/>
  <c r="E5" i="30"/>
  <c r="C35" i="16"/>
  <c r="D35" s="1"/>
  <c r="C30"/>
  <c r="D30" s="1"/>
  <c r="C22"/>
  <c r="D22" s="1"/>
  <c r="C33"/>
  <c r="D33" s="1"/>
  <c r="C15"/>
  <c r="C11"/>
  <c r="D11" s="1"/>
  <c r="C8"/>
  <c r="D8" s="1"/>
  <c r="E32" i="30"/>
  <c r="W27"/>
  <c r="W30" s="1"/>
  <c r="U27"/>
  <c r="U30" s="1"/>
  <c r="S27"/>
  <c r="S30" s="1"/>
  <c r="Q27"/>
  <c r="Q30" s="1"/>
  <c r="O27"/>
  <c r="O30" s="1"/>
  <c r="M27"/>
  <c r="M30" s="1"/>
  <c r="K27"/>
  <c r="K30" s="1"/>
  <c r="I27"/>
  <c r="I30" s="1"/>
  <c r="G27"/>
  <c r="G30" s="1"/>
  <c r="E27"/>
  <c r="X27"/>
  <c r="X30" s="1"/>
  <c r="V27"/>
  <c r="V30" s="1"/>
  <c r="T27"/>
  <c r="T30" s="1"/>
  <c r="R27"/>
  <c r="R30" s="1"/>
  <c r="P27"/>
  <c r="P30" s="1"/>
  <c r="N27"/>
  <c r="N30" s="1"/>
  <c r="L27"/>
  <c r="L30" s="1"/>
  <c r="J27"/>
  <c r="J30" s="1"/>
  <c r="H27"/>
  <c r="H30" s="1"/>
  <c r="F27"/>
  <c r="E28"/>
  <c r="F56"/>
  <c r="C17" i="16"/>
  <c r="D17" s="1"/>
  <c r="E57" i="30"/>
  <c r="E67" s="1"/>
  <c r="F23"/>
  <c r="F57" s="1"/>
  <c r="F67" s="1"/>
  <c r="B5" i="16"/>
  <c r="B51" i="7"/>
  <c r="E51"/>
  <c r="F51"/>
  <c r="H51"/>
  <c r="J51" s="1"/>
  <c r="K51"/>
  <c r="C51"/>
  <c r="I51"/>
  <c r="L51"/>
  <c r="B49"/>
  <c r="E49"/>
  <c r="H49"/>
  <c r="K49"/>
  <c r="C49"/>
  <c r="F49"/>
  <c r="I49"/>
  <c r="L49"/>
  <c r="B48"/>
  <c r="E48"/>
  <c r="F48"/>
  <c r="H48"/>
  <c r="K48"/>
  <c r="L48"/>
  <c r="C48"/>
  <c r="I48"/>
  <c r="B43"/>
  <c r="E43"/>
  <c r="H43"/>
  <c r="K43"/>
  <c r="F43"/>
  <c r="L43"/>
  <c r="C43"/>
  <c r="I43"/>
  <c r="B26"/>
  <c r="E26"/>
  <c r="H26"/>
  <c r="K26"/>
  <c r="L26"/>
  <c r="C26"/>
  <c r="F26"/>
  <c r="I26"/>
  <c r="J26" s="1"/>
  <c r="J41" s="1"/>
  <c r="B35"/>
  <c r="C35"/>
  <c r="E35"/>
  <c r="F35"/>
  <c r="G35" s="1"/>
  <c r="H35"/>
  <c r="K35"/>
  <c r="I35"/>
  <c r="L35"/>
  <c r="B33"/>
  <c r="E33"/>
  <c r="F33"/>
  <c r="H33"/>
  <c r="K33"/>
  <c r="C33"/>
  <c r="I33"/>
  <c r="L33"/>
  <c r="B32"/>
  <c r="E32"/>
  <c r="F32"/>
  <c r="H32"/>
  <c r="I32"/>
  <c r="K32"/>
  <c r="L32"/>
  <c r="C32"/>
  <c r="O32" s="1"/>
  <c r="B31"/>
  <c r="C31"/>
  <c r="E31"/>
  <c r="H31"/>
  <c r="K31"/>
  <c r="F31"/>
  <c r="I31"/>
  <c r="L31"/>
  <c r="B30"/>
  <c r="E30"/>
  <c r="H30"/>
  <c r="K30"/>
  <c r="L30"/>
  <c r="F30"/>
  <c r="C30"/>
  <c r="I30"/>
  <c r="B29"/>
  <c r="C29"/>
  <c r="E29"/>
  <c r="H29"/>
  <c r="K29"/>
  <c r="F29"/>
  <c r="I29"/>
  <c r="L29"/>
  <c r="B28"/>
  <c r="E28"/>
  <c r="F28"/>
  <c r="H28"/>
  <c r="K28"/>
  <c r="L28"/>
  <c r="C28"/>
  <c r="I28"/>
  <c r="B27"/>
  <c r="E27"/>
  <c r="F27"/>
  <c r="H27"/>
  <c r="K27"/>
  <c r="C27"/>
  <c r="I27"/>
  <c r="L27"/>
  <c r="B23"/>
  <c r="E23"/>
  <c r="F23"/>
  <c r="H23"/>
  <c r="I23"/>
  <c r="K23"/>
  <c r="L23"/>
  <c r="C23"/>
  <c r="B22"/>
  <c r="C22"/>
  <c r="E22"/>
  <c r="H22"/>
  <c r="K22"/>
  <c r="L22"/>
  <c r="F22"/>
  <c r="I22"/>
  <c r="B21"/>
  <c r="E21"/>
  <c r="H21"/>
  <c r="I21"/>
  <c r="K21"/>
  <c r="C21"/>
  <c r="F21"/>
  <c r="L21"/>
  <c r="B20"/>
  <c r="C20"/>
  <c r="E20"/>
  <c r="H20"/>
  <c r="I20"/>
  <c r="K20"/>
  <c r="F20"/>
  <c r="L20"/>
  <c r="B17"/>
  <c r="E17"/>
  <c r="H17"/>
  <c r="K17"/>
  <c r="C17"/>
  <c r="F17"/>
  <c r="I17"/>
  <c r="L17"/>
  <c r="B16"/>
  <c r="E16"/>
  <c r="H16"/>
  <c r="K16"/>
  <c r="L16"/>
  <c r="C16"/>
  <c r="F16"/>
  <c r="I16"/>
  <c r="B15"/>
  <c r="E15"/>
  <c r="H15"/>
  <c r="I15"/>
  <c r="K15"/>
  <c r="L15"/>
  <c r="C15"/>
  <c r="F15"/>
  <c r="B14"/>
  <c r="C14"/>
  <c r="E14"/>
  <c r="H14"/>
  <c r="I14"/>
  <c r="K14"/>
  <c r="F14"/>
  <c r="L14"/>
  <c r="B13"/>
  <c r="E13"/>
  <c r="H13"/>
  <c r="K13"/>
  <c r="C13"/>
  <c r="F13"/>
  <c r="I13"/>
  <c r="L13"/>
  <c r="B9"/>
  <c r="C9"/>
  <c r="E9"/>
  <c r="H9"/>
  <c r="I9"/>
  <c r="K9"/>
  <c r="F9"/>
  <c r="L9"/>
  <c r="B8"/>
  <c r="C8"/>
  <c r="E8"/>
  <c r="H8"/>
  <c r="K8"/>
  <c r="F8"/>
  <c r="I8"/>
  <c r="L8"/>
  <c r="B7"/>
  <c r="E7"/>
  <c r="H7"/>
  <c r="K7"/>
  <c r="L7"/>
  <c r="C7"/>
  <c r="F7"/>
  <c r="I7"/>
  <c r="B6"/>
  <c r="E6"/>
  <c r="H6"/>
  <c r="I6"/>
  <c r="K6"/>
  <c r="C6"/>
  <c r="F6"/>
  <c r="L6"/>
  <c r="B5"/>
  <c r="C5"/>
  <c r="E5"/>
  <c r="F5"/>
  <c r="H5"/>
  <c r="I5"/>
  <c r="K5"/>
  <c r="L5"/>
  <c r="B4"/>
  <c r="C4"/>
  <c r="E4"/>
  <c r="H4"/>
  <c r="I4"/>
  <c r="K4"/>
  <c r="F4"/>
  <c r="L4"/>
  <c r="G31"/>
  <c r="J9" i="18"/>
  <c r="Q13"/>
  <c r="R13"/>
  <c r="S13"/>
  <c r="T13"/>
  <c r="U13"/>
  <c r="V13"/>
  <c r="P13"/>
  <c r="O13"/>
  <c r="N13"/>
  <c r="M13"/>
  <c r="L13"/>
  <c r="K13"/>
  <c r="K12"/>
  <c r="J7"/>
  <c r="J20"/>
  <c r="Q12"/>
  <c r="R12"/>
  <c r="T17" s="1"/>
  <c r="T20" s="1"/>
  <c r="S12"/>
  <c r="T12"/>
  <c r="V17" s="1"/>
  <c r="V20" s="1"/>
  <c r="U12"/>
  <c r="V12"/>
  <c r="V15" s="1"/>
  <c r="L12"/>
  <c r="M12"/>
  <c r="O17" s="1"/>
  <c r="O20" s="1"/>
  <c r="N12"/>
  <c r="O12"/>
  <c r="P12"/>
  <c r="K8"/>
  <c r="M17" s="1"/>
  <c r="M20" s="1"/>
  <c r="K20"/>
  <c r="O8"/>
  <c r="F40" i="9"/>
  <c r="F39"/>
  <c r="F38"/>
  <c r="A1" i="7"/>
  <c r="F5" i="9"/>
  <c r="F6"/>
  <c r="F7"/>
  <c r="F8"/>
  <c r="F9"/>
  <c r="F10"/>
  <c r="F15"/>
  <c r="F16"/>
  <c r="F17"/>
  <c r="F18"/>
  <c r="F19"/>
  <c r="F20"/>
  <c r="F21"/>
  <c r="F22"/>
  <c r="F23"/>
  <c r="F24"/>
  <c r="F28"/>
  <c r="F29"/>
  <c r="F30"/>
  <c r="F31"/>
  <c r="F32"/>
  <c r="F33"/>
  <c r="F34"/>
  <c r="A47" i="8"/>
  <c r="A51" i="7" s="1"/>
  <c r="L50"/>
  <c r="K50"/>
  <c r="I50"/>
  <c r="H50"/>
  <c r="F50"/>
  <c r="E50"/>
  <c r="C50"/>
  <c r="O50" s="1"/>
  <c r="B50"/>
  <c r="A46" i="8"/>
  <c r="A50" i="7" s="1"/>
  <c r="A45" i="8"/>
  <c r="A49" i="7" s="1"/>
  <c r="A44" i="8"/>
  <c r="A48" i="7" s="1"/>
  <c r="L44"/>
  <c r="K44"/>
  <c r="I44"/>
  <c r="H44"/>
  <c r="F44"/>
  <c r="E44"/>
  <c r="C44"/>
  <c r="O44" s="1"/>
  <c r="B44"/>
  <c r="N44" s="1"/>
  <c r="A43" i="8"/>
  <c r="A44" i="7" s="1"/>
  <c r="A42" i="8"/>
  <c r="A43" i="7" s="1"/>
  <c r="L42"/>
  <c r="K42"/>
  <c r="I42"/>
  <c r="H42"/>
  <c r="F42"/>
  <c r="E42"/>
  <c r="C42"/>
  <c r="B42"/>
  <c r="N42" s="1"/>
  <c r="A41" i="8"/>
  <c r="A42" i="7" s="1"/>
  <c r="L41"/>
  <c r="K41"/>
  <c r="I41"/>
  <c r="H41"/>
  <c r="F41"/>
  <c r="E41"/>
  <c r="C41"/>
  <c r="O41" s="1"/>
  <c r="B41"/>
  <c r="N41" s="1"/>
  <c r="A40" i="8"/>
  <c r="A41" i="7" s="1"/>
  <c r="L40"/>
  <c r="K40"/>
  <c r="I40"/>
  <c r="H40"/>
  <c r="F40"/>
  <c r="E40"/>
  <c r="C40"/>
  <c r="O40" s="1"/>
  <c r="B40"/>
  <c r="A39" i="8"/>
  <c r="A40" i="7" s="1"/>
  <c r="L39"/>
  <c r="K39"/>
  <c r="I39"/>
  <c r="H39"/>
  <c r="F39"/>
  <c r="E39"/>
  <c r="C39"/>
  <c r="B39"/>
  <c r="N39" s="1"/>
  <c r="A38" i="8"/>
  <c r="A39" i="7" s="1"/>
  <c r="L38"/>
  <c r="K38"/>
  <c r="I38"/>
  <c r="H38"/>
  <c r="F38"/>
  <c r="E38"/>
  <c r="C38"/>
  <c r="O38" s="1"/>
  <c r="B38"/>
  <c r="N38" s="1"/>
  <c r="A37" i="8"/>
  <c r="A38" i="7" s="1"/>
  <c r="L37"/>
  <c r="K37"/>
  <c r="I37"/>
  <c r="H37"/>
  <c r="F37"/>
  <c r="E37"/>
  <c r="C37"/>
  <c r="O37" s="1"/>
  <c r="B37"/>
  <c r="A36" i="8"/>
  <c r="A37" i="7" s="1"/>
  <c r="L36"/>
  <c r="K36"/>
  <c r="I36"/>
  <c r="H36"/>
  <c r="F36"/>
  <c r="E36"/>
  <c r="C36"/>
  <c r="O36" s="1"/>
  <c r="B36"/>
  <c r="N36" s="1"/>
  <c r="A35" i="8"/>
  <c r="A36" i="7" s="1"/>
  <c r="A34" i="8"/>
  <c r="A35" i="7" s="1"/>
  <c r="L34"/>
  <c r="K34"/>
  <c r="I34"/>
  <c r="H34"/>
  <c r="F34"/>
  <c r="E34"/>
  <c r="C34"/>
  <c r="O34" s="1"/>
  <c r="B34"/>
  <c r="N34" s="1"/>
  <c r="A33" i="8"/>
  <c r="A34" i="7" s="1"/>
  <c r="A32" i="8"/>
  <c r="A33" i="7" s="1"/>
  <c r="A31" i="8"/>
  <c r="A32" i="7" s="1"/>
  <c r="A30" i="8"/>
  <c r="A31" i="7" s="1"/>
  <c r="A29" i="8"/>
  <c r="A30" i="7" s="1"/>
  <c r="A28" i="8"/>
  <c r="A29" i="7" s="1"/>
  <c r="A27" i="8"/>
  <c r="A28" i="7" s="1"/>
  <c r="A26" i="8"/>
  <c r="A27" i="7" s="1"/>
  <c r="A25" i="8"/>
  <c r="A26" i="7" s="1"/>
  <c r="L25"/>
  <c r="K25"/>
  <c r="I25"/>
  <c r="H25"/>
  <c r="F25"/>
  <c r="E25"/>
  <c r="C25"/>
  <c r="O25" s="1"/>
  <c r="B25"/>
  <c r="N25" s="1"/>
  <c r="A24" i="8"/>
  <c r="A25" i="7" s="1"/>
  <c r="L24"/>
  <c r="K24"/>
  <c r="I24"/>
  <c r="H24"/>
  <c r="F24"/>
  <c r="E24"/>
  <c r="C24"/>
  <c r="O24" s="1"/>
  <c r="B24"/>
  <c r="N24" s="1"/>
  <c r="A23" i="8"/>
  <c r="A24" i="7" s="1"/>
  <c r="A22" i="8"/>
  <c r="A23" i="7" s="1"/>
  <c r="A21" i="8"/>
  <c r="A22" i="7" s="1"/>
  <c r="A20" i="8"/>
  <c r="A21" i="7" s="1"/>
  <c r="A19" i="8"/>
  <c r="A20" i="7" s="1"/>
  <c r="L19"/>
  <c r="K19"/>
  <c r="I19"/>
  <c r="H19"/>
  <c r="F19"/>
  <c r="E19"/>
  <c r="C19"/>
  <c r="O19" s="1"/>
  <c r="B19"/>
  <c r="N19" s="1"/>
  <c r="A18" i="8"/>
  <c r="A19" i="7" s="1"/>
  <c r="A17" i="8"/>
  <c r="A17" i="7" s="1"/>
  <c r="A16" i="8"/>
  <c r="A16" i="7" s="1"/>
  <c r="A15" i="8"/>
  <c r="A15" i="7" s="1"/>
  <c r="A14" i="8"/>
  <c r="A14" i="7" s="1"/>
  <c r="A13" i="8"/>
  <c r="A13" i="7" s="1"/>
  <c r="L12"/>
  <c r="K12"/>
  <c r="I12"/>
  <c r="H12"/>
  <c r="F12"/>
  <c r="E12"/>
  <c r="C12"/>
  <c r="O12" s="1"/>
  <c r="B12"/>
  <c r="N12" s="1"/>
  <c r="A12" i="8"/>
  <c r="A12" i="7" s="1"/>
  <c r="L11"/>
  <c r="K11"/>
  <c r="I11"/>
  <c r="H11"/>
  <c r="F11"/>
  <c r="E11"/>
  <c r="C11"/>
  <c r="O11" s="1"/>
  <c r="B11"/>
  <c r="N11" s="1"/>
  <c r="A11" i="8"/>
  <c r="A11" i="7" s="1"/>
  <c r="L10"/>
  <c r="K10"/>
  <c r="I10"/>
  <c r="H10"/>
  <c r="F10"/>
  <c r="E10"/>
  <c r="C10"/>
  <c r="O10" s="1"/>
  <c r="B10"/>
  <c r="N10" s="1"/>
  <c r="A10" i="8"/>
  <c r="A10" i="7" s="1"/>
  <c r="A9" i="8"/>
  <c r="A9" i="7" s="1"/>
  <c r="A8" i="8"/>
  <c r="A8" i="7" s="1"/>
  <c r="A7" i="8"/>
  <c r="A7" i="7" s="1"/>
  <c r="A6" i="8"/>
  <c r="A6" i="7" s="1"/>
  <c r="A5" i="8"/>
  <c r="A5" i="7" s="1"/>
  <c r="A4" i="8"/>
  <c r="A4" i="7" s="1"/>
  <c r="A3" i="8"/>
  <c r="A3" i="7" s="1"/>
  <c r="N50"/>
  <c r="D43"/>
  <c r="N40"/>
  <c r="N37"/>
  <c r="D32"/>
  <c r="D30"/>
  <c r="D21"/>
  <c r="F47" i="8"/>
  <c r="F7"/>
  <c r="F8"/>
  <c r="F9"/>
  <c r="F10"/>
  <c r="F15"/>
  <c r="F16"/>
  <c r="F17"/>
  <c r="F18"/>
  <c r="F19"/>
  <c r="F20"/>
  <c r="F21"/>
  <c r="F22"/>
  <c r="F23"/>
  <c r="F24"/>
  <c r="F28"/>
  <c r="F29"/>
  <c r="F30"/>
  <c r="F31"/>
  <c r="F32"/>
  <c r="F33"/>
  <c r="F34"/>
  <c r="F38"/>
  <c r="F39" s="1"/>
  <c r="F6"/>
  <c r="F5"/>
  <c r="F47" i="9"/>
  <c r="B1" i="18"/>
  <c r="N51" i="7"/>
  <c r="Q15" i="18"/>
  <c r="P15"/>
  <c r="M8" i="7"/>
  <c r="J28"/>
  <c r="J13"/>
  <c r="O28"/>
  <c r="M33"/>
  <c r="M51"/>
  <c r="G8"/>
  <c r="M14"/>
  <c r="J22"/>
  <c r="N15" i="18"/>
  <c r="L17"/>
  <c r="L20" s="1"/>
  <c r="D13" i="7"/>
  <c r="O8"/>
  <c r="N28"/>
  <c r="P28" s="1"/>
  <c r="N4"/>
  <c r="J21"/>
  <c r="O39"/>
  <c r="M15"/>
  <c r="M20"/>
  <c r="G21"/>
  <c r="M29"/>
  <c r="N9"/>
  <c r="M15" i="18"/>
  <c r="G13" i="7"/>
  <c r="N13"/>
  <c r="N20"/>
  <c r="O6"/>
  <c r="N14"/>
  <c r="N33"/>
  <c r="O42"/>
  <c r="G43"/>
  <c r="G17"/>
  <c r="O35"/>
  <c r="J4"/>
  <c r="M5"/>
  <c r="N5"/>
  <c r="M6"/>
  <c r="O9"/>
  <c r="M17"/>
  <c r="D17"/>
  <c r="J17"/>
  <c r="M21"/>
  <c r="N21"/>
  <c r="O22"/>
  <c r="G22"/>
  <c r="G28"/>
  <c r="O29"/>
  <c r="G30"/>
  <c r="G32"/>
  <c r="J35"/>
  <c r="G4"/>
  <c r="G14"/>
  <c r="O27"/>
  <c r="D28"/>
  <c r="J31"/>
  <c r="J48"/>
  <c r="D4"/>
  <c r="M23"/>
  <c r="J27"/>
  <c r="M28"/>
  <c r="J30"/>
  <c r="M32"/>
  <c r="J43"/>
  <c r="M48"/>
  <c r="O7"/>
  <c r="G7"/>
  <c r="G15"/>
  <c r="O15"/>
  <c r="G16"/>
  <c r="N16"/>
  <c r="N22"/>
  <c r="D22"/>
  <c r="D23"/>
  <c r="O23"/>
  <c r="N29"/>
  <c r="P29" s="1"/>
  <c r="G29"/>
  <c r="D26"/>
  <c r="D41" s="1"/>
  <c r="N26"/>
  <c r="N48"/>
  <c r="G48"/>
  <c r="M4"/>
  <c r="N8"/>
  <c r="G9"/>
  <c r="O13"/>
  <c r="M13"/>
  <c r="N15"/>
  <c r="P15" s="1"/>
  <c r="O20"/>
  <c r="O21"/>
  <c r="O30"/>
  <c r="O31"/>
  <c r="O33"/>
  <c r="P33" s="1"/>
  <c r="D33"/>
  <c r="N35"/>
  <c r="P35" s="1"/>
  <c r="O49"/>
  <c r="M49"/>
  <c r="G49"/>
  <c r="O51"/>
  <c r="G6"/>
  <c r="N6"/>
  <c r="O48"/>
  <c r="D48"/>
  <c r="N23"/>
  <c r="N27"/>
  <c r="N31"/>
  <c r="P31" s="1"/>
  <c r="O43"/>
  <c r="J7"/>
  <c r="J9"/>
  <c r="O16"/>
  <c r="P16" s="1"/>
  <c r="G27"/>
  <c r="D27"/>
  <c r="G33"/>
  <c r="M43"/>
  <c r="M9"/>
  <c r="M16"/>
  <c r="M22"/>
  <c r="N30"/>
  <c r="M35"/>
  <c r="F25" i="9"/>
  <c r="F11"/>
  <c r="F42" s="1"/>
  <c r="N43" i="7"/>
  <c r="F11" i="8"/>
  <c r="O5" i="7"/>
  <c r="D5"/>
  <c r="J8"/>
  <c r="J15"/>
  <c r="J16"/>
  <c r="G20"/>
  <c r="M27"/>
  <c r="J33"/>
  <c r="M26"/>
  <c r="M41" s="1"/>
  <c r="G23" i="30"/>
  <c r="G57" s="1"/>
  <c r="G67" s="1"/>
  <c r="M7" i="7"/>
  <c r="N7"/>
  <c r="P7" s="1"/>
  <c r="D14"/>
  <c r="O14"/>
  <c r="D6"/>
  <c r="C25" i="16"/>
  <c r="D25" s="1"/>
  <c r="Y35" i="30"/>
  <c r="N32" i="7"/>
  <c r="N49"/>
  <c r="G56" i="30"/>
  <c r="H56" s="1"/>
  <c r="T15" i="18" l="1"/>
  <c r="P17"/>
  <c r="P20" s="1"/>
  <c r="L15"/>
  <c r="U15"/>
  <c r="U22" s="1"/>
  <c r="U17"/>
  <c r="U20" s="1"/>
  <c r="P30" i="7"/>
  <c r="P8"/>
  <c r="Y36" i="30"/>
  <c r="Y34"/>
  <c r="E30"/>
  <c r="P5" i="7"/>
  <c r="F25" i="8"/>
  <c r="Q17" i="18"/>
  <c r="Q20" s="1"/>
  <c r="Q22" s="1"/>
  <c r="R17"/>
  <c r="R20" s="1"/>
  <c r="N17"/>
  <c r="N20" s="1"/>
  <c r="N22" s="1"/>
  <c r="S17"/>
  <c r="S20" s="1"/>
  <c r="R15"/>
  <c r="R22" s="1"/>
  <c r="O4" i="7"/>
  <c r="J32"/>
  <c r="P32"/>
  <c r="P51"/>
  <c r="P13"/>
  <c r="D7"/>
  <c r="D9"/>
  <c r="D20"/>
  <c r="D29"/>
  <c r="M31"/>
  <c r="D31"/>
  <c r="G26"/>
  <c r="G41" s="1"/>
  <c r="J49"/>
  <c r="D49"/>
  <c r="G51"/>
  <c r="D51"/>
  <c r="H23" i="30"/>
  <c r="I23" s="1"/>
  <c r="I57" s="1"/>
  <c r="I67" s="1"/>
  <c r="Y37"/>
  <c r="D15" i="16"/>
  <c r="C37"/>
  <c r="F35" i="8"/>
  <c r="F40" s="1"/>
  <c r="F42" s="1"/>
  <c r="M22" i="18"/>
  <c r="P22"/>
  <c r="T22"/>
  <c r="J15"/>
  <c r="J22" s="1"/>
  <c r="J23" s="1"/>
  <c r="O17" i="7"/>
  <c r="P27"/>
  <c r="P6"/>
  <c r="P21"/>
  <c r="P14"/>
  <c r="P9"/>
  <c r="O15" i="18"/>
  <c r="O22" s="1"/>
  <c r="F35" i="9"/>
  <c r="K15" i="18"/>
  <c r="K22" s="1"/>
  <c r="S15"/>
  <c r="S22" s="1"/>
  <c r="G5" i="7"/>
  <c r="J6"/>
  <c r="J14"/>
  <c r="D16"/>
  <c r="G23"/>
  <c r="J29"/>
  <c r="M30"/>
  <c r="O26"/>
  <c r="P26" s="1"/>
  <c r="P41" s="1"/>
  <c r="Y32" i="30"/>
  <c r="P49" i="7"/>
  <c r="P43"/>
  <c r="P23"/>
  <c r="P48"/>
  <c r="P20"/>
  <c r="P22"/>
  <c r="P4"/>
  <c r="J5"/>
  <c r="D8"/>
  <c r="J20"/>
  <c r="J23"/>
  <c r="D35"/>
  <c r="L22" i="18"/>
  <c r="D15" i="7"/>
  <c r="Y38" i="30"/>
  <c r="F30"/>
  <c r="I56"/>
  <c r="V22" i="18"/>
  <c r="J23" i="30"/>
  <c r="N17" i="7"/>
  <c r="P17" s="1"/>
  <c r="K23" i="18" l="1"/>
  <c r="L23" s="1"/>
  <c r="M23" s="1"/>
  <c r="N23" s="1"/>
  <c r="O23" s="1"/>
  <c r="P23" s="1"/>
  <c r="Q23" s="1"/>
  <c r="R23" s="1"/>
  <c r="S23" s="1"/>
  <c r="T23" s="1"/>
  <c r="U23" s="1"/>
  <c r="V23" s="1"/>
  <c r="H57" i="30"/>
  <c r="H67" s="1"/>
  <c r="C42" i="16"/>
  <c r="E9" i="30" s="1"/>
  <c r="E1" i="33" s="1"/>
  <c r="D37" i="16"/>
  <c r="J56" i="30"/>
  <c r="J57"/>
  <c r="J67" s="1"/>
  <c r="K23"/>
  <c r="D42" i="16" l="1"/>
  <c r="L23" i="30"/>
  <c r="K57"/>
  <c r="K67" s="1"/>
  <c r="K56"/>
  <c r="V43" l="1"/>
  <c r="V70" s="1"/>
  <c r="W43"/>
  <c r="W70" s="1"/>
  <c r="T43"/>
  <c r="T70" s="1"/>
  <c r="S43"/>
  <c r="S70" s="1"/>
  <c r="Q43"/>
  <c r="Q70" s="1"/>
  <c r="X43"/>
  <c r="X70" s="1"/>
  <c r="R43"/>
  <c r="R70" s="1"/>
  <c r="H43"/>
  <c r="H70" s="1"/>
  <c r="L43"/>
  <c r="L70" s="1"/>
  <c r="P43"/>
  <c r="P70" s="1"/>
  <c r="F43"/>
  <c r="G43"/>
  <c r="G70" s="1"/>
  <c r="K43"/>
  <c r="K70" s="1"/>
  <c r="O43"/>
  <c r="O70" s="1"/>
  <c r="Y43"/>
  <c r="Y70" s="1"/>
  <c r="U43"/>
  <c r="U70" s="1"/>
  <c r="E11"/>
  <c r="J43"/>
  <c r="J70" s="1"/>
  <c r="N43"/>
  <c r="N70" s="1"/>
  <c r="F33"/>
  <c r="G33"/>
  <c r="I43"/>
  <c r="I70" s="1"/>
  <c r="M43"/>
  <c r="M70" s="1"/>
  <c r="K17"/>
  <c r="L57"/>
  <c r="L67" s="1"/>
  <c r="M23"/>
  <c r="L56"/>
  <c r="E33" l="1"/>
  <c r="F40"/>
  <c r="H33"/>
  <c r="G40"/>
  <c r="E13"/>
  <c r="E75" s="1"/>
  <c r="E14"/>
  <c r="D59" s="1"/>
  <c r="E63" s="1"/>
  <c r="E69" s="1"/>
  <c r="D58"/>
  <c r="E43"/>
  <c r="E70" s="1"/>
  <c r="F70"/>
  <c r="L63"/>
  <c r="L69" s="1"/>
  <c r="M56"/>
  <c r="N23"/>
  <c r="M57"/>
  <c r="M67" s="1"/>
  <c r="I63" l="1"/>
  <c r="I69" s="1"/>
  <c r="H63"/>
  <c r="H69" s="1"/>
  <c r="F63"/>
  <c r="F69" s="1"/>
  <c r="E60"/>
  <c r="G63"/>
  <c r="G69" s="1"/>
  <c r="J63"/>
  <c r="J69" s="1"/>
  <c r="K63"/>
  <c r="K69" s="1"/>
  <c r="I33"/>
  <c r="H40"/>
  <c r="N57"/>
  <c r="N67" s="1"/>
  <c r="O23"/>
  <c r="M63"/>
  <c r="M69" s="1"/>
  <c r="N56"/>
  <c r="J33" l="1"/>
  <c r="I40"/>
  <c r="E64"/>
  <c r="F60" s="1"/>
  <c r="E62"/>
  <c r="N63"/>
  <c r="N69" s="1"/>
  <c r="O56"/>
  <c r="O57"/>
  <c r="O67" s="1"/>
  <c r="P23"/>
  <c r="E61" l="1"/>
  <c r="E45"/>
  <c r="F62"/>
  <c r="F64"/>
  <c r="G60" s="1"/>
  <c r="K33"/>
  <c r="J40"/>
  <c r="Q23"/>
  <c r="P57"/>
  <c r="P67" s="1"/>
  <c r="O63"/>
  <c r="O69" s="1"/>
  <c r="P56"/>
  <c r="G62" l="1"/>
  <c r="G64"/>
  <c r="H60" s="1"/>
  <c r="L33"/>
  <c r="K40"/>
  <c r="F45"/>
  <c r="F47" s="1"/>
  <c r="F61"/>
  <c r="Q57"/>
  <c r="Q67" s="1"/>
  <c r="R23"/>
  <c r="P63"/>
  <c r="P69" s="1"/>
  <c r="Q56"/>
  <c r="H64" l="1"/>
  <c r="I60" s="1"/>
  <c r="H62"/>
  <c r="M33"/>
  <c r="L40"/>
  <c r="G45"/>
  <c r="G47" s="1"/>
  <c r="G61"/>
  <c r="Q63"/>
  <c r="Q69" s="1"/>
  <c r="R56"/>
  <c r="S23"/>
  <c r="R57"/>
  <c r="R67" s="1"/>
  <c r="N33" l="1"/>
  <c r="M40"/>
  <c r="I64"/>
  <c r="J60" s="1"/>
  <c r="I62"/>
  <c r="H61"/>
  <c r="H45"/>
  <c r="H47" s="1"/>
  <c r="T23"/>
  <c r="S57"/>
  <c r="S67" s="1"/>
  <c r="I45" l="1"/>
  <c r="I47" s="1"/>
  <c r="I61"/>
  <c r="J64"/>
  <c r="K60" s="1"/>
  <c r="J62"/>
  <c r="O33"/>
  <c r="N40"/>
  <c r="T57"/>
  <c r="T67" s="1"/>
  <c r="U23"/>
  <c r="J45" l="1"/>
  <c r="J47" s="1"/>
  <c r="J61"/>
  <c r="P33"/>
  <c r="O40"/>
  <c r="K62"/>
  <c r="K64"/>
  <c r="L60" s="1"/>
  <c r="U57"/>
  <c r="U67" s="1"/>
  <c r="V23"/>
  <c r="L64" l="1"/>
  <c r="M60" s="1"/>
  <c r="L62"/>
  <c r="K61"/>
  <c r="K45"/>
  <c r="K47" s="1"/>
  <c r="Q33"/>
  <c r="P40"/>
  <c r="V57"/>
  <c r="V67" s="1"/>
  <c r="W23"/>
  <c r="L45" l="1"/>
  <c r="L47" s="1"/>
  <c r="L61"/>
  <c r="Q40"/>
  <c r="R33"/>
  <c r="M62"/>
  <c r="M64"/>
  <c r="N60" s="1"/>
  <c r="W57"/>
  <c r="W67" s="1"/>
  <c r="X23"/>
  <c r="M45" l="1"/>
  <c r="M47" s="1"/>
  <c r="M61"/>
  <c r="N62"/>
  <c r="N64"/>
  <c r="O60" s="1"/>
  <c r="R40"/>
  <c r="S33"/>
  <c r="X57"/>
  <c r="X67" s="1"/>
  <c r="Y23"/>
  <c r="T33" l="1"/>
  <c r="S40"/>
  <c r="O62"/>
  <c r="O64"/>
  <c r="P60" s="1"/>
  <c r="R47"/>
  <c r="N61"/>
  <c r="N45"/>
  <c r="N47" s="1"/>
  <c r="Y57"/>
  <c r="Y67" s="1"/>
  <c r="P62" l="1"/>
  <c r="P64"/>
  <c r="Q60" s="1"/>
  <c r="S47"/>
  <c r="O61"/>
  <c r="O45"/>
  <c r="O47" s="1"/>
  <c r="U33"/>
  <c r="T40"/>
  <c r="Q64" l="1"/>
  <c r="Q62"/>
  <c r="T47"/>
  <c r="U40"/>
  <c r="V33"/>
  <c r="P45"/>
  <c r="P47" s="1"/>
  <c r="P61"/>
  <c r="U47" l="1"/>
  <c r="W33"/>
  <c r="V40"/>
  <c r="Q61"/>
  <c r="Q45"/>
  <c r="Q47" s="1"/>
  <c r="V47" l="1"/>
  <c r="X33"/>
  <c r="W40"/>
  <c r="V49" l="1"/>
  <c r="V51" s="1"/>
  <c r="V41" s="1"/>
  <c r="Y33"/>
  <c r="X40"/>
  <c r="W47"/>
  <c r="W49" l="1"/>
  <c r="W51" s="1"/>
  <c r="V53"/>
  <c r="V84" s="1"/>
  <c r="V83"/>
  <c r="X47"/>
  <c r="Y40"/>
  <c r="V52" l="1"/>
  <c r="V55"/>
  <c r="V68"/>
  <c r="V71" s="1"/>
  <c r="W53"/>
  <c r="W52" s="1"/>
  <c r="W41"/>
  <c r="X49"/>
  <c r="X51" s="1"/>
  <c r="Y47"/>
  <c r="W84"/>
  <c r="V75"/>
  <c r="W55" l="1"/>
  <c r="W68"/>
  <c r="W71" s="1"/>
  <c r="W75" s="1"/>
  <c r="W83"/>
  <c r="X53"/>
  <c r="X55" s="1"/>
  <c r="X41"/>
  <c r="Y49"/>
  <c r="Y51" s="1"/>
  <c r="X83" l="1"/>
  <c r="X68"/>
  <c r="X71" s="1"/>
  <c r="Y53"/>
  <c r="Y55" s="1"/>
  <c r="Y41"/>
  <c r="X52"/>
  <c r="X84"/>
  <c r="Y52"/>
  <c r="X75"/>
  <c r="E40"/>
  <c r="Y68" l="1"/>
  <c r="Y71" s="1"/>
  <c r="E47"/>
  <c r="S49" s="1"/>
  <c r="S51" s="1"/>
  <c r="S41" s="1"/>
  <c r="J49"/>
  <c r="G49"/>
  <c r="I49"/>
  <c r="F49"/>
  <c r="N49" l="1"/>
  <c r="Q49"/>
  <c r="M49"/>
  <c r="U49"/>
  <c r="O49"/>
  <c r="O51" s="1"/>
  <c r="O41" s="1"/>
  <c r="K49"/>
  <c r="H49"/>
  <c r="H51" s="1"/>
  <c r="H41" s="1"/>
  <c r="T49"/>
  <c r="P49"/>
  <c r="P51" s="1"/>
  <c r="P41" s="1"/>
  <c r="L49"/>
  <c r="E49"/>
  <c r="E51" s="1"/>
  <c r="E41" s="1"/>
  <c r="R49"/>
  <c r="S53"/>
  <c r="S68" s="1"/>
  <c r="K51"/>
  <c r="K41" s="1"/>
  <c r="T51"/>
  <c r="T41" s="1"/>
  <c r="L51"/>
  <c r="L41" s="1"/>
  <c r="R51"/>
  <c r="R41" s="1"/>
  <c r="F51"/>
  <c r="F41" s="1"/>
  <c r="N51"/>
  <c r="N41" s="1"/>
  <c r="I51"/>
  <c r="I41" s="1"/>
  <c r="Q51"/>
  <c r="Q41" s="1"/>
  <c r="G51"/>
  <c r="G41" s="1"/>
  <c r="M51"/>
  <c r="M41" s="1"/>
  <c r="J51"/>
  <c r="J41" s="1"/>
  <c r="U51"/>
  <c r="U41" s="1"/>
  <c r="E53" l="1"/>
  <c r="E52" s="1"/>
  <c r="S84"/>
  <c r="S55"/>
  <c r="S52"/>
  <c r="S83"/>
  <c r="M53"/>
  <c r="M65" s="1"/>
  <c r="Q53"/>
  <c r="Q68" s="1"/>
  <c r="R53"/>
  <c r="R52" s="1"/>
  <c r="L53"/>
  <c r="L84" s="1"/>
  <c r="K53"/>
  <c r="K55" s="1"/>
  <c r="J53"/>
  <c r="J55" s="1"/>
  <c r="G53"/>
  <c r="G55" s="1"/>
  <c r="I53"/>
  <c r="I84" s="1"/>
  <c r="F53"/>
  <c r="F52" s="1"/>
  <c r="P53"/>
  <c r="P52" s="1"/>
  <c r="T53"/>
  <c r="T84" s="1"/>
  <c r="H53"/>
  <c r="H65" s="1"/>
  <c r="O53"/>
  <c r="O65" s="1"/>
  <c r="U53"/>
  <c r="U83" s="1"/>
  <c r="N53"/>
  <c r="N52" s="1"/>
  <c r="J65"/>
  <c r="G65"/>
  <c r="I52"/>
  <c r="F68"/>
  <c r="H68"/>
  <c r="M68"/>
  <c r="M52"/>
  <c r="R84"/>
  <c r="R55"/>
  <c r="R68"/>
  <c r="K65"/>
  <c r="K84"/>
  <c r="K83"/>
  <c r="T83"/>
  <c r="T68"/>
  <c r="T55"/>
  <c r="S71"/>
  <c r="S75" s="1"/>
  <c r="E55"/>
  <c r="E68"/>
  <c r="E71" s="1"/>
  <c r="P84"/>
  <c r="O68"/>
  <c r="O55"/>
  <c r="O84"/>
  <c r="P65" l="1"/>
  <c r="E84"/>
  <c r="E83"/>
  <c r="D83" s="1"/>
  <c r="P55"/>
  <c r="P83"/>
  <c r="P68"/>
  <c r="L55"/>
  <c r="Q84"/>
  <c r="L83"/>
  <c r="L52"/>
  <c r="Q83"/>
  <c r="U52"/>
  <c r="N84"/>
  <c r="O52"/>
  <c r="O83"/>
  <c r="T52"/>
  <c r="K52"/>
  <c r="K68"/>
  <c r="R83"/>
  <c r="N83"/>
  <c r="N65"/>
  <c r="M84"/>
  <c r="M83"/>
  <c r="F83"/>
  <c r="G52"/>
  <c r="L68"/>
  <c r="L65"/>
  <c r="Q55"/>
  <c r="Q52"/>
  <c r="U84"/>
  <c r="H52"/>
  <c r="J52"/>
  <c r="U55"/>
  <c r="U68"/>
  <c r="U71" s="1"/>
  <c r="U75" s="1"/>
  <c r="H83"/>
  <c r="I68"/>
  <c r="I71" s="1"/>
  <c r="I75" s="1"/>
  <c r="I83"/>
  <c r="J68"/>
  <c r="J71" s="1"/>
  <c r="J75" s="1"/>
  <c r="N68"/>
  <c r="N55"/>
  <c r="M55"/>
  <c r="F55"/>
  <c r="G68"/>
  <c r="H84"/>
  <c r="H55"/>
  <c r="F84"/>
  <c r="F65"/>
  <c r="I55"/>
  <c r="I65"/>
  <c r="G83"/>
  <c r="G84"/>
  <c r="J83"/>
  <c r="J84"/>
  <c r="K13"/>
  <c r="O71"/>
  <c r="O75" s="1"/>
  <c r="P71"/>
  <c r="P75" s="1"/>
  <c r="E72"/>
  <c r="L71"/>
  <c r="L75" s="1"/>
  <c r="T71"/>
  <c r="T75" s="1"/>
  <c r="N71"/>
  <c r="N75" s="1"/>
  <c r="Q71"/>
  <c r="Q75" s="1"/>
  <c r="H71"/>
  <c r="H75" s="1"/>
  <c r="F71"/>
  <c r="G71"/>
  <c r="G75" s="1"/>
  <c r="K71"/>
  <c r="K75" s="1"/>
  <c r="R71"/>
  <c r="R75" s="1"/>
  <c r="M71"/>
  <c r="M75" s="1"/>
  <c r="R65"/>
  <c r="K16" s="1"/>
  <c r="D84" l="1"/>
  <c r="D55"/>
  <c r="E2" i="33"/>
  <c r="E16"/>
  <c r="K12" i="30"/>
  <c r="K15"/>
  <c r="F75"/>
  <c r="D80" s="1"/>
  <c r="F72"/>
  <c r="F77" l="1"/>
  <c r="F79" s="1"/>
  <c r="G72"/>
  <c r="G77" l="1"/>
  <c r="G79" s="1"/>
  <c r="H72"/>
  <c r="H77" l="1"/>
  <c r="H79" s="1"/>
  <c r="I72"/>
  <c r="I77" l="1"/>
  <c r="I79" s="1"/>
  <c r="J72"/>
  <c r="J77" l="1"/>
  <c r="J79" s="1"/>
  <c r="K72"/>
  <c r="K77" l="1"/>
  <c r="K79" s="1"/>
  <c r="L72"/>
  <c r="L77" l="1"/>
  <c r="L79" s="1"/>
  <c r="M72"/>
  <c r="M77" l="1"/>
  <c r="M79" s="1"/>
  <c r="N72"/>
  <c r="N77" l="1"/>
  <c r="N79" s="1"/>
  <c r="O72"/>
  <c r="O77" l="1"/>
  <c r="O79" s="1"/>
  <c r="P72"/>
  <c r="P77" l="1"/>
  <c r="Q72"/>
  <c r="P79"/>
  <c r="Q77" l="1"/>
  <c r="Q79" s="1"/>
  <c r="R72"/>
  <c r="S72" l="1"/>
  <c r="R77"/>
  <c r="R79" s="1"/>
  <c r="S77" l="1"/>
  <c r="S79" s="1"/>
  <c r="T72"/>
  <c r="U72" l="1"/>
  <c r="T77"/>
  <c r="T79" s="1"/>
  <c r="U77" l="1"/>
  <c r="U79" s="1"/>
  <c r="V72"/>
  <c r="V77" l="1"/>
  <c r="W72"/>
  <c r="V79"/>
  <c r="W77" l="1"/>
  <c r="W79" s="1"/>
  <c r="X72"/>
  <c r="Y72" l="1"/>
  <c r="X77"/>
  <c r="X79" s="1"/>
</calcChain>
</file>

<file path=xl/comments1.xml><?xml version="1.0" encoding="utf-8"?>
<comments xmlns="http://schemas.openxmlformats.org/spreadsheetml/2006/main">
  <authors>
    <author>Priit Tinits</author>
  </authors>
  <commentList>
    <comment ref="J7" authorId="0">
      <text>
        <r>
          <rPr>
            <b/>
            <sz val="8"/>
            <color indexed="81"/>
            <rFont val="Tahoma"/>
            <family val="2"/>
          </rPr>
          <t>Priit Tinits:</t>
        </r>
        <r>
          <rPr>
            <sz val="8"/>
            <color indexed="81"/>
            <rFont val="Tahoma"/>
            <family val="2"/>
          </rPr>
          <t xml:space="preserve">
10%, incl VAT</t>
        </r>
      </text>
    </comment>
    <comment ref="M7" authorId="0">
      <text>
        <r>
          <rPr>
            <b/>
            <sz val="8"/>
            <color indexed="81"/>
            <rFont val="Tahoma"/>
            <family val="2"/>
          </rPr>
          <t>Priit Tinits:</t>
        </r>
        <r>
          <rPr>
            <sz val="8"/>
            <color indexed="81"/>
            <rFont val="Tahoma"/>
            <family val="2"/>
          </rPr>
          <t xml:space="preserve">
Enercon (15%), incl VAT</t>
        </r>
      </text>
    </comment>
    <comment ref="K8" authorId="0">
      <text>
        <r>
          <rPr>
            <b/>
            <sz val="8"/>
            <color indexed="81"/>
            <rFont val="Tahoma"/>
            <family val="2"/>
          </rPr>
          <t>Priit Tinits:</t>
        </r>
        <r>
          <rPr>
            <sz val="8"/>
            <color indexed="81"/>
            <rFont val="Tahoma"/>
            <family val="2"/>
          </rPr>
          <t xml:space="preserve">
Lietuvos Energetikos institutas</t>
        </r>
      </text>
    </comment>
    <comment ref="O8" authorId="0">
      <text>
        <r>
          <rPr>
            <b/>
            <sz val="8"/>
            <color indexed="81"/>
            <rFont val="Tahoma"/>
            <family val="2"/>
          </rPr>
          <t>Priit Tinits:</t>
        </r>
        <r>
          <rPr>
            <sz val="8"/>
            <color indexed="81"/>
            <rFont val="Tahoma"/>
            <family val="2"/>
          </rPr>
          <t xml:space="preserve">
Vindlita</t>
        </r>
      </text>
    </comment>
    <comment ref="J9" authorId="0">
      <text>
        <r>
          <rPr>
            <b/>
            <sz val="8"/>
            <color indexed="81"/>
            <rFont val="Tahoma"/>
            <family val="2"/>
          </rPr>
          <t>Priit Tinits:</t>
        </r>
        <r>
          <rPr>
            <sz val="8"/>
            <color indexed="81"/>
            <rFont val="Tahoma"/>
            <family val="2"/>
          </rPr>
          <t xml:space="preserve">
Lietuvos Energija (I don't know exactly when was it paid</t>
        </r>
      </text>
    </comment>
    <comment ref="K12" authorId="0">
      <text>
        <r>
          <rPr>
            <b/>
            <sz val="8"/>
            <color indexed="81"/>
            <rFont val="Tahoma"/>
            <family val="2"/>
          </rPr>
          <t>Priit Tinits:</t>
        </r>
        <r>
          <rPr>
            <sz val="8"/>
            <color indexed="81"/>
            <rFont val="Tahoma"/>
            <family val="2"/>
          </rPr>
          <t xml:space="preserve">
Other</t>
        </r>
      </text>
    </comment>
    <comment ref="B13" authorId="0">
      <text>
        <r>
          <rPr>
            <b/>
            <sz val="8"/>
            <color indexed="81"/>
            <rFont val="Tahoma"/>
            <family val="2"/>
          </rPr>
          <t>Priit Tinits:</t>
        </r>
        <r>
          <rPr>
            <sz val="8"/>
            <color indexed="81"/>
            <rFont val="Tahoma"/>
            <family val="2"/>
          </rPr>
          <t xml:space="preserve">
Accounting, salaries, monthly consultation fees (UP, 4energia, legal, Empower etc)</t>
        </r>
      </text>
    </comment>
    <comment ref="L13" authorId="0">
      <text>
        <r>
          <rPr>
            <b/>
            <sz val="8"/>
            <color indexed="81"/>
            <rFont val="Tahoma"/>
            <family val="2"/>
          </rPr>
          <t>Priit Tinits:</t>
        </r>
        <r>
          <rPr>
            <sz val="8"/>
            <color indexed="81"/>
            <rFont val="Tahoma"/>
            <family val="2"/>
          </rPr>
          <t xml:space="preserve">
+ UP fee</t>
        </r>
      </text>
    </comment>
    <comment ref="N13" authorId="0">
      <text>
        <r>
          <rPr>
            <b/>
            <sz val="8"/>
            <color indexed="81"/>
            <rFont val="Tahoma"/>
            <family val="2"/>
          </rPr>
          <t>Priit Tinits:</t>
        </r>
        <r>
          <rPr>
            <sz val="8"/>
            <color indexed="81"/>
            <rFont val="Tahoma"/>
            <family val="2"/>
          </rPr>
          <t xml:space="preserve">
Legal fee for M.Matonis 2000 LTL from Dec 06</t>
        </r>
      </text>
    </comment>
    <comment ref="P13" authorId="0">
      <text>
        <r>
          <rPr>
            <b/>
            <sz val="8"/>
            <color indexed="81"/>
            <rFont val="Tahoma"/>
            <family val="2"/>
          </rPr>
          <t>Priit Tinits:</t>
        </r>
        <r>
          <rPr>
            <sz val="8"/>
            <color indexed="81"/>
            <rFont val="Tahoma"/>
            <family val="2"/>
          </rPr>
          <t xml:space="preserve">
4energia fee from Feb 07</t>
        </r>
      </text>
    </comment>
  </commentList>
</comments>
</file>

<file path=xl/sharedStrings.xml><?xml version="1.0" encoding="utf-8"?>
<sst xmlns="http://schemas.openxmlformats.org/spreadsheetml/2006/main" count="266" uniqueCount="239">
  <si>
    <t>JI</t>
  </si>
  <si>
    <t>Grid connection</t>
  </si>
  <si>
    <t>CO2 income (€/ton)</t>
  </si>
  <si>
    <t>Yearly Net Production (MWh/y)</t>
  </si>
  <si>
    <t>CO2 coefficient (ton/MWh)</t>
  </si>
  <si>
    <t>Average usage of capacity</t>
  </si>
  <si>
    <t>CO2 commission</t>
  </si>
  <si>
    <t>Economically Useful Lifetime (years)</t>
  </si>
  <si>
    <t>Yearly Increase of Running Costs</t>
  </si>
  <si>
    <t>Depreciation (yearly)</t>
  </si>
  <si>
    <t>S&amp;M per MWh produced (if applicable)</t>
  </si>
  <si>
    <t>Total Investment</t>
  </si>
  <si>
    <t>Irredeemable Aid</t>
  </si>
  <si>
    <t>NPV of Equity Investment (th €)</t>
  </si>
  <si>
    <t>Net Investment</t>
  </si>
  <si>
    <t>IRR of the Project</t>
  </si>
  <si>
    <t>IRR of the Equity Investment</t>
  </si>
  <si>
    <t>Equity Capital</t>
  </si>
  <si>
    <t>Average DSCR</t>
  </si>
  <si>
    <t>Debt Capital</t>
  </si>
  <si>
    <t>Sum S&amp;M/total cost</t>
  </si>
  <si>
    <t>Repayment Term of the Debt (years)</t>
  </si>
  <si>
    <t>Interest Rate of Debt Capital</t>
  </si>
  <si>
    <t>Revenues</t>
  </si>
  <si>
    <t>(th EUR)</t>
  </si>
  <si>
    <t>Emission Reduction Income</t>
  </si>
  <si>
    <t>Total Income</t>
  </si>
  <si>
    <t>Insurance Costs</t>
  </si>
  <si>
    <t>EBITDA</t>
  </si>
  <si>
    <t>Depreciation</t>
  </si>
  <si>
    <t>Financial Costs</t>
  </si>
  <si>
    <t>Income Before Taxes (EBT)</t>
  </si>
  <si>
    <t>Income Tax</t>
  </si>
  <si>
    <t>Net Income</t>
  </si>
  <si>
    <t>Debt Financing:</t>
  </si>
  <si>
    <t>Loan Amount</t>
  </si>
  <si>
    <t>Outstanding Principal at the Beginning of Year</t>
  </si>
  <si>
    <t>Total Loan Payment</t>
  </si>
  <si>
    <t>Interest Payment</t>
  </si>
  <si>
    <t>Capital Repayment</t>
  </si>
  <si>
    <t>Outstanding Principal at the End of Year</t>
  </si>
  <si>
    <t>Debt Service Ratio (DSCR)</t>
  </si>
  <si>
    <t>Cash Flow:</t>
  </si>
  <si>
    <t>Principal Repayment</t>
  </si>
  <si>
    <t>Yearly Cash Flow</t>
  </si>
  <si>
    <t>Cumulative Cash Flow (Before Dividends)</t>
  </si>
  <si>
    <t>Shareholder transactions</t>
  </si>
  <si>
    <t>Equity placing / Divided payment</t>
  </si>
  <si>
    <t>Effective tax rate</t>
  </si>
  <si>
    <t>Income tax</t>
  </si>
  <si>
    <t>Cash after dividend payment</t>
  </si>
  <si>
    <t>Check</t>
  </si>
  <si>
    <t>IRR for shareholder</t>
  </si>
  <si>
    <t>average</t>
  </si>
  <si>
    <t>ROE</t>
  </si>
  <si>
    <t>ROA</t>
  </si>
  <si>
    <t>Total</t>
  </si>
  <si>
    <t>I estimate</t>
  </si>
  <si>
    <t>I actual</t>
  </si>
  <si>
    <t>I deviation</t>
  </si>
  <si>
    <t>II</t>
  </si>
  <si>
    <t>II actual</t>
  </si>
  <si>
    <t>II deviation</t>
  </si>
  <si>
    <t>III</t>
  </si>
  <si>
    <t>III actual</t>
  </si>
  <si>
    <t>III deviation</t>
  </si>
  <si>
    <t>IV</t>
  </si>
  <si>
    <t>IV actual</t>
  </si>
  <si>
    <t>IV deviation</t>
  </si>
  <si>
    <t>Total actual</t>
  </si>
  <si>
    <t>Total deviation</t>
  </si>
  <si>
    <t>Production, MWh</t>
  </si>
  <si>
    <t>Electricity</t>
  </si>
  <si>
    <t>CO2</t>
  </si>
  <si>
    <t>Wind park</t>
  </si>
  <si>
    <t>Insurance</t>
  </si>
  <si>
    <t>JI verification</t>
  </si>
  <si>
    <t>Security</t>
  </si>
  <si>
    <t>Communications</t>
  </si>
  <si>
    <t>Own consumption and reactive power</t>
  </si>
  <si>
    <t>Other maintenance and repair, small parts and tools</t>
  </si>
  <si>
    <t>Land lease and tax</t>
  </si>
  <si>
    <t>Legal and tax consultancy</t>
  </si>
  <si>
    <t>Book keeping, audit</t>
  </si>
  <si>
    <t>Others</t>
  </si>
  <si>
    <t>Other</t>
  </si>
  <si>
    <t>Operating Profit</t>
  </si>
  <si>
    <t>Fixed assets</t>
  </si>
  <si>
    <t>Profit before finance</t>
  </si>
  <si>
    <t>Financial income and cost</t>
  </si>
  <si>
    <t>Net profit</t>
  </si>
  <si>
    <t>Month/year</t>
  </si>
  <si>
    <t>WTG</t>
  </si>
  <si>
    <t>Financial costs</t>
  </si>
  <si>
    <t>Total outflow</t>
  </si>
  <si>
    <t>VAT refund</t>
  </si>
  <si>
    <t>Equity input</t>
  </si>
  <si>
    <t>Debt capital input</t>
  </si>
  <si>
    <t>Cash flow of the period</t>
  </si>
  <si>
    <t>Cumulative cash flow</t>
  </si>
  <si>
    <t>Wind park investment budget</t>
  </si>
  <si>
    <t>Name:</t>
  </si>
  <si>
    <t>Turbines:</t>
  </si>
  <si>
    <t>Total output (MW):</t>
  </si>
  <si>
    <t>Land</t>
  </si>
  <si>
    <t>Total land</t>
  </si>
  <si>
    <t>Development cost</t>
  </si>
  <si>
    <t>Planning, design, studies</t>
  </si>
  <si>
    <t>Developers fee / price of the project</t>
  </si>
  <si>
    <t>Total development</t>
  </si>
  <si>
    <t>Civil works</t>
  </si>
  <si>
    <t>Roads and erection areas</t>
  </si>
  <si>
    <t>Foundations</t>
  </si>
  <si>
    <t>Buildings</t>
  </si>
  <si>
    <t>Total civil works</t>
  </si>
  <si>
    <t>Wind turbines</t>
  </si>
  <si>
    <t>Total WT</t>
  </si>
  <si>
    <t>Electricity and communication</t>
  </si>
  <si>
    <t>El&amp;com inside the wind park (incl distribution area)</t>
  </si>
  <si>
    <t>El&amp;com lines outside the windpark area until the connection point</t>
  </si>
  <si>
    <t>High voltage substation</t>
  </si>
  <si>
    <t>Connection fee</t>
  </si>
  <si>
    <t>Total El&amp;com</t>
  </si>
  <si>
    <t>Management</t>
  </si>
  <si>
    <t>Project management</t>
  </si>
  <si>
    <t>Owners supervision</t>
  </si>
  <si>
    <t>Total Management</t>
  </si>
  <si>
    <t>Consultancy</t>
  </si>
  <si>
    <t>Financial</t>
  </si>
  <si>
    <t>Legal</t>
  </si>
  <si>
    <t>Technical</t>
  </si>
  <si>
    <t>Total consult</t>
  </si>
  <si>
    <t>interest during erection</t>
  </si>
  <si>
    <t>loan fees, mortgages fees</t>
  </si>
  <si>
    <t>Total fin costs</t>
  </si>
  <si>
    <t>Total insurance</t>
  </si>
  <si>
    <t>Total total</t>
  </si>
  <si>
    <t>Deductions</t>
  </si>
  <si>
    <t>Grant</t>
  </si>
  <si>
    <t>Prepayments</t>
  </si>
  <si>
    <t>Total deductions</t>
  </si>
  <si>
    <t>Total Net Investment</t>
  </si>
  <si>
    <t>Capacity of one turbine (MW):</t>
  </si>
  <si>
    <t>th EUR/MW</t>
  </si>
  <si>
    <t>Service and maintenance</t>
  </si>
  <si>
    <t>Management costs</t>
  </si>
  <si>
    <t>Fixed fee to 4energia</t>
  </si>
  <si>
    <t>Premium fee to 4energia</t>
  </si>
  <si>
    <t>Technical consultancy</t>
  </si>
  <si>
    <t>Operation back-up</t>
  </si>
  <si>
    <t>Development costs</t>
  </si>
  <si>
    <t>Road construction</t>
  </si>
  <si>
    <t>Other (construction?)</t>
  </si>
  <si>
    <t>Administration costs + Fin consultancy</t>
  </si>
  <si>
    <t>JI fee</t>
  </si>
  <si>
    <t>Owners loan interest</t>
  </si>
  <si>
    <t>Total Installed Capacity (MW)</t>
  </si>
  <si>
    <t>Energy Price After 2020</t>
  </si>
  <si>
    <t>II estimate</t>
  </si>
  <si>
    <t>III estimate</t>
  </si>
  <si>
    <t>IV estimate</t>
  </si>
  <si>
    <t>Total estimate</t>
  </si>
  <si>
    <t>Exchange rate</t>
  </si>
  <si>
    <t>/ EUR</t>
  </si>
  <si>
    <t>Total inflow</t>
  </si>
  <si>
    <t>INCOME, EUR</t>
  </si>
  <si>
    <t>Electricity price, EUR/MWh</t>
  </si>
  <si>
    <t>COSTS, EUR</t>
  </si>
  <si>
    <t>Long term average production, MWh/y</t>
  </si>
  <si>
    <t>WT</t>
  </si>
  <si>
    <t>Revenues during construction period</t>
  </si>
  <si>
    <t>Insurance Cost</t>
  </si>
  <si>
    <t>Green Certificate Income per kWh After 2020</t>
  </si>
  <si>
    <t>Energy Price Until 2020 (EUR/MWh)</t>
  </si>
  <si>
    <t>Tariff of Green Energy (EUR per MWh)</t>
  </si>
  <si>
    <t>Sales of Electrical Power</t>
  </si>
  <si>
    <t>Terminal Value</t>
  </si>
  <si>
    <t>S&amp;M Costs</t>
  </si>
  <si>
    <t>Administrative Costs</t>
  </si>
  <si>
    <t>Own Consumption and Reactive Energy</t>
  </si>
  <si>
    <t>Land Rental</t>
  </si>
  <si>
    <t>Energy Trading Costs</t>
  </si>
  <si>
    <t>Unexpected Costs</t>
  </si>
  <si>
    <t>thEUR</t>
  </si>
  <si>
    <t>Land Rental (thEUR/WT)</t>
  </si>
  <si>
    <t>Silale</t>
  </si>
  <si>
    <t>4E Performance fee</t>
  </si>
  <si>
    <t>Sensitivity analysis (change in production, %)</t>
  </si>
  <si>
    <t>Sensitivity analysis (change in total investment, %)</t>
  </si>
  <si>
    <t>Benchmark</t>
  </si>
  <si>
    <t>Investment variation range</t>
  </si>
  <si>
    <t>Energy production variation range</t>
  </si>
  <si>
    <t>Energy output, MWh/year</t>
  </si>
  <si>
    <t>Investments, € th</t>
  </si>
  <si>
    <t>AVIR</t>
  </si>
  <si>
    <t>VILIBOR</t>
  </si>
  <si>
    <t>Date</t>
  </si>
  <si>
    <t>Data</t>
  </si>
  <si>
    <t>Value</t>
  </si>
  <si>
    <t>Source</t>
  </si>
  <si>
    <t>Total investment cost</t>
  </si>
  <si>
    <t>Subsidy</t>
  </si>
  <si>
    <t>Annual maintenance cost</t>
  </si>
  <si>
    <t>Insurance cost</t>
  </si>
  <si>
    <t>0,4% of total investment</t>
  </si>
  <si>
    <t>CNA Ltd policy no 310-16033 for Virtsu II wind park 01.03.2008-20.03.2009</t>
  </si>
  <si>
    <t>Management cost</t>
  </si>
  <si>
    <t>4e success fee</t>
  </si>
  <si>
    <t>5% of the profit</t>
  </si>
  <si>
    <t>IRR benchmark</t>
  </si>
  <si>
    <t>86,89 EUR/MWh</t>
  </si>
  <si>
    <t>Management agreement between 4energia UAB and Vejo elektra UAB, 10.12.2008</t>
  </si>
  <si>
    <t>35 374 €/year (2008), increased by inflation rate every year</t>
  </si>
  <si>
    <t>Annual production</t>
  </si>
  <si>
    <t>35 374 MWh</t>
  </si>
  <si>
    <t>Enercon</t>
  </si>
  <si>
    <t>1 970 th€/MW</t>
  </si>
  <si>
    <t>Enercon GmbH offer for Mockia wind park, dated 18.06.2008</t>
  </si>
  <si>
    <t>EMD report, dated 25.11.2008</t>
  </si>
  <si>
    <t>Project IRR</t>
  </si>
  <si>
    <t>change</t>
  </si>
  <si>
    <t>MWh/y</t>
  </si>
  <si>
    <t>Investment</t>
  </si>
  <si>
    <t>ERU generation</t>
  </si>
  <si>
    <t>Annual MWh</t>
  </si>
  <si>
    <t>4e Success fee</t>
  </si>
  <si>
    <t>12 €/MWh + 3% yearly increase</t>
  </si>
  <si>
    <t>Enercon GmbH EPK offer dated 10.2008. Fixed maintenance cost will be adjusted by inflation rate every year.</t>
  </si>
  <si>
    <t>Yearly increase of running costs</t>
  </si>
  <si>
    <t>Prognosed average inflation rate</t>
  </si>
  <si>
    <t>Energy price after 2020</t>
  </si>
  <si>
    <t>65 EUR/MWh</t>
  </si>
  <si>
    <t>Management's conservative estimation based on NENA and EIA electricity market forecasts</t>
  </si>
  <si>
    <t>Applied interest rate</t>
  </si>
  <si>
    <t>Interest rate and discount rate are estimated 8% by management</t>
  </si>
  <si>
    <t>AVIR, december 2008 (http://www.lb.lt/stat_pub/statbrowser.aspx?group=7279&amp;lang=lt)</t>
  </si>
  <si>
    <t>Resolution No. O3-27 of the State price and Energy Control Commission of 21 February 2008 (http://www.regula.lt/lt/elektra/tarifai/viap_kainos.php)</t>
  </si>
  <si>
    <t>IRR of the Project w/o ERU income</t>
  </si>
  <si>
    <t>Adjusted EBITDA (with success fee and CIT)</t>
  </si>
</sst>
</file>

<file path=xl/styles.xml><?xml version="1.0" encoding="utf-8"?>
<styleSheet xmlns="http://schemas.openxmlformats.org/spreadsheetml/2006/main">
  <numFmts count="10">
    <numFmt numFmtId="164" formatCode="_-* #,##0\ _k_r_-;\-* #,##0\ _k_r_-;_-* &quot;-&quot;\ _k_r_-;_-@_-"/>
    <numFmt numFmtId="165" formatCode="_-* #,##0.00\ _k_r_-;\-* #,##0.00\ _k_r_-;_-* &quot;-&quot;??\ _k_r_-;_-@_-"/>
    <numFmt numFmtId="166" formatCode="_(* #,##0.00_);_(* \(#,##0.00\);_(* &quot;-&quot;??_);_(@_)"/>
    <numFmt numFmtId="167" formatCode="0.0"/>
    <numFmt numFmtId="168" formatCode="0.0%"/>
    <numFmt numFmtId="169" formatCode="&quot;(discount rate &quot;##%&quot;)&quot;"/>
    <numFmt numFmtId="170" formatCode="_-* #,##0.0\ _k_r_-;\-* #,##0.0\ _k_r_-;_-* &quot;-&quot;??\ _k_r_-;_-@_-"/>
    <numFmt numFmtId="171" formatCode="_-* #,##0\ _k_r_-;\-* #,##0\ _k_r_-;_-* &quot;-&quot;??\ _k_r_-;_-@_-"/>
    <numFmt numFmtId="172" formatCode="#,##0.0000"/>
    <numFmt numFmtId="173" formatCode="yyyy\-mm"/>
  </numFmts>
  <fonts count="35">
    <font>
      <sz val="10"/>
      <name val="Arial"/>
    </font>
    <font>
      <sz val="10"/>
      <name val="Arial"/>
      <family val="2"/>
      <charset val="186"/>
    </font>
    <font>
      <sz val="10"/>
      <name val="Arial"/>
      <family val="2"/>
    </font>
    <font>
      <sz val="8"/>
      <name val="Arial"/>
      <family val="2"/>
    </font>
    <font>
      <b/>
      <sz val="12"/>
      <name val="Tahoma"/>
      <family val="2"/>
      <charset val="186"/>
    </font>
    <font>
      <sz val="12"/>
      <name val="Tahoma"/>
      <family val="2"/>
    </font>
    <font>
      <sz val="12"/>
      <name val="Tahoma"/>
      <family val="2"/>
      <charset val="186"/>
    </font>
    <font>
      <b/>
      <sz val="18"/>
      <name val="Tahoma"/>
      <family val="2"/>
    </font>
    <font>
      <sz val="11"/>
      <name val="Tahoma"/>
      <family val="2"/>
    </font>
    <font>
      <sz val="14"/>
      <name val="Tahoma"/>
      <family val="2"/>
    </font>
    <font>
      <b/>
      <sz val="12"/>
      <name val="Tahoma"/>
      <family val="2"/>
    </font>
    <font>
      <i/>
      <sz val="10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186"/>
    </font>
    <font>
      <i/>
      <sz val="10"/>
      <name val="Arial"/>
      <family val="2"/>
    </font>
    <font>
      <sz val="8"/>
      <name val="Arial"/>
      <family val="2"/>
    </font>
    <font>
      <b/>
      <sz val="11"/>
      <name val="Tahoma"/>
      <family val="2"/>
      <charset val="186"/>
    </font>
    <font>
      <b/>
      <sz val="11"/>
      <name val="Tahoma"/>
      <family val="2"/>
    </font>
    <font>
      <sz val="11"/>
      <name val="Arial"/>
      <family val="2"/>
    </font>
    <font>
      <sz val="10"/>
      <name val="Arial"/>
      <family val="2"/>
      <charset val="186"/>
    </font>
    <font>
      <i/>
      <sz val="12"/>
      <name val="Tahoma"/>
      <family val="2"/>
      <charset val="186"/>
    </font>
    <font>
      <b/>
      <i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Times New Roman"/>
      <family val="1"/>
      <charset val="186"/>
    </font>
    <font>
      <sz val="12"/>
      <name val="Arial"/>
      <family val="2"/>
    </font>
    <font>
      <b/>
      <sz val="12"/>
      <name val="Arial"/>
      <family val="2"/>
      <charset val="186"/>
    </font>
    <font>
      <i/>
      <sz val="12"/>
      <name val="Tahoma"/>
      <family val="2"/>
    </font>
    <font>
      <b/>
      <sz val="10"/>
      <name val="Arial"/>
      <family val="2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2"/>
      <color rgb="FF00B05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362">
    <xf numFmtId="0" fontId="0" fillId="0" borderId="0" xfId="0"/>
    <xf numFmtId="0" fontId="7" fillId="0" borderId="0" xfId="6" applyFont="1" applyFill="1" applyBorder="1"/>
    <xf numFmtId="0" fontId="8" fillId="0" borderId="0" xfId="6" applyFont="1" applyFill="1" applyBorder="1"/>
    <xf numFmtId="0" fontId="5" fillId="0" borderId="0" xfId="6" applyFont="1" applyFill="1" applyBorder="1"/>
    <xf numFmtId="0" fontId="5" fillId="0" borderId="0" xfId="6" applyFont="1" applyFill="1" applyBorder="1" applyAlignment="1">
      <alignment horizontal="center"/>
    </xf>
    <xf numFmtId="0" fontId="5" fillId="0" borderId="0" xfId="6" applyFont="1" applyFill="1" applyBorder="1" applyAlignment="1">
      <alignment horizontal="right"/>
    </xf>
    <xf numFmtId="3" fontId="5" fillId="0" borderId="0" xfId="6" applyNumberFormat="1" applyFont="1" applyFill="1" applyBorder="1"/>
    <xf numFmtId="167" fontId="5" fillId="0" borderId="0" xfId="6" applyNumberFormat="1" applyFont="1" applyBorder="1"/>
    <xf numFmtId="0" fontId="5" fillId="0" borderId="0" xfId="6" applyFont="1" applyFill="1" applyBorder="1" applyAlignment="1">
      <alignment horizontal="left"/>
    </xf>
    <xf numFmtId="167" fontId="5" fillId="0" borderId="0" xfId="7" applyNumberFormat="1" applyFont="1" applyBorder="1"/>
    <xf numFmtId="0" fontId="5" fillId="0" borderId="0" xfId="6" applyFont="1" applyFill="1" applyBorder="1" applyAlignment="1">
      <alignment horizontal="left" wrapText="1"/>
    </xf>
    <xf numFmtId="167" fontId="5" fillId="0" borderId="0" xfId="6" applyNumberFormat="1" applyFont="1" applyBorder="1" applyAlignment="1">
      <alignment horizontal="right"/>
    </xf>
    <xf numFmtId="3" fontId="5" fillId="0" borderId="0" xfId="6" applyNumberFormat="1" applyFont="1"/>
    <xf numFmtId="9" fontId="5" fillId="0" borderId="0" xfId="6" applyNumberFormat="1" applyFont="1" applyFill="1" applyBorder="1"/>
    <xf numFmtId="168" fontId="5" fillId="0" borderId="0" xfId="7" applyNumberFormat="1" applyFont="1" applyFill="1" applyBorder="1"/>
    <xf numFmtId="9" fontId="5" fillId="0" borderId="0" xfId="7" applyFont="1" applyFill="1" applyBorder="1" applyAlignment="1">
      <alignment horizontal="right"/>
    </xf>
    <xf numFmtId="168" fontId="5" fillId="0" borderId="0" xfId="6" applyNumberFormat="1" applyFont="1" applyFill="1" applyBorder="1"/>
    <xf numFmtId="9" fontId="5" fillId="0" borderId="0" xfId="7" applyFont="1" applyFill="1" applyBorder="1"/>
    <xf numFmtId="2" fontId="5" fillId="0" borderId="0" xfId="6" applyNumberFormat="1" applyFont="1" applyFill="1" applyBorder="1"/>
    <xf numFmtId="0" fontId="5" fillId="2" borderId="0" xfId="6" applyFont="1" applyFill="1" applyBorder="1" applyAlignment="1">
      <alignment horizontal="left"/>
    </xf>
    <xf numFmtId="3" fontId="9" fillId="2" borderId="0" xfId="6" applyNumberFormat="1" applyFont="1" applyFill="1" applyBorder="1"/>
    <xf numFmtId="10" fontId="5" fillId="2" borderId="0" xfId="6" applyNumberFormat="1" applyFont="1" applyFill="1" applyBorder="1"/>
    <xf numFmtId="0" fontId="5" fillId="2" borderId="0" xfId="6" applyFont="1" applyFill="1"/>
    <xf numFmtId="9" fontId="5" fillId="0" borderId="0" xfId="6" applyNumberFormat="1" applyFont="1" applyFill="1" applyBorder="1" applyAlignment="1">
      <alignment horizontal="left"/>
    </xf>
    <xf numFmtId="3" fontId="5" fillId="0" borderId="1" xfId="6" applyNumberFormat="1" applyFont="1" applyFill="1" applyBorder="1"/>
    <xf numFmtId="2" fontId="5" fillId="2" borderId="0" xfId="6" applyNumberFormat="1" applyFont="1" applyFill="1" applyBorder="1"/>
    <xf numFmtId="0" fontId="5" fillId="2" borderId="0" xfId="6" applyFont="1" applyFill="1" applyBorder="1"/>
    <xf numFmtId="168" fontId="5" fillId="2" borderId="0" xfId="7" applyNumberFormat="1" applyFont="1" applyFill="1" applyBorder="1"/>
    <xf numFmtId="1" fontId="5" fillId="0" borderId="0" xfId="6" applyNumberFormat="1" applyFont="1" applyFill="1" applyBorder="1"/>
    <xf numFmtId="0" fontId="5" fillId="0" borderId="0" xfId="6" applyFont="1"/>
    <xf numFmtId="0" fontId="5" fillId="0" borderId="0" xfId="6" applyFont="1" applyFill="1"/>
    <xf numFmtId="0" fontId="5" fillId="0" borderId="0" xfId="6" applyFont="1" applyBorder="1"/>
    <xf numFmtId="0" fontId="10" fillId="2" borderId="0" xfId="6" applyFont="1" applyFill="1" applyBorder="1"/>
    <xf numFmtId="0" fontId="10" fillId="2" borderId="1" xfId="6" applyFont="1" applyFill="1" applyBorder="1" applyAlignment="1">
      <alignment horizontal="right" wrapText="1"/>
    </xf>
    <xf numFmtId="0" fontId="5" fillId="0" borderId="0" xfId="6" applyFont="1" applyFill="1" applyBorder="1" applyAlignment="1">
      <alignment wrapText="1"/>
    </xf>
    <xf numFmtId="0" fontId="5" fillId="0" borderId="0" xfId="6" applyFont="1" applyBorder="1" applyAlignment="1">
      <alignment wrapText="1"/>
    </xf>
    <xf numFmtId="0" fontId="5" fillId="0" borderId="0" xfId="6" applyFont="1" applyAlignment="1">
      <alignment wrapText="1"/>
    </xf>
    <xf numFmtId="0" fontId="5" fillId="0" borderId="2" xfId="6" applyFont="1" applyFill="1" applyBorder="1" applyAlignment="1">
      <alignment wrapText="1"/>
    </xf>
    <xf numFmtId="9" fontId="6" fillId="0" borderId="0" xfId="7" applyFont="1" applyFill="1" applyBorder="1" applyAlignment="1">
      <alignment horizontal="right" wrapText="1"/>
    </xf>
    <xf numFmtId="0" fontId="5" fillId="0" borderId="0" xfId="6" applyFont="1" applyFill="1" applyAlignment="1">
      <alignment wrapText="1"/>
    </xf>
    <xf numFmtId="0" fontId="11" fillId="0" borderId="0" xfId="6" applyFont="1"/>
    <xf numFmtId="2" fontId="11" fillId="0" borderId="0" xfId="6" applyNumberFormat="1" applyFont="1"/>
    <xf numFmtId="0" fontId="11" fillId="0" borderId="0" xfId="6" applyFont="1" applyBorder="1"/>
    <xf numFmtId="3" fontId="5" fillId="0" borderId="0" xfId="6" applyNumberFormat="1" applyFont="1" applyBorder="1"/>
    <xf numFmtId="3" fontId="5" fillId="0" borderId="1" xfId="6" applyNumberFormat="1" applyFont="1" applyBorder="1"/>
    <xf numFmtId="3" fontId="5" fillId="0" borderId="3" xfId="6" applyNumberFormat="1" applyFont="1" applyBorder="1"/>
    <xf numFmtId="4" fontId="5" fillId="0" borderId="0" xfId="6" applyNumberFormat="1" applyFont="1"/>
    <xf numFmtId="9" fontId="5" fillId="0" borderId="0" xfId="7" applyFont="1" applyBorder="1"/>
    <xf numFmtId="3" fontId="10" fillId="2" borderId="0" xfId="6" applyNumberFormat="1" applyFont="1" applyFill="1" applyBorder="1"/>
    <xf numFmtId="3" fontId="5" fillId="2" borderId="0" xfId="6" applyNumberFormat="1" applyFont="1" applyFill="1" applyBorder="1"/>
    <xf numFmtId="1" fontId="5" fillId="0" borderId="0" xfId="6" applyNumberFormat="1" applyFont="1" applyBorder="1"/>
    <xf numFmtId="1" fontId="10" fillId="2" borderId="1" xfId="6" applyNumberFormat="1" applyFont="1" applyFill="1" applyBorder="1" applyAlignment="1">
      <alignment horizontal="right" wrapText="1"/>
    </xf>
    <xf numFmtId="1" fontId="5" fillId="0" borderId="0" xfId="6" applyNumberFormat="1" applyFont="1"/>
    <xf numFmtId="2" fontId="5" fillId="0" borderId="0" xfId="6" applyNumberFormat="1" applyFont="1" applyBorder="1"/>
    <xf numFmtId="2" fontId="10" fillId="2" borderId="4" xfId="6" applyNumberFormat="1" applyFont="1" applyFill="1" applyBorder="1"/>
    <xf numFmtId="2" fontId="5" fillId="2" borderId="4" xfId="6" applyNumberFormat="1" applyFont="1" applyFill="1" applyBorder="1"/>
    <xf numFmtId="2" fontId="10" fillId="2" borderId="5" xfId="6" applyNumberFormat="1" applyFont="1" applyFill="1" applyBorder="1"/>
    <xf numFmtId="2" fontId="5" fillId="0" borderId="3" xfId="6" applyNumberFormat="1" applyFont="1" applyBorder="1"/>
    <xf numFmtId="2" fontId="5" fillId="0" borderId="0" xfId="6" applyNumberFormat="1" applyFont="1"/>
    <xf numFmtId="3" fontId="5" fillId="0" borderId="0" xfId="6" applyNumberFormat="1" applyFont="1" applyFill="1"/>
    <xf numFmtId="1" fontId="10" fillId="2" borderId="1" xfId="6" applyNumberFormat="1" applyFont="1" applyFill="1" applyBorder="1"/>
    <xf numFmtId="0" fontId="8" fillId="0" borderId="0" xfId="6" applyFont="1"/>
    <xf numFmtId="0" fontId="10" fillId="2" borderId="0" xfId="6" applyFont="1" applyFill="1"/>
    <xf numFmtId="0" fontId="8" fillId="2" borderId="0" xfId="6" applyFont="1" applyFill="1"/>
    <xf numFmtId="2" fontId="12" fillId="0" borderId="0" xfId="6" applyNumberFormat="1" applyFont="1" applyBorder="1"/>
    <xf numFmtId="2" fontId="12" fillId="0" borderId="0" xfId="6" quotePrefix="1" applyNumberFormat="1" applyFont="1" applyBorder="1"/>
    <xf numFmtId="3" fontId="12" fillId="0" borderId="0" xfId="6" applyNumberFormat="1" applyFont="1" applyBorder="1"/>
    <xf numFmtId="2" fontId="13" fillId="0" borderId="0" xfId="6" applyNumberFormat="1" applyFont="1" applyBorder="1"/>
    <xf numFmtId="2" fontId="12" fillId="0" borderId="0" xfId="6" applyNumberFormat="1" applyFont="1"/>
    <xf numFmtId="0" fontId="8" fillId="0" borderId="6" xfId="6" applyFont="1" applyBorder="1" applyAlignment="1">
      <alignment horizontal="right"/>
    </xf>
    <xf numFmtId="0" fontId="8" fillId="0" borderId="0" xfId="6" applyFont="1" applyBorder="1"/>
    <xf numFmtId="9" fontId="8" fillId="0" borderId="0" xfId="7" applyFont="1"/>
    <xf numFmtId="9" fontId="8" fillId="0" borderId="7" xfId="7" applyFont="1" applyBorder="1"/>
    <xf numFmtId="9" fontId="8" fillId="0" borderId="0" xfId="7" applyFont="1" applyBorder="1"/>
    <xf numFmtId="9" fontId="8" fillId="0" borderId="8" xfId="7" applyFont="1" applyBorder="1"/>
    <xf numFmtId="3" fontId="8" fillId="0" borderId="0" xfId="6" applyNumberFormat="1" applyFont="1"/>
    <xf numFmtId="170" fontId="14" fillId="0" borderId="1" xfId="1" applyNumberFormat="1" applyFont="1" applyBorder="1" applyAlignment="1">
      <alignment horizontal="center"/>
    </xf>
    <xf numFmtId="171" fontId="2" fillId="0" borderId="0" xfId="1" applyNumberFormat="1" applyAlignment="1">
      <alignment horizontal="center"/>
    </xf>
    <xf numFmtId="3" fontId="2" fillId="0" borderId="0" xfId="1" applyNumberFormat="1" applyAlignment="1">
      <alignment horizontal="center"/>
    </xf>
    <xf numFmtId="3" fontId="2" fillId="0" borderId="1" xfId="1" applyNumberFormat="1" applyBorder="1" applyAlignment="1">
      <alignment horizontal="center"/>
    </xf>
    <xf numFmtId="170" fontId="2" fillId="0" borderId="0" xfId="1" applyNumberFormat="1" applyAlignment="1">
      <alignment horizontal="center"/>
    </xf>
    <xf numFmtId="3" fontId="0" fillId="0" borderId="0" xfId="0" applyNumberFormat="1"/>
    <xf numFmtId="3" fontId="2" fillId="0" borderId="9" xfId="1" applyNumberFormat="1" applyBorder="1" applyAlignment="1">
      <alignment horizontal="center"/>
    </xf>
    <xf numFmtId="3" fontId="2" fillId="0" borderId="0" xfId="5" applyNumberFormat="1" applyAlignment="1"/>
    <xf numFmtId="0" fontId="0" fillId="0" borderId="0" xfId="0" applyAlignment="1">
      <alignment horizontal="right"/>
    </xf>
    <xf numFmtId="0" fontId="2" fillId="0" borderId="0" xfId="5" applyAlignment="1">
      <alignment horizontal="right"/>
    </xf>
    <xf numFmtId="170" fontId="2" fillId="3" borderId="1" xfId="1" applyNumberFormat="1" applyFont="1" applyFill="1" applyBorder="1" applyAlignment="1">
      <alignment horizontal="right"/>
    </xf>
    <xf numFmtId="170" fontId="14" fillId="0" borderId="0" xfId="1" applyNumberFormat="1" applyFont="1" applyFill="1" applyBorder="1" applyAlignment="1">
      <alignment horizontal="right"/>
    </xf>
    <xf numFmtId="171" fontId="2" fillId="0" borderId="0" xfId="1" applyNumberFormat="1" applyBorder="1" applyAlignment="1">
      <alignment horizontal="right"/>
    </xf>
    <xf numFmtId="171" fontId="2" fillId="0" borderId="0" xfId="1" applyNumberFormat="1" applyAlignment="1">
      <alignment horizontal="right"/>
    </xf>
    <xf numFmtId="171" fontId="2" fillId="0" borderId="0" xfId="5" applyNumberFormat="1" applyAlignment="1">
      <alignment horizontal="right"/>
    </xf>
    <xf numFmtId="170" fontId="2" fillId="0" borderId="0" xfId="1" applyNumberFormat="1" applyAlignment="1">
      <alignment horizontal="right"/>
    </xf>
    <xf numFmtId="0" fontId="2" fillId="0" borderId="10" xfId="5" applyBorder="1" applyAlignment="1">
      <alignment horizontal="left"/>
    </xf>
    <xf numFmtId="0" fontId="2" fillId="0" borderId="1" xfId="5" applyBorder="1" applyAlignment="1">
      <alignment horizontal="left"/>
    </xf>
    <xf numFmtId="0" fontId="2" fillId="0" borderId="0" xfId="5" applyAlignment="1">
      <alignment horizontal="left"/>
    </xf>
    <xf numFmtId="0" fontId="8" fillId="0" borderId="0" xfId="0" applyFont="1" applyFill="1" applyBorder="1"/>
    <xf numFmtId="0" fontId="7" fillId="0" borderId="0" xfId="0" applyFont="1" applyFill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Fill="1" applyBorder="1"/>
    <xf numFmtId="0" fontId="5" fillId="2" borderId="0" xfId="0" applyFont="1" applyFill="1" applyBorder="1"/>
    <xf numFmtId="0" fontId="10" fillId="2" borderId="0" xfId="0" applyFont="1" applyFill="1" applyBorder="1"/>
    <xf numFmtId="0" fontId="10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17" fontId="10" fillId="2" borderId="0" xfId="0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wrapText="1"/>
    </xf>
    <xf numFmtId="3" fontId="8" fillId="0" borderId="0" xfId="0" applyNumberFormat="1" applyFont="1"/>
    <xf numFmtId="3" fontId="19" fillId="0" borderId="0" xfId="0" applyNumberFormat="1" applyFont="1"/>
    <xf numFmtId="3" fontId="19" fillId="0" borderId="11" xfId="0" applyNumberFormat="1" applyFont="1" applyBorder="1"/>
    <xf numFmtId="0" fontId="4" fillId="0" borderId="0" xfId="6" applyFont="1" applyFill="1" applyBorder="1" applyAlignment="1">
      <alignment horizontal="left"/>
    </xf>
    <xf numFmtId="0" fontId="14" fillId="0" borderId="0" xfId="0" applyFont="1" applyAlignment="1">
      <alignment wrapText="1"/>
    </xf>
    <xf numFmtId="0" fontId="0" fillId="0" borderId="10" xfId="0" applyBorder="1" applyAlignment="1">
      <alignment wrapText="1"/>
    </xf>
    <xf numFmtId="0" fontId="0" fillId="0" borderId="0" xfId="0" applyBorder="1" applyAlignment="1">
      <alignment wrapText="1"/>
    </xf>
    <xf numFmtId="0" fontId="14" fillId="4" borderId="1" xfId="0" applyFont="1" applyFill="1" applyBorder="1" applyAlignment="1">
      <alignment wrapText="1"/>
    </xf>
    <xf numFmtId="171" fontId="14" fillId="4" borderId="1" xfId="2" applyNumberFormat="1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166" fontId="0" fillId="0" borderId="0" xfId="2" applyFont="1" applyBorder="1" applyAlignment="1">
      <alignment horizontal="right"/>
    </xf>
    <xf numFmtId="9" fontId="0" fillId="0" borderId="0" xfId="7" applyFont="1" applyBorder="1" applyAlignment="1">
      <alignment horizontal="right"/>
    </xf>
    <xf numFmtId="170" fontId="2" fillId="3" borderId="0" xfId="1" applyNumberFormat="1" applyFont="1" applyFill="1" applyBorder="1" applyAlignment="1">
      <alignment horizontal="right"/>
    </xf>
    <xf numFmtId="166" fontId="2" fillId="3" borderId="0" xfId="2" applyFont="1" applyFill="1" applyBorder="1" applyAlignment="1">
      <alignment horizontal="right"/>
    </xf>
    <xf numFmtId="166" fontId="2" fillId="0" borderId="1" xfId="2" applyFont="1" applyBorder="1" applyAlignment="1">
      <alignment horizontal="center"/>
    </xf>
    <xf numFmtId="9" fontId="0" fillId="0" borderId="1" xfId="7" applyFont="1" applyBorder="1"/>
    <xf numFmtId="3" fontId="0" fillId="0" borderId="1" xfId="0" applyNumberFormat="1" applyBorder="1"/>
    <xf numFmtId="9" fontId="0" fillId="0" borderId="0" xfId="7" applyFont="1" applyBorder="1"/>
    <xf numFmtId="3" fontId="0" fillId="0" borderId="0" xfId="0" applyNumberFormat="1" applyBorder="1"/>
    <xf numFmtId="0" fontId="14" fillId="0" borderId="1" xfId="0" applyFont="1" applyBorder="1" applyAlignment="1">
      <alignment wrapText="1"/>
    </xf>
    <xf numFmtId="166" fontId="2" fillId="0" borderId="0" xfId="2" applyFont="1" applyBorder="1" applyAlignment="1">
      <alignment horizontal="right"/>
    </xf>
    <xf numFmtId="170" fontId="2" fillId="0" borderId="0" xfId="1" applyNumberFormat="1" applyBorder="1" applyAlignment="1">
      <alignment horizontal="right"/>
    </xf>
    <xf numFmtId="3" fontId="8" fillId="0" borderId="0" xfId="0" applyNumberFormat="1" applyFont="1" applyFill="1"/>
    <xf numFmtId="3" fontId="20" fillId="0" borderId="0" xfId="0" applyNumberFormat="1" applyFont="1"/>
    <xf numFmtId="0" fontId="8" fillId="0" borderId="0" xfId="0" applyFont="1"/>
    <xf numFmtId="0" fontId="15" fillId="0" borderId="10" xfId="0" applyFont="1" applyBorder="1" applyAlignment="1">
      <alignment wrapText="1"/>
    </xf>
    <xf numFmtId="171" fontId="15" fillId="0" borderId="10" xfId="2" applyNumberFormat="1" applyFont="1" applyBorder="1" applyAlignment="1">
      <alignment horizontal="center"/>
    </xf>
    <xf numFmtId="171" fontId="2" fillId="0" borderId="0" xfId="2" applyNumberFormat="1" applyFont="1" applyBorder="1" applyAlignment="1">
      <alignment horizontal="center"/>
    </xf>
    <xf numFmtId="171" fontId="15" fillId="0" borderId="0" xfId="2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171" fontId="2" fillId="0" borderId="0" xfId="2" applyNumberFormat="1" applyFont="1" applyAlignment="1">
      <alignment horizontal="center"/>
    </xf>
    <xf numFmtId="170" fontId="2" fillId="0" borderId="10" xfId="2" applyNumberFormat="1" applyFont="1" applyBorder="1" applyAlignment="1">
      <alignment horizontal="center"/>
    </xf>
    <xf numFmtId="170" fontId="2" fillId="0" borderId="0" xfId="2" applyNumberFormat="1" applyFont="1" applyBorder="1" applyAlignment="1">
      <alignment horizontal="center"/>
    </xf>
    <xf numFmtId="171" fontId="2" fillId="0" borderId="10" xfId="2" applyNumberFormat="1" applyFont="1" applyBorder="1" applyAlignment="1">
      <alignment horizontal="center"/>
    </xf>
    <xf numFmtId="0" fontId="14" fillId="5" borderId="12" xfId="0" applyFont="1" applyFill="1" applyBorder="1" applyAlignment="1">
      <alignment wrapText="1"/>
    </xf>
    <xf numFmtId="171" fontId="14" fillId="5" borderId="12" xfId="2" applyNumberFormat="1" applyFont="1" applyFill="1" applyBorder="1" applyAlignment="1">
      <alignment horizontal="center"/>
    </xf>
    <xf numFmtId="171" fontId="2" fillId="0" borderId="1" xfId="2" applyNumberFormat="1" applyFont="1" applyBorder="1" applyAlignment="1">
      <alignment horizontal="center"/>
    </xf>
    <xf numFmtId="0" fontId="17" fillId="0" borderId="0" xfId="0" applyFont="1" applyBorder="1" applyAlignment="1">
      <alignment wrapText="1"/>
    </xf>
    <xf numFmtId="171" fontId="17" fillId="0" borderId="0" xfId="2" applyNumberFormat="1" applyFont="1" applyBorder="1" applyAlignment="1">
      <alignment wrapText="1"/>
    </xf>
    <xf numFmtId="0" fontId="14" fillId="0" borderId="10" xfId="5" applyFont="1" applyFill="1" applyBorder="1" applyAlignment="1"/>
    <xf numFmtId="0" fontId="15" fillId="0" borderId="10" xfId="1" applyNumberFormat="1" applyFont="1" applyFill="1" applyBorder="1" applyAlignment="1"/>
    <xf numFmtId="0" fontId="15" fillId="0" borderId="0" xfId="5" applyFont="1" applyFill="1" applyBorder="1" applyAlignment="1"/>
    <xf numFmtId="9" fontId="15" fillId="0" borderId="13" xfId="7" applyFont="1" applyFill="1" applyBorder="1" applyAlignment="1"/>
    <xf numFmtId="0" fontId="2" fillId="0" borderId="0" xfId="5" applyFill="1" applyBorder="1" applyAlignment="1"/>
    <xf numFmtId="170" fontId="15" fillId="0" borderId="6" xfId="1" applyNumberFormat="1" applyFont="1" applyFill="1" applyBorder="1" applyAlignment="1">
      <alignment horizontal="center"/>
    </xf>
    <xf numFmtId="170" fontId="15" fillId="0" borderId="14" xfId="1" applyNumberFormat="1" applyFont="1" applyFill="1" applyBorder="1" applyAlignment="1">
      <alignment horizontal="center"/>
    </xf>
    <xf numFmtId="9" fontId="15" fillId="0" borderId="6" xfId="7" applyFont="1" applyFill="1" applyBorder="1" applyAlignment="1">
      <alignment horizontal="center"/>
    </xf>
    <xf numFmtId="9" fontId="15" fillId="0" borderId="14" xfId="7" applyFont="1" applyFill="1" applyBorder="1" applyAlignment="1">
      <alignment horizontal="center"/>
    </xf>
    <xf numFmtId="170" fontId="15" fillId="0" borderId="10" xfId="1" applyNumberFormat="1" applyFont="1" applyFill="1" applyBorder="1" applyAlignment="1">
      <alignment horizontal="center"/>
    </xf>
    <xf numFmtId="170" fontId="15" fillId="0" borderId="0" xfId="1" applyNumberFormat="1" applyFont="1" applyFill="1" applyBorder="1" applyAlignment="1">
      <alignment horizontal="center"/>
    </xf>
    <xf numFmtId="9" fontId="15" fillId="0" borderId="13" xfId="7" applyFont="1" applyFill="1" applyBorder="1" applyAlignment="1">
      <alignment horizontal="center"/>
    </xf>
    <xf numFmtId="3" fontId="14" fillId="0" borderId="10" xfId="5" applyNumberFormat="1" applyFont="1" applyFill="1" applyBorder="1" applyAlignment="1"/>
    <xf numFmtId="3" fontId="15" fillId="0" borderId="6" xfId="1" applyNumberFormat="1" applyFont="1" applyFill="1" applyBorder="1" applyAlignment="1">
      <alignment horizontal="center"/>
    </xf>
    <xf numFmtId="3" fontId="15" fillId="0" borderId="14" xfId="1" applyNumberFormat="1" applyFont="1" applyFill="1" applyBorder="1" applyAlignment="1">
      <alignment horizontal="center"/>
    </xf>
    <xf numFmtId="3" fontId="15" fillId="0" borderId="10" xfId="1" applyNumberFormat="1" applyFont="1" applyFill="1" applyBorder="1" applyAlignment="1">
      <alignment horizontal="center"/>
    </xf>
    <xf numFmtId="3" fontId="0" fillId="0" borderId="10" xfId="0" applyNumberFormat="1" applyFill="1" applyBorder="1"/>
    <xf numFmtId="3" fontId="15" fillId="0" borderId="0" xfId="5" applyNumberFormat="1" applyFont="1" applyFill="1" applyBorder="1" applyAlignment="1"/>
    <xf numFmtId="171" fontId="15" fillId="0" borderId="7" xfId="2" applyNumberFormat="1" applyFont="1" applyFill="1" applyBorder="1" applyAlignment="1">
      <alignment horizontal="center"/>
    </xf>
    <xf numFmtId="9" fontId="15" fillId="0" borderId="7" xfId="7" applyFont="1" applyFill="1" applyBorder="1" applyAlignment="1">
      <alignment horizontal="center"/>
    </xf>
    <xf numFmtId="170" fontId="15" fillId="0" borderId="0" xfId="2" applyNumberFormat="1" applyFont="1" applyFill="1" applyBorder="1" applyAlignment="1">
      <alignment horizontal="center"/>
    </xf>
    <xf numFmtId="171" fontId="15" fillId="0" borderId="0" xfId="1" applyNumberFormat="1" applyFont="1" applyFill="1" applyBorder="1" applyAlignment="1">
      <alignment horizontal="center"/>
    </xf>
    <xf numFmtId="3" fontId="0" fillId="0" borderId="0" xfId="0" applyNumberFormat="1" applyFill="1" applyBorder="1"/>
    <xf numFmtId="0" fontId="0" fillId="0" borderId="0" xfId="0" applyFill="1" applyBorder="1" applyAlignment="1">
      <alignment wrapText="1"/>
    </xf>
    <xf numFmtId="171" fontId="15" fillId="0" borderId="13" xfId="2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wrapText="1"/>
    </xf>
    <xf numFmtId="3" fontId="14" fillId="0" borderId="0" xfId="0" applyNumberFormat="1" applyFont="1" applyFill="1" applyBorder="1"/>
    <xf numFmtId="0" fontId="14" fillId="0" borderId="1" xfId="0" applyFont="1" applyFill="1" applyBorder="1" applyAlignment="1">
      <alignment wrapText="1"/>
    </xf>
    <xf numFmtId="171" fontId="15" fillId="0" borderId="8" xfId="2" applyNumberFormat="1" applyFont="1" applyFill="1" applyBorder="1" applyAlignment="1">
      <alignment horizontal="center"/>
    </xf>
    <xf numFmtId="171" fontId="15" fillId="0" borderId="1" xfId="2" applyNumberFormat="1" applyFont="1" applyFill="1" applyBorder="1" applyAlignment="1">
      <alignment horizontal="center"/>
    </xf>
    <xf numFmtId="9" fontId="15" fillId="0" borderId="8" xfId="7" applyFont="1" applyFill="1" applyBorder="1" applyAlignment="1">
      <alignment horizontal="center"/>
    </xf>
    <xf numFmtId="171" fontId="15" fillId="0" borderId="1" xfId="1" applyNumberFormat="1" applyFont="1" applyFill="1" applyBorder="1" applyAlignment="1">
      <alignment horizontal="center"/>
    </xf>
    <xf numFmtId="3" fontId="0" fillId="0" borderId="1" xfId="0" applyNumberFormat="1" applyFill="1" applyBorder="1"/>
    <xf numFmtId="0" fontId="14" fillId="0" borderId="10" xfId="0" applyFont="1" applyFill="1" applyBorder="1" applyAlignment="1">
      <alignment wrapText="1"/>
    </xf>
    <xf numFmtId="171" fontId="15" fillId="0" borderId="6" xfId="2" applyNumberFormat="1" applyFont="1" applyFill="1" applyBorder="1" applyAlignment="1">
      <alignment horizontal="center"/>
    </xf>
    <xf numFmtId="171" fontId="15" fillId="0" borderId="14" xfId="2" applyNumberFormat="1" applyFont="1" applyFill="1" applyBorder="1" applyAlignment="1">
      <alignment horizontal="center"/>
    </xf>
    <xf numFmtId="171" fontId="15" fillId="0" borderId="10" xfId="2" applyNumberFormat="1" applyFont="1" applyFill="1" applyBorder="1" applyAlignment="1">
      <alignment horizontal="center"/>
    </xf>
    <xf numFmtId="171" fontId="15" fillId="0" borderId="10" xfId="1" applyNumberFormat="1" applyFon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171" fontId="17" fillId="0" borderId="7" xfId="2" applyNumberFormat="1" applyFont="1" applyFill="1" applyBorder="1" applyAlignment="1">
      <alignment wrapText="1"/>
    </xf>
    <xf numFmtId="171" fontId="17" fillId="0" borderId="13" xfId="2" applyNumberFormat="1" applyFont="1" applyFill="1" applyBorder="1" applyAlignment="1">
      <alignment wrapText="1"/>
    </xf>
    <xf numFmtId="171" fontId="17" fillId="0" borderId="0" xfId="2" applyNumberFormat="1" applyFont="1" applyFill="1" applyBorder="1" applyAlignment="1">
      <alignment wrapText="1"/>
    </xf>
    <xf numFmtId="171" fontId="17" fillId="0" borderId="7" xfId="2" applyNumberFormat="1" applyFont="1" applyFill="1" applyBorder="1" applyAlignment="1">
      <alignment horizontal="center"/>
    </xf>
    <xf numFmtId="171" fontId="17" fillId="0" borderId="13" xfId="2" applyNumberFormat="1" applyFont="1" applyFill="1" applyBorder="1" applyAlignment="1">
      <alignment horizontal="center"/>
    </xf>
    <xf numFmtId="171" fontId="17" fillId="0" borderId="0" xfId="2" applyNumberFormat="1" applyFont="1" applyFill="1" applyBorder="1" applyAlignment="1">
      <alignment horizontal="center"/>
    </xf>
    <xf numFmtId="0" fontId="14" fillId="0" borderId="12" xfId="0" applyFont="1" applyFill="1" applyBorder="1" applyAlignment="1">
      <alignment wrapText="1"/>
    </xf>
    <xf numFmtId="171" fontId="15" fillId="0" borderId="15" xfId="2" applyNumberFormat="1" applyFont="1" applyFill="1" applyBorder="1" applyAlignment="1">
      <alignment horizontal="center"/>
    </xf>
    <xf numFmtId="171" fontId="15" fillId="0" borderId="16" xfId="2" applyNumberFormat="1" applyFont="1" applyFill="1" applyBorder="1" applyAlignment="1">
      <alignment horizontal="center"/>
    </xf>
    <xf numFmtId="9" fontId="15" fillId="0" borderId="15" xfId="7" applyFont="1" applyFill="1" applyBorder="1" applyAlignment="1">
      <alignment horizontal="center"/>
    </xf>
    <xf numFmtId="171" fontId="15" fillId="0" borderId="12" xfId="2" applyNumberFormat="1" applyFont="1" applyFill="1" applyBorder="1" applyAlignment="1">
      <alignment horizontal="center"/>
    </xf>
    <xf numFmtId="171" fontId="21" fillId="0" borderId="12" xfId="1" applyNumberFormat="1" applyFont="1" applyFill="1" applyBorder="1" applyAlignment="1">
      <alignment horizontal="center"/>
    </xf>
    <xf numFmtId="3" fontId="14" fillId="0" borderId="1" xfId="0" applyNumberFormat="1" applyFont="1" applyFill="1" applyBorder="1"/>
    <xf numFmtId="171" fontId="15" fillId="0" borderId="0" xfId="5" applyNumberFormat="1" applyFont="1" applyFill="1" applyBorder="1" applyAlignment="1"/>
    <xf numFmtId="0" fontId="16" fillId="0" borderId="0" xfId="4" applyFont="1" applyFill="1" applyBorder="1" applyAlignment="1"/>
    <xf numFmtId="0" fontId="22" fillId="0" borderId="0" xfId="4" applyFont="1" applyFill="1" applyBorder="1" applyAlignment="1">
      <alignment wrapText="1"/>
    </xf>
    <xf numFmtId="0" fontId="2" fillId="0" borderId="0" xfId="4" applyFill="1" applyBorder="1" applyAlignment="1">
      <alignment horizontal="center" wrapText="1"/>
    </xf>
    <xf numFmtId="0" fontId="2" fillId="0" borderId="0" xfId="4" applyFill="1" applyBorder="1" applyAlignment="1">
      <alignment wrapText="1"/>
    </xf>
    <xf numFmtId="0" fontId="2" fillId="0" borderId="0" xfId="4" applyFill="1" applyBorder="1" applyAlignment="1">
      <alignment horizontal="right" wrapText="1"/>
    </xf>
    <xf numFmtId="0" fontId="14" fillId="0" borderId="0" xfId="4" applyFont="1" applyFill="1" applyBorder="1" applyAlignment="1">
      <alignment wrapText="1"/>
    </xf>
    <xf numFmtId="0" fontId="2" fillId="0" borderId="0" xfId="4" applyFill="1" applyBorder="1" applyAlignment="1">
      <alignment horizontal="left" wrapText="1"/>
    </xf>
    <xf numFmtId="0" fontId="2" fillId="0" borderId="0" xfId="4" applyFont="1" applyFill="1" applyBorder="1" applyAlignment="1">
      <alignment horizontal="right" wrapText="1"/>
    </xf>
    <xf numFmtId="0" fontId="2" fillId="0" borderId="0" xfId="4" applyFill="1" applyAlignment="1">
      <alignment horizontal="right" wrapText="1"/>
    </xf>
    <xf numFmtId="0" fontId="2" fillId="0" borderId="0" xfId="4" applyFill="1" applyAlignment="1">
      <alignment horizontal="center" wrapText="1"/>
    </xf>
    <xf numFmtId="0" fontId="2" fillId="0" borderId="0" xfId="4" applyFill="1" applyAlignment="1">
      <alignment wrapText="1"/>
    </xf>
    <xf numFmtId="0" fontId="14" fillId="0" borderId="0" xfId="4" applyFont="1" applyFill="1" applyAlignment="1">
      <alignment wrapText="1"/>
    </xf>
    <xf numFmtId="0" fontId="23" fillId="0" borderId="0" xfId="6" applyFont="1" applyFill="1" applyBorder="1"/>
    <xf numFmtId="167" fontId="5" fillId="0" borderId="0" xfId="6" applyNumberFormat="1" applyFont="1" applyFill="1" applyBorder="1" applyAlignment="1">
      <alignment horizontal="right"/>
    </xf>
    <xf numFmtId="0" fontId="8" fillId="0" borderId="0" xfId="6" applyFont="1" applyFill="1" applyBorder="1" applyAlignment="1">
      <alignment horizontal="right"/>
    </xf>
    <xf numFmtId="3" fontId="4" fillId="0" borderId="0" xfId="6" applyNumberFormat="1" applyFont="1" applyFill="1" applyBorder="1"/>
    <xf numFmtId="170" fontId="15" fillId="2" borderId="14" xfId="1" applyNumberFormat="1" applyFont="1" applyFill="1" applyBorder="1" applyAlignment="1">
      <alignment horizontal="center"/>
    </xf>
    <xf numFmtId="170" fontId="15" fillId="2" borderId="6" xfId="1" applyNumberFormat="1" applyFont="1" applyFill="1" applyBorder="1" applyAlignment="1">
      <alignment horizontal="center"/>
    </xf>
    <xf numFmtId="170" fontId="15" fillId="2" borderId="10" xfId="1" applyNumberFormat="1" applyFont="1" applyFill="1" applyBorder="1" applyAlignment="1">
      <alignment horizontal="center"/>
    </xf>
    <xf numFmtId="170" fontId="14" fillId="0" borderId="14" xfId="1" applyNumberFormat="1" applyFont="1" applyFill="1" applyBorder="1" applyAlignment="1">
      <alignment horizontal="center"/>
    </xf>
    <xf numFmtId="170" fontId="14" fillId="2" borderId="6" xfId="1" applyNumberFormat="1" applyFont="1" applyFill="1" applyBorder="1" applyAlignment="1">
      <alignment horizontal="center"/>
    </xf>
    <xf numFmtId="9" fontId="14" fillId="0" borderId="14" xfId="7" applyFont="1" applyFill="1" applyBorder="1" applyAlignment="1">
      <alignment horizontal="center"/>
    </xf>
    <xf numFmtId="3" fontId="15" fillId="2" borderId="6" xfId="1" applyNumberFormat="1" applyFont="1" applyFill="1" applyBorder="1" applyAlignment="1">
      <alignment horizontal="center"/>
    </xf>
    <xf numFmtId="171" fontId="15" fillId="2" borderId="7" xfId="2" applyNumberFormat="1" applyFont="1" applyFill="1" applyBorder="1" applyAlignment="1">
      <alignment horizontal="center"/>
    </xf>
    <xf numFmtId="171" fontId="15" fillId="2" borderId="8" xfId="2" applyNumberFormat="1" applyFont="1" applyFill="1" applyBorder="1" applyAlignment="1">
      <alignment horizontal="center"/>
    </xf>
    <xf numFmtId="171" fontId="15" fillId="2" borderId="6" xfId="2" applyNumberFormat="1" applyFont="1" applyFill="1" applyBorder="1" applyAlignment="1">
      <alignment horizontal="center"/>
    </xf>
    <xf numFmtId="171" fontId="15" fillId="2" borderId="15" xfId="2" applyNumberFormat="1" applyFont="1" applyFill="1" applyBorder="1" applyAlignment="1">
      <alignment horizontal="center"/>
    </xf>
    <xf numFmtId="171" fontId="15" fillId="2" borderId="0" xfId="1" applyNumberFormat="1" applyFont="1" applyFill="1" applyBorder="1" applyAlignment="1">
      <alignment horizontal="center"/>
    </xf>
    <xf numFmtId="170" fontId="15" fillId="2" borderId="0" xfId="1" applyNumberFormat="1" applyFont="1" applyFill="1" applyBorder="1" applyAlignment="1">
      <alignment horizontal="center"/>
    </xf>
    <xf numFmtId="3" fontId="15" fillId="2" borderId="14" xfId="1" applyNumberFormat="1" applyFont="1" applyFill="1" applyBorder="1" applyAlignment="1">
      <alignment horizontal="center"/>
    </xf>
    <xf numFmtId="171" fontId="15" fillId="2" borderId="0" xfId="2" applyNumberFormat="1" applyFont="1" applyFill="1" applyBorder="1" applyAlignment="1">
      <alignment horizontal="center"/>
    </xf>
    <xf numFmtId="171" fontId="15" fillId="2" borderId="13" xfId="2" applyNumberFormat="1" applyFont="1" applyFill="1" applyBorder="1" applyAlignment="1">
      <alignment horizontal="center"/>
    </xf>
    <xf numFmtId="171" fontId="15" fillId="2" borderId="1" xfId="2" applyNumberFormat="1" applyFont="1" applyFill="1" applyBorder="1" applyAlignment="1">
      <alignment horizontal="center"/>
    </xf>
    <xf numFmtId="171" fontId="15" fillId="2" borderId="14" xfId="2" applyNumberFormat="1" applyFont="1" applyFill="1" applyBorder="1" applyAlignment="1">
      <alignment horizontal="center"/>
    </xf>
    <xf numFmtId="171" fontId="15" fillId="2" borderId="16" xfId="2" applyNumberFormat="1" applyFont="1" applyFill="1" applyBorder="1" applyAlignment="1">
      <alignment horizontal="center"/>
    </xf>
    <xf numFmtId="3" fontId="15" fillId="2" borderId="10" xfId="1" applyNumberFormat="1" applyFont="1" applyFill="1" applyBorder="1" applyAlignment="1">
      <alignment horizontal="center"/>
    </xf>
    <xf numFmtId="171" fontId="15" fillId="2" borderId="10" xfId="2" applyNumberFormat="1" applyFont="1" applyFill="1" applyBorder="1" applyAlignment="1">
      <alignment horizontal="center"/>
    </xf>
    <xf numFmtId="171" fontId="15" fillId="2" borderId="12" xfId="2" applyNumberFormat="1" applyFont="1" applyFill="1" applyBorder="1" applyAlignment="1">
      <alignment horizontal="center"/>
    </xf>
    <xf numFmtId="0" fontId="14" fillId="0" borderId="10" xfId="1" applyNumberFormat="1" applyFont="1" applyFill="1" applyBorder="1" applyAlignment="1"/>
    <xf numFmtId="3" fontId="14" fillId="0" borderId="14" xfId="1" applyNumberFormat="1" applyFont="1" applyFill="1" applyBorder="1" applyAlignment="1">
      <alignment horizontal="center"/>
    </xf>
    <xf numFmtId="3" fontId="14" fillId="2" borderId="6" xfId="1" applyNumberFormat="1" applyFont="1" applyFill="1" applyBorder="1" applyAlignment="1">
      <alignment horizontal="center"/>
    </xf>
    <xf numFmtId="171" fontId="14" fillId="0" borderId="0" xfId="2" applyNumberFormat="1" applyFont="1" applyFill="1" applyBorder="1" applyAlignment="1">
      <alignment horizontal="center"/>
    </xf>
    <xf numFmtId="171" fontId="14" fillId="2" borderId="7" xfId="2" applyNumberFormat="1" applyFont="1" applyFill="1" applyBorder="1" applyAlignment="1">
      <alignment horizontal="center"/>
    </xf>
    <xf numFmtId="171" fontId="14" fillId="0" borderId="13" xfId="2" applyNumberFormat="1" applyFont="1" applyFill="1" applyBorder="1" applyAlignment="1">
      <alignment horizontal="center"/>
    </xf>
    <xf numFmtId="171" fontId="14" fillId="0" borderId="1" xfId="2" applyNumberFormat="1" applyFont="1" applyFill="1" applyBorder="1" applyAlignment="1">
      <alignment horizontal="center"/>
    </xf>
    <xf numFmtId="171" fontId="14" fillId="2" borderId="8" xfId="2" applyNumberFormat="1" applyFont="1" applyFill="1" applyBorder="1" applyAlignment="1">
      <alignment horizontal="center"/>
    </xf>
    <xf numFmtId="171" fontId="14" fillId="0" borderId="14" xfId="2" applyNumberFormat="1" applyFont="1" applyFill="1" applyBorder="1" applyAlignment="1">
      <alignment horizontal="center"/>
    </xf>
    <xf numFmtId="171" fontId="14" fillId="2" borderId="6" xfId="2" applyNumberFormat="1" applyFont="1" applyFill="1" applyBorder="1" applyAlignment="1">
      <alignment horizontal="center"/>
    </xf>
    <xf numFmtId="171" fontId="24" fillId="0" borderId="13" xfId="2" applyNumberFormat="1" applyFont="1" applyFill="1" applyBorder="1" applyAlignment="1">
      <alignment wrapText="1"/>
    </xf>
    <xf numFmtId="171" fontId="24" fillId="0" borderId="13" xfId="2" applyNumberFormat="1" applyFont="1" applyFill="1" applyBorder="1" applyAlignment="1">
      <alignment horizontal="center"/>
    </xf>
    <xf numFmtId="171" fontId="14" fillId="0" borderId="16" xfId="2" applyNumberFormat="1" applyFont="1" applyFill="1" applyBorder="1" applyAlignment="1">
      <alignment horizontal="center"/>
    </xf>
    <xf numFmtId="171" fontId="14" fillId="2" borderId="15" xfId="2" applyNumberFormat="1" applyFont="1" applyFill="1" applyBorder="1" applyAlignment="1">
      <alignment horizontal="center"/>
    </xf>
    <xf numFmtId="171" fontId="14" fillId="0" borderId="0" xfId="1" applyNumberFormat="1" applyFont="1" applyFill="1" applyBorder="1" applyAlignment="1">
      <alignment horizontal="center"/>
    </xf>
    <xf numFmtId="171" fontId="14" fillId="2" borderId="0" xfId="5" applyNumberFormat="1" applyFont="1" applyFill="1" applyBorder="1" applyAlignment="1"/>
    <xf numFmtId="9" fontId="14" fillId="0" borderId="13" xfId="7" applyFont="1" applyFill="1" applyBorder="1" applyAlignment="1"/>
    <xf numFmtId="0" fontId="14" fillId="2" borderId="0" xfId="5" applyFont="1" applyFill="1" applyBorder="1" applyAlignment="1"/>
    <xf numFmtId="170" fontId="14" fillId="0" borderId="0" xfId="1" applyNumberFormat="1" applyFont="1" applyFill="1" applyBorder="1" applyAlignment="1">
      <alignment horizontal="center"/>
    </xf>
    <xf numFmtId="3" fontId="0" fillId="2" borderId="0" xfId="0" applyNumberFormat="1" applyFill="1"/>
    <xf numFmtId="172" fontId="27" fillId="2" borderId="0" xfId="0" applyNumberFormat="1" applyFont="1" applyFill="1"/>
    <xf numFmtId="0" fontId="2" fillId="0" borderId="0" xfId="4" applyFont="1" applyFill="1" applyAlignment="1">
      <alignment wrapText="1"/>
    </xf>
    <xf numFmtId="0" fontId="28" fillId="0" borderId="0" xfId="4" applyFont="1" applyFill="1" applyAlignment="1">
      <alignment wrapText="1"/>
    </xf>
    <xf numFmtId="9" fontId="14" fillId="0" borderId="6" xfId="7" applyFont="1" applyFill="1" applyBorder="1" applyAlignment="1">
      <alignment horizontal="center"/>
    </xf>
    <xf numFmtId="9" fontId="14" fillId="0" borderId="7" xfId="7" applyFont="1" applyFill="1" applyBorder="1" applyAlignment="1">
      <alignment horizontal="center"/>
    </xf>
    <xf numFmtId="9" fontId="14" fillId="0" borderId="8" xfId="7" applyFont="1" applyFill="1" applyBorder="1" applyAlignment="1">
      <alignment horizontal="center"/>
    </xf>
    <xf numFmtId="9" fontId="14" fillId="0" borderId="15" xfId="7" applyFont="1" applyFill="1" applyBorder="1" applyAlignment="1">
      <alignment horizontal="center"/>
    </xf>
    <xf numFmtId="0" fontId="5" fillId="0" borderId="2" xfId="6" applyFont="1" applyFill="1" applyBorder="1"/>
    <xf numFmtId="0" fontId="5" fillId="0" borderId="17" xfId="6" applyFont="1" applyFill="1" applyBorder="1" applyAlignment="1">
      <alignment wrapText="1"/>
    </xf>
    <xf numFmtId="0" fontId="11" fillId="0" borderId="0" xfId="6" applyFont="1" applyFill="1"/>
    <xf numFmtId="3" fontId="5" fillId="0" borderId="2" xfId="6" applyNumberFormat="1" applyFont="1" applyFill="1" applyBorder="1"/>
    <xf numFmtId="0" fontId="8" fillId="0" borderId="0" xfId="6" applyFont="1" applyFill="1"/>
    <xf numFmtId="2" fontId="12" fillId="0" borderId="0" xfId="6" applyNumberFormat="1" applyFont="1" applyFill="1" applyBorder="1"/>
    <xf numFmtId="9" fontId="8" fillId="0" borderId="0" xfId="7" applyFont="1" applyFill="1"/>
    <xf numFmtId="0" fontId="2" fillId="0" borderId="0" xfId="4" applyAlignment="1">
      <alignment wrapText="1"/>
    </xf>
    <xf numFmtId="0" fontId="2" fillId="4" borderId="10" xfId="4" applyFill="1" applyBorder="1" applyAlignment="1">
      <alignment wrapText="1"/>
    </xf>
    <xf numFmtId="0" fontId="2" fillId="0" borderId="10" xfId="4" applyBorder="1" applyAlignment="1">
      <alignment wrapText="1"/>
    </xf>
    <xf numFmtId="0" fontId="2" fillId="4" borderId="1" xfId="4" applyFill="1" applyBorder="1" applyAlignment="1">
      <alignment wrapText="1"/>
    </xf>
    <xf numFmtId="0" fontId="2" fillId="4" borderId="0" xfId="4" applyFill="1" applyAlignment="1">
      <alignment wrapText="1"/>
    </xf>
    <xf numFmtId="0" fontId="14" fillId="4" borderId="0" xfId="4" applyFont="1" applyFill="1" applyAlignment="1">
      <alignment wrapText="1"/>
    </xf>
    <xf numFmtId="0" fontId="2" fillId="4" borderId="0" xfId="4" applyFill="1" applyBorder="1" applyAlignment="1">
      <alignment wrapText="1"/>
    </xf>
    <xf numFmtId="0" fontId="2" fillId="0" borderId="0" xfId="4" applyBorder="1" applyAlignment="1">
      <alignment wrapText="1"/>
    </xf>
    <xf numFmtId="0" fontId="2" fillId="0" borderId="0" xfId="4" applyFont="1" applyAlignment="1">
      <alignment wrapText="1"/>
    </xf>
    <xf numFmtId="0" fontId="2" fillId="6" borderId="0" xfId="4" applyFill="1" applyAlignment="1">
      <alignment wrapText="1"/>
    </xf>
    <xf numFmtId="0" fontId="29" fillId="0" borderId="18" xfId="4" applyFont="1" applyFill="1" applyBorder="1" applyAlignment="1">
      <alignment wrapText="1"/>
    </xf>
    <xf numFmtId="0" fontId="16" fillId="0" borderId="1" xfId="4" applyFont="1" applyBorder="1" applyAlignment="1">
      <alignment wrapText="1"/>
    </xf>
    <xf numFmtId="0" fontId="14" fillId="0" borderId="0" xfId="4" applyFont="1" applyAlignment="1">
      <alignment wrapText="1"/>
    </xf>
    <xf numFmtId="0" fontId="16" fillId="0" borderId="0" xfId="4" applyFont="1" applyAlignment="1">
      <alignment wrapText="1"/>
    </xf>
    <xf numFmtId="0" fontId="29" fillId="0" borderId="1" xfId="4" applyFont="1" applyBorder="1" applyAlignment="1">
      <alignment wrapText="1"/>
    </xf>
    <xf numFmtId="9" fontId="30" fillId="0" borderId="0" xfId="7" applyFont="1" applyFill="1" applyBorder="1" applyAlignment="1">
      <alignment horizontal="right" wrapText="1"/>
    </xf>
    <xf numFmtId="9" fontId="30" fillId="0" borderId="0" xfId="6" applyNumberFormat="1" applyFont="1" applyFill="1" applyBorder="1" applyAlignment="1">
      <alignment horizontal="right" wrapText="1"/>
    </xf>
    <xf numFmtId="3" fontId="2" fillId="0" borderId="0" xfId="4" applyNumberFormat="1" applyFill="1" applyBorder="1" applyAlignment="1">
      <alignment horizontal="center" wrapText="1"/>
    </xf>
    <xf numFmtId="3" fontId="2" fillId="0" borderId="19" xfId="4" applyNumberFormat="1" applyFont="1" applyFill="1" applyBorder="1" applyAlignment="1">
      <alignment horizontal="center" wrapText="1"/>
    </xf>
    <xf numFmtId="3" fontId="31" fillId="0" borderId="9" xfId="4" applyNumberFormat="1" applyFont="1" applyFill="1" applyBorder="1" applyAlignment="1">
      <alignment horizontal="center" wrapText="1"/>
    </xf>
    <xf numFmtId="3" fontId="31" fillId="0" borderId="19" xfId="4" applyNumberFormat="1" applyFont="1" applyFill="1" applyBorder="1" applyAlignment="1">
      <alignment horizontal="center" wrapText="1"/>
    </xf>
    <xf numFmtId="3" fontId="31" fillId="0" borderId="20" xfId="4" applyNumberFormat="1" applyFont="1" applyFill="1" applyBorder="1" applyAlignment="1">
      <alignment horizontal="center" wrapText="1"/>
    </xf>
    <xf numFmtId="0" fontId="2" fillId="0" borderId="0" xfId="4" applyFont="1" applyFill="1" applyBorder="1" applyAlignment="1">
      <alignment horizontal="left" wrapText="1"/>
    </xf>
    <xf numFmtId="0" fontId="2" fillId="0" borderId="0" xfId="4" applyFill="1" applyAlignment="1">
      <alignment horizontal="left" wrapText="1"/>
    </xf>
    <xf numFmtId="3" fontId="14" fillId="0" borderId="6" xfId="4" applyNumberFormat="1" applyFont="1" applyFill="1" applyBorder="1" applyAlignment="1">
      <alignment horizontal="center" wrapText="1"/>
    </xf>
    <xf numFmtId="3" fontId="14" fillId="0" borderId="7" xfId="4" applyNumberFormat="1" applyFont="1" applyFill="1" applyBorder="1" applyAlignment="1">
      <alignment horizontal="center" wrapText="1"/>
    </xf>
    <xf numFmtId="0" fontId="16" fillId="0" borderId="0" xfId="4" applyFont="1" applyBorder="1" applyAlignment="1">
      <alignment wrapText="1"/>
    </xf>
    <xf numFmtId="0" fontId="29" fillId="0" borderId="18" xfId="4" applyFont="1" applyBorder="1" applyAlignment="1">
      <alignment wrapText="1"/>
    </xf>
    <xf numFmtId="0" fontId="5" fillId="0" borderId="0" xfId="6" applyFont="1" applyBorder="1" applyAlignment="1">
      <alignment horizontal="left" wrapText="1"/>
    </xf>
    <xf numFmtId="169" fontId="5" fillId="0" borderId="0" xfId="6" applyNumberFormat="1" applyFont="1" applyFill="1" applyBorder="1" applyAlignment="1">
      <alignment horizontal="left"/>
    </xf>
    <xf numFmtId="3" fontId="5" fillId="0" borderId="0" xfId="6" applyNumberFormat="1" applyFont="1" applyFill="1" applyBorder="1" applyAlignment="1">
      <alignment horizontal="right"/>
    </xf>
    <xf numFmtId="167" fontId="5" fillId="0" borderId="0" xfId="6" applyNumberFormat="1" applyFont="1" applyFill="1" applyBorder="1" applyAlignment="1"/>
    <xf numFmtId="9" fontId="5" fillId="0" borderId="0" xfId="6" applyNumberFormat="1" applyFont="1" applyFill="1" applyBorder="1" applyAlignment="1"/>
    <xf numFmtId="0" fontId="5" fillId="0" borderId="0" xfId="6" applyFont="1" applyFill="1" applyBorder="1" applyAlignment="1"/>
    <xf numFmtId="1" fontId="5" fillId="2" borderId="1" xfId="6" applyNumberFormat="1" applyFont="1" applyFill="1" applyBorder="1"/>
    <xf numFmtId="0" fontId="10" fillId="2" borderId="1" xfId="6" applyFont="1" applyFill="1" applyBorder="1"/>
    <xf numFmtId="3" fontId="14" fillId="0" borderId="8" xfId="4" applyNumberFormat="1" applyFont="1" applyFill="1" applyBorder="1" applyAlignment="1">
      <alignment horizontal="center" wrapText="1"/>
    </xf>
    <xf numFmtId="3" fontId="15" fillId="0" borderId="19" xfId="4" applyNumberFormat="1" applyFont="1" applyFill="1" applyBorder="1" applyAlignment="1">
      <alignment horizontal="center" wrapText="1"/>
    </xf>
    <xf numFmtId="3" fontId="2" fillId="0" borderId="19" xfId="4" applyNumberFormat="1" applyFill="1" applyBorder="1" applyAlignment="1">
      <alignment horizontal="center" wrapText="1"/>
    </xf>
    <xf numFmtId="3" fontId="2" fillId="0" borderId="6" xfId="4" applyNumberFormat="1" applyFill="1" applyBorder="1" applyAlignment="1">
      <alignment horizontal="center" wrapText="1"/>
    </xf>
    <xf numFmtId="3" fontId="29" fillId="0" borderId="9" xfId="4" applyNumberFormat="1" applyFont="1" applyFill="1" applyBorder="1" applyAlignment="1">
      <alignment horizontal="center" wrapText="1"/>
    </xf>
    <xf numFmtId="1" fontId="9" fillId="0" borderId="0" xfId="7" applyNumberFormat="1" applyFont="1" applyFill="1" applyBorder="1"/>
    <xf numFmtId="3" fontId="2" fillId="0" borderId="20" xfId="4" applyNumberFormat="1" applyFont="1" applyFill="1" applyBorder="1" applyAlignment="1">
      <alignment horizontal="center" wrapText="1"/>
    </xf>
    <xf numFmtId="3" fontId="2" fillId="0" borderId="0" xfId="4" applyNumberFormat="1" applyFill="1" applyAlignment="1">
      <alignment horizontal="center" wrapText="1"/>
    </xf>
    <xf numFmtId="0" fontId="2" fillId="0" borderId="0" xfId="4" applyFont="1" applyFill="1" applyAlignment="1">
      <alignment horizontal="right" wrapText="1"/>
    </xf>
    <xf numFmtId="10" fontId="5" fillId="0" borderId="0" xfId="6" applyNumberFormat="1" applyFont="1" applyFill="1" applyBorder="1"/>
    <xf numFmtId="0" fontId="5" fillId="0" borderId="0" xfId="6" applyFont="1" applyBorder="1" applyAlignment="1">
      <alignment horizontal="left" wrapText="1" shrinkToFit="1"/>
    </xf>
    <xf numFmtId="3" fontId="16" fillId="0" borderId="0" xfId="4" applyNumberFormat="1" applyFont="1" applyFill="1" applyBorder="1" applyAlignment="1">
      <alignment horizontal="center" wrapText="1"/>
    </xf>
    <xf numFmtId="0" fontId="16" fillId="0" borderId="0" xfId="4" applyFont="1" applyFill="1" applyBorder="1" applyAlignment="1">
      <alignment horizontal="center" wrapText="1"/>
    </xf>
    <xf numFmtId="0" fontId="4" fillId="0" borderId="0" xfId="6" applyFont="1" applyFill="1" applyBorder="1"/>
    <xf numFmtId="0" fontId="4" fillId="0" borderId="0" xfId="6" applyFont="1" applyFill="1" applyBorder="1" applyAlignment="1"/>
    <xf numFmtId="3" fontId="15" fillId="0" borderId="0" xfId="4" applyNumberFormat="1" applyFont="1" applyFill="1" applyAlignment="1">
      <alignment horizontal="center" wrapText="1"/>
    </xf>
    <xf numFmtId="0" fontId="2" fillId="0" borderId="0" xfId="4" applyFont="1" applyFill="1" applyAlignment="1">
      <alignment horizontal="center" wrapText="1"/>
    </xf>
    <xf numFmtId="3" fontId="2" fillId="0" borderId="10" xfId="4" applyNumberFormat="1" applyFill="1" applyBorder="1" applyAlignment="1">
      <alignment horizontal="center" wrapText="1"/>
    </xf>
    <xf numFmtId="3" fontId="16" fillId="0" borderId="1" xfId="4" applyNumberFormat="1" applyFont="1" applyFill="1" applyBorder="1" applyAlignment="1">
      <alignment horizontal="center" wrapText="1"/>
    </xf>
    <xf numFmtId="3" fontId="2" fillId="0" borderId="7" xfId="4" applyNumberFormat="1" applyFill="1" applyBorder="1" applyAlignment="1">
      <alignment horizontal="center" wrapText="1"/>
    </xf>
    <xf numFmtId="3" fontId="16" fillId="0" borderId="7" xfId="4" applyNumberFormat="1" applyFont="1" applyFill="1" applyBorder="1" applyAlignment="1">
      <alignment horizontal="center" wrapText="1"/>
    </xf>
    <xf numFmtId="3" fontId="29" fillId="0" borderId="21" xfId="4" applyNumberFormat="1" applyFont="1" applyFill="1" applyBorder="1" applyAlignment="1">
      <alignment horizontal="center" wrapText="1"/>
    </xf>
    <xf numFmtId="3" fontId="14" fillId="0" borderId="21" xfId="4" applyNumberFormat="1" applyFont="1" applyFill="1" applyBorder="1" applyAlignment="1">
      <alignment horizontal="center" wrapText="1"/>
    </xf>
    <xf numFmtId="10" fontId="5" fillId="0" borderId="0" xfId="7" applyNumberFormat="1" applyFont="1" applyFill="1" applyBorder="1" applyAlignment="1">
      <alignment horizontal="right"/>
    </xf>
    <xf numFmtId="0" fontId="1" fillId="0" borderId="0" xfId="0" applyFont="1"/>
    <xf numFmtId="0" fontId="34" fillId="0" borderId="0" xfId="6" applyFont="1"/>
    <xf numFmtId="168" fontId="34" fillId="0" borderId="0" xfId="7" applyNumberFormat="1" applyFont="1"/>
    <xf numFmtId="0" fontId="1" fillId="0" borderId="15" xfId="0" applyFont="1" applyBorder="1"/>
    <xf numFmtId="9" fontId="1" fillId="0" borderId="15" xfId="7" applyFont="1" applyBorder="1"/>
    <xf numFmtId="10" fontId="1" fillId="0" borderId="15" xfId="0" applyNumberFormat="1" applyFont="1" applyBorder="1"/>
    <xf numFmtId="10" fontId="0" fillId="0" borderId="0" xfId="0" applyNumberFormat="1"/>
    <xf numFmtId="0" fontId="0" fillId="0" borderId="15" xfId="0" applyBorder="1"/>
    <xf numFmtId="3" fontId="0" fillId="0" borderId="15" xfId="0" applyNumberFormat="1" applyBorder="1"/>
    <xf numFmtId="10" fontId="0" fillId="0" borderId="15" xfId="0" applyNumberFormat="1" applyBorder="1"/>
    <xf numFmtId="173" fontId="0" fillId="0" borderId="0" xfId="0" applyNumberFormat="1"/>
    <xf numFmtId="10" fontId="0" fillId="0" borderId="0" xfId="0" applyNumberFormat="1" applyFill="1"/>
    <xf numFmtId="0" fontId="16" fillId="0" borderId="1" xfId="0" applyFont="1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10" fontId="0" fillId="0" borderId="0" xfId="0" applyNumberFormat="1" applyAlignment="1">
      <alignment horizontal="left" vertical="top"/>
    </xf>
    <xf numFmtId="0" fontId="1" fillId="7" borderId="15" xfId="0" applyFont="1" applyFill="1" applyBorder="1" applyAlignment="1">
      <alignment horizontal="right"/>
    </xf>
    <xf numFmtId="10" fontId="0" fillId="7" borderId="15" xfId="0" applyNumberFormat="1" applyFill="1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9" fontId="0" fillId="0" borderId="0" xfId="0" applyNumberFormat="1" applyAlignment="1">
      <alignment horizontal="left" vertical="top"/>
    </xf>
    <xf numFmtId="0" fontId="5" fillId="0" borderId="0" xfId="6" applyFont="1" applyBorder="1" applyAlignment="1">
      <alignment horizontal="left" wrapText="1" shrinkToFit="1"/>
    </xf>
    <xf numFmtId="169" fontId="5" fillId="0" borderId="0" xfId="6" applyNumberFormat="1" applyFont="1" applyFill="1" applyBorder="1" applyAlignment="1">
      <alignment horizontal="center"/>
    </xf>
    <xf numFmtId="0" fontId="14" fillId="0" borderId="10" xfId="1" applyNumberFormat="1" applyFont="1" applyFill="1" applyBorder="1" applyAlignment="1">
      <alignment horizontal="center"/>
    </xf>
    <xf numFmtId="0" fontId="15" fillId="0" borderId="10" xfId="1" applyNumberFormat="1" applyFont="1" applyFill="1" applyBorder="1" applyAlignment="1">
      <alignment horizontal="center"/>
    </xf>
  </cellXfs>
  <cellStyles count="8">
    <cellStyle name="Comma_Budget v actual_IVQ Pakri" xfId="1"/>
    <cellStyle name="Kablelis" xfId="2" builtinId="3"/>
    <cellStyle name="Normal 2" xfId="3"/>
    <cellStyle name="Normal_budget 06 Pakri" xfId="4"/>
    <cellStyle name="Normal_Budget v actual_IVQ Pakri" xfId="5"/>
    <cellStyle name="Normal_Pireka CF" xfId="6"/>
    <cellStyle name="Paprastas" xfId="0" builtinId="0"/>
    <cellStyle name="Procentinė reikšmė" xfId="7" builtin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lt-LT"/>
  <c:chart>
    <c:plotArea>
      <c:layout>
        <c:manualLayout>
          <c:layoutTarget val="inner"/>
          <c:xMode val="edge"/>
          <c:yMode val="edge"/>
          <c:x val="9.1849518810148634E-2"/>
          <c:y val="5.1400554097404488E-2"/>
          <c:w val="0.87759492563429575"/>
          <c:h val="0.70415317876932049"/>
        </c:manualLayout>
      </c:layout>
      <c:lineChart>
        <c:grouping val="standard"/>
        <c:ser>
          <c:idx val="0"/>
          <c:order val="0"/>
          <c:tx>
            <c:strRef>
              <c:f>Sensitivity!$B$4</c:f>
              <c:strCache>
                <c:ptCount val="1"/>
                <c:pt idx="0">
                  <c:v>Investment variation range</c:v>
                </c:pt>
              </c:strCache>
            </c:strRef>
          </c:tx>
          <c:marker>
            <c:symbol val="none"/>
          </c:marker>
          <c:cat>
            <c:numRef>
              <c:f>Sensitivity!$C$4:$G$4</c:f>
              <c:numCache>
                <c:formatCode>0%</c:formatCode>
                <c:ptCount val="5"/>
                <c:pt idx="0">
                  <c:v>-0.1</c:v>
                </c:pt>
                <c:pt idx="1">
                  <c:v>-0.05</c:v>
                </c:pt>
                <c:pt idx="2">
                  <c:v>0</c:v>
                </c:pt>
                <c:pt idx="3">
                  <c:v>0.05</c:v>
                </c:pt>
                <c:pt idx="4">
                  <c:v>0.1</c:v>
                </c:pt>
              </c:numCache>
            </c:numRef>
          </c:cat>
          <c:val>
            <c:numRef>
              <c:f>Sensitivity!$C$6:$G$6</c:f>
              <c:numCache>
                <c:formatCode>0,00%</c:formatCode>
                <c:ptCount val="5"/>
                <c:pt idx="0">
                  <c:v>5.2838136516879075E-2</c:v>
                </c:pt>
                <c:pt idx="1">
                  <c:v>5.2017292530292192E-2</c:v>
                </c:pt>
                <c:pt idx="2">
                  <c:v>4.7729698042497271E-2</c:v>
                </c:pt>
                <c:pt idx="3">
                  <c:v>4.1433771743524694E-2</c:v>
                </c:pt>
                <c:pt idx="4">
                  <c:v>3.540039424021435E-2</c:v>
                </c:pt>
              </c:numCache>
            </c:numRef>
          </c:val>
        </c:ser>
        <c:ser>
          <c:idx val="1"/>
          <c:order val="1"/>
          <c:tx>
            <c:strRef>
              <c:f>Sensitivity!$B$9</c:f>
              <c:strCache>
                <c:ptCount val="1"/>
                <c:pt idx="0">
                  <c:v>Energy production variation range</c:v>
                </c:pt>
              </c:strCache>
            </c:strRef>
          </c:tx>
          <c:marker>
            <c:symbol val="none"/>
          </c:marker>
          <c:cat>
            <c:numRef>
              <c:f>Sensitivity!$C$4:$G$4</c:f>
              <c:numCache>
                <c:formatCode>0%</c:formatCode>
                <c:ptCount val="5"/>
                <c:pt idx="0">
                  <c:v>-0.1</c:v>
                </c:pt>
                <c:pt idx="1">
                  <c:v>-0.05</c:v>
                </c:pt>
                <c:pt idx="2">
                  <c:v>0</c:v>
                </c:pt>
                <c:pt idx="3">
                  <c:v>0.05</c:v>
                </c:pt>
                <c:pt idx="4">
                  <c:v>0.1</c:v>
                </c:pt>
              </c:numCache>
            </c:numRef>
          </c:cat>
          <c:val>
            <c:numRef>
              <c:f>Sensitivity!$C$11:$G$11</c:f>
              <c:numCache>
                <c:formatCode>0,00%</c:formatCode>
                <c:ptCount val="5"/>
                <c:pt idx="0">
                  <c:v>3.3420719064433113E-2</c:v>
                </c:pt>
                <c:pt idx="1">
                  <c:v>4.0769626628452071E-2</c:v>
                </c:pt>
                <c:pt idx="2">
                  <c:v>4.7729698042497271E-2</c:v>
                </c:pt>
                <c:pt idx="3">
                  <c:v>5.2030072523519655E-2</c:v>
                </c:pt>
                <c:pt idx="4">
                  <c:v>5.3009210114432825E-2</c:v>
                </c:pt>
              </c:numCache>
            </c:numRef>
          </c:val>
        </c:ser>
        <c:ser>
          <c:idx val="2"/>
          <c:order val="2"/>
          <c:tx>
            <c:strRef>
              <c:f>Sensitivity!$B$13</c:f>
              <c:strCache>
                <c:ptCount val="1"/>
                <c:pt idx="0">
                  <c:v>Benchmark</c:v>
                </c:pt>
              </c:strCache>
            </c:strRef>
          </c:tx>
          <c:marker>
            <c:symbol val="none"/>
          </c:marker>
          <c:cat>
            <c:numRef>
              <c:f>Sensitivity!$C$4:$G$4</c:f>
              <c:numCache>
                <c:formatCode>0%</c:formatCode>
                <c:ptCount val="5"/>
                <c:pt idx="0">
                  <c:v>-0.1</c:v>
                </c:pt>
                <c:pt idx="1">
                  <c:v>-0.05</c:v>
                </c:pt>
                <c:pt idx="2">
                  <c:v>0</c:v>
                </c:pt>
                <c:pt idx="3">
                  <c:v>0.05</c:v>
                </c:pt>
                <c:pt idx="4">
                  <c:v>0.1</c:v>
                </c:pt>
              </c:numCache>
            </c:numRef>
          </c:cat>
          <c:val>
            <c:numRef>
              <c:f>Sensitivity!$C$13:$G$13</c:f>
              <c:numCache>
                <c:formatCode>0,00%</c:formatCode>
                <c:ptCount val="5"/>
                <c:pt idx="0">
                  <c:v>9.9299999999999999E-2</c:v>
                </c:pt>
                <c:pt idx="1">
                  <c:v>9.9299999999999999E-2</c:v>
                </c:pt>
                <c:pt idx="2">
                  <c:v>9.9299999999999999E-2</c:v>
                </c:pt>
                <c:pt idx="3">
                  <c:v>9.9299999999999999E-2</c:v>
                </c:pt>
                <c:pt idx="4">
                  <c:v>9.9299999999999999E-2</c:v>
                </c:pt>
              </c:numCache>
            </c:numRef>
          </c:val>
        </c:ser>
        <c:marker val="1"/>
        <c:axId val="109238144"/>
        <c:axId val="109239680"/>
      </c:lineChart>
      <c:catAx>
        <c:axId val="109238144"/>
        <c:scaling>
          <c:orientation val="minMax"/>
        </c:scaling>
        <c:axPos val="b"/>
        <c:numFmt formatCode="0%" sourceLinked="1"/>
        <c:tickLblPos val="nextTo"/>
        <c:crossAx val="109239680"/>
        <c:crosses val="autoZero"/>
        <c:auto val="1"/>
        <c:lblAlgn val="ctr"/>
        <c:lblOffset val="100"/>
      </c:catAx>
      <c:valAx>
        <c:axId val="109239680"/>
        <c:scaling>
          <c:orientation val="minMax"/>
          <c:min val="2.0000000000000011E-2"/>
        </c:scaling>
        <c:axPos val="l"/>
        <c:majorGridlines/>
        <c:numFmt formatCode="0%" sourceLinked="0"/>
        <c:tickLblPos val="nextTo"/>
        <c:crossAx val="109238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1109798775153142E-2"/>
          <c:y val="0.83912620297462814"/>
          <c:w val="0.94666929133858357"/>
          <c:h val="0.13309601924759404"/>
        </c:manualLayout>
      </c:layout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lt-LT"/>
  <c:chart>
    <c:plotArea>
      <c:layout/>
      <c:lineChart>
        <c:grouping val="standard"/>
        <c:ser>
          <c:idx val="0"/>
          <c:order val="0"/>
          <c:tx>
            <c:strRef>
              <c:f>Sensitivity!$L$3</c:f>
              <c:strCache>
                <c:ptCount val="1"/>
                <c:pt idx="0">
                  <c:v>AVIR</c:v>
                </c:pt>
              </c:strCache>
            </c:strRef>
          </c:tx>
          <c:marker>
            <c:symbol val="none"/>
          </c:marker>
          <c:cat>
            <c:numRef>
              <c:f>Sensitivity!$K$4:$K$10</c:f>
              <c:numCache>
                <c:formatCode>yyyy\-mm</c:formatCode>
                <c:ptCount val="7"/>
                <c:pt idx="0">
                  <c:v>39629</c:v>
                </c:pt>
                <c:pt idx="1">
                  <c:v>39660</c:v>
                </c:pt>
                <c:pt idx="2">
                  <c:v>39691</c:v>
                </c:pt>
                <c:pt idx="3">
                  <c:v>39721</c:v>
                </c:pt>
                <c:pt idx="4">
                  <c:v>39752</c:v>
                </c:pt>
                <c:pt idx="5">
                  <c:v>39782</c:v>
                </c:pt>
                <c:pt idx="6">
                  <c:v>39813</c:v>
                </c:pt>
              </c:numCache>
            </c:numRef>
          </c:cat>
          <c:val>
            <c:numRef>
              <c:f>Sensitivity!$L$4:$L$10</c:f>
              <c:numCache>
                <c:formatCode>0,00%</c:formatCode>
                <c:ptCount val="7"/>
                <c:pt idx="0">
                  <c:v>7.51E-2</c:v>
                </c:pt>
                <c:pt idx="1">
                  <c:v>7.4300000000000005E-2</c:v>
                </c:pt>
                <c:pt idx="2">
                  <c:v>7.5600000000000001E-2</c:v>
                </c:pt>
                <c:pt idx="3">
                  <c:v>8.14E-2</c:v>
                </c:pt>
                <c:pt idx="4">
                  <c:v>8.3000000000000004E-2</c:v>
                </c:pt>
                <c:pt idx="5">
                  <c:v>9.69E-2</c:v>
                </c:pt>
                <c:pt idx="6">
                  <c:v>9.9299999999999999E-2</c:v>
                </c:pt>
              </c:numCache>
            </c:numRef>
          </c:val>
        </c:ser>
        <c:ser>
          <c:idx val="1"/>
          <c:order val="1"/>
          <c:tx>
            <c:strRef>
              <c:f>Sensitivity!$M$3</c:f>
              <c:strCache>
                <c:ptCount val="1"/>
                <c:pt idx="0">
                  <c:v>VILIBOR</c:v>
                </c:pt>
              </c:strCache>
            </c:strRef>
          </c:tx>
          <c:marker>
            <c:symbol val="none"/>
          </c:marker>
          <c:cat>
            <c:numRef>
              <c:f>Sensitivity!$K$4:$K$10</c:f>
              <c:numCache>
                <c:formatCode>yyyy\-mm</c:formatCode>
                <c:ptCount val="7"/>
                <c:pt idx="0">
                  <c:v>39629</c:v>
                </c:pt>
                <c:pt idx="1">
                  <c:v>39660</c:v>
                </c:pt>
                <c:pt idx="2">
                  <c:v>39691</c:v>
                </c:pt>
                <c:pt idx="3">
                  <c:v>39721</c:v>
                </c:pt>
                <c:pt idx="4">
                  <c:v>39752</c:v>
                </c:pt>
                <c:pt idx="5">
                  <c:v>39782</c:v>
                </c:pt>
                <c:pt idx="6">
                  <c:v>39813</c:v>
                </c:pt>
              </c:numCache>
            </c:numRef>
          </c:cat>
          <c:val>
            <c:numRef>
              <c:f>Sensitivity!$M$4:$M$10</c:f>
              <c:numCache>
                <c:formatCode>0,00%</c:formatCode>
                <c:ptCount val="7"/>
                <c:pt idx="0">
                  <c:v>6.7100000000000007E-2</c:v>
                </c:pt>
                <c:pt idx="1">
                  <c:v>6.7900000000000002E-2</c:v>
                </c:pt>
                <c:pt idx="2">
                  <c:v>6.7100000000000007E-2</c:v>
                </c:pt>
                <c:pt idx="3">
                  <c:v>7.0800000000000002E-2</c:v>
                </c:pt>
                <c:pt idx="4">
                  <c:v>8.8300000000000003E-2</c:v>
                </c:pt>
                <c:pt idx="5">
                  <c:v>9.1999999999999998E-2</c:v>
                </c:pt>
                <c:pt idx="6">
                  <c:v>0.10680000000000001</c:v>
                </c:pt>
              </c:numCache>
            </c:numRef>
          </c:val>
        </c:ser>
        <c:marker val="1"/>
        <c:axId val="109621632"/>
        <c:axId val="109623168"/>
      </c:lineChart>
      <c:dateAx>
        <c:axId val="109621632"/>
        <c:scaling>
          <c:orientation val="minMax"/>
        </c:scaling>
        <c:axPos val="b"/>
        <c:numFmt formatCode="yyyy\-mm" sourceLinked="1"/>
        <c:tickLblPos val="nextTo"/>
        <c:crossAx val="109623168"/>
        <c:crosses val="autoZero"/>
        <c:auto val="1"/>
        <c:lblOffset val="100"/>
        <c:baseTimeUnit val="months"/>
      </c:dateAx>
      <c:valAx>
        <c:axId val="109623168"/>
        <c:scaling>
          <c:orientation val="minMax"/>
          <c:min val="5.0000000000000024E-2"/>
        </c:scaling>
        <c:axPos val="l"/>
        <c:majorGridlines/>
        <c:numFmt formatCode="0%" sourceLinked="0"/>
        <c:tickLblPos val="nextTo"/>
        <c:crossAx val="109621632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271462</xdr:colOff>
      <xdr:row>17</xdr:row>
      <xdr:rowOff>100012</xdr:rowOff>
    </xdr:from>
    <xdr:to>
      <xdr:col>6</xdr:col>
      <xdr:colOff>261937</xdr:colOff>
      <xdr:row>34</xdr:row>
      <xdr:rowOff>90487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352425</xdr:colOff>
      <xdr:row>11</xdr:row>
      <xdr:rowOff>71437</xdr:rowOff>
    </xdr:from>
    <xdr:to>
      <xdr:col>16</xdr:col>
      <xdr:colOff>47625</xdr:colOff>
      <xdr:row>29</xdr:row>
      <xdr:rowOff>61912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2"/>
    <pageSetUpPr fitToPage="1"/>
  </sheetPr>
  <dimension ref="A1:G43"/>
  <sheetViews>
    <sheetView zoomScale="81" zoomScaleNormal="8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18" sqref="H18"/>
    </sheetView>
  </sheetViews>
  <sheetFormatPr defaultRowHeight="12.75"/>
  <cols>
    <col min="1" max="1" width="18" style="212" customWidth="1"/>
    <col min="2" max="2" width="14.85546875" style="212" customWidth="1"/>
    <col min="3" max="3" width="10.42578125" style="317" bestFit="1" customWidth="1"/>
    <col min="4" max="4" width="8.85546875" style="211" bestFit="1" customWidth="1"/>
    <col min="5" max="5" width="13.140625" style="211" customWidth="1"/>
    <col min="6" max="6" width="6" style="212" bestFit="1" customWidth="1"/>
    <col min="7" max="7" width="7" style="212" bestFit="1" customWidth="1"/>
    <col min="8" max="16384" width="9.140625" style="212"/>
  </cols>
  <sheetData>
    <row r="1" spans="1:7" s="205" customFormat="1">
      <c r="A1" s="202" t="s">
        <v>100</v>
      </c>
      <c r="B1" s="203"/>
      <c r="C1" s="291" t="s">
        <v>215</v>
      </c>
      <c r="D1" s="204"/>
      <c r="E1" s="204"/>
    </row>
    <row r="2" spans="1:7" s="205" customFormat="1">
      <c r="A2" s="206" t="s">
        <v>101</v>
      </c>
      <c r="B2" s="207" t="s">
        <v>185</v>
      </c>
      <c r="C2" s="321"/>
      <c r="D2" s="322"/>
      <c r="E2" s="259" t="s">
        <v>162</v>
      </c>
      <c r="F2" s="259" t="s">
        <v>163</v>
      </c>
      <c r="G2" s="260">
        <v>3.4527999999999999</v>
      </c>
    </row>
    <row r="3" spans="1:7" s="205" customFormat="1">
      <c r="A3" s="206" t="s">
        <v>102</v>
      </c>
      <c r="B3" s="296"/>
      <c r="C3" s="291">
        <v>7</v>
      </c>
      <c r="D3" s="206"/>
    </row>
    <row r="4" spans="1:7" s="205" customFormat="1" ht="25.5">
      <c r="A4" s="209" t="s">
        <v>142</v>
      </c>
      <c r="B4" s="208"/>
      <c r="C4" s="204">
        <v>2</v>
      </c>
      <c r="D4" s="206"/>
    </row>
    <row r="5" spans="1:7">
      <c r="A5" s="210" t="s">
        <v>103</v>
      </c>
      <c r="B5" s="297">
        <f>B3*B4</f>
        <v>0</v>
      </c>
      <c r="C5" s="211">
        <f>C3*C4</f>
        <v>14</v>
      </c>
      <c r="D5" s="318"/>
    </row>
    <row r="6" spans="1:7" ht="25.5">
      <c r="A6" s="274"/>
      <c r="B6" s="274"/>
      <c r="C6" s="325" t="s">
        <v>183</v>
      </c>
      <c r="D6" s="326" t="s">
        <v>143</v>
      </c>
      <c r="E6" s="212"/>
    </row>
    <row r="7" spans="1:7">
      <c r="A7" s="275" t="s">
        <v>104</v>
      </c>
      <c r="B7" s="276" t="s">
        <v>104</v>
      </c>
      <c r="C7" s="327"/>
      <c r="D7" s="298"/>
      <c r="E7" s="212"/>
    </row>
    <row r="8" spans="1:7">
      <c r="A8" s="277"/>
      <c r="B8" s="285" t="s">
        <v>105</v>
      </c>
      <c r="C8" s="328">
        <f>SUM(C7)</f>
        <v>0</v>
      </c>
      <c r="D8" s="310">
        <f>C8/14.4</f>
        <v>0</v>
      </c>
      <c r="E8" s="212"/>
    </row>
    <row r="9" spans="1:7" ht="25.5">
      <c r="A9" s="278" t="s">
        <v>106</v>
      </c>
      <c r="B9" s="274" t="s">
        <v>107</v>
      </c>
      <c r="C9" s="292">
        <f>300+100</f>
        <v>400</v>
      </c>
      <c r="D9" s="298"/>
      <c r="E9" s="212"/>
    </row>
    <row r="10" spans="1:7" ht="38.25">
      <c r="A10" s="278"/>
      <c r="B10" s="274" t="s">
        <v>108</v>
      </c>
      <c r="C10" s="311"/>
      <c r="D10" s="299"/>
      <c r="E10" s="212"/>
    </row>
    <row r="11" spans="1:7" ht="25.5">
      <c r="A11" s="279"/>
      <c r="B11" s="286" t="s">
        <v>109</v>
      </c>
      <c r="C11" s="294">
        <f>SUM(C9:C10)</f>
        <v>400</v>
      </c>
      <c r="D11" s="310">
        <f>C11/C$5</f>
        <v>28.571428571428573</v>
      </c>
      <c r="E11" s="212"/>
    </row>
    <row r="12" spans="1:7" s="213" customFormat="1" ht="25.5">
      <c r="A12" s="275" t="s">
        <v>110</v>
      </c>
      <c r="B12" s="276" t="s">
        <v>111</v>
      </c>
      <c r="C12" s="316">
        <v>700</v>
      </c>
      <c r="D12" s="299"/>
    </row>
    <row r="13" spans="1:7">
      <c r="A13" s="280"/>
      <c r="B13" s="281" t="s">
        <v>112</v>
      </c>
      <c r="C13" s="292">
        <f>200*C3</f>
        <v>1400</v>
      </c>
      <c r="D13" s="299"/>
      <c r="E13" s="212"/>
    </row>
    <row r="14" spans="1:7">
      <c r="A14" s="280"/>
      <c r="B14" s="281" t="s">
        <v>113</v>
      </c>
      <c r="C14" s="292"/>
      <c r="D14" s="299">
        <f>C14/14.4</f>
        <v>0</v>
      </c>
      <c r="E14" s="212"/>
    </row>
    <row r="15" spans="1:7" ht="25.5">
      <c r="A15" s="277"/>
      <c r="B15" s="285" t="s">
        <v>114</v>
      </c>
      <c r="C15" s="293">
        <f>SUM(C12:C14)</f>
        <v>2100</v>
      </c>
      <c r="D15" s="310">
        <f>C15/C$5</f>
        <v>150</v>
      </c>
      <c r="E15" s="212"/>
    </row>
    <row r="16" spans="1:7">
      <c r="A16" s="278" t="s">
        <v>115</v>
      </c>
      <c r="B16" s="282" t="s">
        <v>169</v>
      </c>
      <c r="C16" s="316">
        <f>3057*C3</f>
        <v>21399</v>
      </c>
      <c r="D16" s="299"/>
      <c r="E16" s="212"/>
    </row>
    <row r="17" spans="1:5">
      <c r="A17" s="277"/>
      <c r="B17" s="285" t="s">
        <v>116</v>
      </c>
      <c r="C17" s="310">
        <f>C16</f>
        <v>21399</v>
      </c>
      <c r="D17" s="310">
        <f>C17/C$5</f>
        <v>1528.5</v>
      </c>
      <c r="E17" s="212"/>
    </row>
    <row r="18" spans="1:5" ht="51">
      <c r="A18" s="275" t="s">
        <v>117</v>
      </c>
      <c r="B18" s="276" t="s">
        <v>118</v>
      </c>
      <c r="C18" s="316">
        <v>400</v>
      </c>
      <c r="D18" s="299"/>
      <c r="E18" s="212"/>
    </row>
    <row r="19" spans="1:5" ht="63.75">
      <c r="A19" s="280"/>
      <c r="B19" s="281" t="s">
        <v>119</v>
      </c>
      <c r="C19" s="311">
        <v>0</v>
      </c>
      <c r="D19" s="299"/>
      <c r="E19" s="212"/>
    </row>
    <row r="20" spans="1:5" ht="25.5">
      <c r="A20" s="280"/>
      <c r="B20" s="281" t="s">
        <v>120</v>
      </c>
      <c r="C20" s="311">
        <v>1500</v>
      </c>
      <c r="D20" s="299"/>
      <c r="E20" s="212"/>
    </row>
    <row r="21" spans="1:5">
      <c r="A21" s="280"/>
      <c r="B21" s="281" t="s">
        <v>121</v>
      </c>
      <c r="C21" s="312">
        <v>400</v>
      </c>
      <c r="D21" s="299"/>
      <c r="E21" s="212"/>
    </row>
    <row r="22" spans="1:5">
      <c r="A22" s="277"/>
      <c r="B22" s="285" t="s">
        <v>122</v>
      </c>
      <c r="C22" s="293">
        <f>SUM(C18:C21)</f>
        <v>2300</v>
      </c>
      <c r="D22" s="310">
        <f>C22/C$5</f>
        <v>164.28571428571428</v>
      </c>
      <c r="E22" s="212"/>
    </row>
    <row r="23" spans="1:5" ht="25.5">
      <c r="A23" s="278" t="s">
        <v>123</v>
      </c>
      <c r="B23" s="274" t="s">
        <v>124</v>
      </c>
      <c r="C23" s="292">
        <v>116</v>
      </c>
      <c r="D23" s="298"/>
      <c r="E23" s="212"/>
    </row>
    <row r="24" spans="1:5" ht="25.5">
      <c r="A24" s="278"/>
      <c r="B24" s="274" t="s">
        <v>125</v>
      </c>
      <c r="C24" s="292">
        <v>100</v>
      </c>
      <c r="D24" s="299"/>
      <c r="E24" s="212"/>
    </row>
    <row r="25" spans="1:5" ht="25.5">
      <c r="A25" s="278"/>
      <c r="B25" s="287" t="s">
        <v>126</v>
      </c>
      <c r="C25" s="294">
        <f>SUM(C23:C24)</f>
        <v>216</v>
      </c>
      <c r="D25" s="310">
        <f>C25/C$5</f>
        <v>15.428571428571429</v>
      </c>
      <c r="E25" s="212"/>
    </row>
    <row r="26" spans="1:5">
      <c r="A26" s="275" t="s">
        <v>127</v>
      </c>
      <c r="B26" s="276" t="s">
        <v>128</v>
      </c>
      <c r="C26" s="316">
        <v>15</v>
      </c>
      <c r="D26" s="299"/>
      <c r="E26" s="212"/>
    </row>
    <row r="27" spans="1:5">
      <c r="A27" s="280"/>
      <c r="B27" s="281" t="s">
        <v>129</v>
      </c>
      <c r="C27" s="292">
        <v>50</v>
      </c>
      <c r="D27" s="299"/>
      <c r="E27" s="261"/>
    </row>
    <row r="28" spans="1:5">
      <c r="A28" s="280"/>
      <c r="B28" s="281" t="s">
        <v>130</v>
      </c>
      <c r="C28" s="292">
        <v>30</v>
      </c>
      <c r="D28" s="299"/>
      <c r="E28" s="212"/>
    </row>
    <row r="29" spans="1:5">
      <c r="A29" s="280"/>
      <c r="B29" s="281" t="s">
        <v>0</v>
      </c>
      <c r="C29" s="292">
        <v>25</v>
      </c>
      <c r="D29" s="299"/>
      <c r="E29" s="212"/>
    </row>
    <row r="30" spans="1:5">
      <c r="A30" s="277"/>
      <c r="B30" s="285" t="s">
        <v>131</v>
      </c>
      <c r="C30" s="293">
        <f>SUM(C26:C29)</f>
        <v>120</v>
      </c>
      <c r="D30" s="310">
        <f>C30/C$5</f>
        <v>8.5714285714285712</v>
      </c>
      <c r="E30" s="212"/>
    </row>
    <row r="31" spans="1:5" ht="25.5">
      <c r="A31" s="278" t="s">
        <v>93</v>
      </c>
      <c r="B31" s="274" t="s">
        <v>132</v>
      </c>
      <c r="C31" s="292">
        <v>650</v>
      </c>
      <c r="D31" s="298"/>
      <c r="E31" s="212"/>
    </row>
    <row r="32" spans="1:5" ht="25.5">
      <c r="A32" s="278"/>
      <c r="B32" s="274" t="s">
        <v>133</v>
      </c>
      <c r="C32" s="292">
        <v>300</v>
      </c>
      <c r="D32" s="299"/>
      <c r="E32" s="212"/>
    </row>
    <row r="33" spans="1:5">
      <c r="A33" s="278"/>
      <c r="B33" s="287" t="s">
        <v>134</v>
      </c>
      <c r="C33" s="294">
        <f>SUM(C31:C32)</f>
        <v>950</v>
      </c>
      <c r="D33" s="310">
        <f>C33/C$5</f>
        <v>67.857142857142861</v>
      </c>
      <c r="E33" s="212"/>
    </row>
    <row r="34" spans="1:5">
      <c r="A34" s="275" t="s">
        <v>75</v>
      </c>
      <c r="B34" s="276" t="s">
        <v>75</v>
      </c>
      <c r="C34" s="295">
        <v>0</v>
      </c>
      <c r="D34" s="299">
        <f>C34/14.4</f>
        <v>0</v>
      </c>
      <c r="E34" s="212"/>
    </row>
    <row r="35" spans="1:5" ht="25.5">
      <c r="A35" s="277"/>
      <c r="B35" s="285" t="s">
        <v>135</v>
      </c>
      <c r="C35" s="293">
        <f>SUM(C34)</f>
        <v>0</v>
      </c>
      <c r="D35" s="299">
        <f>C35/14.4</f>
        <v>0</v>
      </c>
      <c r="E35" s="212"/>
    </row>
    <row r="36" spans="1:5">
      <c r="A36" s="275" t="s">
        <v>85</v>
      </c>
      <c r="B36" s="276"/>
      <c r="C36" s="316">
        <v>100</v>
      </c>
      <c r="D36" s="313"/>
      <c r="E36" s="212"/>
    </row>
    <row r="37" spans="1:5" ht="15.75">
      <c r="A37" s="277"/>
      <c r="B37" s="288" t="s">
        <v>136</v>
      </c>
      <c r="C37" s="314">
        <f>C8+C11+C15+C16+C22+C25+C30+C33+C35+C36</f>
        <v>27585</v>
      </c>
      <c r="D37" s="310">
        <f>C37/C$5</f>
        <v>1970.3571428571429</v>
      </c>
      <c r="E37" s="212"/>
    </row>
    <row r="38" spans="1:5" s="262" customFormat="1" ht="15">
      <c r="A38" s="283" t="s">
        <v>137</v>
      </c>
      <c r="B38" s="276" t="s">
        <v>138</v>
      </c>
      <c r="C38" s="313"/>
      <c r="D38" s="313"/>
    </row>
    <row r="39" spans="1:5">
      <c r="A39" s="283"/>
      <c r="B39" s="281" t="s">
        <v>139</v>
      </c>
      <c r="C39" s="329"/>
      <c r="D39" s="329"/>
      <c r="E39" s="212"/>
    </row>
    <row r="40" spans="1:5" ht="38.25">
      <c r="A40" s="283"/>
      <c r="B40" s="281" t="s">
        <v>170</v>
      </c>
      <c r="C40" s="329"/>
      <c r="D40" s="329"/>
      <c r="E40" s="212"/>
    </row>
    <row r="41" spans="1:5" ht="25.5">
      <c r="A41" s="283"/>
      <c r="B41" s="300" t="s">
        <v>140</v>
      </c>
      <c r="C41" s="330"/>
      <c r="D41" s="330"/>
      <c r="E41" s="212"/>
    </row>
    <row r="42" spans="1:5" ht="32.25" thickBot="1">
      <c r="A42" s="284"/>
      <c r="B42" s="301" t="s">
        <v>141</v>
      </c>
      <c r="C42" s="331">
        <f>C37+C41</f>
        <v>27585</v>
      </c>
      <c r="D42" s="332">
        <f>C42/C$5</f>
        <v>1970.3571428571429</v>
      </c>
      <c r="E42" s="212"/>
    </row>
    <row r="43" spans="1:5" ht="13.5" thickTop="1">
      <c r="C43" s="291"/>
    </row>
  </sheetData>
  <phoneticPr fontId="3" type="noConversion"/>
  <conditionalFormatting sqref="F1:IR5 F43:IR65536 E1:E2 A1:D1048576 C44:E65536 C6:IR42">
    <cfRule type="cellIs" dxfId="2" priority="27" stopIfTrue="1" operator="equal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  <pageSetUpPr fitToPage="1"/>
  </sheetPr>
  <dimension ref="A1:Z24"/>
  <sheetViews>
    <sheetView zoomScale="75" zoomScaleNormal="100" zoomScaleSheetLayoutView="100" workbookViewId="0">
      <pane xSplit="2" ySplit="5" topLeftCell="Q6" activePane="bottomRight" state="frozen"/>
      <selection activeCell="V28" sqref="V28"/>
      <selection pane="topRight" activeCell="V28" sqref="V28"/>
      <selection pane="bottomLeft" activeCell="V28" sqref="V28"/>
      <selection pane="bottomRight" activeCell="V28" sqref="V28"/>
    </sheetView>
  </sheetViews>
  <sheetFormatPr defaultRowHeight="14.25"/>
  <cols>
    <col min="1" max="1" width="3.42578125" style="133" customWidth="1"/>
    <col min="2" max="2" width="48.85546875" style="133" customWidth="1"/>
    <col min="3" max="3" width="10" style="133" hidden="1" customWidth="1"/>
    <col min="4" max="4" width="11.5703125" style="133" hidden="1" customWidth="1"/>
    <col min="5" max="5" width="11.7109375" style="133" hidden="1" customWidth="1"/>
    <col min="6" max="6" width="8.85546875" style="133" hidden="1" customWidth="1"/>
    <col min="7" max="7" width="9.140625" style="133" hidden="1" customWidth="1"/>
    <col min="8" max="8" width="11" style="133" hidden="1" customWidth="1"/>
    <col min="9" max="9" width="10" style="133" hidden="1" customWidth="1"/>
    <col min="10" max="10" width="9.42578125" style="133" customWidth="1"/>
    <col min="11" max="11" width="10.28515625" style="133" bestFit="1" customWidth="1"/>
    <col min="12" max="12" width="9.140625" style="133" bestFit="1"/>
    <col min="13" max="13" width="10.42578125" style="133" bestFit="1" customWidth="1"/>
    <col min="14" max="14" width="10.28515625" style="133" bestFit="1" customWidth="1"/>
    <col min="15" max="15" width="10" style="133" bestFit="1" customWidth="1"/>
    <col min="16" max="16" width="11.5703125" style="133" bestFit="1" customWidth="1"/>
    <col min="17" max="17" width="11.7109375" style="133" bestFit="1" customWidth="1"/>
    <col min="18" max="18" width="8.85546875" style="133" bestFit="1" customWidth="1"/>
    <col min="19" max="19" width="9.140625" style="133" bestFit="1"/>
    <col min="20" max="20" width="11" style="133" bestFit="1" customWidth="1"/>
    <col min="21" max="21" width="10" style="133" bestFit="1" customWidth="1"/>
    <col min="22" max="22" width="9.42578125" style="133" bestFit="1" customWidth="1"/>
    <col min="23" max="23" width="14.140625" style="133" bestFit="1" customWidth="1"/>
    <col min="24" max="24" width="10" style="133" customWidth="1"/>
    <col min="25" max="25" width="9.28515625" style="133" bestFit="1" customWidth="1"/>
    <col min="26" max="26" width="12.140625" style="133" bestFit="1" customWidth="1"/>
    <col min="27" max="16384" width="9.140625" style="133"/>
  </cols>
  <sheetData>
    <row r="1" spans="1:26" s="95" customFormat="1" ht="22.5">
      <c r="B1" s="96" t="str">
        <f>CONCATENATE('Wind invest budget'!B2," launching")</f>
        <v>Silale launching</v>
      </c>
    </row>
    <row r="2" spans="1:26" s="95" customFormat="1" ht="11.25" customHeight="1">
      <c r="B2" s="96"/>
    </row>
    <row r="3" spans="1:26" s="98" customFormat="1" ht="15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</row>
    <row r="4" spans="1:26" s="98" customFormat="1" ht="15">
      <c r="A4" s="99"/>
      <c r="B4" s="100" t="s">
        <v>24</v>
      </c>
      <c r="C4" s="101">
        <v>1</v>
      </c>
      <c r="D4" s="101">
        <v>2</v>
      </c>
      <c r="E4" s="101">
        <v>3</v>
      </c>
      <c r="F4" s="101">
        <v>4</v>
      </c>
      <c r="G4" s="101">
        <v>5</v>
      </c>
      <c r="H4" s="101">
        <v>6</v>
      </c>
      <c r="I4" s="101">
        <v>7</v>
      </c>
      <c r="J4" s="101">
        <v>8</v>
      </c>
      <c r="K4" s="101">
        <v>9</v>
      </c>
      <c r="L4" s="101">
        <v>10</v>
      </c>
      <c r="M4" s="101">
        <v>11</v>
      </c>
      <c r="N4" s="101">
        <v>12</v>
      </c>
      <c r="O4" s="101">
        <v>13</v>
      </c>
      <c r="P4" s="101">
        <v>14</v>
      </c>
      <c r="Q4" s="101">
        <v>15</v>
      </c>
      <c r="R4" s="101">
        <v>16</v>
      </c>
      <c r="S4" s="101">
        <v>17</v>
      </c>
      <c r="T4" s="101">
        <v>18</v>
      </c>
      <c r="U4" s="101">
        <v>19</v>
      </c>
      <c r="V4" s="101">
        <v>20</v>
      </c>
      <c r="W4" s="102"/>
      <c r="X4" s="102"/>
      <c r="Y4" s="97"/>
      <c r="Z4" s="97"/>
    </row>
    <row r="5" spans="1:26" s="108" customFormat="1" ht="15">
      <c r="A5" s="103"/>
      <c r="B5" s="104" t="s">
        <v>91</v>
      </c>
      <c r="C5" s="105">
        <v>38718</v>
      </c>
      <c r="D5" s="105">
        <v>38749</v>
      </c>
      <c r="E5" s="105">
        <v>38777</v>
      </c>
      <c r="F5" s="105">
        <v>38808</v>
      </c>
      <c r="G5" s="105">
        <v>38838</v>
      </c>
      <c r="H5" s="105">
        <v>38869</v>
      </c>
      <c r="I5" s="105">
        <v>38899</v>
      </c>
      <c r="J5" s="105">
        <v>38930</v>
      </c>
      <c r="K5" s="105">
        <v>38961</v>
      </c>
      <c r="L5" s="105">
        <v>38991</v>
      </c>
      <c r="M5" s="105">
        <v>39022</v>
      </c>
      <c r="N5" s="105">
        <v>39052</v>
      </c>
      <c r="O5" s="105">
        <v>39083</v>
      </c>
      <c r="P5" s="105">
        <v>39114</v>
      </c>
      <c r="Q5" s="105">
        <v>39142</v>
      </c>
      <c r="R5" s="105">
        <v>39173</v>
      </c>
      <c r="S5" s="105">
        <v>39203</v>
      </c>
      <c r="T5" s="105">
        <v>39234</v>
      </c>
      <c r="U5" s="105">
        <v>39264</v>
      </c>
      <c r="V5" s="105">
        <v>39295</v>
      </c>
      <c r="W5" s="106"/>
      <c r="X5" s="106"/>
      <c r="Y5" s="103"/>
      <c r="Z5" s="107"/>
    </row>
    <row r="6" spans="1:26" s="109" customFormat="1"/>
    <row r="7" spans="1:26" s="109" customFormat="1">
      <c r="B7" s="109" t="s">
        <v>92</v>
      </c>
      <c r="J7" s="109">
        <f>0.1*7022.1*1.18</f>
        <v>828.6078</v>
      </c>
      <c r="M7" s="109">
        <v>1250</v>
      </c>
    </row>
    <row r="8" spans="1:26" s="109" customFormat="1">
      <c r="B8" s="109" t="s">
        <v>150</v>
      </c>
      <c r="K8" s="109">
        <f>112778.035217794/1000</f>
        <v>112.778035217794</v>
      </c>
      <c r="O8" s="109">
        <f>32124.6524559778/1000</f>
        <v>32.124652455977802</v>
      </c>
    </row>
    <row r="9" spans="1:26" s="109" customFormat="1">
      <c r="B9" s="109" t="s">
        <v>1</v>
      </c>
      <c r="J9" s="109">
        <f>1500/'Wind invest budget'!G2</f>
        <v>434.4300278035218</v>
      </c>
      <c r="N9" s="131"/>
    </row>
    <row r="10" spans="1:26" s="109" customFormat="1">
      <c r="B10" s="131" t="s">
        <v>117</v>
      </c>
      <c r="F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</row>
    <row r="11" spans="1:26" s="109" customFormat="1">
      <c r="B11" s="131" t="s">
        <v>151</v>
      </c>
    </row>
    <row r="12" spans="1:26" s="131" customFormat="1">
      <c r="B12" s="131" t="s">
        <v>152</v>
      </c>
      <c r="K12" s="131">
        <f>1448.10009267841/1000</f>
        <v>1.44810009267841</v>
      </c>
      <c r="L12" s="131">
        <f t="shared" ref="L12:V12" si="0">1448.10009267841/1000</f>
        <v>1.44810009267841</v>
      </c>
      <c r="M12" s="131">
        <f t="shared" si="0"/>
        <v>1.44810009267841</v>
      </c>
      <c r="N12" s="131">
        <f t="shared" si="0"/>
        <v>1.44810009267841</v>
      </c>
      <c r="O12" s="131">
        <f t="shared" si="0"/>
        <v>1.44810009267841</v>
      </c>
      <c r="P12" s="131">
        <f t="shared" si="0"/>
        <v>1.44810009267841</v>
      </c>
      <c r="Q12" s="131">
        <f>1448.10009267841/1000</f>
        <v>1.44810009267841</v>
      </c>
      <c r="R12" s="131">
        <f t="shared" si="0"/>
        <v>1.44810009267841</v>
      </c>
      <c r="S12" s="131">
        <f t="shared" si="0"/>
        <v>1.44810009267841</v>
      </c>
      <c r="T12" s="131">
        <f t="shared" si="0"/>
        <v>1.44810009267841</v>
      </c>
      <c r="U12" s="131">
        <f t="shared" si="0"/>
        <v>1.44810009267841</v>
      </c>
      <c r="V12" s="131">
        <f t="shared" si="0"/>
        <v>1.44810009267841</v>
      </c>
    </row>
    <row r="13" spans="1:26" s="131" customFormat="1">
      <c r="B13" s="131" t="s">
        <v>153</v>
      </c>
      <c r="K13" s="131">
        <f>(1051.52050509731+5043.52575135708)/1000</f>
        <v>6.0950462564543892</v>
      </c>
      <c r="L13" s="131">
        <f>(967.475671918443+5043.52575135708+5792.40037071362)/1000</f>
        <v>11.803401793989142</v>
      </c>
      <c r="M13" s="131">
        <f>(967.475671918443+5043.52575135708)/1000</f>
        <v>6.0110014232755233</v>
      </c>
      <c r="N13" s="131">
        <f>(967.475671918443+2726.56560307163)/1000</f>
        <v>3.6940412749900728</v>
      </c>
      <c r="O13" s="131">
        <f>(967.475671918443+2965.50211836356)/1000</f>
        <v>3.9329777902820027</v>
      </c>
      <c r="P13" s="131">
        <f>(967.475671918443+3856.08367536078)/1000</f>
        <v>4.8235593472792235</v>
      </c>
      <c r="Q13" s="131">
        <f t="shared" ref="Q13:V13" si="1">(967.475671918443+3856.08367536078)/1000</f>
        <v>4.8235593472792235</v>
      </c>
      <c r="R13" s="131">
        <f t="shared" si="1"/>
        <v>4.8235593472792235</v>
      </c>
      <c r="S13" s="131">
        <f t="shared" si="1"/>
        <v>4.8235593472792235</v>
      </c>
      <c r="T13" s="131">
        <f t="shared" si="1"/>
        <v>4.8235593472792235</v>
      </c>
      <c r="U13" s="131">
        <f t="shared" si="1"/>
        <v>4.8235593472792235</v>
      </c>
      <c r="V13" s="131">
        <f t="shared" si="1"/>
        <v>4.8235593472792235</v>
      </c>
    </row>
    <row r="14" spans="1:26" s="109" customFormat="1">
      <c r="B14" s="109" t="s">
        <v>93</v>
      </c>
      <c r="O14" s="131"/>
      <c r="P14" s="131"/>
      <c r="Q14" s="131"/>
      <c r="R14" s="131"/>
      <c r="S14" s="131"/>
      <c r="T14" s="131"/>
      <c r="U14" s="131"/>
      <c r="V14" s="131"/>
    </row>
    <row r="15" spans="1:26" s="110" customFormat="1" ht="15" thickBot="1">
      <c r="B15" s="111" t="s">
        <v>94</v>
      </c>
      <c r="C15" s="111"/>
      <c r="D15" s="111"/>
      <c r="E15" s="111"/>
      <c r="F15" s="111"/>
      <c r="G15" s="111"/>
      <c r="H15" s="111"/>
      <c r="I15" s="111"/>
      <c r="J15" s="111">
        <f>SUM(J7:J14)</f>
        <v>1263.0378278035219</v>
      </c>
      <c r="K15" s="111">
        <f>SUM(K7:K14)</f>
        <v>120.32118156692681</v>
      </c>
      <c r="L15" s="111">
        <f t="shared" ref="L15:V15" si="2">SUM(L7:L14)</f>
        <v>13.251501886667551</v>
      </c>
      <c r="M15" s="111">
        <f t="shared" si="2"/>
        <v>1257.459101515954</v>
      </c>
      <c r="N15" s="111">
        <f t="shared" si="2"/>
        <v>5.1421413676684828</v>
      </c>
      <c r="O15" s="111">
        <f t="shared" si="2"/>
        <v>37.505730338938214</v>
      </c>
      <c r="P15" s="111">
        <f t="shared" si="2"/>
        <v>6.2716594399576335</v>
      </c>
      <c r="Q15" s="111">
        <f t="shared" si="2"/>
        <v>6.2716594399576335</v>
      </c>
      <c r="R15" s="111">
        <f t="shared" si="2"/>
        <v>6.2716594399576335</v>
      </c>
      <c r="S15" s="111">
        <f t="shared" si="2"/>
        <v>6.2716594399576335</v>
      </c>
      <c r="T15" s="111">
        <f t="shared" si="2"/>
        <v>6.2716594399576335</v>
      </c>
      <c r="U15" s="111">
        <f t="shared" si="2"/>
        <v>6.2716594399576335</v>
      </c>
      <c r="V15" s="111">
        <f t="shared" si="2"/>
        <v>6.2716594399576335</v>
      </c>
      <c r="W15" s="111"/>
    </row>
    <row r="16" spans="1:26" s="109" customFormat="1"/>
    <row r="17" spans="2:23" s="109" customFormat="1">
      <c r="B17" s="109" t="s">
        <v>95</v>
      </c>
      <c r="L17" s="109">
        <f>SUM(J7:J13)/1.18*0.18</f>
        <v>192.66678729206268</v>
      </c>
      <c r="M17" s="109">
        <f t="shared" ref="M17:V17" si="3">SUM(K7:K13)/1.18*0.18</f>
        <v>18.35407854410748</v>
      </c>
      <c r="N17" s="109">
        <f t="shared" si="3"/>
        <v>2.0214155420340334</v>
      </c>
      <c r="O17" s="109">
        <f t="shared" si="3"/>
        <v>191.81579514650147</v>
      </c>
      <c r="P17" s="109">
        <f t="shared" si="3"/>
        <v>0.78439444591553131</v>
      </c>
      <c r="Q17" s="109">
        <f t="shared" si="3"/>
        <v>5.7212131025498971</v>
      </c>
      <c r="R17" s="109">
        <f t="shared" si="3"/>
        <v>0.95669381287489319</v>
      </c>
      <c r="S17" s="109">
        <f t="shared" si="3"/>
        <v>0.95669381287489319</v>
      </c>
      <c r="T17" s="109">
        <f t="shared" si="3"/>
        <v>0.95669381287489319</v>
      </c>
      <c r="U17" s="109">
        <f t="shared" si="3"/>
        <v>0.95669381287489319</v>
      </c>
      <c r="V17" s="109">
        <f t="shared" si="3"/>
        <v>0.95669381287489319</v>
      </c>
    </row>
    <row r="18" spans="2:23" s="109" customFormat="1">
      <c r="B18" s="109" t="s">
        <v>96</v>
      </c>
      <c r="O18" s="131"/>
    </row>
    <row r="19" spans="2:23" s="109" customFormat="1">
      <c r="B19" s="109" t="s">
        <v>97</v>
      </c>
    </row>
    <row r="20" spans="2:23" s="110" customFormat="1" ht="15" thickBot="1">
      <c r="B20" s="111" t="s">
        <v>164</v>
      </c>
      <c r="C20" s="111"/>
      <c r="D20" s="111"/>
      <c r="E20" s="111"/>
      <c r="F20" s="111"/>
      <c r="G20" s="111"/>
      <c r="H20" s="111"/>
      <c r="I20" s="111"/>
      <c r="J20" s="111">
        <f>SUM(J17:J19)</f>
        <v>0</v>
      </c>
      <c r="K20" s="111">
        <f>SUM(K17:K19)</f>
        <v>0</v>
      </c>
      <c r="L20" s="111">
        <f t="shared" ref="L20:V20" si="4">SUM(L17:L19)</f>
        <v>192.66678729206268</v>
      </c>
      <c r="M20" s="111">
        <f t="shared" si="4"/>
        <v>18.35407854410748</v>
      </c>
      <c r="N20" s="111">
        <f t="shared" si="4"/>
        <v>2.0214155420340334</v>
      </c>
      <c r="O20" s="111">
        <f t="shared" si="4"/>
        <v>191.81579514650147</v>
      </c>
      <c r="P20" s="111">
        <f t="shared" si="4"/>
        <v>0.78439444591553131</v>
      </c>
      <c r="Q20" s="111">
        <f t="shared" si="4"/>
        <v>5.7212131025498971</v>
      </c>
      <c r="R20" s="111">
        <f t="shared" si="4"/>
        <v>0.95669381287489319</v>
      </c>
      <c r="S20" s="111">
        <f t="shared" si="4"/>
        <v>0.95669381287489319</v>
      </c>
      <c r="T20" s="111">
        <f t="shared" si="4"/>
        <v>0.95669381287489319</v>
      </c>
      <c r="U20" s="111">
        <f t="shared" si="4"/>
        <v>0.95669381287489319</v>
      </c>
      <c r="V20" s="111">
        <f t="shared" si="4"/>
        <v>0.95669381287489319</v>
      </c>
      <c r="W20" s="111"/>
    </row>
    <row r="21" spans="2:23" s="109" customFormat="1"/>
    <row r="22" spans="2:23" s="109" customFormat="1">
      <c r="B22" s="109" t="s">
        <v>98</v>
      </c>
      <c r="J22" s="109">
        <f>J20-J15</f>
        <v>-1263.0378278035219</v>
      </c>
      <c r="K22" s="109">
        <f>K20-K15</f>
        <v>-120.32118156692681</v>
      </c>
      <c r="L22" s="109">
        <f t="shared" ref="L22:V22" si="5">L20-L15</f>
        <v>179.41528540539514</v>
      </c>
      <c r="M22" s="109">
        <f t="shared" si="5"/>
        <v>-1239.1050229718464</v>
      </c>
      <c r="N22" s="109">
        <f t="shared" si="5"/>
        <v>-3.1207258256344494</v>
      </c>
      <c r="O22" s="109">
        <f t="shared" si="5"/>
        <v>154.31006480756326</v>
      </c>
      <c r="P22" s="109">
        <f t="shared" si="5"/>
        <v>-5.4872649940421026</v>
      </c>
      <c r="Q22" s="109">
        <f t="shared" si="5"/>
        <v>-0.55044633740773641</v>
      </c>
      <c r="R22" s="109">
        <f t="shared" si="5"/>
        <v>-5.3149656270827403</v>
      </c>
      <c r="S22" s="109">
        <f t="shared" si="5"/>
        <v>-5.3149656270827403</v>
      </c>
      <c r="T22" s="109">
        <f t="shared" si="5"/>
        <v>-5.3149656270827403</v>
      </c>
      <c r="U22" s="109">
        <f t="shared" si="5"/>
        <v>-5.3149656270827403</v>
      </c>
      <c r="V22" s="109">
        <f t="shared" si="5"/>
        <v>-5.3149656270827403</v>
      </c>
    </row>
    <row r="23" spans="2:23" s="132" customFormat="1">
      <c r="B23" s="132" t="s">
        <v>99</v>
      </c>
      <c r="J23" s="132">
        <f>J22+I23</f>
        <v>-1263.0378278035219</v>
      </c>
      <c r="K23" s="132">
        <f>K22+J23</f>
        <v>-1383.3590093704486</v>
      </c>
      <c r="L23" s="132">
        <f>L22+K23</f>
        <v>-1203.9437239650533</v>
      </c>
      <c r="M23" s="132">
        <f t="shared" ref="M23:V23" si="6">M22+L23</f>
        <v>-2443.0487469369</v>
      </c>
      <c r="N23" s="132">
        <f t="shared" si="6"/>
        <v>-2446.1694727625345</v>
      </c>
      <c r="O23" s="132">
        <f t="shared" si="6"/>
        <v>-2291.8594079549712</v>
      </c>
      <c r="P23" s="132">
        <f t="shared" si="6"/>
        <v>-2297.3466729490133</v>
      </c>
      <c r="Q23" s="132">
        <f t="shared" si="6"/>
        <v>-2297.897119286421</v>
      </c>
      <c r="R23" s="132">
        <f t="shared" si="6"/>
        <v>-2303.2120849135035</v>
      </c>
      <c r="S23" s="132">
        <f t="shared" si="6"/>
        <v>-2308.5270505405861</v>
      </c>
      <c r="T23" s="132">
        <f t="shared" si="6"/>
        <v>-2313.8420161676686</v>
      </c>
      <c r="U23" s="132">
        <f t="shared" si="6"/>
        <v>-2319.1569817947511</v>
      </c>
      <c r="V23" s="132">
        <f t="shared" si="6"/>
        <v>-2324.4719474218336</v>
      </c>
    </row>
    <row r="24" spans="2:23" s="109" customFormat="1"/>
  </sheetData>
  <phoneticPr fontId="0" type="noConversion"/>
  <pageMargins left="0.26" right="0.23622047244094491" top="0.47244094488188981" bottom="0.39370078740157483" header="0.19685039370078741" footer="0"/>
  <pageSetup paperSize="9" scale="72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AA109"/>
  <sheetViews>
    <sheetView zoomScale="75" zoomScaleNormal="55" zoomScaleSheetLayoutView="100" workbookViewId="0">
      <selection activeCell="E4" sqref="E4"/>
    </sheetView>
  </sheetViews>
  <sheetFormatPr defaultRowHeight="14.25"/>
  <cols>
    <col min="1" max="1" width="1.140625" style="271" customWidth="1"/>
    <col min="2" max="2" width="48.85546875" style="61" customWidth="1"/>
    <col min="3" max="3" width="11.28515625" style="61" customWidth="1"/>
    <col min="4" max="4" width="8.85546875" style="61" bestFit="1" customWidth="1"/>
    <col min="5" max="5" width="9.7109375" style="61" bestFit="1" customWidth="1"/>
    <col min="6" max="6" width="11.5703125" style="61" customWidth="1"/>
    <col min="7" max="7" width="13.42578125" style="61" customWidth="1"/>
    <col min="8" max="8" width="14" style="61" customWidth="1"/>
    <col min="9" max="9" width="13" style="61" customWidth="1"/>
    <col min="10" max="10" width="12.5703125" style="61" customWidth="1"/>
    <col min="11" max="11" width="14" style="61" customWidth="1"/>
    <col min="12" max="12" width="13.42578125" style="61" bestFit="1" customWidth="1"/>
    <col min="13" max="13" width="13.42578125" style="61" customWidth="1"/>
    <col min="14" max="14" width="10.85546875" style="61" customWidth="1"/>
    <col min="15" max="15" width="11" style="61" customWidth="1"/>
    <col min="16" max="16" width="11.85546875" style="61" customWidth="1"/>
    <col min="17" max="17" width="10.140625" style="61" customWidth="1"/>
    <col min="18" max="18" width="10" style="61" bestFit="1" customWidth="1"/>
    <col min="19" max="19" width="12" style="61" customWidth="1"/>
    <col min="20" max="20" width="10" style="61" bestFit="1" customWidth="1"/>
    <col min="21" max="21" width="10" style="61" customWidth="1"/>
    <col min="22" max="22" width="10" style="61" bestFit="1" customWidth="1"/>
    <col min="23" max="23" width="10" style="61" hidden="1" customWidth="1"/>
    <col min="24" max="24" width="9.7109375" style="61" bestFit="1" customWidth="1"/>
    <col min="25" max="25" width="9.28515625" style="61" bestFit="1" customWidth="1"/>
    <col min="26" max="26" width="11.28515625" style="61" customWidth="1"/>
    <col min="27" max="27" width="10" style="61" bestFit="1" customWidth="1"/>
    <col min="28" max="16384" width="9.140625" style="61"/>
  </cols>
  <sheetData>
    <row r="1" spans="2:27" s="2" customFormat="1" ht="22.5">
      <c r="B1" s="1" t="str">
        <f>CONCATENATE('Wind invest budget'!B2," Wind Park - Financial Projection")</f>
        <v>Silale Wind Park - Financial Projection</v>
      </c>
      <c r="C1" s="1"/>
    </row>
    <row r="2" spans="2:27" s="2" customFormat="1" ht="11.25" customHeight="1">
      <c r="B2" s="3"/>
      <c r="C2" s="1"/>
    </row>
    <row r="3" spans="2:27" s="3" customFormat="1" ht="15">
      <c r="B3" s="3" t="s">
        <v>156</v>
      </c>
      <c r="E3" s="215">
        <v>13.8</v>
      </c>
      <c r="G3" s="214"/>
      <c r="H3" s="214"/>
      <c r="I3" s="214"/>
    </row>
    <row r="4" spans="2:27" s="3" customFormat="1" ht="15" customHeight="1">
      <c r="B4" s="10" t="s">
        <v>3</v>
      </c>
      <c r="C4" s="10"/>
      <c r="E4" s="304">
        <f>35957+35957*$K$19</f>
        <v>35957</v>
      </c>
      <c r="F4" s="5"/>
      <c r="G4" s="358" t="s">
        <v>173</v>
      </c>
      <c r="H4" s="358"/>
      <c r="I4" s="358"/>
      <c r="J4" s="320"/>
      <c r="K4" s="7">
        <f>30/3.4528*10</f>
        <v>86.886005560704348</v>
      </c>
      <c r="M4" s="8" t="s">
        <v>2</v>
      </c>
      <c r="N4" s="6"/>
      <c r="P4" s="9">
        <v>11</v>
      </c>
      <c r="R4" s="323"/>
      <c r="T4" s="324"/>
      <c r="U4" s="324"/>
      <c r="Z4" s="319"/>
      <c r="AA4" s="13"/>
    </row>
    <row r="5" spans="2:27" s="3" customFormat="1" ht="15">
      <c r="B5" s="3" t="s">
        <v>5</v>
      </c>
      <c r="E5" s="333">
        <f>E4/(E3*8760)</f>
        <v>0.29744060618092782</v>
      </c>
      <c r="F5" s="216"/>
      <c r="G5" s="358" t="s">
        <v>157</v>
      </c>
      <c r="H5" s="358"/>
      <c r="I5" s="320"/>
      <c r="J5" s="320"/>
      <c r="K5" s="11">
        <f>O25</f>
        <v>65</v>
      </c>
      <c r="L5" s="13">
        <v>0.03</v>
      </c>
      <c r="M5" s="3" t="s">
        <v>4</v>
      </c>
      <c r="P5" s="3">
        <v>0.626</v>
      </c>
      <c r="T5" s="6"/>
      <c r="U5" s="6"/>
    </row>
    <row r="6" spans="2:27" s="3" customFormat="1" ht="15" customHeight="1">
      <c r="B6" s="3" t="s">
        <v>7</v>
      </c>
      <c r="E6" s="5">
        <v>20</v>
      </c>
      <c r="F6" s="4"/>
      <c r="G6" s="307" t="s">
        <v>172</v>
      </c>
      <c r="K6" s="305">
        <v>0</v>
      </c>
      <c r="L6" s="306">
        <v>0</v>
      </c>
      <c r="M6" s="3" t="s">
        <v>6</v>
      </c>
      <c r="N6" s="12"/>
      <c r="P6" s="13">
        <v>0.1</v>
      </c>
      <c r="T6" s="6"/>
      <c r="U6" s="6"/>
    </row>
    <row r="7" spans="2:27" s="3" customFormat="1" ht="15" customHeight="1">
      <c r="B7" s="3" t="s">
        <v>9</v>
      </c>
      <c r="E7" s="15">
        <f>1/E6</f>
        <v>0.05</v>
      </c>
      <c r="F7" s="5"/>
      <c r="G7" s="8" t="s">
        <v>8</v>
      </c>
      <c r="H7" s="8"/>
      <c r="I7" s="8"/>
      <c r="J7" s="8"/>
      <c r="K7" s="14">
        <v>0.03</v>
      </c>
      <c r="T7" s="6"/>
      <c r="U7" s="6"/>
    </row>
    <row r="8" spans="2:27" s="3" customFormat="1" ht="15">
      <c r="G8" s="307" t="s">
        <v>171</v>
      </c>
      <c r="K8" s="16">
        <v>4.0000000000000001E-3</v>
      </c>
      <c r="T8" s="6"/>
      <c r="U8" s="6"/>
    </row>
    <row r="9" spans="2:27" s="3" customFormat="1" ht="15">
      <c r="B9" s="3" t="s">
        <v>11</v>
      </c>
      <c r="E9" s="6">
        <f>'Wind invest budget'!C42+27585*$K$18</f>
        <v>27585</v>
      </c>
      <c r="F9" s="6"/>
      <c r="G9" s="3" t="s">
        <v>10</v>
      </c>
      <c r="K9" s="18">
        <v>12</v>
      </c>
      <c r="T9" s="6"/>
      <c r="U9" s="6"/>
    </row>
    <row r="10" spans="2:27" s="3" customFormat="1" ht="18">
      <c r="B10" s="302" t="s">
        <v>12</v>
      </c>
      <c r="C10" s="302"/>
      <c r="D10" s="302"/>
      <c r="E10" s="6">
        <v>0</v>
      </c>
      <c r="F10" s="6"/>
      <c r="G10" s="3" t="s">
        <v>184</v>
      </c>
      <c r="K10" s="315">
        <v>3</v>
      </c>
      <c r="T10" s="6"/>
      <c r="U10" s="6"/>
    </row>
    <row r="11" spans="2:27" s="3" customFormat="1" ht="15">
      <c r="B11" s="3" t="s">
        <v>14</v>
      </c>
      <c r="E11" s="6">
        <f>E9-E10</f>
        <v>27585</v>
      </c>
      <c r="F11" s="6"/>
      <c r="M11" s="303"/>
      <c r="N11" s="303"/>
      <c r="T11" s="6"/>
      <c r="U11" s="6"/>
    </row>
    <row r="12" spans="2:27" s="3" customFormat="1" ht="18">
      <c r="E12" s="6"/>
      <c r="F12" s="6"/>
      <c r="G12" s="19" t="s">
        <v>13</v>
      </c>
      <c r="H12" s="19"/>
      <c r="I12" s="19"/>
      <c r="J12" s="19"/>
      <c r="K12" s="20">
        <f>NPV(L12,E71:Z71)</f>
        <v>-5529.6451596480047</v>
      </c>
      <c r="L12" s="359">
        <v>0.08</v>
      </c>
      <c r="M12" s="359"/>
      <c r="T12" s="6"/>
      <c r="U12" s="6"/>
    </row>
    <row r="13" spans="2:27" s="3" customFormat="1" ht="15" customHeight="1">
      <c r="B13" s="3" t="s">
        <v>17</v>
      </c>
      <c r="E13" s="6">
        <f>+$E$11*F13</f>
        <v>8275.5</v>
      </c>
      <c r="F13" s="23">
        <v>0.3</v>
      </c>
      <c r="G13" s="19" t="s">
        <v>15</v>
      </c>
      <c r="H13" s="19"/>
      <c r="I13" s="19"/>
      <c r="J13" s="19"/>
      <c r="K13" s="21">
        <f>IRR(C41:Z41)</f>
        <v>4.7729698042497271E-2</v>
      </c>
      <c r="L13" s="10"/>
      <c r="T13" s="6"/>
      <c r="U13" s="6"/>
    </row>
    <row r="14" spans="2:27" s="3" customFormat="1" ht="15" customHeight="1">
      <c r="B14" s="3" t="s">
        <v>19</v>
      </c>
      <c r="E14" s="6">
        <f>+$E$11*F14</f>
        <v>19309.5</v>
      </c>
      <c r="F14" s="23">
        <f>100%-F13</f>
        <v>0.7</v>
      </c>
      <c r="G14" s="19" t="s">
        <v>237</v>
      </c>
      <c r="H14" s="19"/>
      <c r="I14" s="19"/>
      <c r="J14" s="19"/>
      <c r="K14" s="21">
        <v>4.6600000000000003E-2</v>
      </c>
      <c r="L14" s="10"/>
      <c r="T14" s="6"/>
      <c r="U14" s="6"/>
    </row>
    <row r="15" spans="2:27" s="3" customFormat="1" ht="15">
      <c r="B15" s="3" t="s">
        <v>21</v>
      </c>
      <c r="E15" s="28">
        <v>12</v>
      </c>
      <c r="F15" s="5"/>
      <c r="G15" s="30" t="s">
        <v>16</v>
      </c>
      <c r="H15" s="30"/>
      <c r="I15" s="30"/>
      <c r="J15" s="30"/>
      <c r="K15" s="319">
        <f>IRR(C71:Z71)</f>
        <v>1.268585170405423E-2</v>
      </c>
      <c r="R15" s="112"/>
      <c r="T15" s="217"/>
      <c r="U15" s="217"/>
    </row>
    <row r="16" spans="2:27" s="3" customFormat="1" ht="15" customHeight="1">
      <c r="B16" s="3" t="s">
        <v>22</v>
      </c>
      <c r="E16" s="14">
        <v>0.08</v>
      </c>
      <c r="F16" s="5"/>
      <c r="G16" s="8" t="s">
        <v>18</v>
      </c>
      <c r="H16" s="10"/>
      <c r="I16" s="10"/>
      <c r="J16" s="10"/>
      <c r="K16" s="18">
        <f>R65</f>
        <v>0.88805151588325482</v>
      </c>
    </row>
    <row r="17" spans="1:26" s="3" customFormat="1" ht="15" customHeight="1">
      <c r="E17" s="14"/>
      <c r="F17" s="5"/>
      <c r="G17" s="3" t="s">
        <v>20</v>
      </c>
      <c r="K17" s="14">
        <f>SUM(C32:Z32)/E9</f>
        <v>0.42976272398000076</v>
      </c>
    </row>
    <row r="18" spans="1:26" s="3" customFormat="1" ht="15" customHeight="1">
      <c r="E18" s="14"/>
      <c r="F18" s="5"/>
      <c r="G18" s="335" t="s">
        <v>188</v>
      </c>
      <c r="K18" s="336">
        <f>Sensitivity!E3</f>
        <v>0</v>
      </c>
    </row>
    <row r="19" spans="1:26" s="3" customFormat="1" ht="15">
      <c r="G19" s="335" t="s">
        <v>187</v>
      </c>
      <c r="K19" s="336">
        <f>Sensitivity!E14</f>
        <v>0</v>
      </c>
    </row>
    <row r="20" spans="1:26" s="29" customFormat="1" ht="15" hidden="1">
      <c r="A20" s="267"/>
      <c r="B20" s="31"/>
      <c r="C20" s="31"/>
      <c r="D20" s="31"/>
      <c r="E20" s="31">
        <v>0</v>
      </c>
      <c r="F20" s="31">
        <f t="shared" ref="F20:X20" si="0">E20*1.05</f>
        <v>0</v>
      </c>
      <c r="G20" s="31">
        <f t="shared" si="0"/>
        <v>0</v>
      </c>
      <c r="H20" s="31">
        <f t="shared" si="0"/>
        <v>0</v>
      </c>
      <c r="I20" s="31">
        <f t="shared" si="0"/>
        <v>0</v>
      </c>
      <c r="J20" s="31">
        <f t="shared" si="0"/>
        <v>0</v>
      </c>
      <c r="K20" s="31">
        <f t="shared" si="0"/>
        <v>0</v>
      </c>
      <c r="L20" s="31">
        <f t="shared" si="0"/>
        <v>0</v>
      </c>
      <c r="M20" s="31">
        <f t="shared" si="0"/>
        <v>0</v>
      </c>
      <c r="N20" s="31">
        <f t="shared" si="0"/>
        <v>0</v>
      </c>
      <c r="O20" s="31">
        <f t="shared" si="0"/>
        <v>0</v>
      </c>
      <c r="P20" s="31">
        <f t="shared" si="0"/>
        <v>0</v>
      </c>
      <c r="Q20" s="31">
        <f t="shared" si="0"/>
        <v>0</v>
      </c>
      <c r="R20" s="31">
        <f t="shared" si="0"/>
        <v>0</v>
      </c>
      <c r="S20" s="31">
        <f t="shared" si="0"/>
        <v>0</v>
      </c>
      <c r="T20" s="31">
        <f t="shared" si="0"/>
        <v>0</v>
      </c>
      <c r="U20" s="31">
        <f t="shared" si="0"/>
        <v>0</v>
      </c>
      <c r="V20" s="31">
        <f t="shared" si="0"/>
        <v>0</v>
      </c>
      <c r="W20" s="31">
        <f t="shared" si="0"/>
        <v>0</v>
      </c>
      <c r="X20" s="50">
        <f t="shared" si="0"/>
        <v>0</v>
      </c>
      <c r="Y20" s="31"/>
      <c r="Z20" s="31"/>
    </row>
    <row r="21" spans="1:26" s="29" customFormat="1" ht="15">
      <c r="A21" s="3"/>
      <c r="B21" s="32" t="s">
        <v>23</v>
      </c>
      <c r="C21" s="32"/>
      <c r="D21" s="26"/>
      <c r="E21" s="26"/>
      <c r="F21" s="22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31"/>
    </row>
    <row r="22" spans="1:26" s="29" customFormat="1" ht="15">
      <c r="A22" s="267"/>
      <c r="B22" s="26"/>
      <c r="C22" s="26"/>
      <c r="D22" s="32"/>
      <c r="E22" s="32">
        <v>1</v>
      </c>
      <c r="F22" s="32">
        <v>2</v>
      </c>
      <c r="G22" s="32">
        <f>F22+1</f>
        <v>3</v>
      </c>
      <c r="H22" s="32">
        <f t="shared" ref="H22:Y22" si="1">G22+1</f>
        <v>4</v>
      </c>
      <c r="I22" s="32">
        <f t="shared" si="1"/>
        <v>5</v>
      </c>
      <c r="J22" s="32">
        <f t="shared" si="1"/>
        <v>6</v>
      </c>
      <c r="K22" s="32">
        <f t="shared" si="1"/>
        <v>7</v>
      </c>
      <c r="L22" s="32">
        <f t="shared" si="1"/>
        <v>8</v>
      </c>
      <c r="M22" s="32">
        <f t="shared" si="1"/>
        <v>9</v>
      </c>
      <c r="N22" s="32">
        <f t="shared" si="1"/>
        <v>10</v>
      </c>
      <c r="O22" s="32">
        <f t="shared" si="1"/>
        <v>11</v>
      </c>
      <c r="P22" s="32">
        <f t="shared" si="1"/>
        <v>12</v>
      </c>
      <c r="Q22" s="32">
        <f t="shared" si="1"/>
        <v>13</v>
      </c>
      <c r="R22" s="32">
        <f t="shared" si="1"/>
        <v>14</v>
      </c>
      <c r="S22" s="32">
        <f t="shared" si="1"/>
        <v>15</v>
      </c>
      <c r="T22" s="32">
        <f t="shared" si="1"/>
        <v>16</v>
      </c>
      <c r="U22" s="32">
        <f t="shared" si="1"/>
        <v>17</v>
      </c>
      <c r="V22" s="32">
        <f t="shared" si="1"/>
        <v>18</v>
      </c>
      <c r="W22" s="32">
        <f t="shared" si="1"/>
        <v>19</v>
      </c>
      <c r="X22" s="32">
        <f t="shared" si="1"/>
        <v>20</v>
      </c>
      <c r="Y22" s="32">
        <f t="shared" si="1"/>
        <v>21</v>
      </c>
      <c r="Z22" s="31"/>
    </row>
    <row r="23" spans="1:26" s="36" customFormat="1" ht="15">
      <c r="A23" s="268"/>
      <c r="B23" s="309" t="s">
        <v>24</v>
      </c>
      <c r="C23" s="33">
        <v>2009</v>
      </c>
      <c r="D23" s="33">
        <f t="shared" ref="D23:Y23" si="2">C23+1</f>
        <v>2010</v>
      </c>
      <c r="E23" s="33">
        <v>2011</v>
      </c>
      <c r="F23" s="33">
        <f t="shared" si="2"/>
        <v>2012</v>
      </c>
      <c r="G23" s="33">
        <f t="shared" si="2"/>
        <v>2013</v>
      </c>
      <c r="H23" s="33">
        <f t="shared" si="2"/>
        <v>2014</v>
      </c>
      <c r="I23" s="33">
        <f t="shared" si="2"/>
        <v>2015</v>
      </c>
      <c r="J23" s="33">
        <f t="shared" si="2"/>
        <v>2016</v>
      </c>
      <c r="K23" s="33">
        <f t="shared" si="2"/>
        <v>2017</v>
      </c>
      <c r="L23" s="33">
        <f t="shared" si="2"/>
        <v>2018</v>
      </c>
      <c r="M23" s="33">
        <f t="shared" si="2"/>
        <v>2019</v>
      </c>
      <c r="N23" s="33">
        <f t="shared" si="2"/>
        <v>2020</v>
      </c>
      <c r="O23" s="33">
        <f t="shared" si="2"/>
        <v>2021</v>
      </c>
      <c r="P23" s="33">
        <f t="shared" si="2"/>
        <v>2022</v>
      </c>
      <c r="Q23" s="33">
        <f t="shared" si="2"/>
        <v>2023</v>
      </c>
      <c r="R23" s="33">
        <f t="shared" si="2"/>
        <v>2024</v>
      </c>
      <c r="S23" s="33">
        <f t="shared" si="2"/>
        <v>2025</v>
      </c>
      <c r="T23" s="33">
        <f t="shared" si="2"/>
        <v>2026</v>
      </c>
      <c r="U23" s="33">
        <f t="shared" si="2"/>
        <v>2027</v>
      </c>
      <c r="V23" s="33">
        <f t="shared" si="2"/>
        <v>2028</v>
      </c>
      <c r="W23" s="33">
        <f t="shared" si="2"/>
        <v>2029</v>
      </c>
      <c r="X23" s="33">
        <f t="shared" si="2"/>
        <v>2030</v>
      </c>
      <c r="Y23" s="33">
        <f t="shared" si="2"/>
        <v>2031</v>
      </c>
      <c r="Z23" s="35"/>
    </row>
    <row r="24" spans="1:26" s="39" customFormat="1" ht="15">
      <c r="A24" s="37"/>
      <c r="B24" s="34"/>
      <c r="C24" s="34"/>
      <c r="D24" s="34"/>
      <c r="E24" s="38">
        <v>0.25</v>
      </c>
      <c r="F24" s="289">
        <v>1</v>
      </c>
      <c r="G24" s="289">
        <v>1</v>
      </c>
      <c r="H24" s="289">
        <v>1</v>
      </c>
      <c r="I24" s="289">
        <v>1</v>
      </c>
      <c r="J24" s="289">
        <v>1</v>
      </c>
      <c r="K24" s="289">
        <v>1</v>
      </c>
      <c r="L24" s="289">
        <v>1</v>
      </c>
      <c r="M24" s="289">
        <v>1</v>
      </c>
      <c r="N24" s="289">
        <v>1</v>
      </c>
      <c r="O24" s="289">
        <v>1</v>
      </c>
      <c r="P24" s="289">
        <v>1</v>
      </c>
      <c r="Q24" s="289">
        <v>1</v>
      </c>
      <c r="R24" s="289">
        <v>1</v>
      </c>
      <c r="S24" s="289">
        <v>1</v>
      </c>
      <c r="T24" s="289">
        <v>1</v>
      </c>
      <c r="U24" s="289">
        <v>1</v>
      </c>
      <c r="V24" s="289">
        <v>1</v>
      </c>
      <c r="W24" s="289">
        <v>1</v>
      </c>
      <c r="X24" s="289">
        <v>1</v>
      </c>
      <c r="Y24" s="290">
        <f>1-E24</f>
        <v>0.75</v>
      </c>
      <c r="Z24" s="34"/>
    </row>
    <row r="25" spans="1:26" s="40" customFormat="1" ht="12.75">
      <c r="A25" s="269"/>
      <c r="B25" s="40" t="s">
        <v>174</v>
      </c>
      <c r="D25" s="41"/>
      <c r="E25" s="41">
        <v>86.886005560704348</v>
      </c>
      <c r="F25" s="41">
        <v>86.886005560704348</v>
      </c>
      <c r="G25" s="41">
        <v>86.886005560704348</v>
      </c>
      <c r="H25" s="41">
        <v>86.886005560704348</v>
      </c>
      <c r="I25" s="41">
        <v>86.886005560704348</v>
      </c>
      <c r="J25" s="41">
        <v>86.886005560704348</v>
      </c>
      <c r="K25" s="41">
        <v>86.886005560704348</v>
      </c>
      <c r="L25" s="41">
        <v>86.886005560704348</v>
      </c>
      <c r="M25" s="41">
        <v>86.886005560704348</v>
      </c>
      <c r="N25" s="41">
        <v>86.886005560704348</v>
      </c>
      <c r="O25" s="41">
        <v>65</v>
      </c>
      <c r="P25" s="41">
        <f>O25*(1+$K$7)</f>
        <v>66.95</v>
      </c>
      <c r="Q25" s="41">
        <f>P25*(1+$K$7)</f>
        <v>68.958500000000001</v>
      </c>
      <c r="R25" s="41">
        <f t="shared" ref="R25:Y25" si="3">Q25*(1+$K$7)</f>
        <v>71.027254999999997</v>
      </c>
      <c r="S25" s="41">
        <f t="shared" si="3"/>
        <v>73.158072649999994</v>
      </c>
      <c r="T25" s="41">
        <f t="shared" si="3"/>
        <v>75.352814829499991</v>
      </c>
      <c r="U25" s="41">
        <f t="shared" si="3"/>
        <v>77.613399274384989</v>
      </c>
      <c r="V25" s="41">
        <f t="shared" si="3"/>
        <v>79.941801252616543</v>
      </c>
      <c r="W25" s="41">
        <f t="shared" si="3"/>
        <v>82.340055290195039</v>
      </c>
      <c r="X25" s="41">
        <f t="shared" si="3"/>
        <v>84.810256948900886</v>
      </c>
      <c r="Y25" s="41">
        <f t="shared" si="3"/>
        <v>87.354564657367916</v>
      </c>
      <c r="Z25" s="42"/>
    </row>
    <row r="26" spans="1:26" s="29" customFormat="1" ht="15">
      <c r="A26" s="30"/>
      <c r="F26" s="30"/>
      <c r="Z26" s="31"/>
    </row>
    <row r="27" spans="1:26" s="12" customFormat="1" ht="15">
      <c r="A27" s="6"/>
      <c r="B27" s="43" t="s">
        <v>175</v>
      </c>
      <c r="C27" s="43"/>
      <c r="D27" s="43"/>
      <c r="E27" s="43">
        <f t="shared" ref="E27:Y27" si="4">$E4*E25/1000*E24</f>
        <v>781.0400254865616</v>
      </c>
      <c r="F27" s="43">
        <f t="shared" si="4"/>
        <v>3124.1601019462464</v>
      </c>
      <c r="G27" s="43">
        <f t="shared" si="4"/>
        <v>3124.1601019462464</v>
      </c>
      <c r="H27" s="43">
        <f t="shared" si="4"/>
        <v>3124.1601019462464</v>
      </c>
      <c r="I27" s="43">
        <f t="shared" si="4"/>
        <v>3124.1601019462464</v>
      </c>
      <c r="J27" s="43">
        <f t="shared" si="4"/>
        <v>3124.1601019462464</v>
      </c>
      <c r="K27" s="43">
        <f t="shared" si="4"/>
        <v>3124.1601019462464</v>
      </c>
      <c r="L27" s="43">
        <f t="shared" si="4"/>
        <v>3124.1601019462464</v>
      </c>
      <c r="M27" s="43">
        <f t="shared" si="4"/>
        <v>3124.1601019462464</v>
      </c>
      <c r="N27" s="43">
        <f t="shared" si="4"/>
        <v>3124.1601019462464</v>
      </c>
      <c r="O27" s="43">
        <f t="shared" si="4"/>
        <v>2337.2049999999999</v>
      </c>
      <c r="P27" s="43">
        <f t="shared" si="4"/>
        <v>2407.3211499999998</v>
      </c>
      <c r="Q27" s="43">
        <f t="shared" si="4"/>
        <v>2479.5407845</v>
      </c>
      <c r="R27" s="43">
        <f t="shared" si="4"/>
        <v>2553.9270080349997</v>
      </c>
      <c r="S27" s="43">
        <f t="shared" si="4"/>
        <v>2630.5448182760497</v>
      </c>
      <c r="T27" s="43">
        <f t="shared" si="4"/>
        <v>2709.4611628243315</v>
      </c>
      <c r="U27" s="43">
        <f t="shared" si="4"/>
        <v>2790.744997709061</v>
      </c>
      <c r="V27" s="43">
        <f t="shared" si="4"/>
        <v>2874.4673476403332</v>
      </c>
      <c r="W27" s="43">
        <f t="shared" si="4"/>
        <v>2960.7013680695432</v>
      </c>
      <c r="X27" s="43">
        <f t="shared" si="4"/>
        <v>3049.5224091116293</v>
      </c>
      <c r="Y27" s="43">
        <f t="shared" si="4"/>
        <v>2355.7560610387336</v>
      </c>
      <c r="Z27" s="43"/>
    </row>
    <row r="28" spans="1:26" s="12" customFormat="1" ht="15">
      <c r="A28" s="6"/>
      <c r="B28" s="43" t="s">
        <v>25</v>
      </c>
      <c r="C28" s="43"/>
      <c r="D28" s="43"/>
      <c r="E28" s="43">
        <f>F28*E24</f>
        <v>55.709977950000003</v>
      </c>
      <c r="F28" s="6">
        <f>P4*E4*P5*(1-P6)/1000</f>
        <v>222.83991180000001</v>
      </c>
      <c r="G28" s="43"/>
      <c r="H28" s="43"/>
      <c r="I28" s="43"/>
      <c r="J28" s="43"/>
      <c r="K28" s="43"/>
      <c r="L28" s="43"/>
      <c r="M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s="12" customFormat="1" ht="15">
      <c r="A29" s="6"/>
      <c r="B29" s="43" t="s">
        <v>176</v>
      </c>
      <c r="C29" s="43"/>
      <c r="D29" s="43"/>
      <c r="E29" s="43"/>
      <c r="F29" s="6"/>
      <c r="G29" s="6"/>
      <c r="H29" s="6"/>
      <c r="I29" s="43"/>
      <c r="J29" s="43"/>
      <c r="K29" s="43"/>
      <c r="L29" s="43"/>
      <c r="M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>
        <v>0</v>
      </c>
      <c r="Z29" s="43"/>
    </row>
    <row r="30" spans="1:26" s="12" customFormat="1" ht="15">
      <c r="A30" s="6"/>
      <c r="B30" s="43" t="s">
        <v>26</v>
      </c>
      <c r="C30" s="43"/>
      <c r="D30" s="43"/>
      <c r="E30" s="43">
        <f t="shared" ref="E30:Y30" si="5">SUM(E27:E29)</f>
        <v>836.75000343656166</v>
      </c>
      <c r="F30" s="6">
        <f t="shared" si="5"/>
        <v>3347.0000137462466</v>
      </c>
      <c r="G30" s="43">
        <f t="shared" si="5"/>
        <v>3124.1601019462464</v>
      </c>
      <c r="H30" s="43">
        <f t="shared" si="5"/>
        <v>3124.1601019462464</v>
      </c>
      <c r="I30" s="43">
        <f t="shared" si="5"/>
        <v>3124.1601019462464</v>
      </c>
      <c r="J30" s="43">
        <f t="shared" si="5"/>
        <v>3124.1601019462464</v>
      </c>
      <c r="K30" s="43">
        <f t="shared" si="5"/>
        <v>3124.1601019462464</v>
      </c>
      <c r="L30" s="43">
        <f t="shared" si="5"/>
        <v>3124.1601019462464</v>
      </c>
      <c r="M30" s="43">
        <f t="shared" si="5"/>
        <v>3124.1601019462464</v>
      </c>
      <c r="N30" s="43">
        <f t="shared" si="5"/>
        <v>3124.1601019462464</v>
      </c>
      <c r="O30" s="43">
        <f t="shared" si="5"/>
        <v>2337.2049999999999</v>
      </c>
      <c r="P30" s="43">
        <f t="shared" si="5"/>
        <v>2407.3211499999998</v>
      </c>
      <c r="Q30" s="43">
        <f t="shared" si="5"/>
        <v>2479.5407845</v>
      </c>
      <c r="R30" s="43">
        <f t="shared" si="5"/>
        <v>2553.9270080349997</v>
      </c>
      <c r="S30" s="43">
        <f t="shared" si="5"/>
        <v>2630.5448182760497</v>
      </c>
      <c r="T30" s="43">
        <f t="shared" si="5"/>
        <v>2709.4611628243315</v>
      </c>
      <c r="U30" s="43">
        <f t="shared" si="5"/>
        <v>2790.744997709061</v>
      </c>
      <c r="V30" s="43">
        <f t="shared" si="5"/>
        <v>2874.4673476403332</v>
      </c>
      <c r="W30" s="43">
        <f t="shared" si="5"/>
        <v>2960.7013680695432</v>
      </c>
      <c r="X30" s="43">
        <f t="shared" si="5"/>
        <v>3049.5224091116293</v>
      </c>
      <c r="Y30" s="43">
        <f t="shared" si="5"/>
        <v>2355.7560610387336</v>
      </c>
      <c r="Z30" s="43"/>
    </row>
    <row r="31" spans="1:26" s="12" customFormat="1" ht="15">
      <c r="A31" s="6"/>
      <c r="B31" s="43"/>
      <c r="C31" s="43"/>
      <c r="D31" s="43"/>
      <c r="E31" s="43"/>
      <c r="F31" s="6"/>
      <c r="G31" s="43"/>
      <c r="I31" s="43"/>
      <c r="J31" s="43"/>
      <c r="K31" s="43"/>
      <c r="L31" s="43"/>
      <c r="M31" s="43"/>
      <c r="N31" s="43"/>
      <c r="O31" s="6"/>
      <c r="P31" s="6"/>
      <c r="Q31" s="6"/>
      <c r="R31" s="6"/>
      <c r="S31" s="6"/>
      <c r="T31" s="6"/>
      <c r="U31" s="6"/>
      <c r="V31" s="6"/>
      <c r="W31" s="6"/>
      <c r="X31" s="43"/>
      <c r="Y31" s="43"/>
      <c r="Z31" s="43"/>
    </row>
    <row r="32" spans="1:26" s="12" customFormat="1" ht="15">
      <c r="A32" s="6"/>
      <c r="B32" s="43" t="s">
        <v>177</v>
      </c>
      <c r="C32" s="43"/>
      <c r="E32" s="43">
        <f>$E$4*$K$9/1000*E24</f>
        <v>107.871</v>
      </c>
      <c r="F32" s="43">
        <f>$E$4*$K$9/1000*F24*(1+$K$7)</f>
        <v>444.42851999999999</v>
      </c>
      <c r="G32" s="43">
        <f>F32*(1+$K7)</f>
        <v>457.76137560000001</v>
      </c>
      <c r="H32" s="43">
        <f>G32*(1+$K7)</f>
        <v>471.49421686800002</v>
      </c>
      <c r="I32" s="43">
        <f>H32*(1+$K7)</f>
        <v>485.63904337404006</v>
      </c>
      <c r="J32" s="43">
        <f t="shared" ref="J32:X32" si="6">I32*(1+$K7)</f>
        <v>500.20821467526127</v>
      </c>
      <c r="K32" s="43">
        <f t="shared" si="6"/>
        <v>515.21446111551916</v>
      </c>
      <c r="L32" s="43">
        <f t="shared" si="6"/>
        <v>530.67089494898471</v>
      </c>
      <c r="M32" s="43">
        <f t="shared" si="6"/>
        <v>546.59102179745423</v>
      </c>
      <c r="N32" s="43">
        <f t="shared" si="6"/>
        <v>562.98875245137788</v>
      </c>
      <c r="O32" s="43">
        <f t="shared" si="6"/>
        <v>579.87841502491926</v>
      </c>
      <c r="P32" s="43">
        <f t="shared" si="6"/>
        <v>597.27476747566686</v>
      </c>
      <c r="Q32" s="43">
        <f t="shared" si="6"/>
        <v>615.19301049993692</v>
      </c>
      <c r="R32" s="43">
        <f t="shared" si="6"/>
        <v>633.64880081493504</v>
      </c>
      <c r="S32" s="43">
        <f t="shared" si="6"/>
        <v>652.65826483938315</v>
      </c>
      <c r="T32" s="43">
        <f t="shared" si="6"/>
        <v>672.23801278456472</v>
      </c>
      <c r="U32" s="43">
        <f t="shared" si="6"/>
        <v>692.40515316810172</v>
      </c>
      <c r="V32" s="43">
        <f t="shared" si="6"/>
        <v>713.17730776314477</v>
      </c>
      <c r="W32" s="43">
        <f t="shared" si="6"/>
        <v>734.57262699603916</v>
      </c>
      <c r="X32" s="43">
        <f t="shared" si="6"/>
        <v>756.60980580592036</v>
      </c>
      <c r="Y32" s="43">
        <f>X32*(1+$K7)*Y24</f>
        <v>584.48107498507352</v>
      </c>
      <c r="Z32" s="43"/>
    </row>
    <row r="33" spans="1:26" s="12" customFormat="1" ht="14.25" customHeight="1">
      <c r="A33" s="270"/>
      <c r="B33" s="43" t="s">
        <v>27</v>
      </c>
      <c r="C33" s="43"/>
      <c r="D33" s="43"/>
      <c r="E33" s="43">
        <f>F33*E$24</f>
        <v>27.585000000000001</v>
      </c>
      <c r="F33" s="6">
        <f>K8*E9*F24</f>
        <v>110.34</v>
      </c>
      <c r="G33" s="43">
        <f>K8*E9</f>
        <v>110.34</v>
      </c>
      <c r="H33" s="43">
        <f t="shared" ref="H33:X33" si="7">G33</f>
        <v>110.34</v>
      </c>
      <c r="I33" s="43">
        <f t="shared" si="7"/>
        <v>110.34</v>
      </c>
      <c r="J33" s="43">
        <f t="shared" si="7"/>
        <v>110.34</v>
      </c>
      <c r="K33" s="43">
        <f t="shared" si="7"/>
        <v>110.34</v>
      </c>
      <c r="L33" s="43">
        <f t="shared" si="7"/>
        <v>110.34</v>
      </c>
      <c r="M33" s="43">
        <f t="shared" si="7"/>
        <v>110.34</v>
      </c>
      <c r="N33" s="43">
        <f t="shared" si="7"/>
        <v>110.34</v>
      </c>
      <c r="O33" s="43">
        <f t="shared" si="7"/>
        <v>110.34</v>
      </c>
      <c r="P33" s="43">
        <f t="shared" si="7"/>
        <v>110.34</v>
      </c>
      <c r="Q33" s="43">
        <f t="shared" si="7"/>
        <v>110.34</v>
      </c>
      <c r="R33" s="43">
        <f t="shared" si="7"/>
        <v>110.34</v>
      </c>
      <c r="S33" s="43">
        <f t="shared" si="7"/>
        <v>110.34</v>
      </c>
      <c r="T33" s="43">
        <f t="shared" si="7"/>
        <v>110.34</v>
      </c>
      <c r="U33" s="43">
        <f t="shared" si="7"/>
        <v>110.34</v>
      </c>
      <c r="V33" s="43">
        <f t="shared" si="7"/>
        <v>110.34</v>
      </c>
      <c r="W33" s="43">
        <f t="shared" si="7"/>
        <v>110.34</v>
      </c>
      <c r="X33" s="43">
        <f t="shared" si="7"/>
        <v>110.34</v>
      </c>
      <c r="Y33" s="43">
        <f>X33*Y24</f>
        <v>82.754999999999995</v>
      </c>
      <c r="Z33" s="43"/>
    </row>
    <row r="34" spans="1:26" s="12" customFormat="1" ht="14.25" customHeight="1">
      <c r="A34" s="270"/>
      <c r="B34" s="43" t="s">
        <v>178</v>
      </c>
      <c r="C34" s="43"/>
      <c r="D34" s="43"/>
      <c r="E34" s="6">
        <f>F34*E24</f>
        <v>12</v>
      </c>
      <c r="F34" s="6">
        <v>48</v>
      </c>
      <c r="G34" s="43">
        <f>F34*(1+$K$7)</f>
        <v>49.44</v>
      </c>
      <c r="H34" s="43">
        <f t="shared" ref="H34:X34" si="8">G34*(1+$K$7)</f>
        <v>50.923200000000001</v>
      </c>
      <c r="I34" s="43">
        <f t="shared" si="8"/>
        <v>52.450896</v>
      </c>
      <c r="J34" s="43">
        <f t="shared" si="8"/>
        <v>54.024422880000003</v>
      </c>
      <c r="K34" s="43">
        <f t="shared" si="8"/>
        <v>55.645155566400007</v>
      </c>
      <c r="L34" s="43">
        <f t="shared" si="8"/>
        <v>57.314510233392006</v>
      </c>
      <c r="M34" s="43">
        <f t="shared" si="8"/>
        <v>59.033945540393766</v>
      </c>
      <c r="N34" s="43">
        <f t="shared" si="8"/>
        <v>60.804963906605579</v>
      </c>
      <c r="O34" s="43">
        <f t="shared" si="8"/>
        <v>62.629112823803744</v>
      </c>
      <c r="P34" s="43">
        <f t="shared" si="8"/>
        <v>64.507986208517863</v>
      </c>
      <c r="Q34" s="43">
        <f t="shared" si="8"/>
        <v>66.443225794773397</v>
      </c>
      <c r="R34" s="43">
        <f t="shared" si="8"/>
        <v>68.436522568616596</v>
      </c>
      <c r="S34" s="43">
        <f t="shared" si="8"/>
        <v>70.489618245675089</v>
      </c>
      <c r="T34" s="43">
        <f t="shared" si="8"/>
        <v>72.604306793045339</v>
      </c>
      <c r="U34" s="43">
        <f t="shared" si="8"/>
        <v>74.782435996836696</v>
      </c>
      <c r="V34" s="43">
        <f t="shared" si="8"/>
        <v>77.025909076741797</v>
      </c>
      <c r="W34" s="43">
        <f t="shared" si="8"/>
        <v>79.336686349044058</v>
      </c>
      <c r="X34" s="43">
        <f t="shared" si="8"/>
        <v>81.716786939515387</v>
      </c>
      <c r="Y34" s="43">
        <f>X34*(1+$K$7)*Y24</f>
        <v>63.126217910775637</v>
      </c>
      <c r="Z34" s="43"/>
    </row>
    <row r="35" spans="1:26" s="12" customFormat="1" ht="15">
      <c r="A35" s="6"/>
      <c r="B35" s="43" t="s">
        <v>179</v>
      </c>
      <c r="C35" s="43"/>
      <c r="E35" s="43">
        <f>F35*E$24</f>
        <v>0.75</v>
      </c>
      <c r="F35" s="6">
        <v>3</v>
      </c>
      <c r="G35" s="43">
        <v>3</v>
      </c>
      <c r="H35" s="43">
        <f t="shared" ref="H35:X35" si="9">G35</f>
        <v>3</v>
      </c>
      <c r="I35" s="43">
        <f t="shared" si="9"/>
        <v>3</v>
      </c>
      <c r="J35" s="43">
        <f t="shared" si="9"/>
        <v>3</v>
      </c>
      <c r="K35" s="43">
        <f t="shared" si="9"/>
        <v>3</v>
      </c>
      <c r="L35" s="43">
        <f t="shared" si="9"/>
        <v>3</v>
      </c>
      <c r="M35" s="43">
        <f t="shared" si="9"/>
        <v>3</v>
      </c>
      <c r="N35" s="43">
        <f t="shared" si="9"/>
        <v>3</v>
      </c>
      <c r="O35" s="43">
        <f t="shared" si="9"/>
        <v>3</v>
      </c>
      <c r="P35" s="43">
        <f t="shared" si="9"/>
        <v>3</v>
      </c>
      <c r="Q35" s="43">
        <f t="shared" si="9"/>
        <v>3</v>
      </c>
      <c r="R35" s="43">
        <f t="shared" si="9"/>
        <v>3</v>
      </c>
      <c r="S35" s="43">
        <f t="shared" si="9"/>
        <v>3</v>
      </c>
      <c r="T35" s="43">
        <f t="shared" si="9"/>
        <v>3</v>
      </c>
      <c r="U35" s="43">
        <f t="shared" si="9"/>
        <v>3</v>
      </c>
      <c r="V35" s="43">
        <f t="shared" si="9"/>
        <v>3</v>
      </c>
      <c r="W35" s="43">
        <f t="shared" si="9"/>
        <v>3</v>
      </c>
      <c r="X35" s="43">
        <f t="shared" si="9"/>
        <v>3</v>
      </c>
      <c r="Y35" s="43">
        <f>X35*Y24</f>
        <v>2.25</v>
      </c>
      <c r="Z35" s="43"/>
    </row>
    <row r="36" spans="1:26" s="12" customFormat="1" ht="14.25" customHeight="1">
      <c r="A36" s="270"/>
      <c r="B36" s="43" t="s">
        <v>180</v>
      </c>
      <c r="C36" s="43"/>
      <c r="D36" s="43"/>
      <c r="E36" s="43">
        <f>F36*E24</f>
        <v>5.25</v>
      </c>
      <c r="F36" s="43">
        <f>K10*'Wind invest budget'!$C$3</f>
        <v>21</v>
      </c>
      <c r="G36" s="43">
        <f t="shared" ref="G36:V37" si="10">F36*(1+$K$7)</f>
        <v>21.63</v>
      </c>
      <c r="H36" s="43">
        <f t="shared" si="10"/>
        <v>22.2789</v>
      </c>
      <c r="I36" s="43">
        <f t="shared" si="10"/>
        <v>22.947267</v>
      </c>
      <c r="J36" s="43">
        <f t="shared" si="10"/>
        <v>23.63568501</v>
      </c>
      <c r="K36" s="43">
        <f t="shared" si="10"/>
        <v>24.344755560300001</v>
      </c>
      <c r="L36" s="43">
        <f t="shared" si="10"/>
        <v>25.075098227109002</v>
      </c>
      <c r="M36" s="43">
        <f t="shared" si="10"/>
        <v>25.827351173922274</v>
      </c>
      <c r="N36" s="43">
        <f t="shared" si="10"/>
        <v>26.602171709139942</v>
      </c>
      <c r="O36" s="43">
        <f t="shared" si="10"/>
        <v>27.40023686041414</v>
      </c>
      <c r="P36" s="43">
        <f t="shared" si="10"/>
        <v>28.222243966226564</v>
      </c>
      <c r="Q36" s="43">
        <f t="shared" si="10"/>
        <v>29.06891128521336</v>
      </c>
      <c r="R36" s="43">
        <f t="shared" si="10"/>
        <v>29.940978623769762</v>
      </c>
      <c r="S36" s="43">
        <f t="shared" si="10"/>
        <v>30.839207982482858</v>
      </c>
      <c r="T36" s="43">
        <f t="shared" si="10"/>
        <v>31.764384221957343</v>
      </c>
      <c r="U36" s="43">
        <f t="shared" si="10"/>
        <v>32.717315748616066</v>
      </c>
      <c r="V36" s="43">
        <f t="shared" si="10"/>
        <v>33.698835221074546</v>
      </c>
      <c r="W36" s="43">
        <f t="shared" ref="W36:X37" si="11">V36*(1+$K$7)</f>
        <v>34.709800277706783</v>
      </c>
      <c r="X36" s="43">
        <f t="shared" si="11"/>
        <v>35.75109428603799</v>
      </c>
      <c r="Y36" s="43">
        <f>X36*(1+$K$7)*Y24</f>
        <v>27.617720335964346</v>
      </c>
      <c r="Z36" s="43"/>
    </row>
    <row r="37" spans="1:26" s="12" customFormat="1" ht="14.25" customHeight="1">
      <c r="A37" s="270"/>
      <c r="B37" s="43" t="s">
        <v>181</v>
      </c>
      <c r="C37" s="43"/>
      <c r="D37" s="43"/>
      <c r="E37" s="43">
        <f>F37*E$24</f>
        <v>0</v>
      </c>
      <c r="F37" s="6">
        <v>0</v>
      </c>
      <c r="G37" s="43">
        <f t="shared" si="10"/>
        <v>0</v>
      </c>
      <c r="H37" s="43">
        <f t="shared" si="10"/>
        <v>0</v>
      </c>
      <c r="I37" s="43">
        <f t="shared" si="10"/>
        <v>0</v>
      </c>
      <c r="J37" s="43">
        <f t="shared" si="10"/>
        <v>0</v>
      </c>
      <c r="K37" s="43">
        <f t="shared" si="10"/>
        <v>0</v>
      </c>
      <c r="L37" s="43">
        <f t="shared" si="10"/>
        <v>0</v>
      </c>
      <c r="M37" s="43">
        <f t="shared" si="10"/>
        <v>0</v>
      </c>
      <c r="N37" s="43">
        <f t="shared" si="10"/>
        <v>0</v>
      </c>
      <c r="O37" s="43">
        <f t="shared" si="10"/>
        <v>0</v>
      </c>
      <c r="P37" s="43">
        <f t="shared" si="10"/>
        <v>0</v>
      </c>
      <c r="Q37" s="43">
        <f t="shared" si="10"/>
        <v>0</v>
      </c>
      <c r="R37" s="43">
        <f t="shared" si="10"/>
        <v>0</v>
      </c>
      <c r="S37" s="43">
        <f t="shared" si="10"/>
        <v>0</v>
      </c>
      <c r="T37" s="43">
        <f t="shared" si="10"/>
        <v>0</v>
      </c>
      <c r="U37" s="43">
        <f t="shared" si="10"/>
        <v>0</v>
      </c>
      <c r="V37" s="43">
        <f t="shared" si="10"/>
        <v>0</v>
      </c>
      <c r="W37" s="43">
        <f t="shared" si="11"/>
        <v>0</v>
      </c>
      <c r="X37" s="43">
        <f t="shared" si="11"/>
        <v>0</v>
      </c>
      <c r="Y37" s="43">
        <f>X37*(1+$K$7)*Y24</f>
        <v>0</v>
      </c>
      <c r="Z37" s="43"/>
    </row>
    <row r="38" spans="1:26" s="12" customFormat="1" ht="14.25" customHeight="1">
      <c r="A38" s="270"/>
      <c r="B38" s="43" t="s">
        <v>182</v>
      </c>
      <c r="C38" s="43"/>
      <c r="D38" s="43"/>
      <c r="E38" s="6">
        <f>30*E24</f>
        <v>7.5</v>
      </c>
      <c r="F38" s="43">
        <f>15*(1+$K$7)*F$24</f>
        <v>15.450000000000001</v>
      </c>
      <c r="G38" s="43">
        <f t="shared" ref="G38:Y38" si="12">F38*(1+$K$7)*G$24</f>
        <v>15.913500000000001</v>
      </c>
      <c r="H38" s="43">
        <f t="shared" si="12"/>
        <v>16.390905</v>
      </c>
      <c r="I38" s="43">
        <f t="shared" si="12"/>
        <v>16.882632149999999</v>
      </c>
      <c r="J38" s="43">
        <f t="shared" si="12"/>
        <v>17.3891111145</v>
      </c>
      <c r="K38" s="43">
        <f t="shared" si="12"/>
        <v>17.910784447935001</v>
      </c>
      <c r="L38" s="43">
        <f t="shared" si="12"/>
        <v>18.448107981373052</v>
      </c>
      <c r="M38" s="43">
        <f t="shared" si="12"/>
        <v>19.001551220814246</v>
      </c>
      <c r="N38" s="43">
        <f t="shared" si="12"/>
        <v>19.571597757438674</v>
      </c>
      <c r="O38" s="43">
        <f t="shared" si="12"/>
        <v>20.158745690161833</v>
      </c>
      <c r="P38" s="43">
        <f t="shared" si="12"/>
        <v>20.763508060866688</v>
      </c>
      <c r="Q38" s="43">
        <f t="shared" si="12"/>
        <v>21.386413302692688</v>
      </c>
      <c r="R38" s="43">
        <f t="shared" si="12"/>
        <v>22.02800570177347</v>
      </c>
      <c r="S38" s="43">
        <f t="shared" si="12"/>
        <v>22.688845872826676</v>
      </c>
      <c r="T38" s="43">
        <f t="shared" si="12"/>
        <v>23.369511249011477</v>
      </c>
      <c r="U38" s="43">
        <f t="shared" si="12"/>
        <v>24.070596586481823</v>
      </c>
      <c r="V38" s="43">
        <f t="shared" si="12"/>
        <v>24.792714484076278</v>
      </c>
      <c r="W38" s="43">
        <f t="shared" si="12"/>
        <v>25.536495918598568</v>
      </c>
      <c r="X38" s="43">
        <f t="shared" si="12"/>
        <v>26.302590796156526</v>
      </c>
      <c r="Y38" s="43">
        <f t="shared" si="12"/>
        <v>20.318751390030915</v>
      </c>
      <c r="Z38" s="43"/>
    </row>
    <row r="39" spans="1:26" s="12" customFormat="1" ht="15">
      <c r="A39" s="270"/>
      <c r="B39" s="43"/>
      <c r="C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s="12" customFormat="1" ht="15">
      <c r="A40" s="6"/>
      <c r="B40" s="44" t="s">
        <v>28</v>
      </c>
      <c r="C40" s="44"/>
      <c r="D40" s="44"/>
      <c r="E40" s="44">
        <f t="shared" ref="E40:Y40" si="13">+E30-SUM(E32:E39)</f>
        <v>675.79400343656164</v>
      </c>
      <c r="F40" s="24">
        <f t="shared" si="13"/>
        <v>2704.7814937462467</v>
      </c>
      <c r="G40" s="44">
        <f>+G30-SUM(G32:G39)</f>
        <v>2466.0752263462464</v>
      </c>
      <c r="H40" s="44">
        <f>+H30-SUM(H32:H39)</f>
        <v>2449.7328800782466</v>
      </c>
      <c r="I40" s="44">
        <f t="shared" si="13"/>
        <v>2432.9002634222065</v>
      </c>
      <c r="J40" s="44">
        <f>+J30-SUM(J32:J39)</f>
        <v>2415.5626682664852</v>
      </c>
      <c r="K40" s="44">
        <f>+K30-SUM(K32:K39)</f>
        <v>2397.7049452560923</v>
      </c>
      <c r="L40" s="44">
        <f t="shared" si="13"/>
        <v>2379.3114905553875</v>
      </c>
      <c r="M40" s="44">
        <f t="shared" si="13"/>
        <v>2360.366232213662</v>
      </c>
      <c r="N40" s="44">
        <f t="shared" si="13"/>
        <v>2340.8526161216842</v>
      </c>
      <c r="O40" s="44">
        <f t="shared" si="13"/>
        <v>1533.798489600701</v>
      </c>
      <c r="P40" s="44">
        <f t="shared" si="13"/>
        <v>1583.2126442887218</v>
      </c>
      <c r="Q40" s="44">
        <f t="shared" si="13"/>
        <v>1634.1092236173836</v>
      </c>
      <c r="R40" s="44">
        <f t="shared" si="13"/>
        <v>1686.5327003259049</v>
      </c>
      <c r="S40" s="44">
        <f t="shared" si="13"/>
        <v>1740.5288813356819</v>
      </c>
      <c r="T40" s="44">
        <f t="shared" si="13"/>
        <v>1796.1449477757526</v>
      </c>
      <c r="U40" s="44">
        <f t="shared" si="13"/>
        <v>1853.4294962090246</v>
      </c>
      <c r="V40" s="44">
        <f t="shared" si="13"/>
        <v>1912.4325810952957</v>
      </c>
      <c r="W40" s="44">
        <f t="shared" si="13"/>
        <v>1973.2057585281545</v>
      </c>
      <c r="X40" s="44">
        <f t="shared" si="13"/>
        <v>2035.802131283999</v>
      </c>
      <c r="Y40" s="44">
        <f t="shared" si="13"/>
        <v>1575.2072964168892</v>
      </c>
      <c r="Z40" s="43"/>
    </row>
    <row r="41" spans="1:26" s="12" customFormat="1" ht="15">
      <c r="A41" s="6"/>
      <c r="B41" s="43" t="s">
        <v>238</v>
      </c>
      <c r="C41" s="43"/>
      <c r="D41" s="43"/>
      <c r="E41" s="43">
        <f>E40-E9-D41-E51-E49</f>
        <v>-26909.20599656344</v>
      </c>
      <c r="F41" s="6">
        <f>F40-F51-F49</f>
        <v>2704.7814937462467</v>
      </c>
      <c r="G41" s="6">
        <f t="shared" ref="G41:Y41" si="14">G40-G51-G49</f>
        <v>2466.0752263462464</v>
      </c>
      <c r="H41" s="6">
        <f t="shared" si="14"/>
        <v>2449.7328800782466</v>
      </c>
      <c r="I41" s="6">
        <f t="shared" si="14"/>
        <v>2432.9002634222065</v>
      </c>
      <c r="J41" s="6">
        <f t="shared" si="14"/>
        <v>2415.5626682664852</v>
      </c>
      <c r="K41" s="6">
        <f t="shared" si="14"/>
        <v>2397.7049452560923</v>
      </c>
      <c r="L41" s="6">
        <f t="shared" si="14"/>
        <v>2375.3700257096193</v>
      </c>
      <c r="M41" s="6">
        <f t="shared" si="14"/>
        <v>2350.7903647935427</v>
      </c>
      <c r="N41" s="6">
        <f t="shared" si="14"/>
        <v>2325.1282231118694</v>
      </c>
      <c r="O41" s="6">
        <f t="shared" si="14"/>
        <v>1533.798489600701</v>
      </c>
      <c r="P41" s="6">
        <f t="shared" si="14"/>
        <v>1583.2126442887218</v>
      </c>
      <c r="Q41" s="6">
        <f t="shared" si="14"/>
        <v>1628.6281705607171</v>
      </c>
      <c r="R41" s="6">
        <f t="shared" si="14"/>
        <v>1671.1685653096097</v>
      </c>
      <c r="S41" s="6">
        <f t="shared" si="14"/>
        <v>1722.4649372688978</v>
      </c>
      <c r="T41" s="6">
        <f t="shared" si="14"/>
        <v>1764.6101075436757</v>
      </c>
      <c r="U41" s="6">
        <f t="shared" si="14"/>
        <v>1751.4598503454981</v>
      </c>
      <c r="V41" s="6">
        <f t="shared" si="14"/>
        <v>1809.7949342344511</v>
      </c>
      <c r="W41" s="6">
        <f t="shared" si="14"/>
        <v>1858.8692750114849</v>
      </c>
      <c r="X41" s="6">
        <f t="shared" si="14"/>
        <v>1909.4158460118292</v>
      </c>
      <c r="Y41" s="6">
        <f t="shared" si="14"/>
        <v>1471.1091106066381</v>
      </c>
      <c r="Z41" s="43"/>
    </row>
    <row r="42" spans="1:26" s="12" customFormat="1" ht="15">
      <c r="A42" s="6"/>
      <c r="B42" s="43"/>
      <c r="C42" s="43"/>
      <c r="D42" s="43"/>
      <c r="E42" s="43"/>
      <c r="F42" s="6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26" s="12" customFormat="1" ht="15">
      <c r="A43" s="6"/>
      <c r="B43" s="43" t="s">
        <v>29</v>
      </c>
      <c r="C43" s="43"/>
      <c r="D43" s="43"/>
      <c r="E43" s="43">
        <f>F43*E24</f>
        <v>344.8125</v>
      </c>
      <c r="F43" s="6">
        <f>$E9*$E7*F24</f>
        <v>1379.25</v>
      </c>
      <c r="G43" s="43">
        <f t="shared" ref="G43:X43" si="15">$E9*$E7</f>
        <v>1379.25</v>
      </c>
      <c r="H43" s="43">
        <f t="shared" si="15"/>
        <v>1379.25</v>
      </c>
      <c r="I43" s="43">
        <f t="shared" si="15"/>
        <v>1379.25</v>
      </c>
      <c r="J43" s="43">
        <f t="shared" si="15"/>
        <v>1379.25</v>
      </c>
      <c r="K43" s="43">
        <f t="shared" si="15"/>
        <v>1379.25</v>
      </c>
      <c r="L43" s="43">
        <f t="shared" si="15"/>
        <v>1379.25</v>
      </c>
      <c r="M43" s="43">
        <f t="shared" si="15"/>
        <v>1379.25</v>
      </c>
      <c r="N43" s="43">
        <f t="shared" si="15"/>
        <v>1379.25</v>
      </c>
      <c r="O43" s="43">
        <f t="shared" si="15"/>
        <v>1379.25</v>
      </c>
      <c r="P43" s="43">
        <f t="shared" si="15"/>
        <v>1379.25</v>
      </c>
      <c r="Q43" s="43">
        <f t="shared" si="15"/>
        <v>1379.25</v>
      </c>
      <c r="R43" s="43">
        <f t="shared" si="15"/>
        <v>1379.25</v>
      </c>
      <c r="S43" s="43">
        <f t="shared" si="15"/>
        <v>1379.25</v>
      </c>
      <c r="T43" s="43">
        <f t="shared" si="15"/>
        <v>1379.25</v>
      </c>
      <c r="U43" s="43">
        <f t="shared" si="15"/>
        <v>1379.25</v>
      </c>
      <c r="V43" s="43">
        <f t="shared" si="15"/>
        <v>1379.25</v>
      </c>
      <c r="W43" s="43">
        <f t="shared" si="15"/>
        <v>1379.25</v>
      </c>
      <c r="X43" s="43">
        <f t="shared" si="15"/>
        <v>1379.25</v>
      </c>
      <c r="Y43" s="43">
        <f>$E9*$E7*Y24</f>
        <v>1034.4375</v>
      </c>
      <c r="Z43" s="43"/>
    </row>
    <row r="44" spans="1:26" s="12" customFormat="1" ht="15" hidden="1">
      <c r="A44" s="6"/>
      <c r="B44" s="43"/>
      <c r="C44" s="43"/>
      <c r="D44" s="43"/>
      <c r="E44" s="43"/>
      <c r="F44" s="6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s="12" customFormat="1" ht="15">
      <c r="A45" s="6"/>
      <c r="B45" s="43" t="s">
        <v>30</v>
      </c>
      <c r="C45" s="43"/>
      <c r="D45" s="43"/>
      <c r="E45" s="43">
        <f t="shared" ref="E45:Y45" si="16">-E62</f>
        <v>386.19</v>
      </c>
      <c r="F45" s="6">
        <f t="shared" si="16"/>
        <v>1525.2931885200053</v>
      </c>
      <c r="G45" s="43">
        <f t="shared" si="16"/>
        <v>1443.4539312709583</v>
      </c>
      <c r="H45" s="43">
        <f t="shared" si="16"/>
        <v>1354.8684872740766</v>
      </c>
      <c r="I45" s="43">
        <f t="shared" si="16"/>
        <v>1258.9807537839731</v>
      </c>
      <c r="J45" s="43">
        <f t="shared" si="16"/>
        <v>1155.188787304776</v>
      </c>
      <c r="K45" s="43">
        <f t="shared" si="16"/>
        <v>1042.8410248380508</v>
      </c>
      <c r="L45" s="43">
        <f t="shared" si="16"/>
        <v>921.23219364002671</v>
      </c>
      <c r="M45" s="43">
        <f t="shared" si="16"/>
        <v>789.59888381127405</v>
      </c>
      <c r="N45" s="43">
        <f t="shared" si="16"/>
        <v>647.11475592538807</v>
      </c>
      <c r="O45" s="43">
        <f t="shared" si="16"/>
        <v>492.88535361215224</v>
      </c>
      <c r="P45" s="43">
        <f t="shared" si="16"/>
        <v>325.94248853072753</v>
      </c>
      <c r="Q45" s="43">
        <f t="shared" si="16"/>
        <v>145.23816248405231</v>
      </c>
      <c r="R45" s="43">
        <f t="shared" si="16"/>
        <v>0</v>
      </c>
      <c r="S45" s="43">
        <f t="shared" si="16"/>
        <v>0</v>
      </c>
      <c r="T45" s="43">
        <f t="shared" si="16"/>
        <v>0</v>
      </c>
      <c r="U45" s="43">
        <f t="shared" si="16"/>
        <v>0</v>
      </c>
      <c r="V45" s="43">
        <f t="shared" si="16"/>
        <v>0</v>
      </c>
      <c r="W45" s="43">
        <f t="shared" si="16"/>
        <v>0</v>
      </c>
      <c r="X45" s="43">
        <f t="shared" si="16"/>
        <v>0</v>
      </c>
      <c r="Y45" s="43">
        <f t="shared" si="16"/>
        <v>0</v>
      </c>
      <c r="Z45" s="43"/>
    </row>
    <row r="46" spans="1:26" s="12" customFormat="1" ht="15">
      <c r="A46" s="6"/>
      <c r="B46" s="43"/>
      <c r="C46" s="43"/>
      <c r="D46" s="43"/>
      <c r="E46" s="43"/>
      <c r="F46" s="6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 s="12" customFormat="1" ht="15">
      <c r="A47" s="6"/>
      <c r="B47" s="44" t="s">
        <v>31</v>
      </c>
      <c r="C47" s="44"/>
      <c r="D47" s="44"/>
      <c r="E47" s="44">
        <f t="shared" ref="E47:Y47" si="17">+E40-E43-E45</f>
        <v>-55.208496563438359</v>
      </c>
      <c r="F47" s="24">
        <f t="shared" si="17"/>
        <v>-199.76169477375856</v>
      </c>
      <c r="G47" s="44">
        <f t="shared" si="17"/>
        <v>-356.62870492471188</v>
      </c>
      <c r="H47" s="44">
        <f t="shared" si="17"/>
        <v>-284.38560719583006</v>
      </c>
      <c r="I47" s="44">
        <f t="shared" si="17"/>
        <v>-205.33049036176658</v>
      </c>
      <c r="J47" s="44">
        <f t="shared" si="17"/>
        <v>-118.87611903829088</v>
      </c>
      <c r="K47" s="44">
        <f t="shared" si="17"/>
        <v>-24.386079581958484</v>
      </c>
      <c r="L47" s="44">
        <f t="shared" si="17"/>
        <v>78.829296915360828</v>
      </c>
      <c r="M47" s="44">
        <f t="shared" si="17"/>
        <v>191.51734840238794</v>
      </c>
      <c r="N47" s="44">
        <f t="shared" si="17"/>
        <v>314.48786019629608</v>
      </c>
      <c r="O47" s="44">
        <f t="shared" si="17"/>
        <v>-338.33686401145121</v>
      </c>
      <c r="P47" s="44">
        <f t="shared" si="17"/>
        <v>-121.97984424200575</v>
      </c>
      <c r="Q47" s="44">
        <f t="shared" si="17"/>
        <v>109.62106113333127</v>
      </c>
      <c r="R47" s="44">
        <f t="shared" si="17"/>
        <v>307.2827003259049</v>
      </c>
      <c r="S47" s="44">
        <f t="shared" si="17"/>
        <v>361.27888133568194</v>
      </c>
      <c r="T47" s="44">
        <f t="shared" si="17"/>
        <v>416.8949477757526</v>
      </c>
      <c r="U47" s="44">
        <f t="shared" si="17"/>
        <v>474.17949620902459</v>
      </c>
      <c r="V47" s="44">
        <f t="shared" si="17"/>
        <v>533.18258109529575</v>
      </c>
      <c r="W47" s="44">
        <f t="shared" si="17"/>
        <v>593.95575852815455</v>
      </c>
      <c r="X47" s="44">
        <f t="shared" si="17"/>
        <v>656.55213128399896</v>
      </c>
      <c r="Y47" s="44">
        <f t="shared" si="17"/>
        <v>540.76979641688922</v>
      </c>
      <c r="Z47" s="43"/>
    </row>
    <row r="48" spans="1:26" s="12" customFormat="1" ht="15">
      <c r="A48" s="6"/>
      <c r="B48" s="43"/>
      <c r="C48" s="43"/>
      <c r="D48" s="43"/>
      <c r="E48" s="43"/>
      <c r="F48" s="6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7" s="12" customFormat="1" ht="15">
      <c r="A49" s="6"/>
      <c r="B49" s="43" t="s">
        <v>32</v>
      </c>
      <c r="C49" s="43"/>
      <c r="D49" s="43"/>
      <c r="E49" s="43">
        <f>MAX(0,E47*15%)</f>
        <v>0</v>
      </c>
      <c r="F49" s="43">
        <f>MAX(0,SUM($E$47:F47)*15%)</f>
        <v>0</v>
      </c>
      <c r="G49" s="43">
        <f>MAX(0,SUM($E$47:G47)*15%)</f>
        <v>0</v>
      </c>
      <c r="H49" s="43">
        <f>MAX(0,SUM($E$47:H47)*15%)</f>
        <v>0</v>
      </c>
      <c r="I49" s="43">
        <f>MAX(0,SUM($E$47:I47)*15%)</f>
        <v>0</v>
      </c>
      <c r="J49" s="43">
        <f>MAX(0,SUM($E$47:J47)*15%)</f>
        <v>0</v>
      </c>
      <c r="K49" s="43">
        <f>MAX(0,SUM($E$47:K47)*15%)</f>
        <v>0</v>
      </c>
      <c r="L49" s="43">
        <f>MAX(0,SUM($E$47:L47)*15%)</f>
        <v>0</v>
      </c>
      <c r="M49" s="43">
        <f>MAX(0,SUM($E$47:M47)*15%)</f>
        <v>0</v>
      </c>
      <c r="N49" s="43">
        <f>MAX(0,SUM($E$47:N47)*15%)</f>
        <v>0</v>
      </c>
      <c r="O49" s="43">
        <f>MAX(0,SUM($E$47:O47)*15%)</f>
        <v>0</v>
      </c>
      <c r="P49" s="43">
        <f>MAX(0,SUM($E$47:P47)*15%)</f>
        <v>0</v>
      </c>
      <c r="Q49" s="43">
        <f>MAX(0,SUM($E$47:Q47)*15%)</f>
        <v>0</v>
      </c>
      <c r="R49" s="43">
        <f>MAX(0,SUM($E$47:R47)*15%)</f>
        <v>0</v>
      </c>
      <c r="S49" s="43">
        <f>MAX(0,SUM($E$47:S47)*15%)</f>
        <v>0</v>
      </c>
      <c r="T49" s="43">
        <f>MAX(0,SUM($E$47:T47)*15%)</f>
        <v>11.252729308725588</v>
      </c>
      <c r="U49" s="43">
        <f>MAX(0,SUM($E$47:U47)*15%)</f>
        <v>82.379653740079277</v>
      </c>
      <c r="V49" s="43">
        <f>MAX(0,V47*15%)</f>
        <v>79.977387164294356</v>
      </c>
      <c r="W49" s="43">
        <f t="shared" ref="W49:Y49" si="18">MAX(0,W47*15%)</f>
        <v>89.093363779223182</v>
      </c>
      <c r="X49" s="43">
        <f t="shared" si="18"/>
        <v>98.482819692599847</v>
      </c>
      <c r="Y49" s="43">
        <f t="shared" si="18"/>
        <v>81.115469462533383</v>
      </c>
      <c r="Z49" s="43"/>
    </row>
    <row r="50" spans="1:27" s="12" customFormat="1" ht="15">
      <c r="A50" s="6"/>
      <c r="B50" s="43"/>
      <c r="C50" s="43"/>
      <c r="D50" s="43"/>
      <c r="E50" s="43"/>
      <c r="F50" s="6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7" s="12" customFormat="1" ht="15">
      <c r="A51" s="6"/>
      <c r="B51" s="43" t="s">
        <v>225</v>
      </c>
      <c r="C51" s="43"/>
      <c r="D51" s="43"/>
      <c r="E51" s="43">
        <f>IF(+E47-E49&gt;0,(+E47-E49)*0.05,0)</f>
        <v>0</v>
      </c>
      <c r="F51" s="43">
        <f t="shared" ref="F51:Y51" si="19">IF(+F47-F49&gt;0,(+F47-F49)*0.05,0)</f>
        <v>0</v>
      </c>
      <c r="G51" s="43">
        <f t="shared" si="19"/>
        <v>0</v>
      </c>
      <c r="H51" s="43">
        <f t="shared" si="19"/>
        <v>0</v>
      </c>
      <c r="I51" s="43">
        <f t="shared" si="19"/>
        <v>0</v>
      </c>
      <c r="J51" s="43">
        <f t="shared" si="19"/>
        <v>0</v>
      </c>
      <c r="K51" s="43">
        <f t="shared" si="19"/>
        <v>0</v>
      </c>
      <c r="L51" s="43">
        <f t="shared" si="19"/>
        <v>3.9414648457680417</v>
      </c>
      <c r="M51" s="43">
        <f t="shared" si="19"/>
        <v>9.5758674201193976</v>
      </c>
      <c r="N51" s="43">
        <f t="shared" si="19"/>
        <v>15.724393009814804</v>
      </c>
      <c r="O51" s="43">
        <f t="shared" si="19"/>
        <v>0</v>
      </c>
      <c r="P51" s="43">
        <f t="shared" si="19"/>
        <v>0</v>
      </c>
      <c r="Q51" s="43">
        <f t="shared" si="19"/>
        <v>5.4810530566665641</v>
      </c>
      <c r="R51" s="43">
        <f t="shared" si="19"/>
        <v>15.364135016295245</v>
      </c>
      <c r="S51" s="43">
        <f t="shared" si="19"/>
        <v>18.063944066784099</v>
      </c>
      <c r="T51" s="43">
        <f t="shared" si="19"/>
        <v>20.282110923351354</v>
      </c>
      <c r="U51" s="43">
        <f t="shared" si="19"/>
        <v>19.589992123447267</v>
      </c>
      <c r="V51" s="43">
        <f t="shared" si="19"/>
        <v>22.660259696550071</v>
      </c>
      <c r="W51" s="43">
        <f t="shared" si="19"/>
        <v>25.24311973744657</v>
      </c>
      <c r="X51" s="43">
        <f t="shared" si="19"/>
        <v>27.903465579569957</v>
      </c>
      <c r="Y51" s="43">
        <f t="shared" si="19"/>
        <v>22.982716347717794</v>
      </c>
    </row>
    <row r="52" spans="1:27" s="12" customFormat="1" ht="15">
      <c r="A52" s="6"/>
      <c r="B52" s="43" t="s">
        <v>186</v>
      </c>
      <c r="C52" s="43"/>
      <c r="D52" s="43"/>
      <c r="E52" s="43">
        <f>IF(E53&gt;$E$13*10%,(E53-$E$13*10%)*20%,0)</f>
        <v>0</v>
      </c>
      <c r="F52" s="43">
        <f t="shared" ref="F52:Y52" si="20">IF(F53&gt;$E$13*10%,(F53-$E$13*10%)*20%,0)</f>
        <v>0</v>
      </c>
      <c r="G52" s="43">
        <f t="shared" si="20"/>
        <v>0</v>
      </c>
      <c r="H52" s="43">
        <f t="shared" si="20"/>
        <v>0</v>
      </c>
      <c r="I52" s="43">
        <f t="shared" si="20"/>
        <v>0</v>
      </c>
      <c r="J52" s="43">
        <f t="shared" si="20"/>
        <v>0</v>
      </c>
      <c r="K52" s="43">
        <f t="shared" si="20"/>
        <v>0</v>
      </c>
      <c r="L52" s="43">
        <f t="shared" si="20"/>
        <v>0</v>
      </c>
      <c r="M52" s="43">
        <f t="shared" si="20"/>
        <v>0</v>
      </c>
      <c r="N52" s="43">
        <f t="shared" si="20"/>
        <v>0</v>
      </c>
      <c r="O52" s="43">
        <f t="shared" si="20"/>
        <v>0</v>
      </c>
      <c r="P52" s="43">
        <f t="shared" si="20"/>
        <v>0</v>
      </c>
      <c r="Q52" s="43">
        <f t="shared" si="20"/>
        <v>0</v>
      </c>
      <c r="R52" s="43">
        <f t="shared" si="20"/>
        <v>0</v>
      </c>
      <c r="S52" s="43">
        <f t="shared" si="20"/>
        <v>0</v>
      </c>
      <c r="T52" s="43">
        <f t="shared" si="20"/>
        <v>0</v>
      </c>
      <c r="U52" s="43">
        <f t="shared" si="20"/>
        <v>0</v>
      </c>
      <c r="V52" s="43">
        <f t="shared" si="20"/>
        <v>0</v>
      </c>
      <c r="W52" s="43">
        <f t="shared" si="20"/>
        <v>0</v>
      </c>
      <c r="X52" s="43">
        <f t="shared" si="20"/>
        <v>0</v>
      </c>
      <c r="Y52" s="43">
        <f t="shared" si="20"/>
        <v>0</v>
      </c>
    </row>
    <row r="53" spans="1:27" s="12" customFormat="1" ht="15.75" thickBot="1">
      <c r="A53" s="6"/>
      <c r="B53" s="45" t="s">
        <v>33</v>
      </c>
      <c r="C53" s="45"/>
      <c r="D53" s="45"/>
      <c r="E53" s="45">
        <f>+E47-E49-E51</f>
        <v>-55.208496563438359</v>
      </c>
      <c r="F53" s="45">
        <f t="shared" ref="F53:Y53" si="21">+F47-F49-F51</f>
        <v>-199.76169477375856</v>
      </c>
      <c r="G53" s="45">
        <f t="shared" si="21"/>
        <v>-356.62870492471188</v>
      </c>
      <c r="H53" s="45">
        <f t="shared" si="21"/>
        <v>-284.38560719583006</v>
      </c>
      <c r="I53" s="45">
        <f t="shared" si="21"/>
        <v>-205.33049036176658</v>
      </c>
      <c r="J53" s="45">
        <f t="shared" si="21"/>
        <v>-118.87611903829088</v>
      </c>
      <c r="K53" s="45">
        <f t="shared" si="21"/>
        <v>-24.386079581958484</v>
      </c>
      <c r="L53" s="45">
        <f t="shared" si="21"/>
        <v>74.88783206959279</v>
      </c>
      <c r="M53" s="45">
        <f t="shared" si="21"/>
        <v>181.94148098226853</v>
      </c>
      <c r="N53" s="45">
        <f t="shared" si="21"/>
        <v>298.76346718648131</v>
      </c>
      <c r="O53" s="45">
        <f t="shared" si="21"/>
        <v>-338.33686401145121</v>
      </c>
      <c r="P53" s="45">
        <f t="shared" si="21"/>
        <v>-121.97984424200575</v>
      </c>
      <c r="Q53" s="45">
        <f t="shared" si="21"/>
        <v>104.1400080766647</v>
      </c>
      <c r="R53" s="45">
        <f t="shared" si="21"/>
        <v>291.91856530960968</v>
      </c>
      <c r="S53" s="45">
        <f t="shared" si="21"/>
        <v>343.21493726889787</v>
      </c>
      <c r="T53" s="45">
        <f t="shared" si="21"/>
        <v>385.36010754367567</v>
      </c>
      <c r="U53" s="45">
        <f t="shared" si="21"/>
        <v>372.20985034549807</v>
      </c>
      <c r="V53" s="45">
        <f t="shared" si="21"/>
        <v>430.54493423445138</v>
      </c>
      <c r="W53" s="45">
        <f t="shared" si="21"/>
        <v>479.61927501148477</v>
      </c>
      <c r="X53" s="45">
        <f t="shared" si="21"/>
        <v>530.16584601182922</v>
      </c>
      <c r="Y53" s="45">
        <f t="shared" si="21"/>
        <v>436.67161060663807</v>
      </c>
      <c r="Z53" s="43"/>
      <c r="AA53" s="46"/>
    </row>
    <row r="54" spans="1:27" s="12" customFormat="1" ht="15" hidden="1">
      <c r="A54" s="6"/>
      <c r="B54" s="43"/>
      <c r="C54" s="43"/>
      <c r="D54" s="43"/>
      <c r="E54" s="47"/>
      <c r="F54" s="1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3"/>
      <c r="AA54" s="46"/>
    </row>
    <row r="55" spans="1:27" s="12" customFormat="1" ht="15">
      <c r="A55" s="6"/>
      <c r="B55" s="43"/>
      <c r="C55" s="43"/>
      <c r="D55" s="47">
        <f>AVERAGE(E55:X55)</f>
        <v>1.0802201699880623E-2</v>
      </c>
      <c r="E55" s="47">
        <f t="shared" ref="E55:Y55" si="22">E53/$E13</f>
        <v>-6.6713185382681842E-3</v>
      </c>
      <c r="F55" s="17">
        <f t="shared" si="22"/>
        <v>-2.4138927529908594E-2</v>
      </c>
      <c r="G55" s="47">
        <f t="shared" si="22"/>
        <v>-4.3094520563677345E-2</v>
      </c>
      <c r="H55" s="47">
        <f t="shared" si="22"/>
        <v>-3.4364764327935476E-2</v>
      </c>
      <c r="I55" s="47">
        <f t="shared" si="22"/>
        <v>-2.4811853103953427E-2</v>
      </c>
      <c r="J55" s="47">
        <f t="shared" si="22"/>
        <v>-1.4364826178272115E-2</v>
      </c>
      <c r="K55" s="47">
        <f t="shared" si="22"/>
        <v>-2.9467802044539282E-3</v>
      </c>
      <c r="L55" s="47">
        <f t="shared" si="22"/>
        <v>9.0493422838007122E-3</v>
      </c>
      <c r="M55" s="47">
        <f t="shared" si="22"/>
        <v>2.1985557486830828E-2</v>
      </c>
      <c r="N55" s="47">
        <f t="shared" si="22"/>
        <v>3.6102165088089097E-2</v>
      </c>
      <c r="O55" s="47">
        <f t="shared" si="22"/>
        <v>-4.0884159750039416E-2</v>
      </c>
      <c r="P55" s="47">
        <f t="shared" si="22"/>
        <v>-1.4739876048819498E-2</v>
      </c>
      <c r="Q55" s="47">
        <f t="shared" si="22"/>
        <v>1.2584134865164001E-2</v>
      </c>
      <c r="R55" s="47">
        <f t="shared" si="22"/>
        <v>3.5275036591095363E-2</v>
      </c>
      <c r="S55" s="47">
        <f t="shared" si="22"/>
        <v>4.1473619390840176E-2</v>
      </c>
      <c r="T55" s="47">
        <f t="shared" si="22"/>
        <v>4.6566383607476967E-2</v>
      </c>
      <c r="U55" s="47">
        <f t="shared" si="22"/>
        <v>4.4977324674702203E-2</v>
      </c>
      <c r="V55" s="47">
        <f t="shared" si="22"/>
        <v>5.2026455710766889E-2</v>
      </c>
      <c r="W55" s="47">
        <f t="shared" si="22"/>
        <v>5.7956531328800048E-2</v>
      </c>
      <c r="X55" s="47">
        <f t="shared" si="22"/>
        <v>6.4064509215374196E-2</v>
      </c>
      <c r="Y55" s="47">
        <f t="shared" si="22"/>
        <v>5.2766794828909197E-2</v>
      </c>
      <c r="Z55" s="43"/>
      <c r="AA55" s="46"/>
    </row>
    <row r="56" spans="1:27" s="12" customFormat="1" ht="15">
      <c r="A56" s="6"/>
      <c r="B56" s="48" t="s">
        <v>34</v>
      </c>
      <c r="C56" s="48"/>
      <c r="D56" s="49"/>
      <c r="E56" s="48">
        <f>E24*4</f>
        <v>1</v>
      </c>
      <c r="F56" s="48">
        <f>E56+4</f>
        <v>5</v>
      </c>
      <c r="G56" s="48">
        <f t="shared" ref="G56:R56" si="23">F56+4</f>
        <v>9</v>
      </c>
      <c r="H56" s="48">
        <f t="shared" si="23"/>
        <v>13</v>
      </c>
      <c r="I56" s="48">
        <f t="shared" si="23"/>
        <v>17</v>
      </c>
      <c r="J56" s="48">
        <f t="shared" si="23"/>
        <v>21</v>
      </c>
      <c r="K56" s="48">
        <f t="shared" si="23"/>
        <v>25</v>
      </c>
      <c r="L56" s="48">
        <f t="shared" si="23"/>
        <v>29</v>
      </c>
      <c r="M56" s="48">
        <f t="shared" si="23"/>
        <v>33</v>
      </c>
      <c r="N56" s="48">
        <f t="shared" si="23"/>
        <v>37</v>
      </c>
      <c r="O56" s="48">
        <f t="shared" si="23"/>
        <v>41</v>
      </c>
      <c r="P56" s="48">
        <f t="shared" si="23"/>
        <v>45</v>
      </c>
      <c r="Q56" s="48">
        <f t="shared" si="23"/>
        <v>49</v>
      </c>
      <c r="R56" s="48">
        <f t="shared" si="23"/>
        <v>53</v>
      </c>
      <c r="S56" s="49"/>
      <c r="T56" s="49"/>
      <c r="U56" s="49"/>
      <c r="V56" s="49"/>
      <c r="W56" s="49"/>
      <c r="X56" s="49"/>
      <c r="Y56" s="49"/>
      <c r="Z56" s="43"/>
      <c r="AA56" s="46"/>
    </row>
    <row r="57" spans="1:27" s="52" customFormat="1" ht="15">
      <c r="A57" s="28"/>
      <c r="B57" s="308"/>
      <c r="C57" s="51"/>
      <c r="D57" s="51"/>
      <c r="E57" s="51">
        <f t="shared" ref="E57:Y57" si="24">E23</f>
        <v>2011</v>
      </c>
      <c r="F57" s="51">
        <f t="shared" si="24"/>
        <v>2012</v>
      </c>
      <c r="G57" s="51">
        <f t="shared" si="24"/>
        <v>2013</v>
      </c>
      <c r="H57" s="51">
        <f t="shared" si="24"/>
        <v>2014</v>
      </c>
      <c r="I57" s="51">
        <f t="shared" si="24"/>
        <v>2015</v>
      </c>
      <c r="J57" s="51">
        <f t="shared" si="24"/>
        <v>2016</v>
      </c>
      <c r="K57" s="51">
        <f t="shared" si="24"/>
        <v>2017</v>
      </c>
      <c r="L57" s="51">
        <f t="shared" si="24"/>
        <v>2018</v>
      </c>
      <c r="M57" s="51">
        <f t="shared" si="24"/>
        <v>2019</v>
      </c>
      <c r="N57" s="51">
        <f t="shared" si="24"/>
        <v>2020</v>
      </c>
      <c r="O57" s="51">
        <f t="shared" si="24"/>
        <v>2021</v>
      </c>
      <c r="P57" s="51">
        <f t="shared" si="24"/>
        <v>2022</v>
      </c>
      <c r="Q57" s="51">
        <f t="shared" si="24"/>
        <v>2023</v>
      </c>
      <c r="R57" s="51">
        <f t="shared" si="24"/>
        <v>2024</v>
      </c>
      <c r="S57" s="51">
        <f t="shared" si="24"/>
        <v>2025</v>
      </c>
      <c r="T57" s="51">
        <f t="shared" si="24"/>
        <v>2026</v>
      </c>
      <c r="U57" s="51">
        <f t="shared" si="24"/>
        <v>2027</v>
      </c>
      <c r="V57" s="51">
        <f t="shared" si="24"/>
        <v>2028</v>
      </c>
      <c r="W57" s="51">
        <f t="shared" si="24"/>
        <v>2029</v>
      </c>
      <c r="X57" s="51">
        <f t="shared" si="24"/>
        <v>2030</v>
      </c>
      <c r="Y57" s="51">
        <f t="shared" si="24"/>
        <v>2031</v>
      </c>
      <c r="Z57" s="50"/>
      <c r="AA57" s="46"/>
    </row>
    <row r="58" spans="1:27" s="12" customFormat="1" ht="15">
      <c r="A58" s="6"/>
      <c r="B58" s="43"/>
      <c r="C58" s="43"/>
      <c r="D58" s="43">
        <f>E11</f>
        <v>27585</v>
      </c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6"/>
    </row>
    <row r="59" spans="1:27" s="12" customFormat="1" ht="15">
      <c r="A59" s="6"/>
      <c r="B59" s="43" t="s">
        <v>35</v>
      </c>
      <c r="C59" s="43"/>
      <c r="D59" s="43">
        <f>E14</f>
        <v>19309.5</v>
      </c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6"/>
    </row>
    <row r="60" spans="1:27" s="12" customFormat="1" ht="15">
      <c r="A60" s="6"/>
      <c r="B60" s="43" t="s">
        <v>36</v>
      </c>
      <c r="C60" s="43"/>
      <c r="D60" s="43"/>
      <c r="E60" s="43">
        <f>D59</f>
        <v>19309.5</v>
      </c>
      <c r="F60" s="43">
        <f t="shared" ref="F60:Q60" si="25">+E64</f>
        <v>19066.164856500065</v>
      </c>
      <c r="G60" s="43">
        <f t="shared" si="25"/>
        <v>18043.174140886978</v>
      </c>
      <c r="H60" s="43">
        <f t="shared" si="25"/>
        <v>16935.856090925958</v>
      </c>
      <c r="I60" s="43">
        <f t="shared" si="25"/>
        <v>15737.259422299663</v>
      </c>
      <c r="J60" s="43">
        <f t="shared" si="25"/>
        <v>14439.859841309699</v>
      </c>
      <c r="K60" s="43">
        <f t="shared" si="25"/>
        <v>13035.512810475635</v>
      </c>
      <c r="L60" s="43">
        <f t="shared" si="25"/>
        <v>11515.402420500333</v>
      </c>
      <c r="M60" s="43">
        <f t="shared" si="25"/>
        <v>9869.9860476409249</v>
      </c>
      <c r="N60" s="43">
        <f t="shared" si="25"/>
        <v>8088.9344490673502</v>
      </c>
      <c r="O60" s="43">
        <f t="shared" si="25"/>
        <v>6161.0669201519031</v>
      </c>
      <c r="P60" s="43">
        <f t="shared" si="25"/>
        <v>4074.2811066340937</v>
      </c>
      <c r="Q60" s="43">
        <f t="shared" si="25"/>
        <v>1815.4770310506537</v>
      </c>
      <c r="R60" s="43"/>
      <c r="S60" s="43"/>
      <c r="T60" s="43"/>
      <c r="U60" s="43"/>
      <c r="V60" s="43"/>
      <c r="W60" s="43"/>
      <c r="X60" s="43"/>
      <c r="Y60" s="43"/>
      <c r="Z60" s="43"/>
      <c r="AA60" s="46"/>
    </row>
    <row r="61" spans="1:27" s="12" customFormat="1" ht="15">
      <c r="A61" s="6"/>
      <c r="B61" s="43" t="s">
        <v>37</v>
      </c>
      <c r="C61" s="43"/>
      <c r="D61" s="43"/>
      <c r="E61" s="43">
        <f>SUM(E62:E63)</f>
        <v>-629.52514349993464</v>
      </c>
      <c r="F61" s="43">
        <f t="shared" ref="F61:Q61" si="26">SUM(F62:F63)</f>
        <v>-2548.2839041330935</v>
      </c>
      <c r="G61" s="43">
        <f t="shared" si="26"/>
        <v>-2550.7719812319788</v>
      </c>
      <c r="H61" s="43">
        <f t="shared" si="26"/>
        <v>-2553.4651559003723</v>
      </c>
      <c r="I61" s="43">
        <f t="shared" si="26"/>
        <v>-2556.3803347739386</v>
      </c>
      <c r="J61" s="43">
        <f t="shared" si="26"/>
        <v>-2559.5358181388392</v>
      </c>
      <c r="K61" s="43">
        <f t="shared" si="26"/>
        <v>-2562.9514148133521</v>
      </c>
      <c r="L61" s="43">
        <f t="shared" si="26"/>
        <v>-2566.6485664994343</v>
      </c>
      <c r="M61" s="43">
        <f t="shared" si="26"/>
        <v>-2570.6504823848481</v>
      </c>
      <c r="N61" s="43">
        <f t="shared" si="26"/>
        <v>-2574.9822848408348</v>
      </c>
      <c r="O61" s="43">
        <f t="shared" si="26"/>
        <v>-2579.6711671299618</v>
      </c>
      <c r="P61" s="43">
        <f t="shared" si="26"/>
        <v>-2584.7465641141675</v>
      </c>
      <c r="Q61" s="43">
        <f t="shared" si="26"/>
        <v>-1960.7151935347038</v>
      </c>
      <c r="R61" s="43"/>
      <c r="S61" s="43"/>
      <c r="T61" s="43"/>
      <c r="U61" s="43"/>
      <c r="V61" s="43"/>
      <c r="W61" s="43"/>
      <c r="X61" s="43"/>
      <c r="Y61" s="43"/>
      <c r="Z61" s="43"/>
      <c r="AA61" s="46"/>
    </row>
    <row r="62" spans="1:27" s="12" customFormat="1" ht="15">
      <c r="A62" s="6"/>
      <c r="B62" s="43" t="s">
        <v>38</v>
      </c>
      <c r="C62" s="43"/>
      <c r="D62" s="43"/>
      <c r="E62" s="43">
        <f t="shared" ref="E62:Q62" si="27">-E60*$E$16*E24</f>
        <v>-386.19</v>
      </c>
      <c r="F62" s="43">
        <f t="shared" si="27"/>
        <v>-1525.2931885200053</v>
      </c>
      <c r="G62" s="43">
        <f t="shared" si="27"/>
        <v>-1443.4539312709583</v>
      </c>
      <c r="H62" s="43">
        <f t="shared" si="27"/>
        <v>-1354.8684872740766</v>
      </c>
      <c r="I62" s="43">
        <f t="shared" si="27"/>
        <v>-1258.9807537839731</v>
      </c>
      <c r="J62" s="43">
        <f t="shared" si="27"/>
        <v>-1155.188787304776</v>
      </c>
      <c r="K62" s="43">
        <f t="shared" si="27"/>
        <v>-1042.8410248380508</v>
      </c>
      <c r="L62" s="43">
        <f t="shared" si="27"/>
        <v>-921.23219364002671</v>
      </c>
      <c r="M62" s="43">
        <f t="shared" si="27"/>
        <v>-789.59888381127405</v>
      </c>
      <c r="N62" s="43">
        <f t="shared" si="27"/>
        <v>-647.11475592538807</v>
      </c>
      <c r="O62" s="43">
        <f t="shared" si="27"/>
        <v>-492.88535361215224</v>
      </c>
      <c r="P62" s="43">
        <f t="shared" si="27"/>
        <v>-325.94248853072753</v>
      </c>
      <c r="Q62" s="43">
        <f t="shared" si="27"/>
        <v>-145.23816248405231</v>
      </c>
      <c r="R62" s="43"/>
      <c r="S62" s="43"/>
      <c r="T62" s="43"/>
      <c r="U62" s="43"/>
      <c r="V62" s="43"/>
      <c r="W62" s="43"/>
      <c r="X62" s="43"/>
      <c r="Y62" s="43"/>
      <c r="Z62" s="43"/>
      <c r="AA62" s="46"/>
    </row>
    <row r="63" spans="1:27" s="12" customFormat="1" ht="15">
      <c r="A63" s="6"/>
      <c r="B63" s="43" t="s">
        <v>39</v>
      </c>
      <c r="C63" s="43"/>
      <c r="D63" s="43"/>
      <c r="E63" s="43">
        <f t="shared" ref="E63:Q63" si="28">-SUM(IF(OR(E56-3&lt;=0,E56-3&gt;(4*$E$15)),0,PPMT($E$16/4,E56-3,$E$15*4,-$D$59,0)),IF(OR(E56-2&lt;=0,E56-2&gt;(4*$E$15)),0,PPMT($E$16/4,E56-2,$E$15*4,-$D$59,0)),IF(OR(E56-1&lt;=0,E56-1&gt;(4*$E$15)),0,PPMT($E$16/4,E56-1,$E$15*4,-$D$59,0)),IF(OR(E56&lt;=0,E56&gt;(4*$E$15)),0,PPMT($E$16/4,E56,$E$15*4,-$D$59,0)))</f>
        <v>-243.33514349993462</v>
      </c>
      <c r="F63" s="43">
        <f t="shared" si="28"/>
        <v>-1022.9907156130882</v>
      </c>
      <c r="G63" s="43">
        <f t="shared" si="28"/>
        <v>-1107.3180499610205</v>
      </c>
      <c r="H63" s="43">
        <f t="shared" si="28"/>
        <v>-1198.5966686262955</v>
      </c>
      <c r="I63" s="43">
        <f t="shared" si="28"/>
        <v>-1297.3995809899652</v>
      </c>
      <c r="J63" s="43">
        <f t="shared" si="28"/>
        <v>-1404.3470308340634</v>
      </c>
      <c r="K63" s="43">
        <f t="shared" si="28"/>
        <v>-1520.1103899753016</v>
      </c>
      <c r="L63" s="43">
        <f t="shared" si="28"/>
        <v>-1645.4163728594078</v>
      </c>
      <c r="M63" s="43">
        <f t="shared" si="28"/>
        <v>-1781.0515985735742</v>
      </c>
      <c r="N63" s="43">
        <f t="shared" si="28"/>
        <v>-1927.8675289154467</v>
      </c>
      <c r="O63" s="43">
        <f t="shared" si="28"/>
        <v>-2086.7858135178094</v>
      </c>
      <c r="P63" s="43">
        <f t="shared" si="28"/>
        <v>-2258.80407558344</v>
      </c>
      <c r="Q63" s="43">
        <f t="shared" si="28"/>
        <v>-1815.4770310506515</v>
      </c>
      <c r="R63" s="43"/>
      <c r="S63" s="43"/>
      <c r="T63" s="43"/>
      <c r="U63" s="43"/>
      <c r="V63" s="43"/>
      <c r="W63" s="43"/>
      <c r="X63" s="43"/>
      <c r="Y63" s="43"/>
      <c r="Z63" s="43"/>
      <c r="AA63" s="46"/>
    </row>
    <row r="64" spans="1:27" s="12" customFormat="1" ht="15.75" thickBot="1">
      <c r="A64" s="6"/>
      <c r="B64" s="43" t="s">
        <v>40</v>
      </c>
      <c r="C64" s="43"/>
      <c r="D64" s="43"/>
      <c r="E64" s="43">
        <f t="shared" ref="E64:Q64" si="29">+E60+E63</f>
        <v>19066.164856500065</v>
      </c>
      <c r="F64" s="43">
        <f t="shared" si="29"/>
        <v>18043.174140886978</v>
      </c>
      <c r="G64" s="43">
        <f t="shared" si="29"/>
        <v>16935.856090925958</v>
      </c>
      <c r="H64" s="43">
        <f t="shared" si="29"/>
        <v>15737.259422299663</v>
      </c>
      <c r="I64" s="43">
        <f t="shared" si="29"/>
        <v>14439.859841309699</v>
      </c>
      <c r="J64" s="43">
        <f t="shared" si="29"/>
        <v>13035.512810475635</v>
      </c>
      <c r="K64" s="43">
        <f t="shared" si="29"/>
        <v>11515.402420500333</v>
      </c>
      <c r="L64" s="43">
        <f t="shared" si="29"/>
        <v>9869.9860476409249</v>
      </c>
      <c r="M64" s="43">
        <f t="shared" si="29"/>
        <v>8088.9344490673502</v>
      </c>
      <c r="N64" s="43">
        <f t="shared" si="29"/>
        <v>6161.0669201519031</v>
      </c>
      <c r="O64" s="43">
        <f t="shared" si="29"/>
        <v>4074.2811066340937</v>
      </c>
      <c r="P64" s="43">
        <f t="shared" si="29"/>
        <v>1815.4770310506537</v>
      </c>
      <c r="Q64" s="43">
        <f t="shared" si="29"/>
        <v>2.2737367544323206E-12</v>
      </c>
      <c r="R64" s="43"/>
      <c r="S64" s="43"/>
      <c r="T64" s="43"/>
      <c r="U64" s="43"/>
      <c r="V64" s="43"/>
      <c r="W64" s="43"/>
      <c r="X64" s="43"/>
      <c r="Y64" s="43"/>
      <c r="Z64" s="43"/>
      <c r="AA64" s="46"/>
    </row>
    <row r="65" spans="1:27" s="58" customFormat="1" ht="15.75" thickBot="1">
      <c r="A65" s="18"/>
      <c r="B65" s="54" t="s">
        <v>41</v>
      </c>
      <c r="C65" s="54"/>
      <c r="D65" s="55"/>
      <c r="E65" s="55"/>
      <c r="F65" s="55">
        <f t="shared" ref="F65:P65" si="30">(F53+F45+F70)/-F61</f>
        <v>1.0614129333703077</v>
      </c>
      <c r="G65" s="55">
        <f t="shared" si="30"/>
        <v>0.96679563853260408</v>
      </c>
      <c r="H65" s="55">
        <f t="shared" si="30"/>
        <v>0.95937587964244264</v>
      </c>
      <c r="I65" s="55">
        <f t="shared" si="30"/>
        <v>0.9516973004086845</v>
      </c>
      <c r="J65" s="55">
        <f t="shared" si="30"/>
        <v>0.94375028907505432</v>
      </c>
      <c r="K65" s="55">
        <f t="shared" si="30"/>
        <v>0.93552493090498401</v>
      </c>
      <c r="L65" s="55">
        <f t="shared" si="30"/>
        <v>0.92547536765008198</v>
      </c>
      <c r="M65" s="55">
        <f t="shared" si="30"/>
        <v>0.91447296351725871</v>
      </c>
      <c r="N65" s="55">
        <f t="shared" si="30"/>
        <v>0.90296862887178675</v>
      </c>
      <c r="O65" s="55">
        <f t="shared" si="30"/>
        <v>0.59457131945508523</v>
      </c>
      <c r="P65" s="55">
        <f t="shared" si="30"/>
        <v>0.61252142328751413</v>
      </c>
      <c r="Q65" s="55">
        <v>0</v>
      </c>
      <c r="R65" s="56">
        <f>AVERAGE(F65:P65)</f>
        <v>0.88805151588325482</v>
      </c>
      <c r="S65" s="57"/>
      <c r="T65" s="57"/>
      <c r="U65" s="57"/>
      <c r="V65" s="57"/>
      <c r="W65" s="57"/>
      <c r="X65" s="57"/>
      <c r="Y65" s="57"/>
      <c r="Z65" s="53"/>
      <c r="AA65" s="46"/>
    </row>
    <row r="66" spans="1:27" s="59" customFormat="1" ht="1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46"/>
    </row>
    <row r="67" spans="1:27" s="52" customFormat="1" ht="15">
      <c r="A67" s="28"/>
      <c r="B67" s="60" t="s">
        <v>42</v>
      </c>
      <c r="C67" s="51"/>
      <c r="D67" s="51">
        <v>2010</v>
      </c>
      <c r="E67" s="51">
        <f t="shared" ref="E67:Y67" si="31">E57</f>
        <v>2011</v>
      </c>
      <c r="F67" s="51">
        <f t="shared" si="31"/>
        <v>2012</v>
      </c>
      <c r="G67" s="51">
        <f t="shared" si="31"/>
        <v>2013</v>
      </c>
      <c r="H67" s="51">
        <f t="shared" si="31"/>
        <v>2014</v>
      </c>
      <c r="I67" s="51">
        <f t="shared" si="31"/>
        <v>2015</v>
      </c>
      <c r="J67" s="51">
        <f t="shared" si="31"/>
        <v>2016</v>
      </c>
      <c r="K67" s="51">
        <f t="shared" si="31"/>
        <v>2017</v>
      </c>
      <c r="L67" s="51">
        <f t="shared" si="31"/>
        <v>2018</v>
      </c>
      <c r="M67" s="51">
        <f t="shared" si="31"/>
        <v>2019</v>
      </c>
      <c r="N67" s="51">
        <f t="shared" si="31"/>
        <v>2020</v>
      </c>
      <c r="O67" s="51">
        <f t="shared" si="31"/>
        <v>2021</v>
      </c>
      <c r="P67" s="51">
        <f t="shared" si="31"/>
        <v>2022</v>
      </c>
      <c r="Q67" s="51">
        <f t="shared" si="31"/>
        <v>2023</v>
      </c>
      <c r="R67" s="51">
        <f t="shared" si="31"/>
        <v>2024</v>
      </c>
      <c r="S67" s="51">
        <f t="shared" si="31"/>
        <v>2025</v>
      </c>
      <c r="T67" s="51">
        <f t="shared" si="31"/>
        <v>2026</v>
      </c>
      <c r="U67" s="51">
        <f t="shared" si="31"/>
        <v>2027</v>
      </c>
      <c r="V67" s="51">
        <f t="shared" si="31"/>
        <v>2028</v>
      </c>
      <c r="W67" s="51">
        <f t="shared" si="31"/>
        <v>2029</v>
      </c>
      <c r="X67" s="51">
        <f t="shared" si="31"/>
        <v>2030</v>
      </c>
      <c r="Y67" s="51">
        <f t="shared" si="31"/>
        <v>2031</v>
      </c>
      <c r="Z67" s="50"/>
      <c r="AA67" s="46"/>
    </row>
    <row r="68" spans="1:27" s="12" customFormat="1" ht="15">
      <c r="A68" s="6"/>
      <c r="B68" s="43" t="s">
        <v>33</v>
      </c>
      <c r="C68" s="43"/>
      <c r="D68" s="43"/>
      <c r="E68" s="43">
        <f>+E53-E28</f>
        <v>-110.91847451343835</v>
      </c>
      <c r="F68" s="43">
        <f t="shared" ref="F68:M68" si="32">+F53-F28+E28</f>
        <v>-366.89162862375855</v>
      </c>
      <c r="G68" s="43">
        <f t="shared" si="32"/>
        <v>-133.78879312471187</v>
      </c>
      <c r="H68" s="43">
        <f t="shared" si="32"/>
        <v>-284.38560719583006</v>
      </c>
      <c r="I68" s="43">
        <f t="shared" si="32"/>
        <v>-205.33049036176658</v>
      </c>
      <c r="J68" s="43">
        <f t="shared" si="32"/>
        <v>-118.87611903829088</v>
      </c>
      <c r="K68" s="43">
        <f t="shared" si="32"/>
        <v>-24.386079581958484</v>
      </c>
      <c r="L68" s="43">
        <f t="shared" si="32"/>
        <v>74.88783206959279</v>
      </c>
      <c r="M68" s="43">
        <f t="shared" si="32"/>
        <v>181.94148098226853</v>
      </c>
      <c r="N68" s="43">
        <f>+N53</f>
        <v>298.76346718648131</v>
      </c>
      <c r="O68" s="43">
        <f>+O53-O28+M28</f>
        <v>-338.33686401145121</v>
      </c>
      <c r="P68" s="43">
        <f t="shared" ref="P68:Y68" si="33">+P53-P28+O28</f>
        <v>-121.97984424200575</v>
      </c>
      <c r="Q68" s="43">
        <f t="shared" si="33"/>
        <v>104.1400080766647</v>
      </c>
      <c r="R68" s="43">
        <f t="shared" si="33"/>
        <v>291.91856530960968</v>
      </c>
      <c r="S68" s="43">
        <f t="shared" si="33"/>
        <v>343.21493726889787</v>
      </c>
      <c r="T68" s="43">
        <f t="shared" si="33"/>
        <v>385.36010754367567</v>
      </c>
      <c r="U68" s="43">
        <f t="shared" si="33"/>
        <v>372.20985034549807</v>
      </c>
      <c r="V68" s="43">
        <f t="shared" si="33"/>
        <v>430.54493423445138</v>
      </c>
      <c r="W68" s="43">
        <f t="shared" si="33"/>
        <v>479.61927501148477</v>
      </c>
      <c r="X68" s="43">
        <f t="shared" si="33"/>
        <v>530.16584601182922</v>
      </c>
      <c r="Y68" s="43">
        <f t="shared" si="33"/>
        <v>436.67161060663807</v>
      </c>
      <c r="Z68" s="43"/>
      <c r="AA68" s="46"/>
    </row>
    <row r="69" spans="1:27" s="12" customFormat="1" ht="15">
      <c r="A69" s="6"/>
      <c r="B69" s="43" t="s">
        <v>43</v>
      </c>
      <c r="C69" s="43"/>
      <c r="D69" s="43"/>
      <c r="E69" s="43">
        <f t="shared" ref="E69:Y69" si="34">E63</f>
        <v>-243.33514349993462</v>
      </c>
      <c r="F69" s="43">
        <f t="shared" si="34"/>
        <v>-1022.9907156130882</v>
      </c>
      <c r="G69" s="43">
        <f t="shared" si="34"/>
        <v>-1107.3180499610205</v>
      </c>
      <c r="H69" s="43">
        <f t="shared" si="34"/>
        <v>-1198.5966686262955</v>
      </c>
      <c r="I69" s="43">
        <f t="shared" si="34"/>
        <v>-1297.3995809899652</v>
      </c>
      <c r="J69" s="43">
        <f t="shared" si="34"/>
        <v>-1404.3470308340634</v>
      </c>
      <c r="K69" s="43">
        <f t="shared" si="34"/>
        <v>-1520.1103899753016</v>
      </c>
      <c r="L69" s="43">
        <f t="shared" si="34"/>
        <v>-1645.4163728594078</v>
      </c>
      <c r="M69" s="43">
        <f t="shared" si="34"/>
        <v>-1781.0515985735742</v>
      </c>
      <c r="N69" s="43">
        <f t="shared" si="34"/>
        <v>-1927.8675289154467</v>
      </c>
      <c r="O69" s="43">
        <f t="shared" si="34"/>
        <v>-2086.7858135178094</v>
      </c>
      <c r="P69" s="43">
        <f t="shared" si="34"/>
        <v>-2258.80407558344</v>
      </c>
      <c r="Q69" s="43">
        <f t="shared" si="34"/>
        <v>-1815.4770310506515</v>
      </c>
      <c r="R69" s="43">
        <f t="shared" si="34"/>
        <v>0</v>
      </c>
      <c r="S69" s="43">
        <f t="shared" si="34"/>
        <v>0</v>
      </c>
      <c r="T69" s="43">
        <f t="shared" si="34"/>
        <v>0</v>
      </c>
      <c r="U69" s="43">
        <f t="shared" si="34"/>
        <v>0</v>
      </c>
      <c r="V69" s="43">
        <f t="shared" si="34"/>
        <v>0</v>
      </c>
      <c r="W69" s="43">
        <f t="shared" si="34"/>
        <v>0</v>
      </c>
      <c r="X69" s="43">
        <f t="shared" si="34"/>
        <v>0</v>
      </c>
      <c r="Y69" s="43">
        <f t="shared" si="34"/>
        <v>0</v>
      </c>
      <c r="Z69" s="43"/>
      <c r="AA69" s="46"/>
    </row>
    <row r="70" spans="1:27" s="12" customFormat="1" ht="15">
      <c r="A70" s="6"/>
      <c r="B70" s="43" t="s">
        <v>29</v>
      </c>
      <c r="C70" s="43"/>
      <c r="D70" s="43"/>
      <c r="E70" s="43">
        <f t="shared" ref="E70:Y70" si="35">E43</f>
        <v>344.8125</v>
      </c>
      <c r="F70" s="43">
        <f t="shared" si="35"/>
        <v>1379.25</v>
      </c>
      <c r="G70" s="43">
        <f t="shared" si="35"/>
        <v>1379.25</v>
      </c>
      <c r="H70" s="43">
        <f t="shared" si="35"/>
        <v>1379.25</v>
      </c>
      <c r="I70" s="43">
        <f t="shared" si="35"/>
        <v>1379.25</v>
      </c>
      <c r="J70" s="43">
        <f t="shared" si="35"/>
        <v>1379.25</v>
      </c>
      <c r="K70" s="43">
        <f t="shared" si="35"/>
        <v>1379.25</v>
      </c>
      <c r="L70" s="43">
        <f t="shared" si="35"/>
        <v>1379.25</v>
      </c>
      <c r="M70" s="43">
        <f t="shared" si="35"/>
        <v>1379.25</v>
      </c>
      <c r="N70" s="43">
        <f t="shared" si="35"/>
        <v>1379.25</v>
      </c>
      <c r="O70" s="43">
        <f t="shared" si="35"/>
        <v>1379.25</v>
      </c>
      <c r="P70" s="43">
        <f t="shared" si="35"/>
        <v>1379.25</v>
      </c>
      <c r="Q70" s="43">
        <f t="shared" si="35"/>
        <v>1379.25</v>
      </c>
      <c r="R70" s="43">
        <f t="shared" si="35"/>
        <v>1379.25</v>
      </c>
      <c r="S70" s="43">
        <f t="shared" si="35"/>
        <v>1379.25</v>
      </c>
      <c r="T70" s="43">
        <f t="shared" si="35"/>
        <v>1379.25</v>
      </c>
      <c r="U70" s="43">
        <f t="shared" si="35"/>
        <v>1379.25</v>
      </c>
      <c r="V70" s="43">
        <f t="shared" si="35"/>
        <v>1379.25</v>
      </c>
      <c r="W70" s="43">
        <f t="shared" si="35"/>
        <v>1379.25</v>
      </c>
      <c r="X70" s="43">
        <f t="shared" si="35"/>
        <v>1379.25</v>
      </c>
      <c r="Y70" s="43">
        <f t="shared" si="35"/>
        <v>1034.4375</v>
      </c>
      <c r="Z70" s="43"/>
      <c r="AA70" s="46"/>
    </row>
    <row r="71" spans="1:27" s="12" customFormat="1" ht="15">
      <c r="A71" s="6"/>
      <c r="B71" s="43" t="s">
        <v>44</v>
      </c>
      <c r="C71" s="43">
        <v>0</v>
      </c>
      <c r="D71" s="43">
        <f>D41</f>
        <v>0</v>
      </c>
      <c r="E71" s="43">
        <f>+E68+E69+E70-E13-D71</f>
        <v>-8284.941118013372</v>
      </c>
      <c r="F71" s="43">
        <f t="shared" ref="F71:Y71" si="36">+F68+F69+F70</f>
        <v>-10.632344236846848</v>
      </c>
      <c r="G71" s="43">
        <f t="shared" si="36"/>
        <v>138.14315691426759</v>
      </c>
      <c r="H71" s="43">
        <f t="shared" si="36"/>
        <v>-103.73227582212553</v>
      </c>
      <c r="I71" s="43">
        <f t="shared" si="36"/>
        <v>-123.48007135173179</v>
      </c>
      <c r="J71" s="43">
        <f t="shared" si="36"/>
        <v>-143.97314987235427</v>
      </c>
      <c r="K71" s="43">
        <f t="shared" si="36"/>
        <v>-165.24646955726007</v>
      </c>
      <c r="L71" s="43">
        <f t="shared" si="36"/>
        <v>-191.278540789815</v>
      </c>
      <c r="M71" s="43">
        <f t="shared" si="36"/>
        <v>-219.86011759130565</v>
      </c>
      <c r="N71" s="43">
        <f t="shared" si="36"/>
        <v>-249.85406172896546</v>
      </c>
      <c r="O71" s="43">
        <f t="shared" si="36"/>
        <v>-1045.8726775292607</v>
      </c>
      <c r="P71" s="43">
        <f t="shared" si="36"/>
        <v>-1001.5339198254455</v>
      </c>
      <c r="Q71" s="43">
        <f t="shared" si="36"/>
        <v>-332.08702297398668</v>
      </c>
      <c r="R71" s="43">
        <f t="shared" si="36"/>
        <v>1671.1685653096097</v>
      </c>
      <c r="S71" s="43">
        <f t="shared" si="36"/>
        <v>1722.4649372688978</v>
      </c>
      <c r="T71" s="43">
        <f t="shared" si="36"/>
        <v>1764.6101075436757</v>
      </c>
      <c r="U71" s="43">
        <f t="shared" si="36"/>
        <v>1751.4598503454981</v>
      </c>
      <c r="V71" s="43">
        <f t="shared" si="36"/>
        <v>1809.7949342344514</v>
      </c>
      <c r="W71" s="43">
        <f t="shared" si="36"/>
        <v>1858.8692750114847</v>
      </c>
      <c r="X71" s="43">
        <f t="shared" si="36"/>
        <v>1909.4158460118292</v>
      </c>
      <c r="Y71" s="43">
        <f t="shared" si="36"/>
        <v>1471.1091106066381</v>
      </c>
      <c r="Z71" s="43"/>
      <c r="AA71" s="46"/>
    </row>
    <row r="72" spans="1:27" s="12" customFormat="1" ht="15.75" thickBot="1">
      <c r="A72" s="6"/>
      <c r="B72" s="45" t="s">
        <v>45</v>
      </c>
      <c r="C72" s="45"/>
      <c r="D72" s="45">
        <f>+D71</f>
        <v>0</v>
      </c>
      <c r="E72" s="45">
        <f>+E71</f>
        <v>-8284.941118013372</v>
      </c>
      <c r="F72" s="45">
        <f>+E72+F71</f>
        <v>-8295.5734622502187</v>
      </c>
      <c r="G72" s="45">
        <f t="shared" ref="G72:Y72" si="37">+F72+G71</f>
        <v>-8157.4303053359508</v>
      </c>
      <c r="H72" s="45">
        <f t="shared" si="37"/>
        <v>-8261.1625811580761</v>
      </c>
      <c r="I72" s="45">
        <f t="shared" si="37"/>
        <v>-8384.6426525098086</v>
      </c>
      <c r="J72" s="45">
        <f t="shared" si="37"/>
        <v>-8528.6158023821627</v>
      </c>
      <c r="K72" s="45">
        <f t="shared" si="37"/>
        <v>-8693.8622719394225</v>
      </c>
      <c r="L72" s="45">
        <f t="shared" si="37"/>
        <v>-8885.140812729238</v>
      </c>
      <c r="M72" s="45">
        <f t="shared" si="37"/>
        <v>-9105.0009303205443</v>
      </c>
      <c r="N72" s="45">
        <f t="shared" si="37"/>
        <v>-9354.8549920495097</v>
      </c>
      <c r="O72" s="45">
        <f t="shared" si="37"/>
        <v>-10400.72766957877</v>
      </c>
      <c r="P72" s="45">
        <f t="shared" si="37"/>
        <v>-11402.261589404216</v>
      </c>
      <c r="Q72" s="45">
        <f t="shared" si="37"/>
        <v>-11734.348612378202</v>
      </c>
      <c r="R72" s="45">
        <f t="shared" si="37"/>
        <v>-10063.180047068592</v>
      </c>
      <c r="S72" s="45">
        <f t="shared" si="37"/>
        <v>-8340.7151097996939</v>
      </c>
      <c r="T72" s="45">
        <f t="shared" si="37"/>
        <v>-6576.1050022560185</v>
      </c>
      <c r="U72" s="45">
        <f t="shared" si="37"/>
        <v>-4824.6451519105203</v>
      </c>
      <c r="V72" s="45">
        <f t="shared" si="37"/>
        <v>-3014.850217676069</v>
      </c>
      <c r="W72" s="45">
        <f t="shared" si="37"/>
        <v>-1155.9809426645843</v>
      </c>
      <c r="X72" s="45">
        <f t="shared" si="37"/>
        <v>753.43490334724493</v>
      </c>
      <c r="Y72" s="45">
        <f t="shared" si="37"/>
        <v>2224.5440139538832</v>
      </c>
      <c r="Z72" s="43"/>
      <c r="AA72" s="46"/>
    </row>
    <row r="73" spans="1:27" s="29" customFormat="1" ht="15">
      <c r="A73" s="3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7" ht="15" hidden="1">
      <c r="B74" s="62" t="s">
        <v>46</v>
      </c>
      <c r="C74" s="62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</row>
    <row r="75" spans="1:27" s="58" customFormat="1" ht="15" hidden="1">
      <c r="A75" s="18"/>
      <c r="B75" s="25" t="s">
        <v>47</v>
      </c>
      <c r="C75" s="25"/>
      <c r="D75" s="63"/>
      <c r="E75" s="49">
        <f>-E13</f>
        <v>-8275.5</v>
      </c>
      <c r="F75" s="49">
        <f t="shared" ref="F75:X75" si="38">MIN((F68-F78),F71)*(1-F76)</f>
        <v>-1659.8980252686099</v>
      </c>
      <c r="G75" s="49">
        <f t="shared" si="38"/>
        <v>-1496.4233094640838</v>
      </c>
      <c r="H75" s="49">
        <f t="shared" si="38"/>
        <v>-1602.0366595918806</v>
      </c>
      <c r="I75" s="49">
        <f t="shared" si="38"/>
        <v>-1546.5954088251349</v>
      </c>
      <c r="J75" s="49">
        <f t="shared" si="38"/>
        <v>-1485.9650704943861</v>
      </c>
      <c r="K75" s="49">
        <f t="shared" si="38"/>
        <v>-1419.699328537997</v>
      </c>
      <c r="L75" s="49">
        <f t="shared" si="38"/>
        <v>-1350.0786632239219</v>
      </c>
      <c r="M75" s="49">
        <f t="shared" si="38"/>
        <v>-1275.0020782721754</v>
      </c>
      <c r="N75" s="49">
        <f t="shared" si="38"/>
        <v>-1193.0749710640262</v>
      </c>
      <c r="O75" s="49">
        <f t="shared" si="38"/>
        <v>-1639.8726059301086</v>
      </c>
      <c r="P75" s="49">
        <f t="shared" si="38"/>
        <v>-1488.1417089489389</v>
      </c>
      <c r="Q75" s="49">
        <f t="shared" si="38"/>
        <v>-1329.5641501800014</v>
      </c>
      <c r="R75" s="49">
        <f t="shared" si="38"/>
        <v>-1197.8752918607931</v>
      </c>
      <c r="S75" s="49">
        <f t="shared" si="38"/>
        <v>-1161.9012128244094</v>
      </c>
      <c r="T75" s="49">
        <f t="shared" si="38"/>
        <v>-1132.3448596446949</v>
      </c>
      <c r="U75" s="49">
        <f t="shared" si="38"/>
        <v>-1141.5671179395208</v>
      </c>
      <c r="V75" s="49">
        <f t="shared" si="38"/>
        <v>-1100.6567993680471</v>
      </c>
      <c r="W75" s="49">
        <f t="shared" si="38"/>
        <v>-1066.2410279140238</v>
      </c>
      <c r="X75" s="49">
        <f t="shared" si="38"/>
        <v>-1030.7927833163794</v>
      </c>
      <c r="Y75" s="53"/>
      <c r="Z75" s="53"/>
    </row>
    <row r="76" spans="1:27" s="58" customFormat="1" ht="15" hidden="1">
      <c r="A76" s="18"/>
      <c r="B76" s="25" t="s">
        <v>48</v>
      </c>
      <c r="C76" s="25"/>
      <c r="D76" s="25"/>
      <c r="E76" s="25">
        <f>24/76</f>
        <v>0.31578947368421051</v>
      </c>
      <c r="F76" s="25">
        <f>23/77</f>
        <v>0.29870129870129869</v>
      </c>
      <c r="G76" s="25">
        <f t="shared" ref="G76:X76" si="39">F76</f>
        <v>0.29870129870129869</v>
      </c>
      <c r="H76" s="25">
        <f t="shared" si="39"/>
        <v>0.29870129870129869</v>
      </c>
      <c r="I76" s="25">
        <f t="shared" si="39"/>
        <v>0.29870129870129869</v>
      </c>
      <c r="J76" s="25">
        <f t="shared" si="39"/>
        <v>0.29870129870129869</v>
      </c>
      <c r="K76" s="25">
        <f t="shared" si="39"/>
        <v>0.29870129870129869</v>
      </c>
      <c r="L76" s="25">
        <f t="shared" si="39"/>
        <v>0.29870129870129869</v>
      </c>
      <c r="M76" s="25">
        <f t="shared" si="39"/>
        <v>0.29870129870129869</v>
      </c>
      <c r="N76" s="25">
        <f t="shared" si="39"/>
        <v>0.29870129870129869</v>
      </c>
      <c r="O76" s="25">
        <f t="shared" si="39"/>
        <v>0.29870129870129869</v>
      </c>
      <c r="P76" s="25">
        <f t="shared" si="39"/>
        <v>0.29870129870129869</v>
      </c>
      <c r="Q76" s="25">
        <f t="shared" si="39"/>
        <v>0.29870129870129869</v>
      </c>
      <c r="R76" s="25">
        <f t="shared" si="39"/>
        <v>0.29870129870129869</v>
      </c>
      <c r="S76" s="25">
        <f t="shared" si="39"/>
        <v>0.29870129870129869</v>
      </c>
      <c r="T76" s="25">
        <f t="shared" si="39"/>
        <v>0.29870129870129869</v>
      </c>
      <c r="U76" s="25">
        <f t="shared" si="39"/>
        <v>0.29870129870129869</v>
      </c>
      <c r="V76" s="25">
        <f t="shared" si="39"/>
        <v>0.29870129870129869</v>
      </c>
      <c r="W76" s="25">
        <f t="shared" si="39"/>
        <v>0.29870129870129869</v>
      </c>
      <c r="X76" s="25">
        <f t="shared" si="39"/>
        <v>0.29870129870129869</v>
      </c>
      <c r="Y76" s="53"/>
      <c r="Z76" s="53"/>
    </row>
    <row r="77" spans="1:27" s="58" customFormat="1" ht="15" hidden="1">
      <c r="A77" s="18"/>
      <c r="B77" s="25" t="s">
        <v>49</v>
      </c>
      <c r="C77" s="25"/>
      <c r="D77" s="25"/>
      <c r="E77" s="25"/>
      <c r="F77" s="49">
        <f t="shared" ref="F77:X77" si="40">(F72-F78)*F76</f>
        <v>-3075.3011640487666</v>
      </c>
      <c r="G77" s="49">
        <f t="shared" si="40"/>
        <v>-3034.0376236717775</v>
      </c>
      <c r="H77" s="49">
        <f t="shared" si="40"/>
        <v>-3065.0225891770874</v>
      </c>
      <c r="I77" s="49">
        <f t="shared" si="40"/>
        <v>-3101.906246853579</v>
      </c>
      <c r="J77" s="49">
        <f t="shared" si="40"/>
        <v>-3144.9112136985677</v>
      </c>
      <c r="K77" s="49">
        <f t="shared" si="40"/>
        <v>-3194.2705487611261</v>
      </c>
      <c r="L77" s="49">
        <f t="shared" si="40"/>
        <v>-3251.4056973087331</v>
      </c>
      <c r="M77" s="49">
        <f t="shared" si="40"/>
        <v>-3317.0781999658766</v>
      </c>
      <c r="N77" s="49">
        <f t="shared" si="40"/>
        <v>-3391.709932690113</v>
      </c>
      <c r="O77" s="49">
        <f t="shared" si="40"/>
        <v>-3704.1134597443079</v>
      </c>
      <c r="P77" s="49">
        <f t="shared" si="40"/>
        <v>-4003.2729422895709</v>
      </c>
      <c r="Q77" s="49">
        <f t="shared" si="40"/>
        <v>-4102.4677673337483</v>
      </c>
      <c r="R77" s="49">
        <f t="shared" si="40"/>
        <v>-3603.2875465269817</v>
      </c>
      <c r="S77" s="49">
        <f t="shared" si="40"/>
        <v>-3088.785032797311</v>
      </c>
      <c r="T77" s="49">
        <f t="shared" si="40"/>
        <v>-2561.6937019725769</v>
      </c>
      <c r="U77" s="49">
        <f t="shared" si="40"/>
        <v>-2038.5303700511943</v>
      </c>
      <c r="V77" s="49">
        <f t="shared" si="40"/>
        <v>-1497.942272812332</v>
      </c>
      <c r="W77" s="49">
        <f t="shared" si="40"/>
        <v>-942.69560625046017</v>
      </c>
      <c r="X77" s="49">
        <f t="shared" si="40"/>
        <v>-372.35061328588785</v>
      </c>
      <c r="Y77" s="53"/>
      <c r="Z77" s="53"/>
    </row>
    <row r="78" spans="1:27" s="58" customFormat="1" ht="15" hidden="1">
      <c r="A78" s="18"/>
      <c r="B78" s="25" t="s">
        <v>50</v>
      </c>
      <c r="C78" s="25"/>
      <c r="D78" s="25"/>
      <c r="E78" s="25"/>
      <c r="F78" s="49">
        <v>2000</v>
      </c>
      <c r="G78" s="49">
        <f t="shared" ref="G78:X78" si="41">F78</f>
        <v>2000</v>
      </c>
      <c r="H78" s="49">
        <f t="shared" si="41"/>
        <v>2000</v>
      </c>
      <c r="I78" s="49">
        <f t="shared" si="41"/>
        <v>2000</v>
      </c>
      <c r="J78" s="49">
        <f t="shared" si="41"/>
        <v>2000</v>
      </c>
      <c r="K78" s="49">
        <f t="shared" si="41"/>
        <v>2000</v>
      </c>
      <c r="L78" s="49">
        <f t="shared" si="41"/>
        <v>2000</v>
      </c>
      <c r="M78" s="49">
        <f t="shared" si="41"/>
        <v>2000</v>
      </c>
      <c r="N78" s="49">
        <f t="shared" si="41"/>
        <v>2000</v>
      </c>
      <c r="O78" s="49">
        <f t="shared" si="41"/>
        <v>2000</v>
      </c>
      <c r="P78" s="49">
        <f t="shared" si="41"/>
        <v>2000</v>
      </c>
      <c r="Q78" s="49">
        <f t="shared" si="41"/>
        <v>2000</v>
      </c>
      <c r="R78" s="49">
        <f t="shared" si="41"/>
        <v>2000</v>
      </c>
      <c r="S78" s="49">
        <f t="shared" si="41"/>
        <v>2000</v>
      </c>
      <c r="T78" s="49">
        <f t="shared" si="41"/>
        <v>2000</v>
      </c>
      <c r="U78" s="49">
        <f t="shared" si="41"/>
        <v>2000</v>
      </c>
      <c r="V78" s="49">
        <f t="shared" si="41"/>
        <v>2000</v>
      </c>
      <c r="W78" s="49">
        <f t="shared" si="41"/>
        <v>2000</v>
      </c>
      <c r="X78" s="49">
        <f t="shared" si="41"/>
        <v>2000</v>
      </c>
      <c r="Y78" s="53"/>
      <c r="Z78" s="53"/>
    </row>
    <row r="79" spans="1:27" s="68" customFormat="1" ht="12.75" hidden="1">
      <c r="A79" s="272"/>
      <c r="B79" s="64" t="s">
        <v>51</v>
      </c>
      <c r="C79" s="64"/>
      <c r="D79" s="65"/>
      <c r="E79" s="64"/>
      <c r="F79" s="66">
        <f t="shared" ref="F79:X79" si="42">F72-F75-F77</f>
        <v>-3560.3742729328424</v>
      </c>
      <c r="G79" s="66">
        <f t="shared" si="42"/>
        <v>-3626.9693722000893</v>
      </c>
      <c r="H79" s="66">
        <f t="shared" si="42"/>
        <v>-3594.1033323891083</v>
      </c>
      <c r="I79" s="66">
        <f t="shared" si="42"/>
        <v>-3736.140996831095</v>
      </c>
      <c r="J79" s="66">
        <f t="shared" si="42"/>
        <v>-3897.7395181892089</v>
      </c>
      <c r="K79" s="66">
        <f t="shared" si="42"/>
        <v>-4079.8923946402997</v>
      </c>
      <c r="L79" s="66">
        <f t="shared" si="42"/>
        <v>-4283.6564521965829</v>
      </c>
      <c r="M79" s="66">
        <f t="shared" si="42"/>
        <v>-4512.9206520824928</v>
      </c>
      <c r="N79" s="66">
        <f t="shared" si="42"/>
        <v>-4770.0700882953697</v>
      </c>
      <c r="O79" s="66">
        <f t="shared" si="42"/>
        <v>-5056.7416039043537</v>
      </c>
      <c r="P79" s="66">
        <f t="shared" si="42"/>
        <v>-5910.846938165706</v>
      </c>
      <c r="Q79" s="66">
        <f t="shared" si="42"/>
        <v>-6302.3166948644521</v>
      </c>
      <c r="R79" s="66">
        <f t="shared" si="42"/>
        <v>-5262.017208680817</v>
      </c>
      <c r="S79" s="66">
        <f t="shared" si="42"/>
        <v>-4090.0288641779734</v>
      </c>
      <c r="T79" s="66">
        <f t="shared" si="42"/>
        <v>-2882.0664406387464</v>
      </c>
      <c r="U79" s="66">
        <f t="shared" si="42"/>
        <v>-1644.5476639198052</v>
      </c>
      <c r="V79" s="66">
        <f t="shared" si="42"/>
        <v>-416.2511454956898</v>
      </c>
      <c r="W79" s="66">
        <f t="shared" si="42"/>
        <v>852.95569149989967</v>
      </c>
      <c r="X79" s="66">
        <f t="shared" si="42"/>
        <v>2156.5782999495123</v>
      </c>
      <c r="Y79" s="67"/>
      <c r="Z79" s="64"/>
    </row>
    <row r="80" spans="1:27" s="58" customFormat="1" ht="15" hidden="1">
      <c r="A80" s="18"/>
      <c r="B80" s="25" t="s">
        <v>52</v>
      </c>
      <c r="C80" s="25"/>
      <c r="D80" s="27" t="e">
        <f>IRR(E75:X75)</f>
        <v>#NUM!</v>
      </c>
      <c r="E80" s="25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3"/>
      <c r="Z80" s="53"/>
    </row>
    <row r="81" spans="1:26" hidden="1"/>
    <row r="82" spans="1:26" hidden="1">
      <c r="D82" s="69" t="s">
        <v>53</v>
      </c>
      <c r="Y82" s="70"/>
      <c r="Z82" s="70"/>
    </row>
    <row r="83" spans="1:26" s="71" customFormat="1" hidden="1">
      <c r="A83" s="273"/>
      <c r="B83" s="71" t="s">
        <v>54</v>
      </c>
      <c r="D83" s="72" t="e">
        <f>AVERAGE(E83:X83)</f>
        <v>#DIV/0!</v>
      </c>
      <c r="E83" s="71" t="e">
        <f t="shared" ref="E83:X83" si="43">E53/-$D71</f>
        <v>#DIV/0!</v>
      </c>
      <c r="F83" s="71" t="e">
        <f t="shared" si="43"/>
        <v>#DIV/0!</v>
      </c>
      <c r="G83" s="71" t="e">
        <f t="shared" si="43"/>
        <v>#DIV/0!</v>
      </c>
      <c r="H83" s="71" t="e">
        <f t="shared" si="43"/>
        <v>#DIV/0!</v>
      </c>
      <c r="I83" s="71" t="e">
        <f t="shared" si="43"/>
        <v>#DIV/0!</v>
      </c>
      <c r="J83" s="71" t="e">
        <f t="shared" si="43"/>
        <v>#DIV/0!</v>
      </c>
      <c r="K83" s="71" t="e">
        <f t="shared" si="43"/>
        <v>#DIV/0!</v>
      </c>
      <c r="L83" s="71" t="e">
        <f t="shared" si="43"/>
        <v>#DIV/0!</v>
      </c>
      <c r="M83" s="71" t="e">
        <f t="shared" si="43"/>
        <v>#DIV/0!</v>
      </c>
      <c r="N83" s="71" t="e">
        <f t="shared" si="43"/>
        <v>#DIV/0!</v>
      </c>
      <c r="O83" s="71" t="e">
        <f t="shared" si="43"/>
        <v>#DIV/0!</v>
      </c>
      <c r="P83" s="71" t="e">
        <f t="shared" si="43"/>
        <v>#DIV/0!</v>
      </c>
      <c r="Q83" s="71" t="e">
        <f t="shared" si="43"/>
        <v>#DIV/0!</v>
      </c>
      <c r="R83" s="71" t="e">
        <f t="shared" si="43"/>
        <v>#DIV/0!</v>
      </c>
      <c r="S83" s="71" t="e">
        <f t="shared" si="43"/>
        <v>#DIV/0!</v>
      </c>
      <c r="T83" s="71" t="e">
        <f t="shared" si="43"/>
        <v>#DIV/0!</v>
      </c>
      <c r="U83" s="71" t="e">
        <f t="shared" si="43"/>
        <v>#DIV/0!</v>
      </c>
      <c r="V83" s="71" t="e">
        <f t="shared" si="43"/>
        <v>#DIV/0!</v>
      </c>
      <c r="W83" s="71" t="e">
        <f t="shared" si="43"/>
        <v>#DIV/0!</v>
      </c>
      <c r="X83" s="71" t="e">
        <f t="shared" si="43"/>
        <v>#DIV/0!</v>
      </c>
      <c r="Y83" s="73"/>
      <c r="Z83" s="73"/>
    </row>
    <row r="84" spans="1:26" s="71" customFormat="1" hidden="1">
      <c r="A84" s="273"/>
      <c r="B84" s="71" t="s">
        <v>55</v>
      </c>
      <c r="D84" s="74">
        <f>AVERAGE(E84:X84)</f>
        <v>3.2406605099641874E-3</v>
      </c>
      <c r="E84" s="71">
        <f t="shared" ref="E84:X84" si="44">E53/$E9</f>
        <v>-2.0013955614804554E-3</v>
      </c>
      <c r="F84" s="71">
        <f t="shared" si="44"/>
        <v>-7.2416782589725783E-3</v>
      </c>
      <c r="G84" s="71">
        <f t="shared" si="44"/>
        <v>-1.2928356169103204E-2</v>
      </c>
      <c r="H84" s="71">
        <f t="shared" si="44"/>
        <v>-1.0309429298380643E-2</v>
      </c>
      <c r="I84" s="71">
        <f t="shared" si="44"/>
        <v>-7.4435559311860277E-3</v>
      </c>
      <c r="J84" s="71">
        <f t="shared" si="44"/>
        <v>-4.3094478534816344E-3</v>
      </c>
      <c r="K84" s="71">
        <f t="shared" si="44"/>
        <v>-8.8403406133617845E-4</v>
      </c>
      <c r="L84" s="71">
        <f t="shared" si="44"/>
        <v>2.7148026851402133E-3</v>
      </c>
      <c r="M84" s="71">
        <f t="shared" si="44"/>
        <v>6.5956672460492491E-3</v>
      </c>
      <c r="N84" s="71">
        <f t="shared" si="44"/>
        <v>1.0830649526426728E-2</v>
      </c>
      <c r="O84" s="71">
        <f t="shared" si="44"/>
        <v>-1.2265247925011826E-2</v>
      </c>
      <c r="P84" s="71">
        <f t="shared" si="44"/>
        <v>-4.4219628146458497E-3</v>
      </c>
      <c r="Q84" s="71">
        <f t="shared" si="44"/>
        <v>3.7752404595492008E-3</v>
      </c>
      <c r="R84" s="71">
        <f t="shared" si="44"/>
        <v>1.0582510977328609E-2</v>
      </c>
      <c r="S84" s="71">
        <f t="shared" si="44"/>
        <v>1.2442085817252053E-2</v>
      </c>
      <c r="T84" s="71">
        <f t="shared" si="44"/>
        <v>1.396991508224309E-2</v>
      </c>
      <c r="U84" s="71">
        <f t="shared" si="44"/>
        <v>1.3493197402410661E-2</v>
      </c>
      <c r="V84" s="71">
        <f t="shared" si="44"/>
        <v>1.5607936713230066E-2</v>
      </c>
      <c r="W84" s="71">
        <f t="shared" si="44"/>
        <v>1.7386959398640014E-2</v>
      </c>
      <c r="X84" s="71">
        <f t="shared" si="44"/>
        <v>1.9219352764612261E-2</v>
      </c>
      <c r="Y84" s="73"/>
      <c r="Z84" s="73"/>
    </row>
    <row r="85" spans="1:26" hidden="1">
      <c r="Y85" s="70"/>
      <c r="Z85" s="70"/>
    </row>
    <row r="86" spans="1:26">
      <c r="Y86" s="70"/>
      <c r="Z86" s="70"/>
    </row>
    <row r="87" spans="1:26">
      <c r="Y87" s="70"/>
      <c r="Z87" s="70"/>
    </row>
    <row r="88" spans="1:26">
      <c r="Y88" s="70"/>
      <c r="Z88" s="70"/>
    </row>
    <row r="89" spans="1:26">
      <c r="Y89" s="70"/>
      <c r="Z89" s="70"/>
    </row>
    <row r="90" spans="1:26">
      <c r="Y90" s="70"/>
      <c r="Z90" s="70"/>
    </row>
    <row r="91" spans="1:26">
      <c r="Y91" s="70"/>
      <c r="Z91" s="70"/>
    </row>
    <row r="92" spans="1:26">
      <c r="Y92" s="70"/>
      <c r="Z92" s="70"/>
    </row>
    <row r="93" spans="1:26">
      <c r="Y93" s="70"/>
      <c r="Z93" s="70"/>
    </row>
    <row r="94" spans="1:26">
      <c r="I94" s="75"/>
      <c r="J94" s="75"/>
      <c r="K94" s="75"/>
      <c r="Y94" s="70"/>
      <c r="Z94" s="70"/>
    </row>
    <row r="95" spans="1:26">
      <c r="Y95" s="70"/>
      <c r="Z95" s="70"/>
    </row>
    <row r="96" spans="1:26">
      <c r="Y96" s="70"/>
      <c r="Z96" s="70"/>
    </row>
    <row r="97" spans="11:26">
      <c r="K97" s="75"/>
      <c r="Y97" s="70"/>
      <c r="Z97" s="70"/>
    </row>
    <row r="98" spans="11:26">
      <c r="Y98" s="70"/>
      <c r="Z98" s="70"/>
    </row>
    <row r="99" spans="11:26">
      <c r="Y99" s="70"/>
      <c r="Z99" s="70"/>
    </row>
    <row r="100" spans="11:26">
      <c r="Y100" s="70"/>
      <c r="Z100" s="70"/>
    </row>
    <row r="101" spans="11:26">
      <c r="Y101" s="70"/>
      <c r="Z101" s="70"/>
    </row>
    <row r="102" spans="11:26">
      <c r="Y102" s="70"/>
      <c r="Z102" s="70"/>
    </row>
    <row r="103" spans="11:26">
      <c r="Y103" s="70"/>
      <c r="Z103" s="70"/>
    </row>
    <row r="104" spans="11:26">
      <c r="Y104" s="70"/>
      <c r="Z104" s="70"/>
    </row>
    <row r="105" spans="11:26">
      <c r="Y105" s="70"/>
      <c r="Z105" s="70"/>
    </row>
    <row r="106" spans="11:26">
      <c r="Y106" s="70"/>
      <c r="Z106" s="70"/>
    </row>
    <row r="107" spans="11:26">
      <c r="Y107" s="70"/>
      <c r="Z107" s="70"/>
    </row>
    <row r="108" spans="11:26">
      <c r="Y108" s="70"/>
      <c r="Z108" s="70"/>
    </row>
    <row r="109" spans="11:26">
      <c r="Y109" s="70"/>
      <c r="Z109" s="70"/>
    </row>
  </sheetData>
  <mergeCells count="3">
    <mergeCell ref="G4:I4"/>
    <mergeCell ref="G5:H5"/>
    <mergeCell ref="L12:M12"/>
  </mergeCells>
  <phoneticPr fontId="32" type="noConversion"/>
  <pageMargins left="0.26" right="0.23622047244094491" top="0.47244094488188981" bottom="0.39370078740157483" header="0.19685039370078741" footer="0"/>
  <pageSetup paperSize="9" scale="4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3"/>
  </sheetPr>
  <dimension ref="A1:F108"/>
  <sheetViews>
    <sheetView workbookViewId="0">
      <pane xSplit="1" ySplit="2" topLeftCell="B3" activePane="bottomRight" state="frozen"/>
      <selection activeCell="V28" sqref="V28"/>
      <selection pane="topRight" activeCell="V28" sqref="V28"/>
      <selection pane="bottomLeft" activeCell="V28" sqref="V28"/>
      <selection pane="bottomRight" activeCell="V28" sqref="V28"/>
    </sheetView>
  </sheetViews>
  <sheetFormatPr defaultRowHeight="12.75"/>
  <cols>
    <col min="1" max="1" width="34.5703125" style="83" customWidth="1"/>
    <col min="2" max="2" width="15.5703125" style="78" customWidth="1"/>
    <col min="3" max="5" width="14" style="78" customWidth="1"/>
    <col min="6" max="6" width="15.42578125" style="80" bestFit="1" customWidth="1"/>
    <col min="7" max="16384" width="9.140625" style="81"/>
  </cols>
  <sheetData>
    <row r="1" spans="1:6">
      <c r="A1" s="92"/>
      <c r="B1" s="84">
        <v>2006</v>
      </c>
      <c r="C1" s="118"/>
      <c r="D1" s="119"/>
      <c r="E1" s="84"/>
      <c r="F1" s="85"/>
    </row>
    <row r="2" spans="1:6">
      <c r="A2" s="93"/>
      <c r="B2" s="86" t="s">
        <v>57</v>
      </c>
      <c r="C2" s="121" t="s">
        <v>60</v>
      </c>
      <c r="D2" s="122" t="s">
        <v>63</v>
      </c>
      <c r="E2" s="86" t="s">
        <v>66</v>
      </c>
      <c r="F2" s="87" t="s">
        <v>56</v>
      </c>
    </row>
    <row r="3" spans="1:6">
      <c r="A3" s="128" t="str">
        <f>Actual!A3</f>
        <v>INCOME, EUR</v>
      </c>
      <c r="B3" s="82"/>
      <c r="C3" s="79"/>
      <c r="D3" s="123"/>
      <c r="E3" s="79"/>
      <c r="F3" s="76"/>
    </row>
    <row r="4" spans="1:6">
      <c r="A4" s="134" t="str">
        <f>Actual!A4</f>
        <v>Long term average production, MWh/y</v>
      </c>
      <c r="B4" s="135"/>
      <c r="C4" s="135"/>
      <c r="D4" s="135"/>
      <c r="E4" s="135"/>
      <c r="F4" s="135">
        <v>0</v>
      </c>
    </row>
    <row r="5" spans="1:6">
      <c r="A5" s="115" t="str">
        <f>Actual!A5</f>
        <v>Production, MWh</v>
      </c>
      <c r="B5" s="136"/>
      <c r="C5" s="136"/>
      <c r="D5" s="136"/>
      <c r="E5" s="136"/>
      <c r="F5" s="136">
        <f t="shared" ref="F5:F10" si="0">SUM(B5:E5)</f>
        <v>0</v>
      </c>
    </row>
    <row r="6" spans="1:6">
      <c r="A6" s="115" t="str">
        <f>Actual!A6</f>
        <v>Electricity price, EUR/MWh</v>
      </c>
      <c r="B6" s="136"/>
      <c r="C6" s="136"/>
      <c r="D6" s="136"/>
      <c r="E6" s="136"/>
      <c r="F6" s="136">
        <f t="shared" si="0"/>
        <v>0</v>
      </c>
    </row>
    <row r="7" spans="1:6">
      <c r="A7" s="115" t="str">
        <f>Actual!A7</f>
        <v>Electricity</v>
      </c>
      <c r="B7" s="136"/>
      <c r="C7" s="136"/>
      <c r="D7" s="136"/>
      <c r="E7" s="136"/>
      <c r="F7" s="136">
        <f t="shared" si="0"/>
        <v>0</v>
      </c>
    </row>
    <row r="8" spans="1:6">
      <c r="A8" s="115" t="str">
        <f>Actual!A8</f>
        <v>CO2</v>
      </c>
      <c r="B8" s="136"/>
      <c r="C8" s="136"/>
      <c r="D8" s="136"/>
      <c r="E8" s="137"/>
      <c r="F8" s="137">
        <f t="shared" si="0"/>
        <v>0</v>
      </c>
    </row>
    <row r="9" spans="1:6">
      <c r="A9" s="116" t="str">
        <f>Actual!A9</f>
        <v>Total</v>
      </c>
      <c r="B9" s="117"/>
      <c r="C9" s="117"/>
      <c r="D9" s="117"/>
      <c r="E9" s="117"/>
      <c r="F9" s="117">
        <f t="shared" si="0"/>
        <v>0</v>
      </c>
    </row>
    <row r="10" spans="1:6">
      <c r="A10" s="138">
        <f>Actual!A10</f>
        <v>0</v>
      </c>
      <c r="B10" s="139"/>
      <c r="C10" s="139"/>
      <c r="D10" s="139"/>
      <c r="E10" s="139"/>
      <c r="F10" s="139">
        <f t="shared" si="0"/>
        <v>0</v>
      </c>
    </row>
    <row r="11" spans="1:6">
      <c r="A11" s="113" t="str">
        <f>Actual!A11</f>
        <v>COSTS, EUR</v>
      </c>
      <c r="B11" s="139"/>
      <c r="C11" s="139"/>
      <c r="D11" s="139"/>
      <c r="E11" s="139"/>
      <c r="F11" s="139">
        <f>SUM(F7:F10)</f>
        <v>0</v>
      </c>
    </row>
    <row r="12" spans="1:6">
      <c r="A12" s="113" t="str">
        <f>Actual!A12</f>
        <v>Wind park</v>
      </c>
      <c r="B12" s="139"/>
      <c r="C12" s="139"/>
      <c r="D12" s="139"/>
      <c r="E12" s="139"/>
      <c r="F12" s="139"/>
    </row>
    <row r="13" spans="1:6">
      <c r="A13" s="114" t="str">
        <f>Actual!A13</f>
        <v>Service and maintenance</v>
      </c>
      <c r="B13" s="140"/>
      <c r="C13" s="140"/>
      <c r="D13" s="140"/>
      <c r="E13" s="140"/>
      <c r="F13" s="140"/>
    </row>
    <row r="14" spans="1:6">
      <c r="A14" s="115" t="str">
        <f>Actual!A14</f>
        <v>Insurance</v>
      </c>
      <c r="B14" s="136"/>
      <c r="C14" s="136"/>
      <c r="D14" s="136"/>
      <c r="E14" s="136"/>
      <c r="F14" s="136"/>
    </row>
    <row r="15" spans="1:6">
      <c r="A15" s="115" t="str">
        <f>Actual!A15</f>
        <v>JI verification</v>
      </c>
      <c r="B15" s="136"/>
      <c r="C15" s="136"/>
      <c r="D15" s="136"/>
      <c r="E15" s="141"/>
      <c r="F15" s="141">
        <f t="shared" ref="F15:F24" si="1">SUM(B15:E15)</f>
        <v>0</v>
      </c>
    </row>
    <row r="16" spans="1:6">
      <c r="A16" s="115" t="str">
        <f>Actual!A16</f>
        <v>JI fee</v>
      </c>
      <c r="B16" s="136"/>
      <c r="C16" s="136"/>
      <c r="D16" s="136"/>
      <c r="E16" s="141"/>
      <c r="F16" s="141">
        <f t="shared" si="1"/>
        <v>0</v>
      </c>
    </row>
    <row r="17" spans="1:6">
      <c r="A17" s="115" t="str">
        <f>Actual!A17</f>
        <v>Security</v>
      </c>
      <c r="B17" s="136"/>
      <c r="C17" s="136"/>
      <c r="D17" s="136"/>
      <c r="E17" s="136"/>
      <c r="F17" s="136">
        <f t="shared" si="1"/>
        <v>0</v>
      </c>
    </row>
    <row r="18" spans="1:6">
      <c r="A18" s="115" t="str">
        <f>Actual!A18</f>
        <v>Communications</v>
      </c>
      <c r="B18" s="136"/>
      <c r="C18" s="136"/>
      <c r="D18" s="136"/>
      <c r="E18" s="136"/>
      <c r="F18" s="136">
        <f t="shared" si="1"/>
        <v>0</v>
      </c>
    </row>
    <row r="19" spans="1:6">
      <c r="A19" s="115" t="str">
        <f>Actual!A19</f>
        <v>Own consumption and reactive power</v>
      </c>
      <c r="B19" s="136"/>
      <c r="C19" s="136"/>
      <c r="D19" s="136"/>
      <c r="E19" s="136"/>
      <c r="F19" s="136">
        <f t="shared" si="1"/>
        <v>0</v>
      </c>
    </row>
    <row r="20" spans="1:6" ht="25.5">
      <c r="A20" s="115" t="str">
        <f>Actual!A20</f>
        <v>Other maintenance and repair, small parts and tools</v>
      </c>
      <c r="B20" s="136"/>
      <c r="C20" s="136"/>
      <c r="D20" s="136"/>
      <c r="E20" s="136"/>
      <c r="F20" s="136">
        <f t="shared" si="1"/>
        <v>0</v>
      </c>
    </row>
    <row r="21" spans="1:6">
      <c r="A21" s="115" t="str">
        <f>Actual!A21</f>
        <v>Land lease and tax</v>
      </c>
      <c r="B21" s="136"/>
      <c r="C21" s="136"/>
      <c r="D21" s="136"/>
      <c r="E21" s="136"/>
      <c r="F21" s="136">
        <f t="shared" si="1"/>
        <v>0</v>
      </c>
    </row>
    <row r="22" spans="1:6">
      <c r="A22" s="116" t="str">
        <f>Actual!A22</f>
        <v>Total</v>
      </c>
      <c r="B22" s="117"/>
      <c r="C22" s="117"/>
      <c r="D22" s="117"/>
      <c r="E22" s="117"/>
      <c r="F22" s="117">
        <f t="shared" si="1"/>
        <v>0</v>
      </c>
    </row>
    <row r="23" spans="1:6">
      <c r="A23" s="138">
        <f>Actual!A23</f>
        <v>0</v>
      </c>
      <c r="B23" s="139"/>
      <c r="C23" s="139"/>
      <c r="D23" s="139"/>
      <c r="E23" s="139"/>
      <c r="F23" s="139">
        <f t="shared" si="1"/>
        <v>0</v>
      </c>
    </row>
    <row r="24" spans="1:6">
      <c r="A24" s="113" t="str">
        <f>Actual!A24</f>
        <v>Management costs</v>
      </c>
      <c r="B24" s="139"/>
      <c r="C24" s="139"/>
      <c r="D24" s="139"/>
      <c r="E24" s="139"/>
      <c r="F24" s="139">
        <f t="shared" si="1"/>
        <v>0</v>
      </c>
    </row>
    <row r="25" spans="1:6">
      <c r="A25" s="114" t="str">
        <f>Actual!A25</f>
        <v>Fixed fee to 4energia</v>
      </c>
      <c r="B25" s="142"/>
      <c r="C25" s="142"/>
      <c r="D25" s="142"/>
      <c r="E25" s="142"/>
      <c r="F25" s="142">
        <f>SUM(F15:F24)</f>
        <v>0</v>
      </c>
    </row>
    <row r="26" spans="1:6">
      <c r="A26" s="115" t="str">
        <f>Actual!A26</f>
        <v>Premium fee to 4energia</v>
      </c>
      <c r="B26" s="136"/>
      <c r="C26" s="136"/>
      <c r="D26" s="136"/>
      <c r="E26" s="136"/>
      <c r="F26" s="136"/>
    </row>
    <row r="27" spans="1:6">
      <c r="A27" s="115" t="str">
        <f>Actual!A27</f>
        <v>Legal and tax consultancy</v>
      </c>
      <c r="B27" s="136"/>
      <c r="C27" s="136"/>
      <c r="D27" s="136"/>
      <c r="E27" s="136"/>
      <c r="F27" s="136"/>
    </row>
    <row r="28" spans="1:6">
      <c r="A28" s="115" t="str">
        <f>Actual!A28</f>
        <v>Technical consultancy</v>
      </c>
      <c r="B28" s="136"/>
      <c r="C28" s="136"/>
      <c r="D28" s="136"/>
      <c r="E28" s="136"/>
      <c r="F28" s="136">
        <f t="shared" ref="F28:F34" si="2">SUM(B28:E28)</f>
        <v>0</v>
      </c>
    </row>
    <row r="29" spans="1:6">
      <c r="A29" s="115" t="str">
        <f>Actual!A29</f>
        <v>Operation back-up</v>
      </c>
      <c r="B29" s="136"/>
      <c r="C29" s="136"/>
      <c r="D29" s="136"/>
      <c r="E29" s="136"/>
      <c r="F29" s="136">
        <f t="shared" si="2"/>
        <v>0</v>
      </c>
    </row>
    <row r="30" spans="1:6">
      <c r="A30" s="115" t="str">
        <f>Actual!A30</f>
        <v>Book keeping, audit</v>
      </c>
      <c r="B30" s="136"/>
      <c r="C30" s="136"/>
      <c r="D30" s="136"/>
      <c r="E30" s="136"/>
      <c r="F30" s="136">
        <f t="shared" si="2"/>
        <v>0</v>
      </c>
    </row>
    <row r="31" spans="1:6">
      <c r="A31" s="115" t="str">
        <f>Actual!A31</f>
        <v>Others</v>
      </c>
      <c r="B31" s="136"/>
      <c r="C31" s="136"/>
      <c r="D31" s="136"/>
      <c r="E31" s="136"/>
      <c r="F31" s="136">
        <f t="shared" si="2"/>
        <v>0</v>
      </c>
    </row>
    <row r="32" spans="1:6">
      <c r="A32" s="116" t="str">
        <f>Actual!A32</f>
        <v>Total</v>
      </c>
      <c r="B32" s="117"/>
      <c r="C32" s="117"/>
      <c r="D32" s="117"/>
      <c r="E32" s="117"/>
      <c r="F32" s="117">
        <f t="shared" si="2"/>
        <v>0</v>
      </c>
    </row>
    <row r="33" spans="1:6">
      <c r="A33" s="138">
        <f>Actual!A33</f>
        <v>0</v>
      </c>
      <c r="B33" s="139"/>
      <c r="C33" s="139"/>
      <c r="D33" s="139"/>
      <c r="E33" s="139"/>
      <c r="F33" s="139">
        <f t="shared" si="2"/>
        <v>0</v>
      </c>
    </row>
    <row r="34" spans="1:6">
      <c r="A34" s="143" t="str">
        <f>Actual!A34</f>
        <v>Operating Profit</v>
      </c>
      <c r="B34" s="144"/>
      <c r="C34" s="144"/>
      <c r="D34" s="144"/>
      <c r="E34" s="144"/>
      <c r="F34" s="144">
        <f t="shared" si="2"/>
        <v>0</v>
      </c>
    </row>
    <row r="35" spans="1:6">
      <c r="A35" s="138">
        <f>Actual!A35</f>
        <v>0</v>
      </c>
      <c r="B35" s="139"/>
      <c r="C35" s="139"/>
      <c r="D35" s="139"/>
      <c r="E35" s="139"/>
      <c r="F35" s="139">
        <f>SUM(F28:F34)</f>
        <v>0</v>
      </c>
    </row>
    <row r="36" spans="1:6">
      <c r="A36" s="128" t="str">
        <f>Actual!A36</f>
        <v>Depreciation</v>
      </c>
      <c r="B36" s="145"/>
      <c r="C36" s="145"/>
      <c r="D36" s="145"/>
      <c r="E36" s="145"/>
      <c r="F36" s="145"/>
    </row>
    <row r="37" spans="1:6">
      <c r="A37" s="146" t="str">
        <f>Actual!A37</f>
        <v>Fixed assets</v>
      </c>
      <c r="B37" s="147"/>
      <c r="C37" s="136"/>
      <c r="D37" s="136"/>
      <c r="E37" s="136"/>
      <c r="F37" s="136"/>
    </row>
    <row r="38" spans="1:6">
      <c r="A38" s="116" t="str">
        <f>Actual!A38</f>
        <v>Total</v>
      </c>
      <c r="B38" s="117"/>
      <c r="C38" s="117"/>
      <c r="D38" s="117"/>
      <c r="E38" s="117"/>
      <c r="F38" s="117">
        <f>SUM(B38:E38)</f>
        <v>0</v>
      </c>
    </row>
    <row r="39" spans="1:6">
      <c r="A39" s="138">
        <f>Actual!A39</f>
        <v>0</v>
      </c>
      <c r="B39" s="139"/>
      <c r="C39" s="139"/>
      <c r="D39" s="139"/>
      <c r="E39" s="139"/>
      <c r="F39" s="139">
        <f>SUM(F38:F38)</f>
        <v>0</v>
      </c>
    </row>
    <row r="40" spans="1:6">
      <c r="A40" s="143" t="str">
        <f>Actual!A40</f>
        <v>Profit before finance</v>
      </c>
      <c r="B40" s="144"/>
      <c r="C40" s="144"/>
      <c r="D40" s="144"/>
      <c r="E40" s="144"/>
      <c r="F40" s="144">
        <f>F25+F35+F39</f>
        <v>0</v>
      </c>
    </row>
    <row r="41" spans="1:6">
      <c r="A41" s="138">
        <f>Actual!A41</f>
        <v>0</v>
      </c>
      <c r="B41" s="139"/>
      <c r="C41" s="139"/>
      <c r="D41" s="139"/>
      <c r="E41" s="139"/>
      <c r="F41" s="139"/>
    </row>
    <row r="42" spans="1:6">
      <c r="A42" s="113" t="str">
        <f>Actual!A42</f>
        <v>Financial income and cost</v>
      </c>
      <c r="B42" s="139"/>
      <c r="C42" s="139"/>
      <c r="D42" s="139"/>
      <c r="E42" s="139"/>
      <c r="F42" s="139">
        <f>F11-F40</f>
        <v>0</v>
      </c>
    </row>
    <row r="43" spans="1:6">
      <c r="A43" s="115" t="str">
        <f>Actual!A43</f>
        <v>Owners loan interest</v>
      </c>
      <c r="B43" s="136"/>
      <c r="C43" s="136"/>
      <c r="D43" s="136"/>
      <c r="E43" s="136"/>
      <c r="F43" s="136"/>
    </row>
    <row r="44" spans="1:6">
      <c r="A44" s="115" t="str">
        <f>Actual!A44</f>
        <v>Other</v>
      </c>
      <c r="B44" s="136"/>
      <c r="C44" s="136"/>
      <c r="D44" s="136"/>
      <c r="E44" s="136"/>
      <c r="F44" s="136"/>
    </row>
    <row r="45" spans="1:6">
      <c r="A45" s="116" t="str">
        <f>Actual!A45</f>
        <v>Total</v>
      </c>
      <c r="B45" s="117"/>
      <c r="C45" s="117"/>
      <c r="D45" s="117"/>
      <c r="E45" s="117"/>
      <c r="F45" s="117"/>
    </row>
    <row r="46" spans="1:6">
      <c r="A46" s="138">
        <f>Actual!A46</f>
        <v>0</v>
      </c>
      <c r="B46" s="139"/>
      <c r="C46" s="139"/>
      <c r="D46" s="139"/>
      <c r="E46" s="139"/>
      <c r="F46" s="139"/>
    </row>
    <row r="47" spans="1:6">
      <c r="A47" s="143" t="str">
        <f>Actual!A47</f>
        <v>Net profit</v>
      </c>
      <c r="B47" s="144"/>
      <c r="C47" s="144"/>
      <c r="D47" s="144"/>
      <c r="E47" s="144"/>
      <c r="F47" s="144">
        <f>SUM(B47:E47)</f>
        <v>0</v>
      </c>
    </row>
    <row r="48" spans="1:6">
      <c r="F48" s="77"/>
    </row>
    <row r="49" spans="6:6">
      <c r="F49" s="77"/>
    </row>
    <row r="50" spans="6:6">
      <c r="F50" s="77"/>
    </row>
    <row r="51" spans="6:6">
      <c r="F51" s="77"/>
    </row>
    <row r="52" spans="6:6">
      <c r="F52" s="77"/>
    </row>
    <row r="53" spans="6:6">
      <c r="F53" s="77"/>
    </row>
    <row r="54" spans="6:6">
      <c r="F54" s="77"/>
    </row>
    <row r="55" spans="6:6">
      <c r="F55" s="77"/>
    </row>
    <row r="56" spans="6:6">
      <c r="F56" s="77"/>
    </row>
    <row r="57" spans="6:6">
      <c r="F57" s="77"/>
    </row>
    <row r="58" spans="6:6">
      <c r="F58" s="77"/>
    </row>
    <row r="59" spans="6:6">
      <c r="F59" s="77"/>
    </row>
    <row r="60" spans="6:6">
      <c r="F60" s="77"/>
    </row>
    <row r="61" spans="6:6">
      <c r="F61" s="77"/>
    </row>
    <row r="62" spans="6:6">
      <c r="F62" s="77"/>
    </row>
    <row r="63" spans="6:6">
      <c r="F63" s="77"/>
    </row>
    <row r="64" spans="6:6">
      <c r="F64" s="77"/>
    </row>
    <row r="65" spans="6:6">
      <c r="F65" s="77"/>
    </row>
    <row r="66" spans="6:6">
      <c r="F66" s="77"/>
    </row>
    <row r="67" spans="6:6">
      <c r="F67" s="77"/>
    </row>
    <row r="68" spans="6:6">
      <c r="F68" s="77"/>
    </row>
    <row r="69" spans="6:6">
      <c r="F69" s="77"/>
    </row>
    <row r="70" spans="6:6">
      <c r="F70" s="77"/>
    </row>
    <row r="71" spans="6:6">
      <c r="F71" s="77"/>
    </row>
    <row r="72" spans="6:6">
      <c r="F72" s="77"/>
    </row>
    <row r="73" spans="6:6">
      <c r="F73" s="77"/>
    </row>
    <row r="74" spans="6:6">
      <c r="F74" s="77"/>
    </row>
    <row r="75" spans="6:6">
      <c r="F75" s="77"/>
    </row>
    <row r="76" spans="6:6">
      <c r="F76" s="77"/>
    </row>
    <row r="77" spans="6:6">
      <c r="F77" s="77"/>
    </row>
    <row r="78" spans="6:6">
      <c r="F78" s="77"/>
    </row>
    <row r="79" spans="6:6">
      <c r="F79" s="77"/>
    </row>
    <row r="80" spans="6:6">
      <c r="F80" s="77"/>
    </row>
    <row r="81" spans="6:6">
      <c r="F81" s="77"/>
    </row>
    <row r="82" spans="6:6">
      <c r="F82" s="77"/>
    </row>
    <row r="83" spans="6:6">
      <c r="F83" s="77"/>
    </row>
    <row r="84" spans="6:6">
      <c r="F84" s="77"/>
    </row>
    <row r="85" spans="6:6">
      <c r="F85" s="77"/>
    </row>
    <row r="86" spans="6:6">
      <c r="F86" s="77"/>
    </row>
    <row r="87" spans="6:6">
      <c r="F87" s="77"/>
    </row>
    <row r="88" spans="6:6">
      <c r="F88" s="77"/>
    </row>
    <row r="89" spans="6:6">
      <c r="F89" s="77"/>
    </row>
    <row r="90" spans="6:6">
      <c r="F90" s="77"/>
    </row>
    <row r="91" spans="6:6">
      <c r="F91" s="77"/>
    </row>
    <row r="92" spans="6:6">
      <c r="F92" s="77"/>
    </row>
    <row r="93" spans="6:6">
      <c r="F93" s="77"/>
    </row>
    <row r="94" spans="6:6">
      <c r="F94" s="77"/>
    </row>
    <row r="95" spans="6:6">
      <c r="F95" s="77"/>
    </row>
    <row r="96" spans="6:6">
      <c r="F96" s="77"/>
    </row>
    <row r="97" spans="6:6">
      <c r="F97" s="77"/>
    </row>
    <row r="98" spans="6:6">
      <c r="F98" s="77"/>
    </row>
    <row r="99" spans="6:6">
      <c r="F99" s="77"/>
    </row>
    <row r="100" spans="6:6">
      <c r="F100" s="77"/>
    </row>
    <row r="101" spans="6:6">
      <c r="F101" s="77"/>
    </row>
    <row r="102" spans="6:6">
      <c r="F102" s="77"/>
    </row>
    <row r="103" spans="6:6">
      <c r="F103" s="77"/>
    </row>
    <row r="104" spans="6:6">
      <c r="F104" s="77"/>
    </row>
    <row r="105" spans="6:6">
      <c r="F105" s="77"/>
    </row>
    <row r="106" spans="6:6">
      <c r="F106" s="77"/>
    </row>
    <row r="107" spans="6:6">
      <c r="F107" s="77"/>
    </row>
    <row r="108" spans="6:6">
      <c r="F108" s="77"/>
    </row>
  </sheetData>
  <phoneticPr fontId="18" type="noConversion"/>
  <conditionalFormatting sqref="A1:XFD1048576">
    <cfRule type="cellIs" dxfId="1" priority="1" stopIfTrue="1" operator="equal">
      <formula>0</formula>
    </cfRule>
  </conditionalFormatting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Y108"/>
  <sheetViews>
    <sheetView workbookViewId="0">
      <pane xSplit="1" ySplit="2" topLeftCell="B3" activePane="bottomRight" state="frozen"/>
      <selection activeCell="V28" sqref="V28"/>
      <selection pane="topRight" activeCell="V28" sqref="V28"/>
      <selection pane="bottomLeft" activeCell="V28" sqref="V28"/>
      <selection pane="bottomRight" activeCell="V28" sqref="V28"/>
    </sheetView>
  </sheetViews>
  <sheetFormatPr defaultRowHeight="12.75"/>
  <cols>
    <col min="1" max="1" width="34.5703125" style="94" customWidth="1"/>
    <col min="2" max="2" width="15.5703125" style="91" customWidth="1"/>
    <col min="3" max="3" width="14" style="130" customWidth="1"/>
    <col min="4" max="4" width="15" style="129" customWidth="1"/>
    <col min="5" max="5" width="16.140625" style="91" bestFit="1" customWidth="1"/>
    <col min="6" max="6" width="15.42578125" style="85" bestFit="1" customWidth="1"/>
    <col min="7" max="7" width="9.140625" style="120"/>
    <col min="8" max="9" width="9.140625" style="118"/>
    <col min="10" max="10" width="9.140625" style="120"/>
    <col min="11" max="12" width="9.140625" style="118"/>
    <col min="13" max="13" width="9.140625" style="120"/>
    <col min="14" max="15" width="9.140625" style="118"/>
    <col min="16" max="16" width="9.140625" style="120"/>
    <col min="17" max="25" width="9.140625" style="118"/>
    <col min="26" max="16384" width="9.140625" style="84"/>
  </cols>
  <sheetData>
    <row r="1" spans="1:25">
      <c r="A1" s="92"/>
      <c r="B1" s="84">
        <v>2006</v>
      </c>
      <c r="C1" s="118"/>
      <c r="D1" s="119"/>
      <c r="E1" s="84"/>
    </row>
    <row r="2" spans="1:25">
      <c r="A2" s="93"/>
      <c r="B2" s="86" t="s">
        <v>58</v>
      </c>
      <c r="C2" s="121" t="s">
        <v>61</v>
      </c>
      <c r="D2" s="122" t="s">
        <v>64</v>
      </c>
      <c r="E2" s="86" t="s">
        <v>67</v>
      </c>
      <c r="F2" s="87" t="s">
        <v>69</v>
      </c>
    </row>
    <row r="3" spans="1:25" s="125" customFormat="1">
      <c r="A3" s="128" t="s">
        <v>165</v>
      </c>
      <c r="B3" s="82"/>
      <c r="C3" s="79"/>
      <c r="D3" s="123"/>
      <c r="E3" s="79"/>
      <c r="F3" s="76"/>
      <c r="G3" s="124"/>
      <c r="J3" s="124"/>
      <c r="M3" s="124"/>
      <c r="P3" s="124"/>
    </row>
    <row r="4" spans="1:25" s="81" customFormat="1">
      <c r="A4" s="134" t="s">
        <v>168</v>
      </c>
      <c r="B4" s="135"/>
      <c r="C4" s="135"/>
      <c r="D4" s="135"/>
      <c r="E4" s="135"/>
      <c r="F4" s="135"/>
      <c r="G4" s="126"/>
      <c r="H4" s="127"/>
      <c r="I4" s="127"/>
      <c r="J4" s="126"/>
      <c r="K4" s="127"/>
      <c r="L4" s="127"/>
      <c r="M4" s="126"/>
      <c r="N4" s="127"/>
      <c r="O4" s="127"/>
      <c r="P4" s="126"/>
      <c r="Q4" s="127"/>
      <c r="R4" s="127"/>
      <c r="S4" s="127"/>
      <c r="T4" s="127"/>
      <c r="U4" s="127"/>
      <c r="V4" s="127"/>
      <c r="W4" s="127"/>
      <c r="X4" s="127"/>
      <c r="Y4" s="127"/>
    </row>
    <row r="5" spans="1:25" s="81" customFormat="1">
      <c r="A5" s="115" t="s">
        <v>71</v>
      </c>
      <c r="B5" s="136"/>
      <c r="C5" s="136"/>
      <c r="D5" s="136"/>
      <c r="E5" s="136"/>
      <c r="F5" s="136">
        <f t="shared" ref="F5:F10" si="0">SUM(B5:E5)</f>
        <v>0</v>
      </c>
      <c r="G5" s="126"/>
      <c r="H5" s="127"/>
      <c r="I5" s="127"/>
      <c r="J5" s="126"/>
      <c r="K5" s="127"/>
      <c r="L5" s="127"/>
      <c r="M5" s="126"/>
      <c r="N5" s="127"/>
      <c r="O5" s="127"/>
      <c r="P5" s="126"/>
      <c r="Q5" s="127"/>
      <c r="R5" s="127"/>
      <c r="S5" s="127"/>
      <c r="T5" s="127"/>
      <c r="U5" s="127"/>
      <c r="V5" s="127"/>
      <c r="W5" s="127"/>
      <c r="X5" s="127"/>
      <c r="Y5" s="127"/>
    </row>
    <row r="6" spans="1:25" s="81" customFormat="1">
      <c r="A6" s="115" t="s">
        <v>166</v>
      </c>
      <c r="B6" s="136"/>
      <c r="C6" s="136"/>
      <c r="D6" s="136"/>
      <c r="E6" s="136"/>
      <c r="F6" s="136">
        <f t="shared" si="0"/>
        <v>0</v>
      </c>
      <c r="G6" s="126"/>
      <c r="H6" s="127"/>
      <c r="I6" s="127"/>
      <c r="J6" s="126"/>
      <c r="K6" s="127"/>
      <c r="L6" s="127"/>
      <c r="M6" s="126"/>
      <c r="N6" s="127"/>
      <c r="O6" s="127"/>
      <c r="P6" s="126"/>
      <c r="Q6" s="127"/>
      <c r="R6" s="127"/>
      <c r="S6" s="127"/>
      <c r="T6" s="127"/>
      <c r="U6" s="127"/>
      <c r="V6" s="127"/>
      <c r="W6" s="127"/>
      <c r="X6" s="127"/>
      <c r="Y6" s="127"/>
    </row>
    <row r="7" spans="1:25" s="81" customFormat="1">
      <c r="A7" s="115" t="s">
        <v>72</v>
      </c>
      <c r="B7" s="136"/>
      <c r="C7" s="136"/>
      <c r="D7" s="136"/>
      <c r="E7" s="136"/>
      <c r="F7" s="136">
        <f t="shared" si="0"/>
        <v>0</v>
      </c>
      <c r="G7" s="126"/>
      <c r="H7" s="127"/>
      <c r="I7" s="127"/>
      <c r="J7" s="126"/>
      <c r="K7" s="127"/>
      <c r="L7" s="127"/>
      <c r="M7" s="126"/>
      <c r="N7" s="127"/>
      <c r="O7" s="127"/>
      <c r="P7" s="126"/>
      <c r="Q7" s="127"/>
      <c r="R7" s="127"/>
      <c r="S7" s="127"/>
      <c r="T7" s="127"/>
      <c r="U7" s="127"/>
      <c r="V7" s="127"/>
      <c r="W7" s="127"/>
      <c r="X7" s="127"/>
      <c r="Y7" s="127"/>
    </row>
    <row r="8" spans="1:25" s="81" customFormat="1">
      <c r="A8" s="115" t="s">
        <v>73</v>
      </c>
      <c r="B8" s="136"/>
      <c r="C8" s="136"/>
      <c r="D8" s="136"/>
      <c r="E8" s="137"/>
      <c r="F8" s="137">
        <f t="shared" si="0"/>
        <v>0</v>
      </c>
      <c r="G8" s="126"/>
      <c r="H8" s="127"/>
      <c r="I8" s="127"/>
      <c r="J8" s="126"/>
      <c r="K8" s="127"/>
      <c r="L8" s="127"/>
      <c r="M8" s="126"/>
      <c r="N8" s="127"/>
      <c r="O8" s="127"/>
      <c r="P8" s="126"/>
      <c r="Q8" s="127"/>
      <c r="R8" s="127"/>
      <c r="S8" s="127"/>
      <c r="T8" s="127"/>
      <c r="U8" s="127"/>
      <c r="V8" s="127"/>
      <c r="W8" s="127"/>
      <c r="X8" s="127"/>
      <c r="Y8" s="127"/>
    </row>
    <row r="9" spans="1:25" s="81" customFormat="1">
      <c r="A9" s="116" t="s">
        <v>56</v>
      </c>
      <c r="B9" s="117"/>
      <c r="C9" s="117"/>
      <c r="D9" s="117"/>
      <c r="E9" s="117"/>
      <c r="F9" s="117">
        <f t="shared" si="0"/>
        <v>0</v>
      </c>
      <c r="G9" s="126"/>
      <c r="H9" s="127"/>
      <c r="I9" s="127"/>
      <c r="J9" s="126"/>
      <c r="K9" s="127"/>
      <c r="L9" s="127"/>
      <c r="M9" s="126"/>
      <c r="N9" s="127"/>
      <c r="O9" s="127"/>
      <c r="P9" s="126"/>
      <c r="Q9" s="127"/>
      <c r="R9" s="127"/>
      <c r="S9" s="127"/>
      <c r="T9" s="127"/>
      <c r="U9" s="127"/>
      <c r="V9" s="127"/>
      <c r="W9" s="127"/>
      <c r="X9" s="127"/>
      <c r="Y9" s="127"/>
    </row>
    <row r="10" spans="1:25" s="81" customFormat="1">
      <c r="A10" s="138"/>
      <c r="B10" s="139"/>
      <c r="C10" s="139"/>
      <c r="D10" s="139"/>
      <c r="E10" s="139"/>
      <c r="F10" s="139">
        <f t="shared" si="0"/>
        <v>0</v>
      </c>
      <c r="G10" s="126"/>
      <c r="H10" s="127"/>
      <c r="I10" s="127"/>
      <c r="J10" s="126"/>
      <c r="K10" s="127"/>
      <c r="L10" s="127"/>
      <c r="M10" s="126"/>
      <c r="N10" s="127"/>
      <c r="O10" s="127"/>
      <c r="P10" s="126"/>
      <c r="Q10" s="127"/>
      <c r="R10" s="127"/>
      <c r="S10" s="127"/>
      <c r="T10" s="127"/>
      <c r="U10" s="127"/>
      <c r="V10" s="127"/>
      <c r="W10" s="127"/>
      <c r="X10" s="127"/>
      <c r="Y10" s="127"/>
    </row>
    <row r="11" spans="1:25" s="125" customFormat="1">
      <c r="A11" s="113" t="s">
        <v>167</v>
      </c>
      <c r="B11" s="139"/>
      <c r="C11" s="139"/>
      <c r="D11" s="139"/>
      <c r="E11" s="139"/>
      <c r="F11" s="139">
        <f>SUM(F7:F10)</f>
        <v>0</v>
      </c>
      <c r="G11" s="124"/>
      <c r="J11" s="124"/>
      <c r="M11" s="124"/>
      <c r="P11" s="124"/>
    </row>
    <row r="12" spans="1:25" s="81" customFormat="1">
      <c r="A12" s="113" t="s">
        <v>74</v>
      </c>
      <c r="B12" s="139"/>
      <c r="C12" s="139"/>
      <c r="D12" s="139"/>
      <c r="E12" s="139"/>
      <c r="F12" s="139"/>
      <c r="G12" s="126"/>
      <c r="H12" s="127"/>
      <c r="I12" s="127"/>
      <c r="J12" s="126"/>
      <c r="K12" s="127"/>
      <c r="L12" s="127"/>
      <c r="M12" s="126"/>
      <c r="N12" s="127"/>
      <c r="O12" s="127"/>
      <c r="P12" s="126"/>
      <c r="Q12" s="127"/>
      <c r="R12" s="127"/>
      <c r="S12" s="127"/>
      <c r="T12" s="127"/>
      <c r="U12" s="127"/>
      <c r="V12" s="127"/>
      <c r="W12" s="127"/>
      <c r="X12" s="127"/>
      <c r="Y12" s="127"/>
    </row>
    <row r="13" spans="1:25" s="81" customFormat="1">
      <c r="A13" s="114" t="s">
        <v>144</v>
      </c>
      <c r="B13" s="140"/>
      <c r="C13" s="140"/>
      <c r="D13" s="140"/>
      <c r="E13" s="140"/>
      <c r="F13" s="140"/>
      <c r="G13" s="126"/>
      <c r="H13" s="127"/>
      <c r="I13" s="127"/>
      <c r="J13" s="126"/>
      <c r="K13" s="127"/>
      <c r="L13" s="127"/>
      <c r="M13" s="126"/>
      <c r="N13" s="127"/>
      <c r="O13" s="127"/>
      <c r="P13" s="126"/>
      <c r="Q13" s="127"/>
      <c r="R13" s="127"/>
      <c r="S13" s="127"/>
      <c r="T13" s="127"/>
      <c r="U13" s="127"/>
      <c r="V13" s="127"/>
      <c r="W13" s="127"/>
      <c r="X13" s="127"/>
      <c r="Y13" s="127"/>
    </row>
    <row r="14" spans="1:25" s="125" customFormat="1">
      <c r="A14" s="115" t="s">
        <v>75</v>
      </c>
      <c r="B14" s="136"/>
      <c r="C14" s="136"/>
      <c r="D14" s="136"/>
      <c r="E14" s="136"/>
      <c r="F14" s="136"/>
      <c r="G14" s="124"/>
      <c r="J14" s="124"/>
      <c r="M14" s="124"/>
      <c r="P14" s="124"/>
    </row>
    <row r="15" spans="1:25" s="81" customFormat="1">
      <c r="A15" s="115" t="s">
        <v>76</v>
      </c>
      <c r="B15" s="136"/>
      <c r="C15" s="136"/>
      <c r="D15" s="136"/>
      <c r="E15" s="141"/>
      <c r="F15" s="141">
        <f t="shared" ref="F15:F24" si="1">SUM(B15:E15)</f>
        <v>0</v>
      </c>
      <c r="G15" s="126"/>
      <c r="H15" s="127"/>
      <c r="I15" s="127"/>
      <c r="J15" s="126"/>
      <c r="K15" s="127"/>
      <c r="L15" s="127"/>
      <c r="M15" s="126"/>
      <c r="N15" s="127"/>
      <c r="O15" s="127"/>
      <c r="P15" s="126"/>
      <c r="Q15" s="127"/>
      <c r="R15" s="127"/>
      <c r="S15" s="127"/>
      <c r="T15" s="127"/>
      <c r="U15" s="127"/>
      <c r="V15" s="127"/>
      <c r="W15" s="127"/>
      <c r="X15" s="127"/>
      <c r="Y15" s="127"/>
    </row>
    <row r="16" spans="1:25" s="81" customFormat="1">
      <c r="A16" s="115" t="s">
        <v>154</v>
      </c>
      <c r="B16" s="136"/>
      <c r="C16" s="136"/>
      <c r="D16" s="136"/>
      <c r="E16" s="141"/>
      <c r="F16" s="141">
        <f t="shared" si="1"/>
        <v>0</v>
      </c>
      <c r="G16" s="126"/>
      <c r="H16" s="127"/>
      <c r="I16" s="127"/>
      <c r="J16" s="126"/>
      <c r="K16" s="127"/>
      <c r="L16" s="127"/>
      <c r="M16" s="126"/>
      <c r="N16" s="127"/>
      <c r="O16" s="127"/>
      <c r="P16" s="126"/>
      <c r="Q16" s="127"/>
      <c r="R16" s="127"/>
      <c r="S16" s="127"/>
      <c r="T16" s="127"/>
      <c r="U16" s="127"/>
      <c r="V16" s="127"/>
      <c r="W16" s="127"/>
      <c r="X16" s="127"/>
      <c r="Y16" s="127"/>
    </row>
    <row r="17" spans="1:25" s="81" customFormat="1">
      <c r="A17" s="115" t="s">
        <v>77</v>
      </c>
      <c r="B17" s="136"/>
      <c r="C17" s="136"/>
      <c r="D17" s="136"/>
      <c r="E17" s="136"/>
      <c r="F17" s="136">
        <f t="shared" si="1"/>
        <v>0</v>
      </c>
      <c r="G17" s="126"/>
      <c r="H17" s="127"/>
      <c r="I17" s="127"/>
      <c r="J17" s="126"/>
      <c r="K17" s="127"/>
      <c r="L17" s="127"/>
      <c r="M17" s="126"/>
      <c r="N17" s="127"/>
      <c r="O17" s="127"/>
      <c r="P17" s="126"/>
      <c r="Q17" s="127"/>
      <c r="R17" s="127"/>
      <c r="S17" s="127"/>
      <c r="T17" s="127"/>
      <c r="U17" s="127"/>
      <c r="V17" s="127"/>
      <c r="W17" s="127"/>
      <c r="X17" s="127"/>
      <c r="Y17" s="127"/>
    </row>
    <row r="18" spans="1:25" s="81" customFormat="1">
      <c r="A18" s="115" t="s">
        <v>78</v>
      </c>
      <c r="B18" s="136"/>
      <c r="C18" s="136"/>
      <c r="D18" s="136"/>
      <c r="E18" s="136"/>
      <c r="F18" s="136">
        <f t="shared" si="1"/>
        <v>0</v>
      </c>
      <c r="G18" s="126"/>
      <c r="H18" s="127"/>
      <c r="I18" s="127"/>
      <c r="J18" s="126"/>
      <c r="K18" s="127"/>
      <c r="L18" s="127"/>
      <c r="M18" s="126"/>
      <c r="N18" s="127"/>
      <c r="O18" s="127"/>
      <c r="P18" s="126"/>
      <c r="Q18" s="127"/>
      <c r="R18" s="127"/>
      <c r="S18" s="127"/>
      <c r="T18" s="127"/>
      <c r="U18" s="127"/>
      <c r="V18" s="127"/>
      <c r="W18" s="127"/>
      <c r="X18" s="127"/>
      <c r="Y18" s="127"/>
    </row>
    <row r="19" spans="1:25" s="81" customFormat="1">
      <c r="A19" s="115" t="s">
        <v>79</v>
      </c>
      <c r="B19" s="136"/>
      <c r="C19" s="136"/>
      <c r="D19" s="136"/>
      <c r="E19" s="136"/>
      <c r="F19" s="136">
        <f t="shared" si="1"/>
        <v>0</v>
      </c>
      <c r="G19" s="126"/>
      <c r="H19" s="127"/>
      <c r="I19" s="127"/>
      <c r="J19" s="126"/>
      <c r="K19" s="127"/>
      <c r="L19" s="127"/>
      <c r="M19" s="126"/>
      <c r="N19" s="127"/>
      <c r="O19" s="127"/>
      <c r="P19" s="126"/>
      <c r="Q19" s="127"/>
      <c r="R19" s="127"/>
      <c r="S19" s="127"/>
      <c r="T19" s="127"/>
      <c r="U19" s="127"/>
      <c r="V19" s="127"/>
      <c r="W19" s="127"/>
      <c r="X19" s="127"/>
      <c r="Y19" s="127"/>
    </row>
    <row r="20" spans="1:25" s="81" customFormat="1" ht="25.5">
      <c r="A20" s="115" t="s">
        <v>80</v>
      </c>
      <c r="B20" s="136"/>
      <c r="C20" s="136"/>
      <c r="D20" s="136"/>
      <c r="E20" s="136"/>
      <c r="F20" s="136">
        <f t="shared" si="1"/>
        <v>0</v>
      </c>
      <c r="G20" s="126"/>
      <c r="H20" s="127"/>
      <c r="I20" s="127"/>
      <c r="J20" s="126"/>
      <c r="K20" s="127"/>
      <c r="L20" s="127"/>
      <c r="M20" s="126"/>
      <c r="N20" s="127"/>
      <c r="O20" s="127"/>
      <c r="P20" s="126"/>
      <c r="Q20" s="127"/>
      <c r="R20" s="127"/>
      <c r="S20" s="127"/>
      <c r="T20" s="127"/>
      <c r="U20" s="127"/>
      <c r="V20" s="127"/>
      <c r="W20" s="127"/>
      <c r="X20" s="127"/>
      <c r="Y20" s="127"/>
    </row>
    <row r="21" spans="1:25" s="81" customFormat="1">
      <c r="A21" s="115" t="s">
        <v>81</v>
      </c>
      <c r="B21" s="136"/>
      <c r="C21" s="136"/>
      <c r="D21" s="136"/>
      <c r="E21" s="136"/>
      <c r="F21" s="136">
        <f t="shared" si="1"/>
        <v>0</v>
      </c>
      <c r="G21" s="126"/>
      <c r="H21" s="127"/>
      <c r="I21" s="127"/>
      <c r="J21" s="126"/>
      <c r="K21" s="127"/>
      <c r="L21" s="127"/>
      <c r="M21" s="126"/>
      <c r="N21" s="127"/>
      <c r="O21" s="127"/>
      <c r="P21" s="126"/>
      <c r="Q21" s="127"/>
      <c r="R21" s="127"/>
      <c r="S21" s="127"/>
      <c r="T21" s="127"/>
      <c r="U21" s="127"/>
      <c r="V21" s="127"/>
      <c r="W21" s="127"/>
      <c r="X21" s="127"/>
      <c r="Y21" s="127"/>
    </row>
    <row r="22" spans="1:25" s="81" customFormat="1">
      <c r="A22" s="116" t="s">
        <v>56</v>
      </c>
      <c r="B22" s="117"/>
      <c r="C22" s="117"/>
      <c r="D22" s="117"/>
      <c r="E22" s="117"/>
      <c r="F22" s="117">
        <f t="shared" si="1"/>
        <v>0</v>
      </c>
      <c r="G22" s="126"/>
      <c r="H22" s="127"/>
      <c r="I22" s="127"/>
      <c r="J22" s="126"/>
      <c r="K22" s="127"/>
      <c r="L22" s="127"/>
      <c r="M22" s="126"/>
      <c r="N22" s="127"/>
      <c r="O22" s="127"/>
      <c r="P22" s="126"/>
      <c r="Q22" s="127"/>
      <c r="R22" s="127"/>
      <c r="S22" s="127"/>
      <c r="T22" s="127"/>
      <c r="U22" s="127"/>
      <c r="V22" s="127"/>
      <c r="W22" s="127"/>
      <c r="X22" s="127"/>
      <c r="Y22" s="127"/>
    </row>
    <row r="23" spans="1:25" s="81" customFormat="1">
      <c r="A23" s="138"/>
      <c r="B23" s="139"/>
      <c r="C23" s="139"/>
      <c r="D23" s="139"/>
      <c r="E23" s="139"/>
      <c r="F23" s="139">
        <f t="shared" si="1"/>
        <v>0</v>
      </c>
      <c r="G23" s="126"/>
      <c r="H23" s="127"/>
      <c r="I23" s="127"/>
      <c r="J23" s="126"/>
      <c r="K23" s="127"/>
      <c r="L23" s="127"/>
      <c r="M23" s="126"/>
      <c r="N23" s="127"/>
      <c r="O23" s="127"/>
      <c r="P23" s="126"/>
      <c r="Q23" s="127"/>
      <c r="R23" s="127"/>
      <c r="S23" s="127"/>
      <c r="T23" s="127"/>
      <c r="U23" s="127"/>
      <c r="V23" s="127"/>
      <c r="W23" s="127"/>
      <c r="X23" s="127"/>
      <c r="Y23" s="127"/>
    </row>
    <row r="24" spans="1:25" s="81" customFormat="1">
      <c r="A24" s="113" t="s">
        <v>145</v>
      </c>
      <c r="B24" s="139"/>
      <c r="C24" s="139"/>
      <c r="D24" s="139"/>
      <c r="E24" s="139"/>
      <c r="F24" s="139">
        <f t="shared" si="1"/>
        <v>0</v>
      </c>
      <c r="G24" s="126"/>
      <c r="H24" s="127"/>
      <c r="I24" s="127"/>
      <c r="J24" s="126"/>
      <c r="K24" s="127"/>
      <c r="L24" s="127"/>
      <c r="M24" s="126"/>
      <c r="N24" s="127"/>
      <c r="O24" s="127"/>
      <c r="P24" s="126"/>
      <c r="Q24" s="127"/>
      <c r="R24" s="127"/>
      <c r="S24" s="127"/>
      <c r="T24" s="127"/>
      <c r="U24" s="127"/>
      <c r="V24" s="127"/>
      <c r="W24" s="127"/>
      <c r="X24" s="127"/>
      <c r="Y24" s="127"/>
    </row>
    <row r="25" spans="1:25" s="125" customFormat="1">
      <c r="A25" s="114" t="s">
        <v>146</v>
      </c>
      <c r="B25" s="142"/>
      <c r="C25" s="142"/>
      <c r="D25" s="142"/>
      <c r="E25" s="142"/>
      <c r="F25" s="142">
        <f>SUM(F15:F24)</f>
        <v>0</v>
      </c>
      <c r="G25" s="124"/>
      <c r="J25" s="124"/>
      <c r="M25" s="124"/>
      <c r="P25" s="124"/>
    </row>
    <row r="26" spans="1:25" s="81" customFormat="1">
      <c r="A26" s="115" t="s">
        <v>147</v>
      </c>
      <c r="B26" s="136"/>
      <c r="C26" s="136"/>
      <c r="D26" s="136"/>
      <c r="E26" s="136"/>
      <c r="F26" s="136"/>
      <c r="G26" s="126"/>
      <c r="H26" s="127"/>
      <c r="I26" s="127"/>
      <c r="J26" s="126"/>
      <c r="K26" s="127"/>
      <c r="L26" s="127"/>
      <c r="M26" s="126"/>
      <c r="N26" s="127"/>
      <c r="O26" s="127"/>
      <c r="P26" s="126"/>
      <c r="Q26" s="127"/>
      <c r="R26" s="127"/>
      <c r="S26" s="127"/>
      <c r="T26" s="127"/>
      <c r="U26" s="127"/>
      <c r="V26" s="127"/>
      <c r="W26" s="127"/>
      <c r="X26" s="127"/>
      <c r="Y26" s="127"/>
    </row>
    <row r="27" spans="1:25" s="125" customFormat="1">
      <c r="A27" s="115" t="s">
        <v>82</v>
      </c>
      <c r="B27" s="136"/>
      <c r="C27" s="136"/>
      <c r="D27" s="136"/>
      <c r="E27" s="136"/>
      <c r="F27" s="136"/>
      <c r="G27" s="124"/>
      <c r="J27" s="124"/>
      <c r="M27" s="124"/>
      <c r="P27" s="124"/>
    </row>
    <row r="28" spans="1:25" s="81" customFormat="1">
      <c r="A28" s="115" t="s">
        <v>148</v>
      </c>
      <c r="B28" s="136"/>
      <c r="C28" s="136"/>
      <c r="D28" s="136"/>
      <c r="E28" s="136"/>
      <c r="F28" s="136">
        <f t="shared" ref="F28:F34" si="2">SUM(B28:E28)</f>
        <v>0</v>
      </c>
      <c r="G28" s="126"/>
      <c r="H28" s="127"/>
      <c r="I28" s="127"/>
      <c r="J28" s="126"/>
      <c r="K28" s="127"/>
      <c r="L28" s="127"/>
      <c r="M28" s="126"/>
      <c r="N28" s="127"/>
      <c r="O28" s="127"/>
      <c r="P28" s="126"/>
      <c r="Q28" s="127"/>
      <c r="R28" s="127"/>
      <c r="S28" s="127"/>
      <c r="T28" s="127"/>
      <c r="U28" s="127"/>
      <c r="V28" s="127"/>
      <c r="W28" s="127"/>
      <c r="X28" s="127"/>
      <c r="Y28" s="127"/>
    </row>
    <row r="29" spans="1:25" s="81" customFormat="1">
      <c r="A29" s="115" t="s">
        <v>149</v>
      </c>
      <c r="B29" s="136"/>
      <c r="C29" s="136"/>
      <c r="D29" s="136"/>
      <c r="E29" s="136"/>
      <c r="F29" s="136">
        <f t="shared" si="2"/>
        <v>0</v>
      </c>
      <c r="G29" s="126"/>
      <c r="H29" s="127"/>
      <c r="I29" s="127"/>
      <c r="J29" s="126"/>
      <c r="K29" s="127"/>
      <c r="L29" s="127"/>
      <c r="M29" s="126"/>
      <c r="N29" s="127"/>
      <c r="O29" s="127"/>
      <c r="P29" s="126"/>
      <c r="Q29" s="127"/>
      <c r="R29" s="127"/>
      <c r="S29" s="127"/>
      <c r="T29" s="127"/>
      <c r="U29" s="127"/>
      <c r="V29" s="127"/>
      <c r="W29" s="127"/>
      <c r="X29" s="127"/>
      <c r="Y29" s="127"/>
    </row>
    <row r="30" spans="1:25" s="81" customFormat="1">
      <c r="A30" s="115" t="s">
        <v>83</v>
      </c>
      <c r="B30" s="136"/>
      <c r="C30" s="136"/>
      <c r="D30" s="136"/>
      <c r="E30" s="136"/>
      <c r="F30" s="136">
        <f t="shared" si="2"/>
        <v>0</v>
      </c>
      <c r="G30" s="126"/>
      <c r="H30" s="127"/>
      <c r="I30" s="127"/>
      <c r="J30" s="126"/>
      <c r="K30" s="127"/>
      <c r="L30" s="127"/>
      <c r="M30" s="126"/>
      <c r="N30" s="127"/>
      <c r="O30" s="127"/>
      <c r="P30" s="126"/>
      <c r="Q30" s="127"/>
      <c r="R30" s="127"/>
      <c r="S30" s="127"/>
      <c r="T30" s="127"/>
      <c r="U30" s="127"/>
      <c r="V30" s="127"/>
      <c r="W30" s="127"/>
      <c r="X30" s="127"/>
      <c r="Y30" s="127"/>
    </row>
    <row r="31" spans="1:25" s="81" customFormat="1">
      <c r="A31" s="115" t="s">
        <v>84</v>
      </c>
      <c r="B31" s="136"/>
      <c r="C31" s="136"/>
      <c r="D31" s="136"/>
      <c r="E31" s="136"/>
      <c r="F31" s="136">
        <f t="shared" si="2"/>
        <v>0</v>
      </c>
      <c r="G31" s="126"/>
      <c r="H31" s="127"/>
      <c r="I31" s="127"/>
      <c r="J31" s="126"/>
      <c r="K31" s="127"/>
      <c r="L31" s="127"/>
      <c r="M31" s="126"/>
      <c r="N31" s="127"/>
      <c r="O31" s="127"/>
      <c r="P31" s="126"/>
      <c r="Q31" s="127"/>
      <c r="R31" s="127"/>
      <c r="S31" s="127"/>
      <c r="T31" s="127"/>
      <c r="U31" s="127"/>
      <c r="V31" s="127"/>
      <c r="W31" s="127"/>
      <c r="X31" s="127"/>
      <c r="Y31" s="127"/>
    </row>
    <row r="32" spans="1:25" s="81" customFormat="1">
      <c r="A32" s="116" t="s">
        <v>56</v>
      </c>
      <c r="B32" s="117"/>
      <c r="C32" s="117"/>
      <c r="D32" s="117"/>
      <c r="E32" s="117"/>
      <c r="F32" s="117">
        <f t="shared" si="2"/>
        <v>0</v>
      </c>
      <c r="G32" s="126"/>
      <c r="H32" s="127"/>
      <c r="I32" s="127"/>
      <c r="J32" s="126"/>
      <c r="K32" s="127"/>
      <c r="L32" s="127"/>
      <c r="M32" s="126"/>
      <c r="N32" s="127"/>
      <c r="O32" s="127"/>
      <c r="P32" s="126"/>
      <c r="Q32" s="127"/>
      <c r="R32" s="127"/>
      <c r="S32" s="127"/>
      <c r="T32" s="127"/>
      <c r="U32" s="127"/>
      <c r="V32" s="127"/>
      <c r="W32" s="127"/>
      <c r="X32" s="127"/>
      <c r="Y32" s="127"/>
    </row>
    <row r="33" spans="1:25" s="81" customFormat="1">
      <c r="A33" s="138"/>
      <c r="B33" s="139"/>
      <c r="C33" s="139"/>
      <c r="D33" s="139"/>
      <c r="E33" s="139"/>
      <c r="F33" s="139">
        <f t="shared" si="2"/>
        <v>0</v>
      </c>
      <c r="G33" s="126"/>
      <c r="H33" s="127"/>
      <c r="I33" s="127"/>
      <c r="J33" s="126"/>
      <c r="K33" s="127"/>
      <c r="L33" s="127"/>
      <c r="M33" s="126"/>
      <c r="N33" s="127"/>
      <c r="O33" s="127"/>
      <c r="P33" s="126"/>
      <c r="Q33" s="127"/>
      <c r="R33" s="127"/>
      <c r="S33" s="127"/>
      <c r="T33" s="127"/>
      <c r="U33" s="127"/>
      <c r="V33" s="127"/>
      <c r="W33" s="127"/>
      <c r="X33" s="127"/>
      <c r="Y33" s="127"/>
    </row>
    <row r="34" spans="1:25" s="81" customFormat="1">
      <c r="A34" s="143" t="s">
        <v>86</v>
      </c>
      <c r="B34" s="144"/>
      <c r="C34" s="144"/>
      <c r="D34" s="144"/>
      <c r="E34" s="144"/>
      <c r="F34" s="144">
        <f t="shared" si="2"/>
        <v>0</v>
      </c>
      <c r="G34" s="126"/>
      <c r="H34" s="127"/>
      <c r="I34" s="127"/>
      <c r="J34" s="126"/>
      <c r="K34" s="127"/>
      <c r="L34" s="127"/>
      <c r="M34" s="126"/>
      <c r="N34" s="127"/>
      <c r="O34" s="127"/>
      <c r="P34" s="126"/>
      <c r="Q34" s="127"/>
      <c r="R34" s="127"/>
      <c r="S34" s="127"/>
      <c r="T34" s="127"/>
      <c r="U34" s="127"/>
      <c r="V34" s="127"/>
      <c r="W34" s="127"/>
      <c r="X34" s="127"/>
      <c r="Y34" s="127"/>
    </row>
    <row r="35" spans="1:25" s="125" customFormat="1">
      <c r="A35" s="138"/>
      <c r="B35" s="139"/>
      <c r="C35" s="139"/>
      <c r="D35" s="139"/>
      <c r="E35" s="139"/>
      <c r="F35" s="139">
        <f>SUM(F28:F34)</f>
        <v>0</v>
      </c>
      <c r="G35" s="124"/>
      <c r="J35" s="124"/>
      <c r="M35" s="124"/>
      <c r="P35" s="124"/>
    </row>
    <row r="36" spans="1:25" s="81" customFormat="1">
      <c r="A36" s="128" t="s">
        <v>29</v>
      </c>
      <c r="B36" s="145"/>
      <c r="C36" s="145"/>
      <c r="D36" s="145"/>
      <c r="E36" s="145"/>
      <c r="F36" s="145"/>
      <c r="G36" s="126"/>
      <c r="H36" s="127"/>
      <c r="I36" s="127"/>
      <c r="J36" s="126"/>
      <c r="K36" s="127"/>
      <c r="L36" s="127"/>
      <c r="M36" s="126"/>
      <c r="N36" s="127"/>
      <c r="O36" s="127"/>
      <c r="P36" s="126"/>
      <c r="Q36" s="127"/>
      <c r="R36" s="127"/>
      <c r="S36" s="127"/>
      <c r="T36" s="127"/>
      <c r="U36" s="127"/>
      <c r="V36" s="127"/>
      <c r="W36" s="127"/>
      <c r="X36" s="127"/>
      <c r="Y36" s="127"/>
    </row>
    <row r="37" spans="1:25" s="125" customFormat="1">
      <c r="A37" s="146" t="s">
        <v>87</v>
      </c>
      <c r="B37" s="147"/>
      <c r="C37" s="136"/>
      <c r="D37" s="136"/>
      <c r="E37" s="136"/>
      <c r="F37" s="136"/>
      <c r="G37" s="124"/>
      <c r="J37" s="124"/>
      <c r="M37" s="124"/>
      <c r="P37" s="124"/>
    </row>
    <row r="38" spans="1:25" s="81" customFormat="1">
      <c r="A38" s="116" t="s">
        <v>56</v>
      </c>
      <c r="B38" s="117"/>
      <c r="C38" s="117"/>
      <c r="D38" s="117"/>
      <c r="E38" s="117"/>
      <c r="F38" s="117">
        <f>SUM(B38:E38)</f>
        <v>0</v>
      </c>
      <c r="G38" s="126"/>
      <c r="H38" s="127"/>
      <c r="I38" s="127"/>
      <c r="J38" s="126"/>
      <c r="K38" s="127"/>
      <c r="L38" s="127"/>
      <c r="M38" s="126"/>
      <c r="N38" s="127"/>
      <c r="O38" s="127"/>
      <c r="P38" s="126"/>
      <c r="Q38" s="127"/>
      <c r="R38" s="127"/>
      <c r="S38" s="127"/>
      <c r="T38" s="127"/>
      <c r="U38" s="127"/>
      <c r="V38" s="127"/>
      <c r="W38" s="127"/>
      <c r="X38" s="127"/>
      <c r="Y38" s="127"/>
    </row>
    <row r="39" spans="1:25" s="125" customFormat="1">
      <c r="A39" s="138"/>
      <c r="B39" s="139"/>
      <c r="C39" s="139"/>
      <c r="D39" s="139"/>
      <c r="E39" s="139"/>
      <c r="F39" s="139">
        <f>SUM(B39:E39)</f>
        <v>0</v>
      </c>
      <c r="G39" s="124"/>
      <c r="J39" s="124"/>
      <c r="M39" s="124"/>
      <c r="P39" s="124"/>
    </row>
    <row r="40" spans="1:25" s="125" customFormat="1">
      <c r="A40" s="143" t="s">
        <v>88</v>
      </c>
      <c r="B40" s="144"/>
      <c r="C40" s="144"/>
      <c r="D40" s="144"/>
      <c r="E40" s="144"/>
      <c r="F40" s="144">
        <f>SUM(B40:E40)</f>
        <v>0</v>
      </c>
      <c r="G40" s="124"/>
      <c r="J40" s="124"/>
      <c r="M40" s="124"/>
      <c r="P40" s="124"/>
    </row>
    <row r="41" spans="1:25" s="127" customFormat="1">
      <c r="A41" s="138"/>
      <c r="B41" s="139"/>
      <c r="C41" s="139"/>
      <c r="D41" s="139"/>
      <c r="E41" s="139"/>
      <c r="F41" s="139"/>
      <c r="G41" s="126"/>
      <c r="J41" s="126"/>
      <c r="M41" s="126"/>
      <c r="P41" s="126"/>
    </row>
    <row r="42" spans="1:25" s="125" customFormat="1">
      <c r="A42" s="113" t="s">
        <v>89</v>
      </c>
      <c r="B42" s="139"/>
      <c r="C42" s="139"/>
      <c r="D42" s="139"/>
      <c r="E42" s="139"/>
      <c r="F42" s="139">
        <f>F11-F40</f>
        <v>0</v>
      </c>
      <c r="G42" s="124"/>
      <c r="J42" s="124"/>
      <c r="M42" s="124"/>
      <c r="P42" s="124"/>
    </row>
    <row r="43" spans="1:25" s="81" customFormat="1">
      <c r="A43" s="115" t="s">
        <v>155</v>
      </c>
      <c r="B43" s="136"/>
      <c r="C43" s="136"/>
      <c r="D43" s="136"/>
      <c r="E43" s="136"/>
      <c r="F43" s="136"/>
      <c r="G43" s="126"/>
      <c r="H43" s="127"/>
      <c r="I43" s="127"/>
      <c r="J43" s="126"/>
      <c r="K43" s="127"/>
      <c r="L43" s="127"/>
      <c r="M43" s="126"/>
      <c r="N43" s="127"/>
      <c r="O43" s="127"/>
      <c r="P43" s="126"/>
      <c r="Q43" s="127"/>
      <c r="R43" s="127"/>
      <c r="S43" s="127"/>
      <c r="T43" s="127"/>
      <c r="U43" s="127"/>
      <c r="V43" s="127"/>
      <c r="W43" s="127"/>
      <c r="X43" s="127"/>
      <c r="Y43" s="127"/>
    </row>
    <row r="44" spans="1:25" s="125" customFormat="1">
      <c r="A44" s="115" t="s">
        <v>85</v>
      </c>
      <c r="B44" s="136"/>
      <c r="C44" s="136"/>
      <c r="D44" s="136"/>
      <c r="E44" s="136"/>
      <c r="F44" s="136"/>
      <c r="G44" s="124"/>
      <c r="J44" s="124"/>
      <c r="M44" s="124"/>
      <c r="P44" s="124"/>
    </row>
    <row r="45" spans="1:25" s="81" customFormat="1">
      <c r="A45" s="116" t="s">
        <v>56</v>
      </c>
      <c r="B45" s="117"/>
      <c r="C45" s="117"/>
      <c r="D45" s="117"/>
      <c r="E45" s="117"/>
      <c r="F45" s="117"/>
      <c r="G45" s="126"/>
      <c r="H45" s="127"/>
      <c r="I45" s="127"/>
      <c r="J45" s="126"/>
      <c r="K45" s="127"/>
      <c r="L45" s="127"/>
      <c r="M45" s="126"/>
      <c r="N45" s="127"/>
      <c r="O45" s="127"/>
      <c r="P45" s="126"/>
      <c r="Q45" s="127"/>
      <c r="R45" s="127"/>
      <c r="S45" s="127"/>
      <c r="T45" s="127"/>
      <c r="U45" s="127"/>
      <c r="V45" s="127"/>
      <c r="W45" s="127"/>
      <c r="X45" s="127"/>
      <c r="Y45" s="127"/>
    </row>
    <row r="46" spans="1:25" s="81" customFormat="1">
      <c r="A46" s="138"/>
      <c r="B46" s="139"/>
      <c r="C46" s="139"/>
      <c r="D46" s="139"/>
      <c r="E46" s="139"/>
      <c r="F46" s="139"/>
      <c r="G46" s="126"/>
      <c r="H46" s="127"/>
      <c r="I46" s="127"/>
      <c r="J46" s="126"/>
      <c r="K46" s="127"/>
      <c r="L46" s="127"/>
      <c r="M46" s="126"/>
      <c r="N46" s="127"/>
      <c r="O46" s="127"/>
      <c r="P46" s="126"/>
      <c r="Q46" s="127"/>
      <c r="R46" s="127"/>
      <c r="S46" s="127"/>
      <c r="T46" s="127"/>
      <c r="U46" s="127"/>
      <c r="V46" s="127"/>
      <c r="W46" s="127"/>
      <c r="X46" s="127"/>
      <c r="Y46" s="127"/>
    </row>
    <row r="47" spans="1:25" s="125" customFormat="1">
      <c r="A47" s="143" t="s">
        <v>90</v>
      </c>
      <c r="B47" s="144"/>
      <c r="C47" s="144"/>
      <c r="D47" s="144"/>
      <c r="E47" s="144"/>
      <c r="F47" s="144">
        <f>SUM(B47:E47)</f>
        <v>0</v>
      </c>
      <c r="G47" s="124"/>
      <c r="J47" s="124"/>
      <c r="M47" s="124"/>
      <c r="P47" s="124"/>
    </row>
    <row r="48" spans="1:25">
      <c r="B48" s="89"/>
      <c r="C48" s="88"/>
      <c r="E48" s="89"/>
    </row>
    <row r="49" spans="2:6">
      <c r="B49" s="89"/>
      <c r="C49" s="88"/>
      <c r="E49" s="89"/>
      <c r="F49" s="90"/>
    </row>
    <row r="50" spans="2:6">
      <c r="B50" s="89"/>
      <c r="C50" s="88"/>
      <c r="E50" s="89"/>
    </row>
    <row r="51" spans="2:6">
      <c r="B51" s="89"/>
      <c r="C51" s="88"/>
      <c r="E51" s="89"/>
    </row>
    <row r="52" spans="2:6">
      <c r="B52" s="89"/>
      <c r="C52" s="88"/>
      <c r="E52" s="89"/>
    </row>
    <row r="53" spans="2:6">
      <c r="B53" s="89"/>
      <c r="C53" s="88"/>
      <c r="E53" s="89"/>
    </row>
    <row r="54" spans="2:6">
      <c r="B54" s="89"/>
      <c r="C54" s="88"/>
      <c r="E54" s="89"/>
    </row>
    <row r="55" spans="2:6">
      <c r="B55" s="89"/>
      <c r="C55" s="88"/>
      <c r="E55" s="89"/>
    </row>
    <row r="56" spans="2:6">
      <c r="B56" s="89"/>
      <c r="C56" s="88"/>
      <c r="E56" s="89"/>
    </row>
    <row r="57" spans="2:6">
      <c r="B57" s="89"/>
      <c r="C57" s="88"/>
      <c r="E57" s="89"/>
    </row>
    <row r="58" spans="2:6">
      <c r="B58" s="89"/>
      <c r="C58" s="88"/>
      <c r="E58" s="89"/>
    </row>
    <row r="59" spans="2:6">
      <c r="B59" s="89"/>
      <c r="C59" s="88"/>
      <c r="E59" s="89"/>
    </row>
    <row r="60" spans="2:6">
      <c r="B60" s="89"/>
      <c r="C60" s="88"/>
      <c r="E60" s="89"/>
    </row>
    <row r="61" spans="2:6">
      <c r="B61" s="89"/>
      <c r="C61" s="88"/>
      <c r="E61" s="89"/>
    </row>
    <row r="62" spans="2:6">
      <c r="B62" s="89"/>
      <c r="C62" s="88"/>
      <c r="E62" s="89"/>
    </row>
    <row r="63" spans="2:6">
      <c r="B63" s="89"/>
      <c r="C63" s="88"/>
      <c r="E63" s="89"/>
    </row>
    <row r="64" spans="2:6">
      <c r="B64" s="89"/>
      <c r="C64" s="88"/>
      <c r="E64" s="89"/>
    </row>
    <row r="65" spans="2:5">
      <c r="B65" s="89"/>
      <c r="C65" s="88"/>
      <c r="E65" s="89"/>
    </row>
    <row r="66" spans="2:5">
      <c r="B66" s="89"/>
      <c r="C66" s="88"/>
      <c r="E66" s="89"/>
    </row>
    <row r="67" spans="2:5">
      <c r="B67" s="89"/>
      <c r="C67" s="88"/>
      <c r="E67" s="89"/>
    </row>
    <row r="68" spans="2:5">
      <c r="B68" s="89"/>
      <c r="C68" s="88"/>
      <c r="E68" s="89"/>
    </row>
    <row r="69" spans="2:5">
      <c r="B69" s="89"/>
      <c r="C69" s="88"/>
      <c r="E69" s="89"/>
    </row>
    <row r="70" spans="2:5">
      <c r="B70" s="89"/>
      <c r="C70" s="88"/>
      <c r="E70" s="89"/>
    </row>
    <row r="71" spans="2:5">
      <c r="B71" s="89"/>
      <c r="C71" s="88"/>
      <c r="E71" s="89"/>
    </row>
    <row r="72" spans="2:5">
      <c r="B72" s="89"/>
      <c r="C72" s="88"/>
      <c r="E72" s="89"/>
    </row>
    <row r="73" spans="2:5">
      <c r="B73" s="89"/>
      <c r="C73" s="88"/>
      <c r="E73" s="89"/>
    </row>
    <row r="74" spans="2:5">
      <c r="B74" s="89"/>
      <c r="C74" s="88"/>
      <c r="E74" s="89"/>
    </row>
    <row r="75" spans="2:5">
      <c r="B75" s="89"/>
      <c r="C75" s="88"/>
      <c r="E75" s="89"/>
    </row>
    <row r="76" spans="2:5">
      <c r="B76" s="89"/>
      <c r="C76" s="88"/>
      <c r="E76" s="89"/>
    </row>
    <row r="77" spans="2:5">
      <c r="B77" s="89"/>
      <c r="C77" s="88"/>
      <c r="E77" s="89"/>
    </row>
    <row r="78" spans="2:5">
      <c r="B78" s="89"/>
      <c r="C78" s="88"/>
      <c r="E78" s="89"/>
    </row>
    <row r="79" spans="2:5">
      <c r="B79" s="89"/>
      <c r="C79" s="88"/>
      <c r="E79" s="89"/>
    </row>
    <row r="80" spans="2:5">
      <c r="B80" s="89"/>
      <c r="C80" s="88"/>
      <c r="E80" s="89"/>
    </row>
    <row r="81" spans="2:5">
      <c r="B81" s="89"/>
      <c r="C81" s="88"/>
      <c r="E81" s="89"/>
    </row>
    <row r="82" spans="2:5">
      <c r="B82" s="89"/>
      <c r="C82" s="88"/>
      <c r="E82" s="89"/>
    </row>
    <row r="83" spans="2:5">
      <c r="B83" s="89"/>
      <c r="C83" s="88"/>
      <c r="E83" s="89"/>
    </row>
    <row r="84" spans="2:5">
      <c r="B84" s="89"/>
      <c r="C84" s="88"/>
      <c r="E84" s="89"/>
    </row>
    <row r="85" spans="2:5">
      <c r="B85" s="89"/>
      <c r="C85" s="88"/>
      <c r="E85" s="89"/>
    </row>
    <row r="86" spans="2:5">
      <c r="B86" s="89"/>
      <c r="C86" s="88"/>
      <c r="E86" s="89"/>
    </row>
    <row r="87" spans="2:5">
      <c r="B87" s="89"/>
      <c r="C87" s="88"/>
      <c r="E87" s="89"/>
    </row>
    <row r="88" spans="2:5">
      <c r="B88" s="89"/>
      <c r="C88" s="88"/>
      <c r="E88" s="89"/>
    </row>
    <row r="89" spans="2:5">
      <c r="B89" s="89"/>
      <c r="C89" s="88"/>
      <c r="E89" s="89"/>
    </row>
    <row r="90" spans="2:5">
      <c r="B90" s="89"/>
      <c r="C90" s="88"/>
      <c r="E90" s="89"/>
    </row>
    <row r="91" spans="2:5">
      <c r="B91" s="89"/>
      <c r="C91" s="88"/>
      <c r="E91" s="89"/>
    </row>
    <row r="92" spans="2:5">
      <c r="B92" s="89"/>
      <c r="C92" s="88"/>
      <c r="E92" s="89"/>
    </row>
    <row r="93" spans="2:5">
      <c r="B93" s="89"/>
      <c r="C93" s="88"/>
      <c r="E93" s="89"/>
    </row>
    <row r="94" spans="2:5">
      <c r="B94" s="89"/>
      <c r="C94" s="88"/>
      <c r="E94" s="89"/>
    </row>
    <row r="95" spans="2:5">
      <c r="B95" s="89"/>
      <c r="C95" s="88"/>
      <c r="E95" s="89"/>
    </row>
    <row r="96" spans="2:5">
      <c r="B96" s="89"/>
      <c r="C96" s="88"/>
      <c r="E96" s="89"/>
    </row>
    <row r="97" spans="2:5">
      <c r="B97" s="89"/>
      <c r="C97" s="88"/>
      <c r="E97" s="89"/>
    </row>
    <row r="98" spans="2:5">
      <c r="B98" s="89"/>
      <c r="C98" s="88"/>
      <c r="E98" s="89"/>
    </row>
    <row r="99" spans="2:5">
      <c r="B99" s="89"/>
      <c r="C99" s="88"/>
      <c r="E99" s="89"/>
    </row>
    <row r="100" spans="2:5">
      <c r="B100" s="89"/>
      <c r="C100" s="88"/>
      <c r="E100" s="89"/>
    </row>
    <row r="101" spans="2:5">
      <c r="B101" s="89"/>
      <c r="C101" s="88"/>
      <c r="E101" s="89"/>
    </row>
    <row r="102" spans="2:5">
      <c r="B102" s="89"/>
      <c r="C102" s="88"/>
      <c r="E102" s="89"/>
    </row>
    <row r="103" spans="2:5">
      <c r="B103" s="89"/>
      <c r="C103" s="88"/>
      <c r="E103" s="89"/>
    </row>
    <row r="104" spans="2:5">
      <c r="B104" s="89"/>
      <c r="C104" s="88"/>
      <c r="E104" s="89"/>
    </row>
    <row r="105" spans="2:5">
      <c r="B105" s="89"/>
      <c r="C105" s="88"/>
      <c r="E105" s="89"/>
    </row>
    <row r="106" spans="2:5">
      <c r="B106" s="89"/>
      <c r="C106" s="88"/>
      <c r="E106" s="89"/>
    </row>
    <row r="107" spans="2:5">
      <c r="B107" s="89"/>
      <c r="C107" s="88"/>
      <c r="E107" s="89"/>
    </row>
    <row r="108" spans="2:5">
      <c r="B108" s="89"/>
      <c r="C108" s="88"/>
      <c r="E108" s="89"/>
    </row>
  </sheetData>
  <phoneticPr fontId="18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12"/>
    <pageSetUpPr fitToPage="1"/>
  </sheetPr>
  <dimension ref="A1:AE111"/>
  <sheetViews>
    <sheetView showGridLines="0" workbookViewId="0">
      <pane xSplit="1" ySplit="2" topLeftCell="B3" activePane="bottomRight" state="frozen"/>
      <selection activeCell="V28" sqref="V28"/>
      <selection pane="topRight" activeCell="V28" sqref="V28"/>
      <selection pane="bottomLeft" activeCell="V28" sqref="V28"/>
      <selection pane="bottomRight" activeCell="V28" sqref="V28"/>
    </sheetView>
  </sheetViews>
  <sheetFormatPr defaultRowHeight="12.75"/>
  <cols>
    <col min="1" max="1" width="34.5703125" style="152" customWidth="1"/>
    <col min="2" max="2" width="15.5703125" style="158" customWidth="1"/>
    <col min="3" max="3" width="15.5703125" style="230" customWidth="1"/>
    <col min="4" max="4" width="15.5703125" style="159" customWidth="1"/>
    <col min="5" max="5" width="14" style="158" customWidth="1"/>
    <col min="6" max="6" width="14" style="230" customWidth="1"/>
    <col min="7" max="7" width="14" style="159" customWidth="1"/>
    <col min="8" max="8" width="14" style="158" customWidth="1"/>
    <col min="9" max="9" width="15" style="230" customWidth="1"/>
    <col min="10" max="10" width="14" style="159" customWidth="1"/>
    <col min="11" max="11" width="14" style="158" customWidth="1"/>
    <col min="12" max="12" width="16.140625" style="230" bestFit="1" customWidth="1"/>
    <col min="13" max="13" width="16.140625" style="159" customWidth="1"/>
    <col min="14" max="14" width="15.42578125" style="258" bestFit="1" customWidth="1"/>
    <col min="15" max="15" width="15.42578125" style="257" bestFit="1" customWidth="1"/>
    <col min="16" max="16" width="14.140625" style="256" bestFit="1" customWidth="1"/>
    <col min="17" max="18" width="15.5703125" style="158" customWidth="1"/>
    <col min="19" max="19" width="15.5703125" style="159" customWidth="1"/>
    <col min="20" max="21" width="14" style="158" customWidth="1"/>
    <col min="22" max="22" width="14" style="159" customWidth="1"/>
    <col min="23" max="23" width="14" style="158" customWidth="1"/>
    <col min="24" max="24" width="15" style="158" customWidth="1"/>
    <col min="25" max="25" width="14" style="159" customWidth="1"/>
    <col min="26" max="26" width="14" style="158" customWidth="1"/>
    <col min="27" max="27" width="16.140625" style="158" bestFit="1" customWidth="1"/>
    <col min="28" max="28" width="16.140625" style="159" customWidth="1"/>
    <col min="29" max="29" width="15.42578125" style="158" bestFit="1" customWidth="1"/>
    <col min="30" max="30" width="15.42578125" style="150" bestFit="1" customWidth="1"/>
    <col min="31" max="31" width="14.140625" style="151" bestFit="1" customWidth="1"/>
    <col min="32" max="16384" width="9.140625" style="152"/>
  </cols>
  <sheetData>
    <row r="1" spans="1:31">
      <c r="A1" s="148" t="str">
        <f>CONCATENATE('Wind invest budget'!B2," income budget")</f>
        <v>Silale income budget</v>
      </c>
      <c r="B1" s="361">
        <v>2006</v>
      </c>
      <c r="C1" s="361"/>
      <c r="D1" s="149"/>
      <c r="E1" s="361"/>
      <c r="F1" s="361"/>
      <c r="G1" s="149"/>
      <c r="H1" s="361"/>
      <c r="I1" s="361"/>
      <c r="J1" s="149"/>
      <c r="K1" s="361"/>
      <c r="L1" s="361"/>
      <c r="M1" s="149"/>
      <c r="N1" s="360"/>
      <c r="O1" s="360"/>
      <c r="P1" s="240"/>
      <c r="Q1" s="361"/>
      <c r="R1" s="361"/>
      <c r="S1" s="361"/>
      <c r="T1" s="361"/>
      <c r="U1" s="361"/>
      <c r="V1" s="361"/>
      <c r="W1" s="361"/>
      <c r="X1" s="361"/>
      <c r="Y1" s="361"/>
      <c r="Z1" s="361"/>
      <c r="AA1" s="361"/>
      <c r="AB1" s="361"/>
      <c r="AC1" s="361"/>
    </row>
    <row r="2" spans="1:31">
      <c r="B2" s="153" t="s">
        <v>57</v>
      </c>
      <c r="C2" s="218" t="s">
        <v>58</v>
      </c>
      <c r="D2" s="155" t="s">
        <v>59</v>
      </c>
      <c r="E2" s="154" t="s">
        <v>158</v>
      </c>
      <c r="F2" s="219" t="s">
        <v>61</v>
      </c>
      <c r="G2" s="156" t="s">
        <v>62</v>
      </c>
      <c r="H2" s="153" t="s">
        <v>159</v>
      </c>
      <c r="I2" s="220" t="s">
        <v>64</v>
      </c>
      <c r="J2" s="155" t="s">
        <v>65</v>
      </c>
      <c r="K2" s="153" t="s">
        <v>160</v>
      </c>
      <c r="L2" s="218" t="s">
        <v>67</v>
      </c>
      <c r="M2" s="155" t="s">
        <v>68</v>
      </c>
      <c r="N2" s="221" t="s">
        <v>161</v>
      </c>
      <c r="O2" s="222" t="s">
        <v>69</v>
      </c>
      <c r="P2" s="223" t="s">
        <v>70</v>
      </c>
      <c r="Q2" s="153"/>
      <c r="R2" s="157"/>
      <c r="S2" s="155"/>
      <c r="AD2" s="158"/>
      <c r="AE2" s="159"/>
    </row>
    <row r="3" spans="1:31" s="164" customFormat="1">
      <c r="A3" s="160" t="str">
        <f>Estimate!A3</f>
        <v>INCOME, EUR</v>
      </c>
      <c r="B3" s="161"/>
      <c r="C3" s="231"/>
      <c r="D3" s="155"/>
      <c r="E3" s="162"/>
      <c r="F3" s="224"/>
      <c r="G3" s="155"/>
      <c r="H3" s="161"/>
      <c r="I3" s="237"/>
      <c r="J3" s="155"/>
      <c r="K3" s="161"/>
      <c r="L3" s="231"/>
      <c r="M3" s="155"/>
      <c r="N3" s="241"/>
      <c r="O3" s="242"/>
      <c r="P3" s="263"/>
      <c r="Q3" s="161"/>
      <c r="R3" s="163"/>
      <c r="S3" s="155"/>
      <c r="T3" s="163"/>
      <c r="U3" s="157"/>
      <c r="V3" s="163"/>
      <c r="W3" s="163"/>
      <c r="X3" s="163"/>
      <c r="Y3" s="163"/>
      <c r="Z3" s="157"/>
      <c r="AA3" s="163"/>
      <c r="AB3" s="163"/>
      <c r="AC3" s="163"/>
      <c r="AD3" s="163"/>
      <c r="AE3" s="157"/>
    </row>
    <row r="4" spans="1:31" s="170" customFormat="1">
      <c r="A4" s="165" t="str">
        <f>Estimate!A4</f>
        <v>Long term average production, MWh/y</v>
      </c>
      <c r="B4" s="166">
        <f>Estimate!B4</f>
        <v>0</v>
      </c>
      <c r="C4" s="232">
        <f>Actual!B4</f>
        <v>0</v>
      </c>
      <c r="D4" s="167" t="e">
        <f t="shared" ref="D4:D9" si="0">(B4-C4)/B4*-1</f>
        <v>#DIV/0!</v>
      </c>
      <c r="E4" s="137">
        <f>Estimate!C4</f>
        <v>0</v>
      </c>
      <c r="F4" s="225">
        <f>Actual!C4</f>
        <v>0</v>
      </c>
      <c r="G4" s="167" t="e">
        <f t="shared" ref="G4:G9" si="1">(E4-F4)/E4*-1</f>
        <v>#DIV/0!</v>
      </c>
      <c r="H4" s="166">
        <f>Estimate!D4</f>
        <v>0</v>
      </c>
      <c r="I4" s="232">
        <f>Actual!D4</f>
        <v>0</v>
      </c>
      <c r="J4" s="167" t="e">
        <f t="shared" ref="J4:J9" si="2">(H4-I4)/H4*-1</f>
        <v>#DIV/0!</v>
      </c>
      <c r="K4" s="166">
        <f>Estimate!E4</f>
        <v>0</v>
      </c>
      <c r="L4" s="232">
        <f>Actual!E4</f>
        <v>0</v>
      </c>
      <c r="M4" s="167" t="e">
        <f t="shared" ref="M4:M9" si="3">(K4-L4)/K4*-1</f>
        <v>#DIV/0!</v>
      </c>
      <c r="N4" s="243">
        <f t="shared" ref="N4:O20" si="4">B4+E4+H4+K4</f>
        <v>0</v>
      </c>
      <c r="O4" s="244">
        <f t="shared" si="4"/>
        <v>0</v>
      </c>
      <c r="P4" s="264" t="e">
        <f t="shared" ref="P4:P9" si="5">(N4-O4)/N4*-1</f>
        <v>#DIV/0!</v>
      </c>
      <c r="Q4" s="166"/>
      <c r="R4" s="137"/>
      <c r="S4" s="167"/>
      <c r="T4" s="168"/>
      <c r="U4" s="169"/>
      <c r="V4" s="168"/>
      <c r="W4" s="168"/>
      <c r="X4" s="168"/>
      <c r="Y4" s="168"/>
      <c r="Z4" s="169"/>
      <c r="AA4" s="168"/>
      <c r="AB4" s="168"/>
      <c r="AC4" s="168"/>
      <c r="AD4" s="168"/>
      <c r="AE4" s="169"/>
    </row>
    <row r="5" spans="1:31" s="170" customFormat="1">
      <c r="A5" s="171" t="str">
        <f>Estimate!A5</f>
        <v>Production, MWh</v>
      </c>
      <c r="B5" s="166">
        <f>Estimate!B5</f>
        <v>0</v>
      </c>
      <c r="C5" s="233">
        <f>Actual!B5</f>
        <v>0</v>
      </c>
      <c r="D5" s="167" t="e">
        <f t="shared" si="0"/>
        <v>#DIV/0!</v>
      </c>
      <c r="E5" s="172">
        <f>Estimate!C5</f>
        <v>0</v>
      </c>
      <c r="F5" s="225">
        <f>Actual!C5</f>
        <v>0</v>
      </c>
      <c r="G5" s="167" t="e">
        <f t="shared" si="1"/>
        <v>#DIV/0!</v>
      </c>
      <c r="H5" s="166">
        <f>Estimate!D5</f>
        <v>0</v>
      </c>
      <c r="I5" s="232">
        <f>Actual!D5</f>
        <v>0</v>
      </c>
      <c r="J5" s="167" t="e">
        <f t="shared" si="2"/>
        <v>#DIV/0!</v>
      </c>
      <c r="K5" s="166">
        <f>Estimate!E5</f>
        <v>0</v>
      </c>
      <c r="L5" s="233">
        <f>Actual!E5</f>
        <v>0</v>
      </c>
      <c r="M5" s="167" t="e">
        <f t="shared" si="3"/>
        <v>#DIV/0!</v>
      </c>
      <c r="N5" s="245">
        <f t="shared" si="4"/>
        <v>0</v>
      </c>
      <c r="O5" s="244">
        <f t="shared" si="4"/>
        <v>0</v>
      </c>
      <c r="P5" s="264" t="e">
        <f t="shared" si="5"/>
        <v>#DIV/0!</v>
      </c>
      <c r="Q5" s="166"/>
      <c r="R5" s="137"/>
      <c r="S5" s="167"/>
      <c r="T5" s="137"/>
      <c r="U5" s="169"/>
      <c r="V5" s="137"/>
      <c r="W5" s="137"/>
      <c r="X5" s="137"/>
      <c r="Y5" s="137"/>
      <c r="Z5" s="169"/>
      <c r="AA5" s="137"/>
      <c r="AB5" s="137"/>
      <c r="AC5" s="137"/>
      <c r="AD5" s="137"/>
      <c r="AE5" s="169"/>
    </row>
    <row r="6" spans="1:31" s="170" customFormat="1">
      <c r="A6" s="171" t="str">
        <f>Estimate!A6</f>
        <v>Electricity price, EUR/MWh</v>
      </c>
      <c r="B6" s="166">
        <f>Estimate!B6</f>
        <v>0</v>
      </c>
      <c r="C6" s="233">
        <f>Actual!B6</f>
        <v>0</v>
      </c>
      <c r="D6" s="167" t="e">
        <f t="shared" si="0"/>
        <v>#DIV/0!</v>
      </c>
      <c r="E6" s="172">
        <f>Estimate!C6</f>
        <v>0</v>
      </c>
      <c r="F6" s="225">
        <f>Actual!C6</f>
        <v>0</v>
      </c>
      <c r="G6" s="167" t="e">
        <f t="shared" si="1"/>
        <v>#DIV/0!</v>
      </c>
      <c r="H6" s="166">
        <f>Estimate!D6</f>
        <v>0</v>
      </c>
      <c r="I6" s="232">
        <f>Actual!D6</f>
        <v>0</v>
      </c>
      <c r="J6" s="167" t="e">
        <f t="shared" si="2"/>
        <v>#DIV/0!</v>
      </c>
      <c r="K6" s="166">
        <f>Estimate!E6</f>
        <v>0</v>
      </c>
      <c r="L6" s="233">
        <f>Actual!E6</f>
        <v>0</v>
      </c>
      <c r="M6" s="167" t="e">
        <f t="shared" si="3"/>
        <v>#DIV/0!</v>
      </c>
      <c r="N6" s="245">
        <f t="shared" si="4"/>
        <v>0</v>
      </c>
      <c r="O6" s="244">
        <f t="shared" si="4"/>
        <v>0</v>
      </c>
      <c r="P6" s="264" t="e">
        <f t="shared" si="5"/>
        <v>#DIV/0!</v>
      </c>
      <c r="Q6" s="166"/>
      <c r="R6" s="137"/>
      <c r="S6" s="167"/>
      <c r="T6" s="137"/>
      <c r="U6" s="169"/>
      <c r="V6" s="137"/>
      <c r="W6" s="137"/>
      <c r="X6" s="137"/>
      <c r="Y6" s="137"/>
      <c r="Z6" s="169"/>
      <c r="AA6" s="137"/>
      <c r="AB6" s="137"/>
      <c r="AC6" s="137"/>
      <c r="AD6" s="137"/>
      <c r="AE6" s="169"/>
    </row>
    <row r="7" spans="1:31" s="170" customFormat="1">
      <c r="A7" s="171" t="str">
        <f>Estimate!A7</f>
        <v>Electricity</v>
      </c>
      <c r="B7" s="166">
        <f>Estimate!B7</f>
        <v>0</v>
      </c>
      <c r="C7" s="233">
        <f>Actual!B7</f>
        <v>0</v>
      </c>
      <c r="D7" s="167" t="e">
        <f t="shared" si="0"/>
        <v>#DIV/0!</v>
      </c>
      <c r="E7" s="172">
        <f>Estimate!C7</f>
        <v>0</v>
      </c>
      <c r="F7" s="225">
        <f>Actual!C7</f>
        <v>0</v>
      </c>
      <c r="G7" s="167" t="e">
        <f t="shared" si="1"/>
        <v>#DIV/0!</v>
      </c>
      <c r="H7" s="166">
        <f>Estimate!D7</f>
        <v>0</v>
      </c>
      <c r="I7" s="232">
        <f>Actual!D7</f>
        <v>0</v>
      </c>
      <c r="J7" s="167" t="e">
        <f t="shared" si="2"/>
        <v>#DIV/0!</v>
      </c>
      <c r="K7" s="166">
        <f>Estimate!E7</f>
        <v>0</v>
      </c>
      <c r="L7" s="233">
        <f>Actual!E7</f>
        <v>0</v>
      </c>
      <c r="M7" s="167" t="e">
        <f t="shared" si="3"/>
        <v>#DIV/0!</v>
      </c>
      <c r="N7" s="245">
        <f t="shared" si="4"/>
        <v>0</v>
      </c>
      <c r="O7" s="244">
        <f t="shared" si="4"/>
        <v>0</v>
      </c>
      <c r="P7" s="264" t="e">
        <f t="shared" si="5"/>
        <v>#DIV/0!</v>
      </c>
      <c r="Q7" s="166"/>
      <c r="R7" s="137"/>
      <c r="S7" s="167"/>
      <c r="T7" s="137"/>
      <c r="U7" s="169"/>
      <c r="V7" s="137"/>
      <c r="W7" s="137"/>
      <c r="X7" s="137"/>
      <c r="Y7" s="137"/>
      <c r="Z7" s="169"/>
      <c r="AA7" s="137"/>
      <c r="AB7" s="137"/>
      <c r="AC7" s="137"/>
      <c r="AD7" s="137"/>
      <c r="AE7" s="169"/>
    </row>
    <row r="8" spans="1:31" s="170" customFormat="1">
      <c r="A8" s="171" t="str">
        <f>Estimate!A8</f>
        <v>CO2</v>
      </c>
      <c r="B8" s="166">
        <f>Estimate!B8</f>
        <v>0</v>
      </c>
      <c r="C8" s="233">
        <f>Actual!B8</f>
        <v>0</v>
      </c>
      <c r="D8" s="167" t="e">
        <f t="shared" si="0"/>
        <v>#DIV/0!</v>
      </c>
      <c r="E8" s="172">
        <f>Estimate!C8</f>
        <v>0</v>
      </c>
      <c r="F8" s="225">
        <f>Actual!C8</f>
        <v>0</v>
      </c>
      <c r="G8" s="167" t="e">
        <f t="shared" si="1"/>
        <v>#DIV/0!</v>
      </c>
      <c r="H8" s="166">
        <f>Estimate!D8</f>
        <v>0</v>
      </c>
      <c r="I8" s="232">
        <f>Actual!D8</f>
        <v>0</v>
      </c>
      <c r="J8" s="167" t="e">
        <f t="shared" si="2"/>
        <v>#DIV/0!</v>
      </c>
      <c r="K8" s="166">
        <f>Estimate!E8</f>
        <v>0</v>
      </c>
      <c r="L8" s="233">
        <f>Actual!E8</f>
        <v>0</v>
      </c>
      <c r="M8" s="167" t="e">
        <f t="shared" si="3"/>
        <v>#DIV/0!</v>
      </c>
      <c r="N8" s="245">
        <f t="shared" si="4"/>
        <v>0</v>
      </c>
      <c r="O8" s="244">
        <f t="shared" si="4"/>
        <v>0</v>
      </c>
      <c r="P8" s="264" t="e">
        <f t="shared" si="5"/>
        <v>#DIV/0!</v>
      </c>
      <c r="Q8" s="166"/>
      <c r="R8" s="137"/>
      <c r="S8" s="167"/>
      <c r="T8" s="168"/>
      <c r="U8" s="169"/>
      <c r="V8" s="137"/>
      <c r="W8" s="137"/>
      <c r="X8" s="137"/>
      <c r="Y8" s="168"/>
      <c r="Z8" s="169"/>
      <c r="AA8" s="137"/>
      <c r="AB8" s="137"/>
      <c r="AC8" s="137"/>
      <c r="AD8" s="168"/>
      <c r="AE8" s="169"/>
    </row>
    <row r="9" spans="1:31" s="174" customFormat="1">
      <c r="A9" s="173" t="str">
        <f>Estimate!A9</f>
        <v>Total</v>
      </c>
      <c r="B9" s="166">
        <f>Estimate!B9</f>
        <v>0</v>
      </c>
      <c r="C9" s="232">
        <f>Actual!B9</f>
        <v>0</v>
      </c>
      <c r="D9" s="167" t="e">
        <f t="shared" si="0"/>
        <v>#DIV/0!</v>
      </c>
      <c r="E9" s="137">
        <f>Estimate!C9</f>
        <v>0</v>
      </c>
      <c r="F9" s="225">
        <f>Actual!C9</f>
        <v>0</v>
      </c>
      <c r="G9" s="167" t="e">
        <f t="shared" si="1"/>
        <v>#DIV/0!</v>
      </c>
      <c r="H9" s="166">
        <f>Estimate!D9</f>
        <v>0</v>
      </c>
      <c r="I9" s="232">
        <f>Actual!D9</f>
        <v>0</v>
      </c>
      <c r="J9" s="167" t="e">
        <f t="shared" si="2"/>
        <v>#DIV/0!</v>
      </c>
      <c r="K9" s="166">
        <f>Estimate!E9</f>
        <v>0</v>
      </c>
      <c r="L9" s="232">
        <f>Actual!E9</f>
        <v>0</v>
      </c>
      <c r="M9" s="167" t="e">
        <f t="shared" si="3"/>
        <v>#DIV/0!</v>
      </c>
      <c r="N9" s="243">
        <f t="shared" si="4"/>
        <v>0</v>
      </c>
      <c r="O9" s="244">
        <f t="shared" si="4"/>
        <v>0</v>
      </c>
      <c r="P9" s="264" t="e">
        <f t="shared" si="5"/>
        <v>#DIV/0!</v>
      </c>
      <c r="Q9" s="166"/>
      <c r="R9" s="137"/>
      <c r="S9" s="167"/>
      <c r="T9" s="137"/>
      <c r="U9" s="169"/>
      <c r="V9" s="137"/>
      <c r="W9" s="137"/>
      <c r="X9" s="137"/>
      <c r="Y9" s="137"/>
      <c r="Z9" s="169"/>
      <c r="AA9" s="137"/>
      <c r="AB9" s="137"/>
      <c r="AC9" s="137"/>
      <c r="AD9" s="137"/>
      <c r="AE9" s="169"/>
    </row>
    <row r="10" spans="1:31" s="180" customFormat="1">
      <c r="A10" s="175">
        <f>Estimate!A10</f>
        <v>0</v>
      </c>
      <c r="B10" s="176">
        <f>Estimate!B10</f>
        <v>0</v>
      </c>
      <c r="C10" s="234">
        <f>Actual!B10</f>
        <v>0</v>
      </c>
      <c r="D10" s="178"/>
      <c r="E10" s="177">
        <f>Estimate!C10</f>
        <v>0</v>
      </c>
      <c r="F10" s="226">
        <f>Actual!C10</f>
        <v>0</v>
      </c>
      <c r="G10" s="178"/>
      <c r="H10" s="176">
        <f>Estimate!D10</f>
        <v>0</v>
      </c>
      <c r="I10" s="234">
        <f>Actual!D10</f>
        <v>0</v>
      </c>
      <c r="J10" s="178"/>
      <c r="K10" s="176">
        <f>Estimate!E10</f>
        <v>0</v>
      </c>
      <c r="L10" s="234">
        <f>Actual!E10</f>
        <v>0</v>
      </c>
      <c r="M10" s="178"/>
      <c r="N10" s="246">
        <f t="shared" si="4"/>
        <v>0</v>
      </c>
      <c r="O10" s="247">
        <f t="shared" si="4"/>
        <v>0</v>
      </c>
      <c r="P10" s="265"/>
      <c r="Q10" s="176"/>
      <c r="R10" s="177"/>
      <c r="S10" s="178"/>
      <c r="T10" s="177"/>
      <c r="U10" s="179"/>
      <c r="V10" s="177"/>
      <c r="W10" s="177"/>
      <c r="X10" s="177"/>
      <c r="Y10" s="177"/>
      <c r="Z10" s="179"/>
      <c r="AA10" s="177"/>
      <c r="AB10" s="177"/>
      <c r="AC10" s="177"/>
      <c r="AD10" s="177"/>
      <c r="AE10" s="179"/>
    </row>
    <row r="11" spans="1:31" s="170" customFormat="1">
      <c r="A11" s="173" t="str">
        <f>Estimate!A11</f>
        <v>COSTS, EUR</v>
      </c>
      <c r="B11" s="166">
        <f>Estimate!B11</f>
        <v>0</v>
      </c>
      <c r="C11" s="232">
        <f>Actual!B11</f>
        <v>0</v>
      </c>
      <c r="D11" s="167"/>
      <c r="E11" s="137">
        <f>Estimate!C11</f>
        <v>0</v>
      </c>
      <c r="F11" s="225">
        <f>Actual!C11</f>
        <v>0</v>
      </c>
      <c r="G11" s="167"/>
      <c r="H11" s="166">
        <f>Estimate!D11</f>
        <v>0</v>
      </c>
      <c r="I11" s="232">
        <f>Actual!D11</f>
        <v>0</v>
      </c>
      <c r="J11" s="167"/>
      <c r="K11" s="166">
        <f>Estimate!E11</f>
        <v>0</v>
      </c>
      <c r="L11" s="232">
        <f>Actual!E11</f>
        <v>0</v>
      </c>
      <c r="M11" s="167"/>
      <c r="N11" s="243">
        <f t="shared" si="4"/>
        <v>0</v>
      </c>
      <c r="O11" s="244">
        <f t="shared" si="4"/>
        <v>0</v>
      </c>
      <c r="P11" s="264"/>
      <c r="Q11" s="166"/>
      <c r="R11" s="137"/>
      <c r="S11" s="167"/>
      <c r="T11" s="137"/>
      <c r="U11" s="169"/>
      <c r="V11" s="137"/>
      <c r="W11" s="137"/>
      <c r="X11" s="137"/>
      <c r="Y11" s="137"/>
      <c r="Z11" s="169"/>
      <c r="AA11" s="137"/>
      <c r="AB11" s="137"/>
      <c r="AC11" s="137"/>
      <c r="AD11" s="137"/>
      <c r="AE11" s="169"/>
    </row>
    <row r="12" spans="1:31" s="170" customFormat="1">
      <c r="A12" s="173" t="str">
        <f>Estimate!A12</f>
        <v>Wind park</v>
      </c>
      <c r="B12" s="166">
        <f>Estimate!B12</f>
        <v>0</v>
      </c>
      <c r="C12" s="232">
        <f>Actual!B12</f>
        <v>0</v>
      </c>
      <c r="D12" s="167"/>
      <c r="E12" s="137">
        <f>Estimate!C12</f>
        <v>0</v>
      </c>
      <c r="F12" s="225">
        <f>Actual!C12</f>
        <v>0</v>
      </c>
      <c r="G12" s="167"/>
      <c r="H12" s="166">
        <f>Estimate!D12</f>
        <v>0</v>
      </c>
      <c r="I12" s="232">
        <f>Actual!D12</f>
        <v>0</v>
      </c>
      <c r="J12" s="167"/>
      <c r="K12" s="166">
        <f>Estimate!E12</f>
        <v>0</v>
      </c>
      <c r="L12" s="232">
        <f>Actual!E12</f>
        <v>0</v>
      </c>
      <c r="M12" s="167"/>
      <c r="N12" s="243">
        <f t="shared" si="4"/>
        <v>0</v>
      </c>
      <c r="O12" s="244">
        <f t="shared" si="4"/>
        <v>0</v>
      </c>
      <c r="P12" s="264"/>
      <c r="Q12" s="166"/>
      <c r="R12" s="137"/>
      <c r="S12" s="167"/>
      <c r="T12" s="137"/>
      <c r="U12" s="169"/>
      <c r="V12" s="137"/>
      <c r="W12" s="137"/>
      <c r="X12" s="137"/>
      <c r="Y12" s="137"/>
      <c r="Z12" s="169"/>
      <c r="AA12" s="137"/>
      <c r="AB12" s="137"/>
      <c r="AC12" s="137"/>
      <c r="AD12" s="137"/>
      <c r="AE12" s="169"/>
    </row>
    <row r="13" spans="1:31" s="170" customFormat="1">
      <c r="A13" s="171" t="str">
        <f>Estimate!A13</f>
        <v>Service and maintenance</v>
      </c>
      <c r="B13" s="166">
        <f>Estimate!B13</f>
        <v>0</v>
      </c>
      <c r="C13" s="232">
        <f>Actual!B13</f>
        <v>0</v>
      </c>
      <c r="D13" s="167" t="e">
        <f>(B13-C13)/B13*-1</f>
        <v>#DIV/0!</v>
      </c>
      <c r="E13" s="137">
        <f>Estimate!C13</f>
        <v>0</v>
      </c>
      <c r="F13" s="225">
        <f>Actual!C13</f>
        <v>0</v>
      </c>
      <c r="G13" s="167" t="e">
        <f>(E13-F13)/E13*-1</f>
        <v>#DIV/0!</v>
      </c>
      <c r="H13" s="166">
        <f>Estimate!D13</f>
        <v>0</v>
      </c>
      <c r="I13" s="232">
        <f>Actual!D13</f>
        <v>0</v>
      </c>
      <c r="J13" s="167" t="e">
        <f>(H13-I13)/H13*-1</f>
        <v>#DIV/0!</v>
      </c>
      <c r="K13" s="166">
        <f>Estimate!E13</f>
        <v>0</v>
      </c>
      <c r="L13" s="232">
        <f>Actual!E13</f>
        <v>0</v>
      </c>
      <c r="M13" s="167" t="e">
        <f>(K13-L13)/K13*-1</f>
        <v>#DIV/0!</v>
      </c>
      <c r="N13" s="243">
        <f t="shared" si="4"/>
        <v>0</v>
      </c>
      <c r="O13" s="244">
        <f t="shared" si="4"/>
        <v>0</v>
      </c>
      <c r="P13" s="264" t="e">
        <f>(N13-O13)/N13*-1</f>
        <v>#DIV/0!</v>
      </c>
      <c r="Q13" s="166"/>
      <c r="R13" s="137"/>
      <c r="S13" s="167"/>
      <c r="T13" s="168"/>
      <c r="U13" s="169"/>
      <c r="V13" s="168"/>
      <c r="W13" s="168"/>
      <c r="X13" s="168"/>
      <c r="Y13" s="168"/>
      <c r="Z13" s="169"/>
      <c r="AA13" s="168"/>
      <c r="AB13" s="168"/>
      <c r="AC13" s="168"/>
      <c r="AD13" s="168"/>
      <c r="AE13" s="169"/>
    </row>
    <row r="14" spans="1:31" s="170" customFormat="1">
      <c r="A14" s="171" t="str">
        <f>Estimate!A14</f>
        <v>Insurance</v>
      </c>
      <c r="B14" s="166">
        <f>Estimate!B14</f>
        <v>0</v>
      </c>
      <c r="C14" s="232">
        <f>Actual!B14</f>
        <v>0</v>
      </c>
      <c r="D14" s="167" t="e">
        <f>(B14-C14)/B14*-1</f>
        <v>#DIV/0!</v>
      </c>
      <c r="E14" s="137">
        <f>Estimate!C14</f>
        <v>0</v>
      </c>
      <c r="F14" s="225">
        <f>Actual!C14</f>
        <v>0</v>
      </c>
      <c r="G14" s="167" t="e">
        <f>(E14-F14)/E14*-1</f>
        <v>#DIV/0!</v>
      </c>
      <c r="H14" s="166">
        <f>Estimate!D14</f>
        <v>0</v>
      </c>
      <c r="I14" s="232">
        <f>Actual!D14</f>
        <v>0</v>
      </c>
      <c r="J14" s="167" t="e">
        <f>(H14-I14)/H14*-1</f>
        <v>#DIV/0!</v>
      </c>
      <c r="K14" s="166">
        <f>Estimate!E14</f>
        <v>0</v>
      </c>
      <c r="L14" s="232">
        <f>Actual!E14</f>
        <v>0</v>
      </c>
      <c r="M14" s="167" t="e">
        <f>(K14-L14)/K14*-1</f>
        <v>#DIV/0!</v>
      </c>
      <c r="N14" s="243">
        <f t="shared" si="4"/>
        <v>0</v>
      </c>
      <c r="O14" s="244">
        <f t="shared" si="4"/>
        <v>0</v>
      </c>
      <c r="P14" s="264" t="e">
        <f>(N14-O14)/N14*-1</f>
        <v>#DIV/0!</v>
      </c>
      <c r="Q14" s="166"/>
      <c r="R14" s="137"/>
      <c r="S14" s="167"/>
      <c r="T14" s="137"/>
      <c r="U14" s="169"/>
      <c r="V14" s="137"/>
      <c r="W14" s="137"/>
      <c r="X14" s="137"/>
      <c r="Y14" s="137"/>
      <c r="Z14" s="169"/>
      <c r="AA14" s="137"/>
      <c r="AB14" s="137"/>
      <c r="AC14" s="137"/>
      <c r="AD14" s="137"/>
      <c r="AE14" s="169"/>
    </row>
    <row r="15" spans="1:31" s="170" customFormat="1" ht="12.75" hidden="1" customHeight="1">
      <c r="A15" s="171" t="str">
        <f>Estimate!A15</f>
        <v>JI verification</v>
      </c>
      <c r="B15" s="166">
        <f>Estimate!B15</f>
        <v>0</v>
      </c>
      <c r="C15" s="233">
        <f>Actual!B15</f>
        <v>0</v>
      </c>
      <c r="D15" s="167" t="e">
        <f>(B15-C15)/B15*-1</f>
        <v>#DIV/0!</v>
      </c>
      <c r="E15" s="172">
        <f>Estimate!C15</f>
        <v>0</v>
      </c>
      <c r="F15" s="225">
        <f>Actual!C15</f>
        <v>0</v>
      </c>
      <c r="G15" s="167" t="e">
        <f>(E15-F15)/E15*-1</f>
        <v>#DIV/0!</v>
      </c>
      <c r="H15" s="166">
        <f>Estimate!D15</f>
        <v>0</v>
      </c>
      <c r="I15" s="232">
        <f>Actual!D15</f>
        <v>0</v>
      </c>
      <c r="J15" s="167" t="e">
        <f>(H15-I15)/H15*-1</f>
        <v>#DIV/0!</v>
      </c>
      <c r="K15" s="166">
        <f>Estimate!E15</f>
        <v>0</v>
      </c>
      <c r="L15" s="233">
        <f>Actual!E15</f>
        <v>0</v>
      </c>
      <c r="M15" s="167" t="e">
        <f>(K15-L15)/K15*-1</f>
        <v>#DIV/0!</v>
      </c>
      <c r="N15" s="245">
        <f t="shared" si="4"/>
        <v>0</v>
      </c>
      <c r="O15" s="244">
        <f t="shared" si="4"/>
        <v>0</v>
      </c>
      <c r="P15" s="264" t="e">
        <f>(N15-O15)/N15*-1</f>
        <v>#DIV/0!</v>
      </c>
      <c r="Q15" s="166"/>
      <c r="R15" s="137"/>
      <c r="S15" s="167"/>
      <c r="T15" s="168"/>
      <c r="U15" s="169"/>
      <c r="V15" s="137"/>
      <c r="W15" s="137"/>
      <c r="X15" s="137"/>
      <c r="Y15" s="168"/>
      <c r="Z15" s="169"/>
      <c r="AA15" s="137"/>
      <c r="AB15" s="137"/>
      <c r="AC15" s="137"/>
      <c r="AD15" s="168"/>
      <c r="AE15" s="169"/>
    </row>
    <row r="16" spans="1:31" s="170" customFormat="1" ht="12.75" hidden="1" customHeight="1">
      <c r="A16" s="171" t="str">
        <f>Estimate!A16</f>
        <v>JI fee</v>
      </c>
      <c r="B16" s="166">
        <f>Estimate!B16</f>
        <v>0</v>
      </c>
      <c r="C16" s="233">
        <f>Actual!B16</f>
        <v>0</v>
      </c>
      <c r="D16" s="167" t="e">
        <f>(B16-C16)/B16*-1</f>
        <v>#DIV/0!</v>
      </c>
      <c r="E16" s="172">
        <f>Estimate!C16</f>
        <v>0</v>
      </c>
      <c r="F16" s="225">
        <f>Actual!C16</f>
        <v>0</v>
      </c>
      <c r="G16" s="167" t="e">
        <f>(E16-F16)/E16*-1</f>
        <v>#DIV/0!</v>
      </c>
      <c r="H16" s="166">
        <f>Estimate!D16</f>
        <v>0</v>
      </c>
      <c r="I16" s="232">
        <f>Actual!D16</f>
        <v>0</v>
      </c>
      <c r="J16" s="167" t="e">
        <f>(H16-I16)/H16*-1</f>
        <v>#DIV/0!</v>
      </c>
      <c r="K16" s="166">
        <f>Estimate!E16</f>
        <v>0</v>
      </c>
      <c r="L16" s="233">
        <f>Actual!E16</f>
        <v>0</v>
      </c>
      <c r="M16" s="167" t="e">
        <f>(K16-L16)/K16*-1</f>
        <v>#DIV/0!</v>
      </c>
      <c r="N16" s="245">
        <f t="shared" si="4"/>
        <v>0</v>
      </c>
      <c r="O16" s="244">
        <f t="shared" si="4"/>
        <v>0</v>
      </c>
      <c r="P16" s="264" t="e">
        <f>(N16-O16)/N16*-1</f>
        <v>#DIV/0!</v>
      </c>
      <c r="Q16" s="166"/>
      <c r="R16" s="137"/>
      <c r="S16" s="167"/>
      <c r="T16" s="168"/>
      <c r="U16" s="169"/>
      <c r="V16" s="137"/>
      <c r="W16" s="168"/>
      <c r="X16" s="137"/>
      <c r="Y16" s="168"/>
      <c r="Z16" s="169"/>
      <c r="AA16" s="137"/>
      <c r="AB16" s="168"/>
      <c r="AC16" s="137"/>
      <c r="AD16" s="168"/>
      <c r="AE16" s="169"/>
    </row>
    <row r="17" spans="1:31" s="170" customFormat="1">
      <c r="A17" s="171" t="str">
        <f>Estimate!A17</f>
        <v>Security</v>
      </c>
      <c r="B17" s="166">
        <f>Estimate!B17</f>
        <v>0</v>
      </c>
      <c r="C17" s="233">
        <f>Actual!B17</f>
        <v>0</v>
      </c>
      <c r="D17" s="167" t="e">
        <f>(B17-C17)/B17*-1</f>
        <v>#DIV/0!</v>
      </c>
      <c r="E17" s="172">
        <f>Estimate!C17</f>
        <v>0</v>
      </c>
      <c r="F17" s="225">
        <f>Actual!C17</f>
        <v>0</v>
      </c>
      <c r="G17" s="167" t="e">
        <f>(E17-F17)/E17*-1</f>
        <v>#DIV/0!</v>
      </c>
      <c r="H17" s="166">
        <f>Estimate!D17</f>
        <v>0</v>
      </c>
      <c r="I17" s="232">
        <f>Actual!D17</f>
        <v>0</v>
      </c>
      <c r="J17" s="167" t="e">
        <f>(H17-I17)/H17*-1</f>
        <v>#DIV/0!</v>
      </c>
      <c r="K17" s="166">
        <f>Estimate!E17</f>
        <v>0</v>
      </c>
      <c r="L17" s="233">
        <f>Actual!E17</f>
        <v>0</v>
      </c>
      <c r="M17" s="167" t="e">
        <f>(K17-L17)/K17*-1</f>
        <v>#DIV/0!</v>
      </c>
      <c r="N17" s="245">
        <f t="shared" si="4"/>
        <v>0</v>
      </c>
      <c r="O17" s="244">
        <f t="shared" si="4"/>
        <v>0</v>
      </c>
      <c r="P17" s="264" t="e">
        <f>(N17-O17)/N17*-1</f>
        <v>#DIV/0!</v>
      </c>
      <c r="Q17" s="166"/>
      <c r="R17" s="137"/>
      <c r="S17" s="167"/>
      <c r="T17" s="137"/>
      <c r="U17" s="169"/>
      <c r="V17" s="137"/>
      <c r="W17" s="137"/>
      <c r="X17" s="137"/>
      <c r="Y17" s="137"/>
      <c r="Z17" s="169"/>
      <c r="AA17" s="137"/>
      <c r="AB17" s="137"/>
      <c r="AC17" s="137"/>
      <c r="AD17" s="137"/>
      <c r="AE17" s="169"/>
    </row>
    <row r="18" spans="1:31" s="170" customFormat="1">
      <c r="A18" s="171"/>
      <c r="B18" s="166"/>
      <c r="C18" s="233"/>
      <c r="D18" s="167"/>
      <c r="E18" s="172"/>
      <c r="F18" s="225"/>
      <c r="G18" s="167"/>
      <c r="H18" s="166"/>
      <c r="I18" s="232"/>
      <c r="J18" s="167"/>
      <c r="K18" s="166"/>
      <c r="L18" s="233"/>
      <c r="M18" s="167"/>
      <c r="N18" s="245"/>
      <c r="O18" s="244"/>
      <c r="P18" s="264"/>
      <c r="Q18" s="166"/>
      <c r="R18" s="137"/>
      <c r="S18" s="167"/>
      <c r="T18" s="137"/>
      <c r="U18" s="169"/>
      <c r="V18" s="137"/>
      <c r="W18" s="137"/>
      <c r="X18" s="137"/>
      <c r="Y18" s="137"/>
      <c r="Z18" s="169"/>
      <c r="AA18" s="137"/>
      <c r="AB18" s="137"/>
      <c r="AC18" s="137"/>
      <c r="AD18" s="137"/>
      <c r="AE18" s="169"/>
    </row>
    <row r="19" spans="1:31" s="170" customFormat="1" ht="12.75" hidden="1" customHeight="1">
      <c r="A19" s="171" t="str">
        <f>Estimate!A18</f>
        <v>Communications</v>
      </c>
      <c r="B19" s="166">
        <f>Estimate!B18</f>
        <v>0</v>
      </c>
      <c r="C19" s="233">
        <f>Actual!B18</f>
        <v>0</v>
      </c>
      <c r="D19" s="167"/>
      <c r="E19" s="172">
        <f>Estimate!C18</f>
        <v>0</v>
      </c>
      <c r="F19" s="225">
        <f>Actual!C18</f>
        <v>0</v>
      </c>
      <c r="G19" s="167"/>
      <c r="H19" s="166">
        <f>Estimate!D18</f>
        <v>0</v>
      </c>
      <c r="I19" s="232">
        <f>Actual!D18</f>
        <v>0</v>
      </c>
      <c r="J19" s="167"/>
      <c r="K19" s="166">
        <f>Estimate!E18</f>
        <v>0</v>
      </c>
      <c r="L19" s="233">
        <f>Actual!E18</f>
        <v>0</v>
      </c>
      <c r="M19" s="167"/>
      <c r="N19" s="245">
        <f t="shared" si="4"/>
        <v>0</v>
      </c>
      <c r="O19" s="244">
        <f t="shared" si="4"/>
        <v>0</v>
      </c>
      <c r="P19" s="264"/>
      <c r="Q19" s="166"/>
      <c r="R19" s="137"/>
      <c r="S19" s="167"/>
      <c r="T19" s="137"/>
      <c r="U19" s="169"/>
      <c r="V19" s="137"/>
      <c r="W19" s="137"/>
      <c r="X19" s="137"/>
      <c r="Y19" s="137"/>
      <c r="Z19" s="169"/>
      <c r="AA19" s="137"/>
      <c r="AB19" s="137"/>
      <c r="AC19" s="137"/>
      <c r="AD19" s="137"/>
      <c r="AE19" s="169"/>
    </row>
    <row r="20" spans="1:31" s="170" customFormat="1">
      <c r="A20" s="171" t="str">
        <f>Estimate!A19</f>
        <v>Own consumption and reactive power</v>
      </c>
      <c r="B20" s="166">
        <f>Estimate!B19</f>
        <v>0</v>
      </c>
      <c r="C20" s="233">
        <f>Actual!B19</f>
        <v>0</v>
      </c>
      <c r="D20" s="167" t="e">
        <f>(B20-C20)/B20*-1</f>
        <v>#DIV/0!</v>
      </c>
      <c r="E20" s="172">
        <f>Estimate!C19</f>
        <v>0</v>
      </c>
      <c r="F20" s="225">
        <f>Actual!C19</f>
        <v>0</v>
      </c>
      <c r="G20" s="167" t="e">
        <f>(E20-F20)/E20*-1</f>
        <v>#DIV/0!</v>
      </c>
      <c r="H20" s="166">
        <f>Estimate!D19</f>
        <v>0</v>
      </c>
      <c r="I20" s="232">
        <f>Actual!D19</f>
        <v>0</v>
      </c>
      <c r="J20" s="167" t="e">
        <f>(H20-I20)/H20*-1</f>
        <v>#DIV/0!</v>
      </c>
      <c r="K20" s="166">
        <f>Estimate!E19</f>
        <v>0</v>
      </c>
      <c r="L20" s="233">
        <f>Actual!E19</f>
        <v>0</v>
      </c>
      <c r="M20" s="167" t="e">
        <f>(K20-L20)/K20*-1</f>
        <v>#DIV/0!</v>
      </c>
      <c r="N20" s="245">
        <f t="shared" si="4"/>
        <v>0</v>
      </c>
      <c r="O20" s="244">
        <f t="shared" si="4"/>
        <v>0</v>
      </c>
      <c r="P20" s="264" t="e">
        <f>(N20-O20)/N20*-1</f>
        <v>#DIV/0!</v>
      </c>
      <c r="Q20" s="166"/>
      <c r="R20" s="137"/>
      <c r="S20" s="167"/>
      <c r="T20" s="137"/>
      <c r="U20" s="169"/>
      <c r="V20" s="137"/>
      <c r="W20" s="137"/>
      <c r="X20" s="137"/>
      <c r="Y20" s="137"/>
      <c r="Z20" s="169"/>
      <c r="AA20" s="137"/>
      <c r="AB20" s="137"/>
      <c r="AC20" s="137"/>
      <c r="AD20" s="137"/>
      <c r="AE20" s="169"/>
    </row>
    <row r="21" spans="1:31" s="170" customFormat="1" ht="25.5">
      <c r="A21" s="171" t="str">
        <f>Estimate!A20</f>
        <v>Other maintenance and repair, small parts and tools</v>
      </c>
      <c r="B21" s="166">
        <f>Estimate!B20</f>
        <v>0</v>
      </c>
      <c r="C21" s="233">
        <f>Actual!B20</f>
        <v>0</v>
      </c>
      <c r="D21" s="167" t="e">
        <f>(B21-C21)/B21*-1</f>
        <v>#DIV/0!</v>
      </c>
      <c r="E21" s="172">
        <f>Estimate!C20</f>
        <v>0</v>
      </c>
      <c r="F21" s="225">
        <f>Actual!C20</f>
        <v>0</v>
      </c>
      <c r="G21" s="167" t="e">
        <f>(E21-F21)/E21*-1</f>
        <v>#DIV/0!</v>
      </c>
      <c r="H21" s="166">
        <f>Estimate!D20</f>
        <v>0</v>
      </c>
      <c r="I21" s="232">
        <f>Actual!D20</f>
        <v>0</v>
      </c>
      <c r="J21" s="167" t="e">
        <f>(H21-I21)/H21*-1</f>
        <v>#DIV/0!</v>
      </c>
      <c r="K21" s="166">
        <f>Estimate!E20</f>
        <v>0</v>
      </c>
      <c r="L21" s="233">
        <f>Actual!E20</f>
        <v>0</v>
      </c>
      <c r="M21" s="167" t="e">
        <f>(K21-L21)/K21*-1</f>
        <v>#DIV/0!</v>
      </c>
      <c r="N21" s="245">
        <f t="shared" ref="N21:O51" si="6">B21+E21+H21+K21</f>
        <v>0</v>
      </c>
      <c r="O21" s="244">
        <f t="shared" si="6"/>
        <v>0</v>
      </c>
      <c r="P21" s="264" t="e">
        <f>(N21-O21)/N21*-1</f>
        <v>#DIV/0!</v>
      </c>
      <c r="Q21" s="166"/>
      <c r="R21" s="137"/>
      <c r="S21" s="167"/>
      <c r="T21" s="137"/>
      <c r="U21" s="169"/>
      <c r="V21" s="137"/>
      <c r="W21" s="137"/>
      <c r="X21" s="137"/>
      <c r="Y21" s="137"/>
      <c r="Z21" s="169"/>
      <c r="AA21" s="137"/>
      <c r="AB21" s="137"/>
      <c r="AC21" s="137"/>
      <c r="AD21" s="137"/>
      <c r="AE21" s="169"/>
    </row>
    <row r="22" spans="1:31" s="170" customFormat="1">
      <c r="A22" s="171" t="str">
        <f>Estimate!A21</f>
        <v>Land lease and tax</v>
      </c>
      <c r="B22" s="166">
        <f>Estimate!B21</f>
        <v>0</v>
      </c>
      <c r="C22" s="233">
        <f>Actual!B21</f>
        <v>0</v>
      </c>
      <c r="D22" s="167" t="e">
        <f>(B22-C22)/B22*-1</f>
        <v>#DIV/0!</v>
      </c>
      <c r="E22" s="172">
        <f>Estimate!C21</f>
        <v>0</v>
      </c>
      <c r="F22" s="225">
        <f>Actual!C21</f>
        <v>0</v>
      </c>
      <c r="G22" s="167" t="e">
        <f>(E22-F22)/E22*-1</f>
        <v>#DIV/0!</v>
      </c>
      <c r="H22" s="166">
        <f>Estimate!D21</f>
        <v>0</v>
      </c>
      <c r="I22" s="232">
        <f>Actual!D21</f>
        <v>0</v>
      </c>
      <c r="J22" s="167" t="e">
        <f>(H22-I22)/H22*-1</f>
        <v>#DIV/0!</v>
      </c>
      <c r="K22" s="166">
        <f>Estimate!E21</f>
        <v>0</v>
      </c>
      <c r="L22" s="233">
        <f>Actual!E21</f>
        <v>0</v>
      </c>
      <c r="M22" s="167" t="e">
        <f>(K22-L22)/K22*-1</f>
        <v>#DIV/0!</v>
      </c>
      <c r="N22" s="245">
        <f t="shared" si="6"/>
        <v>0</v>
      </c>
      <c r="O22" s="244">
        <f t="shared" si="6"/>
        <v>0</v>
      </c>
      <c r="P22" s="264" t="e">
        <f>(N22-O22)/N22*-1</f>
        <v>#DIV/0!</v>
      </c>
      <c r="Q22" s="166"/>
      <c r="R22" s="137"/>
      <c r="S22" s="167"/>
      <c r="T22" s="137"/>
      <c r="U22" s="169"/>
      <c r="V22" s="137"/>
      <c r="W22" s="137"/>
      <c r="X22" s="137"/>
      <c r="Y22" s="137"/>
      <c r="Z22" s="169"/>
      <c r="AA22" s="137"/>
      <c r="AB22" s="137"/>
      <c r="AC22" s="137"/>
      <c r="AD22" s="137"/>
      <c r="AE22" s="169"/>
    </row>
    <row r="23" spans="1:31" s="174" customFormat="1">
      <c r="A23" s="173" t="str">
        <f>Estimate!A22</f>
        <v>Total</v>
      </c>
      <c r="B23" s="166">
        <f>Estimate!B22</f>
        <v>0</v>
      </c>
      <c r="C23" s="232">
        <f>Actual!B22</f>
        <v>0</v>
      </c>
      <c r="D23" s="167" t="e">
        <f>(B23-C23)/B23*-1</f>
        <v>#DIV/0!</v>
      </c>
      <c r="E23" s="137">
        <f>Estimate!C22</f>
        <v>0</v>
      </c>
      <c r="F23" s="225">
        <f>Actual!C22</f>
        <v>0</v>
      </c>
      <c r="G23" s="167" t="e">
        <f>(E23-F23)/E23*-1</f>
        <v>#DIV/0!</v>
      </c>
      <c r="H23" s="166">
        <f>Estimate!D22</f>
        <v>0</v>
      </c>
      <c r="I23" s="232">
        <f>Actual!D22</f>
        <v>0</v>
      </c>
      <c r="J23" s="167" t="e">
        <f>(H23-I23)/H23*-1</f>
        <v>#DIV/0!</v>
      </c>
      <c r="K23" s="166">
        <f>Estimate!E22</f>
        <v>0</v>
      </c>
      <c r="L23" s="232">
        <f>Actual!E22</f>
        <v>0</v>
      </c>
      <c r="M23" s="167" t="e">
        <f>(K23-L23)/K23*-1</f>
        <v>#DIV/0!</v>
      </c>
      <c r="N23" s="243">
        <f t="shared" si="6"/>
        <v>0</v>
      </c>
      <c r="O23" s="244">
        <f t="shared" si="6"/>
        <v>0</v>
      </c>
      <c r="P23" s="264" t="e">
        <f>(N23-O23)/N23*-1</f>
        <v>#DIV/0!</v>
      </c>
      <c r="Q23" s="166"/>
      <c r="R23" s="137"/>
      <c r="S23" s="167"/>
      <c r="T23" s="137"/>
      <c r="U23" s="169"/>
      <c r="V23" s="137"/>
      <c r="W23" s="137"/>
      <c r="X23" s="137"/>
      <c r="Y23" s="137"/>
      <c r="Z23" s="169"/>
      <c r="AA23" s="137"/>
      <c r="AB23" s="137"/>
      <c r="AC23" s="137"/>
      <c r="AD23" s="137"/>
      <c r="AE23" s="169"/>
    </row>
    <row r="24" spans="1:31" s="170" customFormat="1">
      <c r="A24" s="171">
        <f>Estimate!A23</f>
        <v>0</v>
      </c>
      <c r="B24" s="166">
        <f>Estimate!B23</f>
        <v>0</v>
      </c>
      <c r="C24" s="232">
        <f>Actual!B23</f>
        <v>0</v>
      </c>
      <c r="D24" s="167"/>
      <c r="E24" s="137">
        <f>Estimate!C23</f>
        <v>0</v>
      </c>
      <c r="F24" s="225">
        <f>Actual!C23</f>
        <v>0</v>
      </c>
      <c r="G24" s="167"/>
      <c r="H24" s="166">
        <f>Estimate!D23</f>
        <v>0</v>
      </c>
      <c r="I24" s="232">
        <f>Actual!D23</f>
        <v>0</v>
      </c>
      <c r="J24" s="167"/>
      <c r="K24" s="166">
        <f>Estimate!E23</f>
        <v>0</v>
      </c>
      <c r="L24" s="232">
        <f>Actual!E23</f>
        <v>0</v>
      </c>
      <c r="M24" s="167"/>
      <c r="N24" s="243">
        <f t="shared" si="6"/>
        <v>0</v>
      </c>
      <c r="O24" s="244">
        <f t="shared" si="6"/>
        <v>0</v>
      </c>
      <c r="P24" s="264"/>
      <c r="Q24" s="166"/>
      <c r="R24" s="137"/>
      <c r="S24" s="167"/>
      <c r="T24" s="137"/>
      <c r="U24" s="169"/>
      <c r="V24" s="137"/>
      <c r="W24" s="137"/>
      <c r="X24" s="137"/>
      <c r="Y24" s="137"/>
      <c r="Z24" s="169"/>
      <c r="AA24" s="137"/>
      <c r="AB24" s="137"/>
      <c r="AC24" s="137"/>
      <c r="AD24" s="137"/>
      <c r="AE24" s="169"/>
    </row>
    <row r="25" spans="1:31" s="170" customFormat="1">
      <c r="A25" s="173" t="str">
        <f>Estimate!A24</f>
        <v>Management costs</v>
      </c>
      <c r="B25" s="166">
        <f>Estimate!B24</f>
        <v>0</v>
      </c>
      <c r="C25" s="232">
        <f>Actual!B24</f>
        <v>0</v>
      </c>
      <c r="D25" s="167"/>
      <c r="E25" s="137">
        <f>Estimate!C24</f>
        <v>0</v>
      </c>
      <c r="F25" s="225">
        <f>Actual!C24</f>
        <v>0</v>
      </c>
      <c r="G25" s="167"/>
      <c r="H25" s="166">
        <f>Estimate!D24</f>
        <v>0</v>
      </c>
      <c r="I25" s="232">
        <f>Actual!D24</f>
        <v>0</v>
      </c>
      <c r="J25" s="167"/>
      <c r="K25" s="166">
        <f>Estimate!E24</f>
        <v>0</v>
      </c>
      <c r="L25" s="232">
        <f>Actual!E24</f>
        <v>0</v>
      </c>
      <c r="M25" s="167"/>
      <c r="N25" s="243">
        <f t="shared" si="6"/>
        <v>0</v>
      </c>
      <c r="O25" s="244">
        <f t="shared" si="6"/>
        <v>0</v>
      </c>
      <c r="P25" s="264"/>
      <c r="Q25" s="166"/>
      <c r="R25" s="137"/>
      <c r="S25" s="16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</row>
    <row r="26" spans="1:31" s="170" customFormat="1">
      <c r="A26" s="171" t="str">
        <f>Estimate!A25</f>
        <v>Fixed fee to 4energia</v>
      </c>
      <c r="B26" s="166">
        <f>Estimate!B25</f>
        <v>0</v>
      </c>
      <c r="C26" s="232">
        <f>Actual!B25</f>
        <v>0</v>
      </c>
      <c r="D26" s="167" t="e">
        <f>(B26-C26)/B26*-1</f>
        <v>#DIV/0!</v>
      </c>
      <c r="E26" s="137">
        <f>Estimate!C25</f>
        <v>0</v>
      </c>
      <c r="F26" s="225">
        <f>Actual!C25</f>
        <v>0</v>
      </c>
      <c r="G26" s="167" t="e">
        <f>(E26-F26)/E26*-1</f>
        <v>#DIV/0!</v>
      </c>
      <c r="H26" s="166">
        <f>Estimate!D25</f>
        <v>0</v>
      </c>
      <c r="I26" s="232">
        <f>Actual!D25</f>
        <v>0</v>
      </c>
      <c r="J26" s="167" t="e">
        <f>(H26-I26)/H26*-1</f>
        <v>#DIV/0!</v>
      </c>
      <c r="K26" s="166">
        <f>Estimate!E25</f>
        <v>0</v>
      </c>
      <c r="L26" s="232">
        <f>Actual!E25</f>
        <v>0</v>
      </c>
      <c r="M26" s="167" t="e">
        <f>(K26-L26)/K26*-1</f>
        <v>#DIV/0!</v>
      </c>
      <c r="N26" s="243">
        <f t="shared" si="6"/>
        <v>0</v>
      </c>
      <c r="O26" s="244">
        <f t="shared" si="6"/>
        <v>0</v>
      </c>
      <c r="P26" s="264" t="e">
        <f>(N26-O26)/N26*-1</f>
        <v>#DIV/0!</v>
      </c>
      <c r="Q26" s="166"/>
      <c r="R26" s="137"/>
      <c r="S26" s="16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</row>
    <row r="27" spans="1:31" s="170" customFormat="1" hidden="1">
      <c r="A27" s="171" t="str">
        <f>Estimate!A26</f>
        <v>Premium fee to 4energia</v>
      </c>
      <c r="B27" s="166">
        <f>Estimate!B26</f>
        <v>0</v>
      </c>
      <c r="C27" s="232">
        <f>Actual!B26</f>
        <v>0</v>
      </c>
      <c r="D27" s="167" t="e">
        <f>(B27-C27)/B27*-1</f>
        <v>#DIV/0!</v>
      </c>
      <c r="E27" s="137">
        <f>Estimate!C26</f>
        <v>0</v>
      </c>
      <c r="F27" s="225">
        <f>Actual!C26</f>
        <v>0</v>
      </c>
      <c r="G27" s="167" t="e">
        <f t="shared" ref="G27:G35" si="7">(E27-F27)/E27*-1</f>
        <v>#DIV/0!</v>
      </c>
      <c r="H27" s="166">
        <f>Estimate!D26</f>
        <v>0</v>
      </c>
      <c r="I27" s="232">
        <f>Actual!D26</f>
        <v>0</v>
      </c>
      <c r="J27" s="167" t="e">
        <f t="shared" ref="J27:J35" si="8">(H27-I27)/H27*-1</f>
        <v>#DIV/0!</v>
      </c>
      <c r="K27" s="166">
        <f>Estimate!E26</f>
        <v>0</v>
      </c>
      <c r="L27" s="232">
        <f>Actual!E26</f>
        <v>0</v>
      </c>
      <c r="M27" s="167" t="e">
        <f t="shared" ref="M27:M35" si="9">(K27-L27)/K27*-1</f>
        <v>#DIV/0!</v>
      </c>
      <c r="N27" s="243">
        <f t="shared" si="6"/>
        <v>0</v>
      </c>
      <c r="O27" s="244">
        <f t="shared" si="6"/>
        <v>0</v>
      </c>
      <c r="P27" s="264" t="e">
        <f t="shared" ref="P27:P35" si="10">(N27-O27)/N27*-1</f>
        <v>#DIV/0!</v>
      </c>
      <c r="Q27" s="166"/>
      <c r="R27" s="137"/>
      <c r="S27" s="16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pans="1:31" s="170" customFormat="1">
      <c r="A28" s="171" t="str">
        <f>Estimate!A27</f>
        <v>Legal and tax consultancy</v>
      </c>
      <c r="B28" s="166">
        <f>Estimate!B27</f>
        <v>0</v>
      </c>
      <c r="C28" s="232">
        <f>Actual!B27</f>
        <v>0</v>
      </c>
      <c r="D28" s="167" t="e">
        <f>(B28-C28)/B28*-1</f>
        <v>#DIV/0!</v>
      </c>
      <c r="E28" s="137">
        <f>Estimate!C27</f>
        <v>0</v>
      </c>
      <c r="F28" s="225">
        <f>Actual!C27</f>
        <v>0</v>
      </c>
      <c r="G28" s="167" t="e">
        <f t="shared" si="7"/>
        <v>#DIV/0!</v>
      </c>
      <c r="H28" s="166">
        <f>Estimate!D27</f>
        <v>0</v>
      </c>
      <c r="I28" s="232">
        <f>Actual!D27</f>
        <v>0</v>
      </c>
      <c r="J28" s="167" t="e">
        <f t="shared" si="8"/>
        <v>#DIV/0!</v>
      </c>
      <c r="K28" s="166">
        <f>Estimate!E27</f>
        <v>0</v>
      </c>
      <c r="L28" s="232">
        <f>Actual!E27</f>
        <v>0</v>
      </c>
      <c r="M28" s="167" t="e">
        <f t="shared" si="9"/>
        <v>#DIV/0!</v>
      </c>
      <c r="N28" s="243">
        <f t="shared" si="6"/>
        <v>0</v>
      </c>
      <c r="O28" s="244">
        <f t="shared" si="6"/>
        <v>0</v>
      </c>
      <c r="P28" s="264" t="e">
        <f t="shared" si="10"/>
        <v>#DIV/0!</v>
      </c>
      <c r="Q28" s="166"/>
      <c r="R28" s="137"/>
      <c r="S28" s="16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</row>
    <row r="29" spans="1:31" s="170" customFormat="1">
      <c r="A29" s="171" t="str">
        <f>Estimate!A28</f>
        <v>Technical consultancy</v>
      </c>
      <c r="B29" s="166">
        <f>Estimate!B28</f>
        <v>0</v>
      </c>
      <c r="C29" s="232">
        <f>Actual!B28</f>
        <v>0</v>
      </c>
      <c r="D29" s="167" t="e">
        <f t="shared" ref="D29:D35" si="11">(B29-C29)/B29*-1</f>
        <v>#DIV/0!</v>
      </c>
      <c r="E29" s="137">
        <f>Estimate!C28</f>
        <v>0</v>
      </c>
      <c r="F29" s="225">
        <f>Actual!C28</f>
        <v>0</v>
      </c>
      <c r="G29" s="167" t="e">
        <f t="shared" si="7"/>
        <v>#DIV/0!</v>
      </c>
      <c r="H29" s="166">
        <f>Estimate!D28</f>
        <v>0</v>
      </c>
      <c r="I29" s="232">
        <f>Actual!D28</f>
        <v>0</v>
      </c>
      <c r="J29" s="167" t="e">
        <f t="shared" si="8"/>
        <v>#DIV/0!</v>
      </c>
      <c r="K29" s="166">
        <f>Estimate!E28</f>
        <v>0</v>
      </c>
      <c r="L29" s="232">
        <f>Actual!E28</f>
        <v>0</v>
      </c>
      <c r="M29" s="167" t="e">
        <f t="shared" si="9"/>
        <v>#DIV/0!</v>
      </c>
      <c r="N29" s="243">
        <f t="shared" si="6"/>
        <v>0</v>
      </c>
      <c r="O29" s="244">
        <f t="shared" si="6"/>
        <v>0</v>
      </c>
      <c r="P29" s="264" t="e">
        <f t="shared" si="10"/>
        <v>#DIV/0!</v>
      </c>
      <c r="Q29" s="166"/>
      <c r="R29" s="137"/>
      <c r="S29" s="16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</row>
    <row r="30" spans="1:31" s="170" customFormat="1">
      <c r="A30" s="171" t="str">
        <f>Estimate!A29</f>
        <v>Operation back-up</v>
      </c>
      <c r="B30" s="166">
        <f>Estimate!B29</f>
        <v>0</v>
      </c>
      <c r="C30" s="232">
        <f>Actual!B29</f>
        <v>0</v>
      </c>
      <c r="D30" s="167" t="e">
        <f t="shared" si="11"/>
        <v>#DIV/0!</v>
      </c>
      <c r="E30" s="137">
        <f>Estimate!C29</f>
        <v>0</v>
      </c>
      <c r="F30" s="225">
        <f>Actual!C29</f>
        <v>0</v>
      </c>
      <c r="G30" s="167" t="e">
        <f t="shared" si="7"/>
        <v>#DIV/0!</v>
      </c>
      <c r="H30" s="166">
        <f>Estimate!D29</f>
        <v>0</v>
      </c>
      <c r="I30" s="232">
        <f>Actual!D29</f>
        <v>0</v>
      </c>
      <c r="J30" s="167" t="e">
        <f t="shared" si="8"/>
        <v>#DIV/0!</v>
      </c>
      <c r="K30" s="166">
        <f>Estimate!E29</f>
        <v>0</v>
      </c>
      <c r="L30" s="232">
        <f>Actual!E29</f>
        <v>0</v>
      </c>
      <c r="M30" s="167" t="e">
        <f t="shared" si="9"/>
        <v>#DIV/0!</v>
      </c>
      <c r="N30" s="243">
        <f t="shared" si="6"/>
        <v>0</v>
      </c>
      <c r="O30" s="244">
        <f t="shared" si="6"/>
        <v>0</v>
      </c>
      <c r="P30" s="264" t="e">
        <f t="shared" si="10"/>
        <v>#DIV/0!</v>
      </c>
      <c r="Q30" s="166"/>
      <c r="R30" s="137"/>
      <c r="S30" s="16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</row>
    <row r="31" spans="1:31" s="170" customFormat="1">
      <c r="A31" s="171" t="str">
        <f>Estimate!A30</f>
        <v>Book keeping, audit</v>
      </c>
      <c r="B31" s="166">
        <f>Estimate!B30</f>
        <v>0</v>
      </c>
      <c r="C31" s="232">
        <f>Actual!B30</f>
        <v>0</v>
      </c>
      <c r="D31" s="167" t="e">
        <f t="shared" si="11"/>
        <v>#DIV/0!</v>
      </c>
      <c r="E31" s="137">
        <f>Estimate!C30</f>
        <v>0</v>
      </c>
      <c r="F31" s="225">
        <f>Actual!C30</f>
        <v>0</v>
      </c>
      <c r="G31" s="167" t="e">
        <f t="shared" si="7"/>
        <v>#DIV/0!</v>
      </c>
      <c r="H31" s="166">
        <f>Estimate!D30</f>
        <v>0</v>
      </c>
      <c r="I31" s="232">
        <f>Actual!D30</f>
        <v>0</v>
      </c>
      <c r="J31" s="167" t="e">
        <f t="shared" si="8"/>
        <v>#DIV/0!</v>
      </c>
      <c r="K31" s="166">
        <f>Estimate!E30</f>
        <v>0</v>
      </c>
      <c r="L31" s="232">
        <f>Actual!E30</f>
        <v>0</v>
      </c>
      <c r="M31" s="167" t="e">
        <f t="shared" si="9"/>
        <v>#DIV/0!</v>
      </c>
      <c r="N31" s="243">
        <f t="shared" si="6"/>
        <v>0</v>
      </c>
      <c r="O31" s="244">
        <f t="shared" si="6"/>
        <v>0</v>
      </c>
      <c r="P31" s="264" t="e">
        <f t="shared" si="10"/>
        <v>#DIV/0!</v>
      </c>
      <c r="Q31" s="166"/>
      <c r="R31" s="137"/>
      <c r="S31" s="16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</row>
    <row r="32" spans="1:31" s="170" customFormat="1">
      <c r="A32" s="171" t="str">
        <f>Estimate!A31</f>
        <v>Others</v>
      </c>
      <c r="B32" s="166">
        <f>Estimate!B31</f>
        <v>0</v>
      </c>
      <c r="C32" s="233">
        <f>Actual!B31</f>
        <v>0</v>
      </c>
      <c r="D32" s="167" t="e">
        <f t="shared" si="11"/>
        <v>#DIV/0!</v>
      </c>
      <c r="E32" s="172">
        <f>Estimate!C31</f>
        <v>0</v>
      </c>
      <c r="F32" s="225">
        <f>Actual!C31</f>
        <v>0</v>
      </c>
      <c r="G32" s="167" t="e">
        <f t="shared" si="7"/>
        <v>#DIV/0!</v>
      </c>
      <c r="H32" s="166">
        <f>Estimate!D31</f>
        <v>0</v>
      </c>
      <c r="I32" s="232">
        <f>Actual!D31</f>
        <v>0</v>
      </c>
      <c r="J32" s="167" t="e">
        <f t="shared" si="8"/>
        <v>#DIV/0!</v>
      </c>
      <c r="K32" s="166">
        <f>Estimate!E31</f>
        <v>0</v>
      </c>
      <c r="L32" s="233">
        <f>Actual!E31</f>
        <v>0</v>
      </c>
      <c r="M32" s="167" t="e">
        <f t="shared" si="9"/>
        <v>#DIV/0!</v>
      </c>
      <c r="N32" s="245">
        <f t="shared" si="6"/>
        <v>0</v>
      </c>
      <c r="O32" s="244">
        <f t="shared" si="6"/>
        <v>0</v>
      </c>
      <c r="P32" s="264" t="e">
        <f t="shared" si="10"/>
        <v>#DIV/0!</v>
      </c>
      <c r="Q32" s="166"/>
      <c r="R32" s="137"/>
      <c r="S32" s="16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</row>
    <row r="33" spans="1:31" s="174" customFormat="1">
      <c r="A33" s="173" t="str">
        <f>Estimate!A32</f>
        <v>Total</v>
      </c>
      <c r="B33" s="166">
        <f>Estimate!B32</f>
        <v>0</v>
      </c>
      <c r="C33" s="232">
        <f>Actual!B32</f>
        <v>0</v>
      </c>
      <c r="D33" s="167" t="e">
        <f t="shared" si="11"/>
        <v>#DIV/0!</v>
      </c>
      <c r="E33" s="137">
        <f>Estimate!C32</f>
        <v>0</v>
      </c>
      <c r="F33" s="225">
        <f>Actual!C32</f>
        <v>0</v>
      </c>
      <c r="G33" s="167" t="e">
        <f t="shared" si="7"/>
        <v>#DIV/0!</v>
      </c>
      <c r="H33" s="166">
        <f>Estimate!D32</f>
        <v>0</v>
      </c>
      <c r="I33" s="232">
        <f>Actual!D32</f>
        <v>0</v>
      </c>
      <c r="J33" s="167" t="e">
        <f t="shared" si="8"/>
        <v>#DIV/0!</v>
      </c>
      <c r="K33" s="166">
        <f>Estimate!E32</f>
        <v>0</v>
      </c>
      <c r="L33" s="232">
        <f>Actual!E32</f>
        <v>0</v>
      </c>
      <c r="M33" s="167" t="e">
        <f t="shared" si="9"/>
        <v>#DIV/0!</v>
      </c>
      <c r="N33" s="243">
        <f t="shared" si="6"/>
        <v>0</v>
      </c>
      <c r="O33" s="244">
        <f t="shared" si="6"/>
        <v>0</v>
      </c>
      <c r="P33" s="264" t="e">
        <f t="shared" si="10"/>
        <v>#DIV/0!</v>
      </c>
      <c r="Q33" s="166"/>
      <c r="R33" s="137"/>
      <c r="S33" s="16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</row>
    <row r="34" spans="1:31" s="170" customFormat="1">
      <c r="A34" s="171">
        <f>Estimate!A33</f>
        <v>0</v>
      </c>
      <c r="B34" s="166">
        <f>Estimate!B33</f>
        <v>0</v>
      </c>
      <c r="C34" s="233">
        <f>Actual!B33</f>
        <v>0</v>
      </c>
      <c r="D34" s="167"/>
      <c r="E34" s="172">
        <f>Estimate!C33</f>
        <v>0</v>
      </c>
      <c r="F34" s="225">
        <f>Actual!C33</f>
        <v>0</v>
      </c>
      <c r="G34" s="167"/>
      <c r="H34" s="166">
        <f>Estimate!D33</f>
        <v>0</v>
      </c>
      <c r="I34" s="232">
        <f>Actual!D33</f>
        <v>0</v>
      </c>
      <c r="J34" s="167"/>
      <c r="K34" s="166">
        <f>Estimate!E33</f>
        <v>0</v>
      </c>
      <c r="L34" s="233">
        <f>Actual!E33</f>
        <v>0</v>
      </c>
      <c r="M34" s="167"/>
      <c r="N34" s="245">
        <f t="shared" si="6"/>
        <v>0</v>
      </c>
      <c r="O34" s="244">
        <f t="shared" si="6"/>
        <v>0</v>
      </c>
      <c r="P34" s="264"/>
      <c r="Q34" s="166"/>
      <c r="R34" s="137"/>
      <c r="S34" s="167"/>
      <c r="T34" s="137"/>
      <c r="U34" s="169"/>
      <c r="V34" s="137"/>
      <c r="W34" s="137"/>
      <c r="X34" s="137"/>
      <c r="Y34" s="137"/>
      <c r="Z34" s="169"/>
      <c r="AA34" s="137"/>
      <c r="AB34" s="137"/>
      <c r="AC34" s="137"/>
      <c r="AD34" s="137"/>
      <c r="AE34" s="169"/>
    </row>
    <row r="35" spans="1:31" s="174" customFormat="1">
      <c r="A35" s="181" t="str">
        <f>Estimate!A34</f>
        <v>Operating Profit</v>
      </c>
      <c r="B35" s="182">
        <f>Estimate!B34</f>
        <v>0</v>
      </c>
      <c r="C35" s="235">
        <f>Actual!B34</f>
        <v>0</v>
      </c>
      <c r="D35" s="155" t="e">
        <f t="shared" si="11"/>
        <v>#DIV/0!</v>
      </c>
      <c r="E35" s="183">
        <f>Estimate!C34</f>
        <v>0</v>
      </c>
      <c r="F35" s="227">
        <f>Actual!C34</f>
        <v>0</v>
      </c>
      <c r="G35" s="155" t="e">
        <f t="shared" si="7"/>
        <v>#DIV/0!</v>
      </c>
      <c r="H35" s="182">
        <f>Estimate!D34</f>
        <v>0</v>
      </c>
      <c r="I35" s="238">
        <f>Actual!D34</f>
        <v>0</v>
      </c>
      <c r="J35" s="155" t="e">
        <f t="shared" si="8"/>
        <v>#DIV/0!</v>
      </c>
      <c r="K35" s="182">
        <f>Estimate!E34</f>
        <v>0</v>
      </c>
      <c r="L35" s="235">
        <f>Actual!E34</f>
        <v>0</v>
      </c>
      <c r="M35" s="155" t="e">
        <f t="shared" si="9"/>
        <v>#DIV/0!</v>
      </c>
      <c r="N35" s="248">
        <f t="shared" si="6"/>
        <v>0</v>
      </c>
      <c r="O35" s="249">
        <f t="shared" si="6"/>
        <v>0</v>
      </c>
      <c r="P35" s="263" t="e">
        <f t="shared" si="10"/>
        <v>#DIV/0!</v>
      </c>
      <c r="Q35" s="182"/>
      <c r="R35" s="184"/>
      <c r="S35" s="155"/>
      <c r="T35" s="184"/>
      <c r="U35" s="185"/>
      <c r="V35" s="184"/>
      <c r="W35" s="184"/>
      <c r="X35" s="184"/>
      <c r="Y35" s="184"/>
      <c r="Z35" s="185"/>
      <c r="AA35" s="184"/>
      <c r="AB35" s="184"/>
      <c r="AC35" s="184"/>
      <c r="AD35" s="184"/>
      <c r="AE35" s="185"/>
    </row>
    <row r="36" spans="1:31" s="180" customFormat="1">
      <c r="A36" s="186">
        <f>Estimate!A35</f>
        <v>0</v>
      </c>
      <c r="B36" s="176">
        <f>Estimate!B35</f>
        <v>0</v>
      </c>
      <c r="C36" s="234">
        <f>Actual!B35</f>
        <v>0</v>
      </c>
      <c r="D36" s="178"/>
      <c r="E36" s="177">
        <f>Estimate!C35</f>
        <v>0</v>
      </c>
      <c r="F36" s="226">
        <f>Actual!C35</f>
        <v>0</v>
      </c>
      <c r="G36" s="178"/>
      <c r="H36" s="176">
        <f>Estimate!D35</f>
        <v>0</v>
      </c>
      <c r="I36" s="234">
        <f>Actual!D35</f>
        <v>0</v>
      </c>
      <c r="J36" s="178"/>
      <c r="K36" s="176">
        <f>Estimate!E35</f>
        <v>0</v>
      </c>
      <c r="L36" s="234">
        <f>Actual!E35</f>
        <v>0</v>
      </c>
      <c r="M36" s="178"/>
      <c r="N36" s="246">
        <f t="shared" si="6"/>
        <v>0</v>
      </c>
      <c r="O36" s="247">
        <f t="shared" si="6"/>
        <v>0</v>
      </c>
      <c r="P36" s="265"/>
      <c r="Q36" s="176"/>
      <c r="R36" s="177"/>
      <c r="S36" s="178"/>
      <c r="T36" s="177"/>
      <c r="U36" s="179"/>
      <c r="V36" s="177"/>
      <c r="W36" s="177"/>
      <c r="X36" s="177"/>
      <c r="Y36" s="177"/>
      <c r="Z36" s="179"/>
      <c r="AA36" s="177"/>
      <c r="AB36" s="177"/>
      <c r="AC36" s="177"/>
      <c r="AD36" s="177"/>
      <c r="AE36" s="179"/>
    </row>
    <row r="37" spans="1:31" s="170" customFormat="1">
      <c r="A37" s="173" t="str">
        <f>Estimate!A36</f>
        <v>Depreciation</v>
      </c>
      <c r="B37" s="166">
        <f>Estimate!B36</f>
        <v>0</v>
      </c>
      <c r="C37" s="232">
        <f>Actual!B36</f>
        <v>0</v>
      </c>
      <c r="D37" s="167"/>
      <c r="E37" s="137">
        <f>Estimate!C36</f>
        <v>0</v>
      </c>
      <c r="F37" s="225">
        <f>Actual!C36</f>
        <v>0</v>
      </c>
      <c r="G37" s="167"/>
      <c r="H37" s="166">
        <f>Estimate!D36</f>
        <v>0</v>
      </c>
      <c r="I37" s="232">
        <f>Actual!D36</f>
        <v>0</v>
      </c>
      <c r="J37" s="167"/>
      <c r="K37" s="166">
        <f>Estimate!E36</f>
        <v>0</v>
      </c>
      <c r="L37" s="232">
        <f>Actual!E36</f>
        <v>0</v>
      </c>
      <c r="M37" s="167"/>
      <c r="N37" s="243">
        <f t="shared" si="6"/>
        <v>0</v>
      </c>
      <c r="O37" s="244">
        <f t="shared" si="6"/>
        <v>0</v>
      </c>
      <c r="P37" s="264"/>
      <c r="Q37" s="166"/>
      <c r="R37" s="137"/>
      <c r="S37" s="167"/>
      <c r="T37" s="137"/>
      <c r="U37" s="169"/>
      <c r="V37" s="137"/>
      <c r="W37" s="137"/>
      <c r="X37" s="137"/>
      <c r="Y37" s="137"/>
      <c r="Z37" s="169"/>
      <c r="AA37" s="137"/>
      <c r="AB37" s="137"/>
      <c r="AC37" s="137"/>
      <c r="AD37" s="137"/>
      <c r="AE37" s="169"/>
    </row>
    <row r="38" spans="1:31" s="170" customFormat="1">
      <c r="A38" s="187" t="str">
        <f>Estimate!A37</f>
        <v>Fixed assets</v>
      </c>
      <c r="B38" s="188">
        <f>Estimate!B37</f>
        <v>0</v>
      </c>
      <c r="C38" s="233">
        <f>Actual!B37</f>
        <v>0</v>
      </c>
      <c r="D38" s="167"/>
      <c r="E38" s="189">
        <f>Estimate!C37</f>
        <v>0</v>
      </c>
      <c r="F38" s="225">
        <f>Actual!C37</f>
        <v>0</v>
      </c>
      <c r="G38" s="167"/>
      <c r="H38" s="188">
        <f>Estimate!D37</f>
        <v>0</v>
      </c>
      <c r="I38" s="232">
        <f>Actual!D37</f>
        <v>0</v>
      </c>
      <c r="J38" s="167"/>
      <c r="K38" s="188">
        <f>Estimate!E37</f>
        <v>0</v>
      </c>
      <c r="L38" s="233">
        <f>Actual!E37</f>
        <v>0</v>
      </c>
      <c r="M38" s="167"/>
      <c r="N38" s="250">
        <f t="shared" si="6"/>
        <v>0</v>
      </c>
      <c r="O38" s="244">
        <f t="shared" si="6"/>
        <v>0</v>
      </c>
      <c r="P38" s="264"/>
      <c r="Q38" s="188"/>
      <c r="R38" s="137"/>
      <c r="S38" s="167"/>
      <c r="T38" s="137"/>
      <c r="U38" s="169"/>
      <c r="V38" s="190"/>
      <c r="W38" s="137"/>
      <c r="X38" s="137"/>
      <c r="Y38" s="137"/>
      <c r="Z38" s="169"/>
      <c r="AA38" s="190"/>
      <c r="AB38" s="137"/>
      <c r="AC38" s="137"/>
      <c r="AD38" s="137"/>
      <c r="AE38" s="169"/>
    </row>
    <row r="39" spans="1:31" s="174" customFormat="1">
      <c r="A39" s="173" t="str">
        <f>Estimate!A38</f>
        <v>Total</v>
      </c>
      <c r="B39" s="166">
        <f>Estimate!B38</f>
        <v>0</v>
      </c>
      <c r="C39" s="232">
        <f>Actual!B38</f>
        <v>0</v>
      </c>
      <c r="D39" s="167"/>
      <c r="E39" s="137">
        <f>Estimate!C38</f>
        <v>0</v>
      </c>
      <c r="F39" s="225">
        <f>Actual!C38</f>
        <v>0</v>
      </c>
      <c r="G39" s="167"/>
      <c r="H39" s="166">
        <f>Estimate!D38</f>
        <v>0</v>
      </c>
      <c r="I39" s="232">
        <f>Actual!D38</f>
        <v>0</v>
      </c>
      <c r="J39" s="167"/>
      <c r="K39" s="166">
        <f>Estimate!E38</f>
        <v>0</v>
      </c>
      <c r="L39" s="232">
        <f>Actual!E38</f>
        <v>0</v>
      </c>
      <c r="M39" s="167"/>
      <c r="N39" s="243">
        <f t="shared" si="6"/>
        <v>0</v>
      </c>
      <c r="O39" s="244">
        <f t="shared" si="6"/>
        <v>0</v>
      </c>
      <c r="P39" s="264"/>
      <c r="Q39" s="166"/>
      <c r="R39" s="137"/>
      <c r="S39" s="167"/>
      <c r="T39" s="137"/>
      <c r="U39" s="169"/>
      <c r="V39" s="137"/>
      <c r="W39" s="137"/>
      <c r="X39" s="137"/>
      <c r="Y39" s="137"/>
      <c r="Z39" s="169"/>
      <c r="AA39" s="137"/>
      <c r="AB39" s="137"/>
      <c r="AC39" s="137"/>
      <c r="AD39" s="137"/>
      <c r="AE39" s="169"/>
    </row>
    <row r="40" spans="1:31" s="180" customFormat="1">
      <c r="A40" s="171">
        <f>Estimate!A39</f>
        <v>0</v>
      </c>
      <c r="B40" s="166">
        <f>Estimate!B39</f>
        <v>0</v>
      </c>
      <c r="C40" s="233">
        <f>Actual!B39</f>
        <v>0</v>
      </c>
      <c r="D40" s="167"/>
      <c r="E40" s="172">
        <f>Estimate!C39</f>
        <v>0</v>
      </c>
      <c r="F40" s="225">
        <f>Actual!C39</f>
        <v>0</v>
      </c>
      <c r="G40" s="167"/>
      <c r="H40" s="166">
        <f>Estimate!D39</f>
        <v>0</v>
      </c>
      <c r="I40" s="232">
        <f>Actual!D39</f>
        <v>0</v>
      </c>
      <c r="J40" s="167"/>
      <c r="K40" s="166">
        <f>Estimate!E39</f>
        <v>0</v>
      </c>
      <c r="L40" s="233">
        <f>Actual!E39</f>
        <v>0</v>
      </c>
      <c r="M40" s="167"/>
      <c r="N40" s="245">
        <f t="shared" si="6"/>
        <v>0</v>
      </c>
      <c r="O40" s="244">
        <f t="shared" si="6"/>
        <v>0</v>
      </c>
      <c r="P40" s="264"/>
      <c r="Q40" s="166"/>
      <c r="R40" s="137"/>
      <c r="S40" s="167"/>
      <c r="T40" s="137"/>
      <c r="U40" s="169"/>
      <c r="V40" s="137"/>
      <c r="W40" s="137"/>
      <c r="X40" s="137"/>
      <c r="Y40" s="137"/>
      <c r="Z40" s="169"/>
      <c r="AA40" s="137"/>
      <c r="AB40" s="137"/>
      <c r="AC40" s="137"/>
      <c r="AD40" s="137"/>
      <c r="AE40" s="169"/>
    </row>
    <row r="41" spans="1:31" s="174" customFormat="1">
      <c r="A41" s="181" t="str">
        <f>Estimate!A40</f>
        <v>Profit before finance</v>
      </c>
      <c r="B41" s="182">
        <f>Estimate!B40</f>
        <v>0</v>
      </c>
      <c r="C41" s="235">
        <f>Actual!B40</f>
        <v>0</v>
      </c>
      <c r="D41" s="155" t="e">
        <f>D26+D36+D40</f>
        <v>#DIV/0!</v>
      </c>
      <c r="E41" s="183">
        <f>Estimate!C40</f>
        <v>0</v>
      </c>
      <c r="F41" s="227">
        <f>Actual!C40</f>
        <v>0</v>
      </c>
      <c r="G41" s="155" t="e">
        <f>G26+G36+G40</f>
        <v>#DIV/0!</v>
      </c>
      <c r="H41" s="182">
        <f>Estimate!D40</f>
        <v>0</v>
      </c>
      <c r="I41" s="238">
        <f>Actual!D40</f>
        <v>0</v>
      </c>
      <c r="J41" s="155" t="e">
        <f>J26+J36+J40</f>
        <v>#DIV/0!</v>
      </c>
      <c r="K41" s="182">
        <f>Estimate!E40</f>
        <v>0</v>
      </c>
      <c r="L41" s="235">
        <f>Actual!E40</f>
        <v>0</v>
      </c>
      <c r="M41" s="155" t="e">
        <f>M26+M36+M40</f>
        <v>#DIV/0!</v>
      </c>
      <c r="N41" s="248">
        <f t="shared" si="6"/>
        <v>0</v>
      </c>
      <c r="O41" s="249">
        <f t="shared" si="6"/>
        <v>0</v>
      </c>
      <c r="P41" s="263" t="e">
        <f>P26+P36+P40</f>
        <v>#DIV/0!</v>
      </c>
      <c r="Q41" s="182"/>
      <c r="R41" s="184"/>
      <c r="S41" s="155"/>
      <c r="T41" s="184"/>
      <c r="U41" s="185"/>
      <c r="V41" s="184"/>
      <c r="W41" s="184"/>
      <c r="X41" s="184"/>
      <c r="Y41" s="184"/>
      <c r="Z41" s="185"/>
      <c r="AA41" s="184"/>
      <c r="AB41" s="184"/>
      <c r="AC41" s="184"/>
      <c r="AD41" s="184"/>
      <c r="AE41" s="185"/>
    </row>
    <row r="42" spans="1:31" s="180" customFormat="1">
      <c r="A42" s="186">
        <f>Estimate!A41</f>
        <v>0</v>
      </c>
      <c r="B42" s="176">
        <f>Estimate!B41</f>
        <v>0</v>
      </c>
      <c r="C42" s="234">
        <f>Actual!B41</f>
        <v>0</v>
      </c>
      <c r="D42" s="178"/>
      <c r="E42" s="177">
        <f>Estimate!C41</f>
        <v>0</v>
      </c>
      <c r="F42" s="226">
        <f>Actual!C41</f>
        <v>0</v>
      </c>
      <c r="G42" s="178"/>
      <c r="H42" s="176">
        <f>Estimate!D41</f>
        <v>0</v>
      </c>
      <c r="I42" s="234">
        <f>Actual!D41</f>
        <v>0</v>
      </c>
      <c r="J42" s="178"/>
      <c r="K42" s="176">
        <f>Estimate!E41</f>
        <v>0</v>
      </c>
      <c r="L42" s="234">
        <f>Actual!E41</f>
        <v>0</v>
      </c>
      <c r="M42" s="178"/>
      <c r="N42" s="246">
        <f t="shared" si="6"/>
        <v>0</v>
      </c>
      <c r="O42" s="247">
        <f t="shared" si="6"/>
        <v>0</v>
      </c>
      <c r="P42" s="265"/>
      <c r="Q42" s="176"/>
      <c r="R42" s="177"/>
      <c r="S42" s="178"/>
      <c r="T42" s="177"/>
      <c r="U42" s="179"/>
      <c r="V42" s="177"/>
      <c r="W42" s="177"/>
      <c r="X42" s="177"/>
      <c r="Y42" s="177"/>
      <c r="Z42" s="179"/>
      <c r="AA42" s="177"/>
      <c r="AB42" s="177"/>
      <c r="AC42" s="177"/>
      <c r="AD42" s="177"/>
      <c r="AE42" s="179"/>
    </row>
    <row r="43" spans="1:31" s="170" customFormat="1">
      <c r="A43" s="173" t="str">
        <f>Estimate!A42</f>
        <v>Financial income and cost</v>
      </c>
      <c r="B43" s="166">
        <f>Estimate!B42</f>
        <v>0</v>
      </c>
      <c r="C43" s="232">
        <f>Actual!B42</f>
        <v>0</v>
      </c>
      <c r="D43" s="167" t="e">
        <f>(B43-C43)/B43*-1</f>
        <v>#DIV/0!</v>
      </c>
      <c r="E43" s="137">
        <f>Estimate!C42</f>
        <v>0</v>
      </c>
      <c r="F43" s="225">
        <f>Actual!C42</f>
        <v>0</v>
      </c>
      <c r="G43" s="167" t="e">
        <f>(E43-F43)/E43*-1</f>
        <v>#DIV/0!</v>
      </c>
      <c r="H43" s="166">
        <f>Estimate!D42</f>
        <v>0</v>
      </c>
      <c r="I43" s="232">
        <f>Actual!D42</f>
        <v>0</v>
      </c>
      <c r="J43" s="167" t="e">
        <f>(H43-I43)/H43*-1</f>
        <v>#DIV/0!</v>
      </c>
      <c r="K43" s="166">
        <f>Estimate!E42</f>
        <v>0</v>
      </c>
      <c r="L43" s="232">
        <f>Actual!E42</f>
        <v>0</v>
      </c>
      <c r="M43" s="167" t="e">
        <f>(K43-L43)/K43*-1</f>
        <v>#DIV/0!</v>
      </c>
      <c r="N43" s="243">
        <f t="shared" si="6"/>
        <v>0</v>
      </c>
      <c r="O43" s="244">
        <f t="shared" si="6"/>
        <v>0</v>
      </c>
      <c r="P43" s="264" t="e">
        <f>(N43-O43)/N43*-1</f>
        <v>#DIV/0!</v>
      </c>
      <c r="Q43" s="166"/>
      <c r="R43" s="137"/>
      <c r="S43" s="167"/>
      <c r="T43" s="137"/>
      <c r="U43" s="169"/>
      <c r="V43" s="137"/>
      <c r="W43" s="137"/>
      <c r="X43" s="137"/>
      <c r="Y43" s="137"/>
      <c r="Z43" s="169"/>
      <c r="AA43" s="137"/>
      <c r="AB43" s="137"/>
      <c r="AC43" s="137"/>
      <c r="AD43" s="137"/>
      <c r="AE43" s="169"/>
    </row>
    <row r="44" spans="1:31" s="170" customFormat="1">
      <c r="A44" s="187" t="str">
        <f>Estimate!A43</f>
        <v>Owners loan interest</v>
      </c>
      <c r="B44" s="191">
        <f>Estimate!B43</f>
        <v>0</v>
      </c>
      <c r="C44" s="233">
        <f>Actual!B43</f>
        <v>0</v>
      </c>
      <c r="D44" s="167"/>
      <c r="E44" s="192">
        <f>Estimate!C43</f>
        <v>0</v>
      </c>
      <c r="F44" s="225">
        <f>Actual!C43</f>
        <v>0</v>
      </c>
      <c r="G44" s="167"/>
      <c r="H44" s="191">
        <f>Estimate!D43</f>
        <v>0</v>
      </c>
      <c r="I44" s="232">
        <f>Actual!D43</f>
        <v>0</v>
      </c>
      <c r="J44" s="167"/>
      <c r="K44" s="191">
        <f>Estimate!E43</f>
        <v>0</v>
      </c>
      <c r="L44" s="233">
        <f>Actual!E43</f>
        <v>0</v>
      </c>
      <c r="M44" s="167"/>
      <c r="N44" s="251">
        <f t="shared" si="6"/>
        <v>0</v>
      </c>
      <c r="O44" s="244">
        <f t="shared" si="6"/>
        <v>0</v>
      </c>
      <c r="P44" s="264"/>
      <c r="Q44" s="191"/>
      <c r="R44" s="137"/>
      <c r="S44" s="167"/>
      <c r="T44" s="137"/>
      <c r="U44" s="169"/>
      <c r="V44" s="193"/>
      <c r="W44" s="137"/>
      <c r="X44" s="137"/>
      <c r="Y44" s="137"/>
      <c r="Z44" s="169"/>
      <c r="AA44" s="193"/>
      <c r="AB44" s="137"/>
      <c r="AC44" s="137"/>
      <c r="AD44" s="137"/>
      <c r="AE44" s="169"/>
    </row>
    <row r="45" spans="1:31" s="170" customFormat="1" hidden="1">
      <c r="A45" s="187"/>
      <c r="B45" s="191"/>
      <c r="C45" s="233"/>
      <c r="D45" s="167"/>
      <c r="E45" s="192"/>
      <c r="F45" s="225"/>
      <c r="G45" s="167"/>
      <c r="H45" s="191"/>
      <c r="I45" s="232"/>
      <c r="J45" s="167"/>
      <c r="K45" s="191"/>
      <c r="L45" s="233"/>
      <c r="M45" s="167"/>
      <c r="N45" s="251"/>
      <c r="O45" s="244"/>
      <c r="P45" s="264"/>
      <c r="Q45" s="191"/>
      <c r="R45" s="137"/>
      <c r="S45" s="167"/>
      <c r="T45" s="137"/>
      <c r="U45" s="169"/>
      <c r="V45" s="193"/>
      <c r="W45" s="137"/>
      <c r="X45" s="137"/>
      <c r="Y45" s="137"/>
      <c r="Z45" s="169"/>
      <c r="AA45" s="193"/>
      <c r="AB45" s="137"/>
      <c r="AC45" s="137"/>
      <c r="AD45" s="137"/>
      <c r="AE45" s="169"/>
    </row>
    <row r="46" spans="1:31" s="170" customFormat="1" hidden="1">
      <c r="A46" s="171"/>
      <c r="B46" s="166"/>
      <c r="C46" s="233"/>
      <c r="D46" s="167"/>
      <c r="E46" s="172"/>
      <c r="F46" s="225"/>
      <c r="G46" s="167"/>
      <c r="H46" s="166"/>
      <c r="I46" s="232"/>
      <c r="J46" s="167"/>
      <c r="K46" s="166"/>
      <c r="L46" s="233"/>
      <c r="M46" s="167"/>
      <c r="N46" s="245"/>
      <c r="O46" s="244"/>
      <c r="P46" s="264"/>
      <c r="Q46" s="166"/>
      <c r="R46" s="137"/>
      <c r="S46" s="167"/>
      <c r="T46" s="137"/>
      <c r="U46" s="169"/>
      <c r="V46" s="137"/>
      <c r="W46" s="137"/>
      <c r="X46" s="137"/>
      <c r="Y46" s="137"/>
      <c r="Z46" s="169"/>
      <c r="AA46" s="137"/>
      <c r="AB46" s="137"/>
      <c r="AC46" s="137"/>
      <c r="AD46" s="137"/>
      <c r="AE46" s="169"/>
    </row>
    <row r="47" spans="1:31" s="170" customFormat="1" hidden="1">
      <c r="A47" s="171"/>
      <c r="B47" s="166"/>
      <c r="C47" s="233"/>
      <c r="D47" s="167"/>
      <c r="E47" s="172"/>
      <c r="F47" s="225"/>
      <c r="G47" s="167"/>
      <c r="H47" s="166"/>
      <c r="I47" s="232"/>
      <c r="J47" s="167"/>
      <c r="K47" s="166"/>
      <c r="L47" s="233"/>
      <c r="M47" s="167"/>
      <c r="N47" s="245"/>
      <c r="O47" s="244"/>
      <c r="P47" s="264"/>
      <c r="Q47" s="166"/>
      <c r="R47" s="137"/>
      <c r="S47" s="167"/>
      <c r="T47" s="137"/>
      <c r="U47" s="169"/>
      <c r="V47" s="137"/>
      <c r="W47" s="137"/>
      <c r="X47" s="137"/>
      <c r="Y47" s="137"/>
      <c r="Z47" s="169"/>
      <c r="AA47" s="137"/>
      <c r="AB47" s="137"/>
      <c r="AC47" s="137"/>
      <c r="AD47" s="137"/>
      <c r="AE47" s="169"/>
    </row>
    <row r="48" spans="1:31" s="170" customFormat="1">
      <c r="A48" s="171" t="str">
        <f>Estimate!A44</f>
        <v>Other</v>
      </c>
      <c r="B48" s="166">
        <f>Estimate!B44</f>
        <v>0</v>
      </c>
      <c r="C48" s="233">
        <f>Actual!B44</f>
        <v>0</v>
      </c>
      <c r="D48" s="167" t="e">
        <f>(B48-C48)/B48*-1</f>
        <v>#DIV/0!</v>
      </c>
      <c r="E48" s="172">
        <f>Estimate!C44</f>
        <v>0</v>
      </c>
      <c r="F48" s="225">
        <f>Actual!C44</f>
        <v>0</v>
      </c>
      <c r="G48" s="167" t="e">
        <f>(E48-F48)/E48*-1</f>
        <v>#DIV/0!</v>
      </c>
      <c r="H48" s="166">
        <f>Estimate!D44</f>
        <v>0</v>
      </c>
      <c r="I48" s="232">
        <f>Actual!D44</f>
        <v>0</v>
      </c>
      <c r="J48" s="167" t="e">
        <f>(H48-I48)/H48*-1</f>
        <v>#DIV/0!</v>
      </c>
      <c r="K48" s="166">
        <f>Estimate!E44</f>
        <v>0</v>
      </c>
      <c r="L48" s="233">
        <f>Actual!E44</f>
        <v>0</v>
      </c>
      <c r="M48" s="167" t="e">
        <f>(K48-L48)/K48*-1</f>
        <v>#DIV/0!</v>
      </c>
      <c r="N48" s="245">
        <f t="shared" si="6"/>
        <v>0</v>
      </c>
      <c r="O48" s="244">
        <f t="shared" si="6"/>
        <v>0</v>
      </c>
      <c r="P48" s="264" t="e">
        <f>(N48-O48)/N48*-1</f>
        <v>#DIV/0!</v>
      </c>
      <c r="Q48" s="166"/>
      <c r="R48" s="137"/>
      <c r="S48" s="167"/>
      <c r="T48" s="137"/>
      <c r="U48" s="169"/>
      <c r="V48" s="137"/>
      <c r="W48" s="137"/>
      <c r="X48" s="137"/>
      <c r="Y48" s="137"/>
      <c r="Z48" s="169"/>
      <c r="AA48" s="137"/>
      <c r="AB48" s="137"/>
      <c r="AC48" s="137"/>
      <c r="AD48" s="137"/>
      <c r="AE48" s="169"/>
    </row>
    <row r="49" spans="1:31" s="174" customFormat="1">
      <c r="A49" s="173" t="str">
        <f>Estimate!A45</f>
        <v>Total</v>
      </c>
      <c r="B49" s="166">
        <f>Estimate!B45</f>
        <v>0</v>
      </c>
      <c r="C49" s="232">
        <f>Actual!B45</f>
        <v>0</v>
      </c>
      <c r="D49" s="167" t="e">
        <f>(B49-C49)/B49*-1</f>
        <v>#DIV/0!</v>
      </c>
      <c r="E49" s="137">
        <f>Estimate!C45</f>
        <v>0</v>
      </c>
      <c r="F49" s="225">
        <f>Actual!C45</f>
        <v>0</v>
      </c>
      <c r="G49" s="167" t="e">
        <f>(E49-F49)/E49*-1</f>
        <v>#DIV/0!</v>
      </c>
      <c r="H49" s="166">
        <f>Estimate!D45</f>
        <v>0</v>
      </c>
      <c r="I49" s="232">
        <f>Actual!D45</f>
        <v>0</v>
      </c>
      <c r="J49" s="167" t="e">
        <f>(H49-I49)/H49*-1</f>
        <v>#DIV/0!</v>
      </c>
      <c r="K49" s="166">
        <f>Estimate!E45</f>
        <v>0</v>
      </c>
      <c r="L49" s="232">
        <f>Actual!E45</f>
        <v>0</v>
      </c>
      <c r="M49" s="167" t="e">
        <f>(K49-L49)/K49*-1</f>
        <v>#DIV/0!</v>
      </c>
      <c r="N49" s="243">
        <f t="shared" si="6"/>
        <v>0</v>
      </c>
      <c r="O49" s="244">
        <f t="shared" si="6"/>
        <v>0</v>
      </c>
      <c r="P49" s="264" t="e">
        <f>(N49-O49)/N49*-1</f>
        <v>#DIV/0!</v>
      </c>
      <c r="Q49" s="166"/>
      <c r="R49" s="137"/>
      <c r="S49" s="16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</row>
    <row r="50" spans="1:31" s="180" customFormat="1">
      <c r="A50" s="171">
        <f>Estimate!A46</f>
        <v>0</v>
      </c>
      <c r="B50" s="166">
        <f>Estimate!B46</f>
        <v>0</v>
      </c>
      <c r="C50" s="233">
        <f>Actual!B46</f>
        <v>0</v>
      </c>
      <c r="D50" s="167"/>
      <c r="E50" s="172">
        <f>Estimate!C46</f>
        <v>0</v>
      </c>
      <c r="F50" s="225">
        <f>Actual!C46</f>
        <v>0</v>
      </c>
      <c r="G50" s="167"/>
      <c r="H50" s="166">
        <f>Estimate!D46</f>
        <v>0</v>
      </c>
      <c r="I50" s="232">
        <f>Actual!D46</f>
        <v>0</v>
      </c>
      <c r="J50" s="167"/>
      <c r="K50" s="166">
        <f>Estimate!E46</f>
        <v>0</v>
      </c>
      <c r="L50" s="233">
        <f>Actual!E46</f>
        <v>0</v>
      </c>
      <c r="M50" s="167"/>
      <c r="N50" s="245">
        <f t="shared" si="6"/>
        <v>0</v>
      </c>
      <c r="O50" s="244">
        <f t="shared" si="6"/>
        <v>0</v>
      </c>
      <c r="P50" s="264"/>
      <c r="Q50" s="166"/>
      <c r="R50" s="137"/>
      <c r="S50" s="167"/>
      <c r="T50" s="137"/>
      <c r="U50" s="169"/>
      <c r="V50" s="137"/>
      <c r="W50" s="137"/>
      <c r="X50" s="137"/>
      <c r="Y50" s="137"/>
      <c r="Z50" s="169"/>
      <c r="AA50" s="137"/>
      <c r="AB50" s="137"/>
      <c r="AC50" s="137"/>
      <c r="AD50" s="137"/>
      <c r="AE50" s="169"/>
    </row>
    <row r="51" spans="1:31" s="200" customFormat="1" ht="14.25">
      <c r="A51" s="194" t="str">
        <f>Estimate!A47</f>
        <v>Net profit</v>
      </c>
      <c r="B51" s="195">
        <f>Estimate!B47</f>
        <v>0</v>
      </c>
      <c r="C51" s="236">
        <f>Actual!B47</f>
        <v>0</v>
      </c>
      <c r="D51" s="197" t="e">
        <f>(B51-C51)/B51*-1</f>
        <v>#DIV/0!</v>
      </c>
      <c r="E51" s="196">
        <f>Estimate!C47</f>
        <v>0</v>
      </c>
      <c r="F51" s="228">
        <f>Actual!C47</f>
        <v>0</v>
      </c>
      <c r="G51" s="197" t="e">
        <f>(E51-F51)/E51*-1</f>
        <v>#DIV/0!</v>
      </c>
      <c r="H51" s="195">
        <f>Estimate!D47</f>
        <v>0</v>
      </c>
      <c r="I51" s="239">
        <f>Actual!D47</f>
        <v>0</v>
      </c>
      <c r="J51" s="197" t="e">
        <f>(H51-I51)/H51*-1</f>
        <v>#DIV/0!</v>
      </c>
      <c r="K51" s="195">
        <f>Estimate!E47</f>
        <v>0</v>
      </c>
      <c r="L51" s="236">
        <f>Actual!E47</f>
        <v>0</v>
      </c>
      <c r="M51" s="197" t="e">
        <f>(K51-L51)/K51*-1</f>
        <v>#DIV/0!</v>
      </c>
      <c r="N51" s="252">
        <f t="shared" si="6"/>
        <v>0</v>
      </c>
      <c r="O51" s="253">
        <f t="shared" si="6"/>
        <v>0</v>
      </c>
      <c r="P51" s="266" t="e">
        <f>(N51-O51)/N51*-1</f>
        <v>#DIV/0!</v>
      </c>
      <c r="Q51" s="195"/>
      <c r="R51" s="198"/>
      <c r="S51" s="197"/>
      <c r="T51" s="198"/>
      <c r="U51" s="199"/>
      <c r="V51" s="198"/>
      <c r="W51" s="198"/>
      <c r="X51" s="198"/>
      <c r="Y51" s="198"/>
      <c r="Z51" s="199"/>
      <c r="AA51" s="198"/>
      <c r="AB51" s="198"/>
      <c r="AC51" s="198"/>
      <c r="AD51" s="198"/>
      <c r="AE51" s="199"/>
    </row>
    <row r="52" spans="1:31">
      <c r="B52" s="169"/>
      <c r="C52" s="229"/>
      <c r="E52" s="169"/>
      <c r="F52" s="229"/>
      <c r="H52" s="169"/>
      <c r="I52" s="229"/>
      <c r="K52" s="169"/>
      <c r="L52" s="229"/>
      <c r="N52" s="254"/>
      <c r="O52" s="255"/>
      <c r="Q52" s="169"/>
      <c r="R52" s="169"/>
      <c r="T52" s="169"/>
      <c r="U52" s="169"/>
      <c r="W52" s="169"/>
      <c r="X52" s="169"/>
      <c r="Z52" s="169"/>
      <c r="AA52" s="169"/>
      <c r="AC52" s="169"/>
      <c r="AD52" s="201"/>
    </row>
    <row r="53" spans="1:31">
      <c r="B53" s="169"/>
      <c r="C53" s="229"/>
      <c r="E53" s="169"/>
      <c r="F53" s="229"/>
      <c r="H53" s="169"/>
      <c r="I53" s="229"/>
      <c r="K53" s="169"/>
      <c r="L53" s="229"/>
      <c r="N53" s="254"/>
      <c r="Q53" s="169"/>
      <c r="R53" s="169"/>
      <c r="T53" s="169"/>
      <c r="U53" s="169"/>
      <c r="W53" s="169"/>
      <c r="X53" s="169"/>
      <c r="Z53" s="169"/>
      <c r="AA53" s="169"/>
      <c r="AC53" s="169"/>
    </row>
    <row r="54" spans="1:31">
      <c r="B54" s="169"/>
      <c r="C54" s="229"/>
      <c r="E54" s="169"/>
      <c r="F54" s="229"/>
      <c r="H54" s="169"/>
      <c r="I54" s="229"/>
      <c r="K54" s="169"/>
      <c r="L54" s="229"/>
      <c r="N54" s="254"/>
      <c r="Q54" s="169"/>
      <c r="R54" s="169"/>
      <c r="T54" s="169"/>
      <c r="U54" s="169"/>
      <c r="W54" s="169"/>
      <c r="X54" s="169"/>
      <c r="Z54" s="169"/>
      <c r="AA54" s="169"/>
      <c r="AC54" s="169"/>
    </row>
    <row r="55" spans="1:31">
      <c r="B55" s="169"/>
      <c r="C55" s="229"/>
      <c r="E55" s="169"/>
      <c r="F55" s="229"/>
      <c r="H55" s="169"/>
      <c r="I55" s="229"/>
      <c r="K55" s="169"/>
      <c r="L55" s="229"/>
      <c r="N55" s="254"/>
      <c r="Q55" s="169"/>
      <c r="R55" s="169"/>
      <c r="T55" s="169"/>
      <c r="U55" s="169"/>
      <c r="W55" s="169"/>
      <c r="X55" s="169"/>
      <c r="Z55" s="169"/>
      <c r="AA55" s="169"/>
      <c r="AC55" s="169"/>
    </row>
    <row r="56" spans="1:31">
      <c r="B56" s="169"/>
      <c r="C56" s="229"/>
      <c r="E56" s="169"/>
      <c r="F56" s="229"/>
      <c r="H56" s="169"/>
      <c r="I56" s="229"/>
      <c r="K56" s="169"/>
      <c r="L56" s="229"/>
      <c r="N56" s="254"/>
      <c r="Q56" s="169"/>
      <c r="R56" s="169"/>
      <c r="T56" s="169"/>
      <c r="U56" s="169"/>
      <c r="W56" s="169"/>
      <c r="X56" s="169"/>
      <c r="Z56" s="169"/>
      <c r="AA56" s="169"/>
      <c r="AC56" s="169"/>
    </row>
    <row r="57" spans="1:31">
      <c r="B57" s="169"/>
      <c r="C57" s="229"/>
      <c r="E57" s="169"/>
      <c r="F57" s="229"/>
      <c r="H57" s="169"/>
      <c r="I57" s="229"/>
      <c r="K57" s="169"/>
      <c r="L57" s="229"/>
      <c r="N57" s="254"/>
      <c r="Q57" s="169"/>
      <c r="R57" s="169"/>
      <c r="T57" s="169"/>
      <c r="U57" s="169"/>
      <c r="W57" s="169"/>
      <c r="X57" s="169"/>
      <c r="Z57" s="169"/>
      <c r="AA57" s="169"/>
      <c r="AC57" s="169"/>
    </row>
    <row r="58" spans="1:31">
      <c r="B58" s="169"/>
      <c r="C58" s="229"/>
      <c r="E58" s="169"/>
      <c r="F58" s="229"/>
      <c r="H58" s="169"/>
      <c r="I58" s="229"/>
      <c r="K58" s="169"/>
      <c r="L58" s="229"/>
      <c r="N58" s="254"/>
      <c r="Q58" s="169"/>
      <c r="R58" s="169"/>
      <c r="T58" s="169"/>
      <c r="U58" s="169"/>
      <c r="W58" s="169"/>
      <c r="X58" s="169"/>
      <c r="Z58" s="169"/>
      <c r="AA58" s="169"/>
      <c r="AC58" s="169"/>
    </row>
    <row r="59" spans="1:31">
      <c r="B59" s="169"/>
      <c r="C59" s="229"/>
      <c r="E59" s="169"/>
      <c r="F59" s="229"/>
      <c r="H59" s="169"/>
      <c r="I59" s="229"/>
      <c r="K59" s="169"/>
      <c r="L59" s="229"/>
      <c r="N59" s="254"/>
      <c r="Q59" s="169"/>
      <c r="R59" s="169"/>
      <c r="T59" s="169"/>
      <c r="U59" s="169"/>
      <c r="W59" s="169"/>
      <c r="X59" s="169"/>
      <c r="Z59" s="169"/>
      <c r="AA59" s="169"/>
      <c r="AC59" s="169"/>
    </row>
    <row r="60" spans="1:31">
      <c r="B60" s="169"/>
      <c r="C60" s="229"/>
      <c r="E60" s="169"/>
      <c r="F60" s="229"/>
      <c r="H60" s="169"/>
      <c r="I60" s="229"/>
      <c r="K60" s="169"/>
      <c r="L60" s="229"/>
      <c r="N60" s="254"/>
      <c r="Q60" s="169"/>
      <c r="R60" s="169"/>
      <c r="T60" s="169"/>
      <c r="U60" s="169"/>
      <c r="W60" s="169"/>
      <c r="X60" s="169"/>
      <c r="Z60" s="169"/>
      <c r="AA60" s="169"/>
      <c r="AC60" s="169"/>
    </row>
    <row r="61" spans="1:31">
      <c r="B61" s="169"/>
      <c r="C61" s="229"/>
      <c r="E61" s="169"/>
      <c r="F61" s="229"/>
      <c r="H61" s="169"/>
      <c r="I61" s="229"/>
      <c r="K61" s="169"/>
      <c r="L61" s="229"/>
      <c r="N61" s="254"/>
      <c r="Q61" s="169"/>
      <c r="R61" s="169"/>
      <c r="T61" s="169"/>
      <c r="U61" s="169"/>
      <c r="W61" s="169"/>
      <c r="X61" s="169"/>
      <c r="Z61" s="169"/>
      <c r="AA61" s="169"/>
      <c r="AC61" s="169"/>
    </row>
    <row r="62" spans="1:31">
      <c r="B62" s="169"/>
      <c r="C62" s="229"/>
      <c r="E62" s="169"/>
      <c r="F62" s="229"/>
      <c r="H62" s="169"/>
      <c r="I62" s="229"/>
      <c r="K62" s="169"/>
      <c r="L62" s="229"/>
      <c r="N62" s="254"/>
      <c r="Q62" s="169"/>
      <c r="R62" s="169"/>
      <c r="T62" s="169"/>
      <c r="U62" s="169"/>
      <c r="W62" s="169"/>
      <c r="X62" s="169"/>
      <c r="Z62" s="169"/>
      <c r="AA62" s="169"/>
      <c r="AC62" s="169"/>
    </row>
    <row r="63" spans="1:31">
      <c r="B63" s="169"/>
      <c r="C63" s="229"/>
      <c r="E63" s="169"/>
      <c r="F63" s="229"/>
      <c r="H63" s="169"/>
      <c r="I63" s="229"/>
      <c r="K63" s="169"/>
      <c r="L63" s="229"/>
      <c r="N63" s="254"/>
      <c r="Q63" s="169"/>
      <c r="R63" s="169"/>
      <c r="T63" s="169"/>
      <c r="U63" s="169"/>
      <c r="W63" s="169"/>
      <c r="X63" s="169"/>
      <c r="Z63" s="169"/>
      <c r="AA63" s="169"/>
      <c r="AC63" s="169"/>
    </row>
    <row r="64" spans="1:31">
      <c r="B64" s="169"/>
      <c r="C64" s="229"/>
      <c r="E64" s="169"/>
      <c r="F64" s="229"/>
      <c r="H64" s="169"/>
      <c r="I64" s="229"/>
      <c r="K64" s="169"/>
      <c r="L64" s="229"/>
      <c r="N64" s="254"/>
      <c r="Q64" s="169"/>
      <c r="R64" s="169"/>
      <c r="T64" s="169"/>
      <c r="U64" s="169"/>
      <c r="W64" s="169"/>
      <c r="X64" s="169"/>
      <c r="Z64" s="169"/>
      <c r="AA64" s="169"/>
      <c r="AC64" s="169"/>
    </row>
    <row r="65" spans="2:29">
      <c r="B65" s="169"/>
      <c r="C65" s="229"/>
      <c r="E65" s="169"/>
      <c r="F65" s="229"/>
      <c r="H65" s="169"/>
      <c r="I65" s="229"/>
      <c r="K65" s="169"/>
      <c r="L65" s="229"/>
      <c r="N65" s="254"/>
      <c r="Q65" s="169"/>
      <c r="R65" s="169"/>
      <c r="T65" s="169"/>
      <c r="U65" s="169"/>
      <c r="W65" s="169"/>
      <c r="X65" s="169"/>
      <c r="Z65" s="169"/>
      <c r="AA65" s="169"/>
      <c r="AC65" s="169"/>
    </row>
    <row r="66" spans="2:29">
      <c r="B66" s="169"/>
      <c r="C66" s="229"/>
      <c r="E66" s="169"/>
      <c r="F66" s="229"/>
      <c r="H66" s="169"/>
      <c r="I66" s="229"/>
      <c r="K66" s="169"/>
      <c r="L66" s="229"/>
      <c r="N66" s="254"/>
      <c r="Q66" s="169"/>
      <c r="R66" s="169"/>
      <c r="T66" s="169"/>
      <c r="U66" s="169"/>
      <c r="W66" s="169"/>
      <c r="X66" s="169"/>
      <c r="Z66" s="169"/>
      <c r="AA66" s="169"/>
      <c r="AC66" s="169"/>
    </row>
    <row r="67" spans="2:29">
      <c r="B67" s="169"/>
      <c r="C67" s="229"/>
      <c r="E67" s="169"/>
      <c r="F67" s="229"/>
      <c r="H67" s="169"/>
      <c r="I67" s="229"/>
      <c r="K67" s="169"/>
      <c r="L67" s="229"/>
      <c r="N67" s="254"/>
      <c r="Q67" s="169"/>
      <c r="R67" s="169"/>
      <c r="T67" s="169"/>
      <c r="U67" s="169"/>
      <c r="W67" s="169"/>
      <c r="X67" s="169"/>
      <c r="Z67" s="169"/>
      <c r="AA67" s="169"/>
      <c r="AC67" s="169"/>
    </row>
    <row r="68" spans="2:29">
      <c r="B68" s="169"/>
      <c r="C68" s="229"/>
      <c r="E68" s="169"/>
      <c r="F68" s="229"/>
      <c r="H68" s="169"/>
      <c r="I68" s="229"/>
      <c r="K68" s="169"/>
      <c r="L68" s="229"/>
      <c r="N68" s="254"/>
      <c r="Q68" s="169"/>
      <c r="R68" s="169"/>
      <c r="T68" s="169"/>
      <c r="U68" s="169"/>
      <c r="W68" s="169"/>
      <c r="X68" s="169"/>
      <c r="Z68" s="169"/>
      <c r="AA68" s="169"/>
      <c r="AC68" s="169"/>
    </row>
    <row r="69" spans="2:29">
      <c r="B69" s="169"/>
      <c r="C69" s="229"/>
      <c r="E69" s="169"/>
      <c r="F69" s="229"/>
      <c r="H69" s="169"/>
      <c r="I69" s="229"/>
      <c r="K69" s="169"/>
      <c r="L69" s="229"/>
      <c r="N69" s="254"/>
      <c r="Q69" s="169"/>
      <c r="R69" s="169"/>
      <c r="T69" s="169"/>
      <c r="U69" s="169"/>
      <c r="W69" s="169"/>
      <c r="X69" s="169"/>
      <c r="Z69" s="169"/>
      <c r="AA69" s="169"/>
      <c r="AC69" s="169"/>
    </row>
    <row r="70" spans="2:29">
      <c r="B70" s="169"/>
      <c r="C70" s="229"/>
      <c r="E70" s="169"/>
      <c r="F70" s="229"/>
      <c r="H70" s="169"/>
      <c r="I70" s="229"/>
      <c r="K70" s="169"/>
      <c r="L70" s="229"/>
      <c r="N70" s="254"/>
      <c r="Q70" s="169"/>
      <c r="R70" s="169"/>
      <c r="T70" s="169"/>
      <c r="U70" s="169"/>
      <c r="W70" s="169"/>
      <c r="X70" s="169"/>
      <c r="Z70" s="169"/>
      <c r="AA70" s="169"/>
      <c r="AC70" s="169"/>
    </row>
    <row r="71" spans="2:29">
      <c r="B71" s="169"/>
      <c r="C71" s="229"/>
      <c r="E71" s="169"/>
      <c r="F71" s="229"/>
      <c r="H71" s="169"/>
      <c r="I71" s="229"/>
      <c r="K71" s="169"/>
      <c r="L71" s="229"/>
      <c r="N71" s="254"/>
      <c r="Q71" s="169"/>
      <c r="R71" s="169"/>
      <c r="T71" s="169"/>
      <c r="U71" s="169"/>
      <c r="W71" s="169"/>
      <c r="X71" s="169"/>
      <c r="Z71" s="169"/>
      <c r="AA71" s="169"/>
      <c r="AC71" s="169"/>
    </row>
    <row r="72" spans="2:29">
      <c r="B72" s="169"/>
      <c r="C72" s="229"/>
      <c r="E72" s="169"/>
      <c r="F72" s="229"/>
      <c r="H72" s="169"/>
      <c r="I72" s="229"/>
      <c r="K72" s="169"/>
      <c r="L72" s="229"/>
      <c r="N72" s="254"/>
      <c r="Q72" s="169"/>
      <c r="R72" s="169"/>
      <c r="T72" s="169"/>
      <c r="U72" s="169"/>
      <c r="W72" s="169"/>
      <c r="X72" s="169"/>
      <c r="Z72" s="169"/>
      <c r="AA72" s="169"/>
      <c r="AC72" s="169"/>
    </row>
    <row r="73" spans="2:29">
      <c r="B73" s="169"/>
      <c r="C73" s="229"/>
      <c r="E73" s="169"/>
      <c r="F73" s="229"/>
      <c r="H73" s="169"/>
      <c r="I73" s="229"/>
      <c r="K73" s="169"/>
      <c r="L73" s="229"/>
      <c r="N73" s="254"/>
      <c r="Q73" s="169"/>
      <c r="R73" s="169"/>
      <c r="T73" s="169"/>
      <c r="U73" s="169"/>
      <c r="W73" s="169"/>
      <c r="X73" s="169"/>
      <c r="Z73" s="169"/>
      <c r="AA73" s="169"/>
      <c r="AC73" s="169"/>
    </row>
    <row r="74" spans="2:29">
      <c r="B74" s="169"/>
      <c r="C74" s="229"/>
      <c r="E74" s="169"/>
      <c r="F74" s="229"/>
      <c r="H74" s="169"/>
      <c r="I74" s="229"/>
      <c r="K74" s="169"/>
      <c r="L74" s="229"/>
      <c r="N74" s="254"/>
      <c r="Q74" s="169"/>
      <c r="R74" s="169"/>
      <c r="T74" s="169"/>
      <c r="U74" s="169"/>
      <c r="W74" s="169"/>
      <c r="X74" s="169"/>
      <c r="Z74" s="169"/>
      <c r="AA74" s="169"/>
      <c r="AC74" s="169"/>
    </row>
    <row r="75" spans="2:29">
      <c r="B75" s="169"/>
      <c r="C75" s="229"/>
      <c r="E75" s="169"/>
      <c r="F75" s="229"/>
      <c r="H75" s="169"/>
      <c r="I75" s="229"/>
      <c r="K75" s="169"/>
      <c r="L75" s="229"/>
      <c r="N75" s="254"/>
      <c r="Q75" s="169"/>
      <c r="R75" s="169"/>
      <c r="T75" s="169"/>
      <c r="U75" s="169"/>
      <c r="W75" s="169"/>
      <c r="X75" s="169"/>
      <c r="Z75" s="169"/>
      <c r="AA75" s="169"/>
      <c r="AC75" s="169"/>
    </row>
    <row r="76" spans="2:29">
      <c r="B76" s="169"/>
      <c r="C76" s="229"/>
      <c r="E76" s="169"/>
      <c r="F76" s="229"/>
      <c r="H76" s="169"/>
      <c r="I76" s="229"/>
      <c r="K76" s="169"/>
      <c r="L76" s="229"/>
      <c r="N76" s="254"/>
      <c r="Q76" s="169"/>
      <c r="R76" s="169"/>
      <c r="T76" s="169"/>
      <c r="U76" s="169"/>
      <c r="W76" s="169"/>
      <c r="X76" s="169"/>
      <c r="Z76" s="169"/>
      <c r="AA76" s="169"/>
      <c r="AC76" s="169"/>
    </row>
    <row r="77" spans="2:29">
      <c r="B77" s="169"/>
      <c r="C77" s="229"/>
      <c r="E77" s="169"/>
      <c r="F77" s="229"/>
      <c r="H77" s="169"/>
      <c r="I77" s="229"/>
      <c r="K77" s="169"/>
      <c r="L77" s="229"/>
      <c r="N77" s="254"/>
      <c r="Q77" s="169"/>
      <c r="R77" s="169"/>
      <c r="T77" s="169"/>
      <c r="U77" s="169"/>
      <c r="W77" s="169"/>
      <c r="X77" s="169"/>
      <c r="Z77" s="169"/>
      <c r="AA77" s="169"/>
      <c r="AC77" s="169"/>
    </row>
    <row r="78" spans="2:29">
      <c r="B78" s="169"/>
      <c r="C78" s="229"/>
      <c r="E78" s="169"/>
      <c r="F78" s="229"/>
      <c r="H78" s="169"/>
      <c r="I78" s="229"/>
      <c r="K78" s="169"/>
      <c r="L78" s="229"/>
      <c r="N78" s="254"/>
      <c r="Q78" s="169"/>
      <c r="R78" s="169"/>
      <c r="T78" s="169"/>
      <c r="U78" s="169"/>
      <c r="W78" s="169"/>
      <c r="X78" s="169"/>
      <c r="Z78" s="169"/>
      <c r="AA78" s="169"/>
      <c r="AC78" s="169"/>
    </row>
    <row r="79" spans="2:29">
      <c r="B79" s="169"/>
      <c r="C79" s="229"/>
      <c r="E79" s="169"/>
      <c r="F79" s="229"/>
      <c r="H79" s="169"/>
      <c r="I79" s="229"/>
      <c r="K79" s="169"/>
      <c r="L79" s="229"/>
      <c r="N79" s="254"/>
      <c r="Q79" s="169"/>
      <c r="R79" s="169"/>
      <c r="T79" s="169"/>
      <c r="U79" s="169"/>
      <c r="W79" s="169"/>
      <c r="X79" s="169"/>
      <c r="Z79" s="169"/>
      <c r="AA79" s="169"/>
      <c r="AC79" s="169"/>
    </row>
    <row r="80" spans="2:29">
      <c r="B80" s="169"/>
      <c r="C80" s="229"/>
      <c r="E80" s="169"/>
      <c r="F80" s="229"/>
      <c r="H80" s="169"/>
      <c r="I80" s="229"/>
      <c r="K80" s="169"/>
      <c r="L80" s="229"/>
      <c r="N80" s="254"/>
      <c r="Q80" s="169"/>
      <c r="R80" s="169"/>
      <c r="T80" s="169"/>
      <c r="U80" s="169"/>
      <c r="W80" s="169"/>
      <c r="X80" s="169"/>
      <c r="Z80" s="169"/>
      <c r="AA80" s="169"/>
      <c r="AC80" s="169"/>
    </row>
    <row r="81" spans="2:29">
      <c r="B81" s="169"/>
      <c r="C81" s="229"/>
      <c r="E81" s="169"/>
      <c r="F81" s="229"/>
      <c r="H81" s="169"/>
      <c r="I81" s="229"/>
      <c r="K81" s="169"/>
      <c r="L81" s="229"/>
      <c r="N81" s="254"/>
      <c r="Q81" s="169"/>
      <c r="R81" s="169"/>
      <c r="T81" s="169"/>
      <c r="U81" s="169"/>
      <c r="W81" s="169"/>
      <c r="X81" s="169"/>
      <c r="Z81" s="169"/>
      <c r="AA81" s="169"/>
      <c r="AC81" s="169"/>
    </row>
    <row r="82" spans="2:29">
      <c r="B82" s="169"/>
      <c r="C82" s="229"/>
      <c r="E82" s="169"/>
      <c r="F82" s="229"/>
      <c r="H82" s="169"/>
      <c r="I82" s="229"/>
      <c r="K82" s="169"/>
      <c r="L82" s="229"/>
      <c r="N82" s="254"/>
      <c r="Q82" s="169"/>
      <c r="R82" s="169"/>
      <c r="T82" s="169"/>
      <c r="U82" s="169"/>
      <c r="W82" s="169"/>
      <c r="X82" s="169"/>
      <c r="Z82" s="169"/>
      <c r="AA82" s="169"/>
      <c r="AC82" s="169"/>
    </row>
    <row r="83" spans="2:29">
      <c r="B83" s="169"/>
      <c r="C83" s="229"/>
      <c r="E83" s="169"/>
      <c r="F83" s="229"/>
      <c r="H83" s="169"/>
      <c r="I83" s="229"/>
      <c r="K83" s="169"/>
      <c r="L83" s="229"/>
      <c r="N83" s="254"/>
      <c r="Q83" s="169"/>
      <c r="R83" s="169"/>
      <c r="T83" s="169"/>
      <c r="U83" s="169"/>
      <c r="W83" s="169"/>
      <c r="X83" s="169"/>
      <c r="Z83" s="169"/>
      <c r="AA83" s="169"/>
      <c r="AC83" s="169"/>
    </row>
    <row r="84" spans="2:29">
      <c r="B84" s="169"/>
      <c r="C84" s="229"/>
      <c r="E84" s="169"/>
      <c r="F84" s="229"/>
      <c r="H84" s="169"/>
      <c r="I84" s="229"/>
      <c r="K84" s="169"/>
      <c r="L84" s="229"/>
      <c r="N84" s="254"/>
      <c r="Q84" s="169"/>
      <c r="R84" s="169"/>
      <c r="T84" s="169"/>
      <c r="U84" s="169"/>
      <c r="W84" s="169"/>
      <c r="X84" s="169"/>
      <c r="Z84" s="169"/>
      <c r="AA84" s="169"/>
      <c r="AC84" s="169"/>
    </row>
    <row r="85" spans="2:29">
      <c r="B85" s="169"/>
      <c r="C85" s="229"/>
      <c r="E85" s="169"/>
      <c r="F85" s="229"/>
      <c r="H85" s="169"/>
      <c r="I85" s="229"/>
      <c r="K85" s="169"/>
      <c r="L85" s="229"/>
      <c r="N85" s="254"/>
      <c r="Q85" s="169"/>
      <c r="R85" s="169"/>
      <c r="T85" s="169"/>
      <c r="U85" s="169"/>
      <c r="W85" s="169"/>
      <c r="X85" s="169"/>
      <c r="Z85" s="169"/>
      <c r="AA85" s="169"/>
      <c r="AC85" s="169"/>
    </row>
    <row r="86" spans="2:29">
      <c r="B86" s="169"/>
      <c r="C86" s="229"/>
      <c r="E86" s="169"/>
      <c r="F86" s="229"/>
      <c r="H86" s="169"/>
      <c r="I86" s="229"/>
      <c r="K86" s="169"/>
      <c r="L86" s="229"/>
      <c r="N86" s="254"/>
      <c r="Q86" s="169"/>
      <c r="R86" s="169"/>
      <c r="T86" s="169"/>
      <c r="U86" s="169"/>
      <c r="W86" s="169"/>
      <c r="X86" s="169"/>
      <c r="Z86" s="169"/>
      <c r="AA86" s="169"/>
      <c r="AC86" s="169"/>
    </row>
    <row r="87" spans="2:29">
      <c r="B87" s="169"/>
      <c r="C87" s="229"/>
      <c r="E87" s="169"/>
      <c r="F87" s="229"/>
      <c r="H87" s="169"/>
      <c r="I87" s="229"/>
      <c r="K87" s="169"/>
      <c r="L87" s="229"/>
      <c r="N87" s="254"/>
      <c r="Q87" s="169"/>
      <c r="R87" s="169"/>
      <c r="T87" s="169"/>
      <c r="U87" s="169"/>
      <c r="W87" s="169"/>
      <c r="X87" s="169"/>
      <c r="Z87" s="169"/>
      <c r="AA87" s="169"/>
      <c r="AC87" s="169"/>
    </row>
    <row r="88" spans="2:29">
      <c r="B88" s="169"/>
      <c r="C88" s="229"/>
      <c r="E88" s="169"/>
      <c r="F88" s="229"/>
      <c r="H88" s="169"/>
      <c r="I88" s="229"/>
      <c r="K88" s="169"/>
      <c r="L88" s="229"/>
      <c r="N88" s="254"/>
      <c r="Q88" s="169"/>
      <c r="R88" s="169"/>
      <c r="T88" s="169"/>
      <c r="U88" s="169"/>
      <c r="W88" s="169"/>
      <c r="X88" s="169"/>
      <c r="Z88" s="169"/>
      <c r="AA88" s="169"/>
      <c r="AC88" s="169"/>
    </row>
    <row r="89" spans="2:29">
      <c r="B89" s="169"/>
      <c r="C89" s="229"/>
      <c r="E89" s="169"/>
      <c r="F89" s="229"/>
      <c r="H89" s="169"/>
      <c r="I89" s="229"/>
      <c r="K89" s="169"/>
      <c r="L89" s="229"/>
      <c r="N89" s="254"/>
      <c r="Q89" s="169"/>
      <c r="R89" s="169"/>
      <c r="T89" s="169"/>
      <c r="U89" s="169"/>
      <c r="W89" s="169"/>
      <c r="X89" s="169"/>
      <c r="Z89" s="169"/>
      <c r="AA89" s="169"/>
      <c r="AC89" s="169"/>
    </row>
    <row r="90" spans="2:29">
      <c r="B90" s="169"/>
      <c r="C90" s="229"/>
      <c r="E90" s="169"/>
      <c r="F90" s="229"/>
      <c r="H90" s="169"/>
      <c r="I90" s="229"/>
      <c r="K90" s="169"/>
      <c r="L90" s="229"/>
      <c r="N90" s="254"/>
      <c r="Q90" s="169"/>
      <c r="R90" s="169"/>
      <c r="T90" s="169"/>
      <c r="U90" s="169"/>
      <c r="W90" s="169"/>
      <c r="X90" s="169"/>
      <c r="Z90" s="169"/>
      <c r="AA90" s="169"/>
      <c r="AC90" s="169"/>
    </row>
    <row r="91" spans="2:29">
      <c r="B91" s="169"/>
      <c r="C91" s="229"/>
      <c r="E91" s="169"/>
      <c r="F91" s="229"/>
      <c r="H91" s="169"/>
      <c r="I91" s="229"/>
      <c r="K91" s="169"/>
      <c r="L91" s="229"/>
      <c r="N91" s="254"/>
      <c r="Q91" s="169"/>
      <c r="R91" s="169"/>
      <c r="T91" s="169"/>
      <c r="U91" s="169"/>
      <c r="W91" s="169"/>
      <c r="X91" s="169"/>
      <c r="Z91" s="169"/>
      <c r="AA91" s="169"/>
      <c r="AC91" s="169"/>
    </row>
    <row r="92" spans="2:29">
      <c r="B92" s="169"/>
      <c r="C92" s="229"/>
      <c r="E92" s="169"/>
      <c r="F92" s="229"/>
      <c r="H92" s="169"/>
      <c r="I92" s="229"/>
      <c r="K92" s="169"/>
      <c r="L92" s="229"/>
      <c r="N92" s="254"/>
      <c r="Q92" s="169"/>
      <c r="R92" s="169"/>
      <c r="T92" s="169"/>
      <c r="U92" s="169"/>
      <c r="W92" s="169"/>
      <c r="X92" s="169"/>
      <c r="Z92" s="169"/>
      <c r="AA92" s="169"/>
      <c r="AC92" s="169"/>
    </row>
    <row r="93" spans="2:29">
      <c r="B93" s="169"/>
      <c r="C93" s="229"/>
      <c r="E93" s="169"/>
      <c r="F93" s="229"/>
      <c r="H93" s="169"/>
      <c r="I93" s="229"/>
      <c r="K93" s="169"/>
      <c r="L93" s="229"/>
      <c r="N93" s="254"/>
      <c r="Q93" s="169"/>
      <c r="R93" s="169"/>
      <c r="T93" s="169"/>
      <c r="U93" s="169"/>
      <c r="W93" s="169"/>
      <c r="X93" s="169"/>
      <c r="Z93" s="169"/>
      <c r="AA93" s="169"/>
      <c r="AC93" s="169"/>
    </row>
    <row r="94" spans="2:29">
      <c r="B94" s="169"/>
      <c r="C94" s="229"/>
      <c r="E94" s="169"/>
      <c r="F94" s="229"/>
      <c r="H94" s="169"/>
      <c r="I94" s="229"/>
      <c r="K94" s="169"/>
      <c r="L94" s="229"/>
      <c r="N94" s="254"/>
      <c r="Q94" s="169"/>
      <c r="R94" s="169"/>
      <c r="T94" s="169"/>
      <c r="U94" s="169"/>
      <c r="W94" s="169"/>
      <c r="X94" s="169"/>
      <c r="Z94" s="169"/>
      <c r="AA94" s="169"/>
      <c r="AC94" s="169"/>
    </row>
    <row r="95" spans="2:29">
      <c r="B95" s="169"/>
      <c r="C95" s="229"/>
      <c r="E95" s="169"/>
      <c r="F95" s="229"/>
      <c r="H95" s="169"/>
      <c r="I95" s="229"/>
      <c r="K95" s="169"/>
      <c r="L95" s="229"/>
      <c r="N95" s="254"/>
      <c r="Q95" s="169"/>
      <c r="R95" s="169"/>
      <c r="T95" s="169"/>
      <c r="U95" s="169"/>
      <c r="W95" s="169"/>
      <c r="X95" s="169"/>
      <c r="Z95" s="169"/>
      <c r="AA95" s="169"/>
      <c r="AC95" s="169"/>
    </row>
    <row r="96" spans="2:29">
      <c r="B96" s="169"/>
      <c r="C96" s="229"/>
      <c r="E96" s="169"/>
      <c r="F96" s="229"/>
      <c r="H96" s="169"/>
      <c r="I96" s="229"/>
      <c r="K96" s="169"/>
      <c r="L96" s="229"/>
      <c r="N96" s="254"/>
      <c r="Q96" s="169"/>
      <c r="R96" s="169"/>
      <c r="T96" s="169"/>
      <c r="U96" s="169"/>
      <c r="W96" s="169"/>
      <c r="X96" s="169"/>
      <c r="Z96" s="169"/>
      <c r="AA96" s="169"/>
      <c r="AC96" s="169"/>
    </row>
    <row r="97" spans="2:29">
      <c r="B97" s="169"/>
      <c r="C97" s="229"/>
      <c r="E97" s="169"/>
      <c r="F97" s="229"/>
      <c r="H97" s="169"/>
      <c r="I97" s="229"/>
      <c r="K97" s="169"/>
      <c r="L97" s="229"/>
      <c r="N97" s="254"/>
      <c r="Q97" s="169"/>
      <c r="R97" s="169"/>
      <c r="T97" s="169"/>
      <c r="U97" s="169"/>
      <c r="W97" s="169"/>
      <c r="X97" s="169"/>
      <c r="Z97" s="169"/>
      <c r="AA97" s="169"/>
      <c r="AC97" s="169"/>
    </row>
    <row r="98" spans="2:29">
      <c r="B98" s="169"/>
      <c r="C98" s="229"/>
      <c r="E98" s="169"/>
      <c r="F98" s="229"/>
      <c r="H98" s="169"/>
      <c r="I98" s="229"/>
      <c r="K98" s="169"/>
      <c r="L98" s="229"/>
      <c r="N98" s="254"/>
      <c r="Q98" s="169"/>
      <c r="R98" s="169"/>
      <c r="T98" s="169"/>
      <c r="U98" s="169"/>
      <c r="W98" s="169"/>
      <c r="X98" s="169"/>
      <c r="Z98" s="169"/>
      <c r="AA98" s="169"/>
      <c r="AC98" s="169"/>
    </row>
    <row r="99" spans="2:29">
      <c r="B99" s="169"/>
      <c r="C99" s="229"/>
      <c r="E99" s="169"/>
      <c r="F99" s="229"/>
      <c r="H99" s="169"/>
      <c r="I99" s="229"/>
      <c r="K99" s="169"/>
      <c r="L99" s="229"/>
      <c r="N99" s="254"/>
      <c r="Q99" s="169"/>
      <c r="R99" s="169"/>
      <c r="T99" s="169"/>
      <c r="U99" s="169"/>
      <c r="W99" s="169"/>
      <c r="X99" s="169"/>
      <c r="Z99" s="169"/>
      <c r="AA99" s="169"/>
      <c r="AC99" s="169"/>
    </row>
    <row r="100" spans="2:29">
      <c r="B100" s="169"/>
      <c r="C100" s="229"/>
      <c r="E100" s="169"/>
      <c r="F100" s="229"/>
      <c r="H100" s="169"/>
      <c r="I100" s="229"/>
      <c r="K100" s="169"/>
      <c r="L100" s="229"/>
      <c r="N100" s="254"/>
      <c r="Q100" s="169"/>
      <c r="R100" s="169"/>
      <c r="T100" s="169"/>
      <c r="U100" s="169"/>
      <c r="W100" s="169"/>
      <c r="X100" s="169"/>
      <c r="Z100" s="169"/>
      <c r="AA100" s="169"/>
      <c r="AC100" s="169"/>
    </row>
    <row r="101" spans="2:29">
      <c r="B101" s="169"/>
      <c r="C101" s="229"/>
      <c r="E101" s="169"/>
      <c r="F101" s="229"/>
      <c r="H101" s="169"/>
      <c r="I101" s="229"/>
      <c r="K101" s="169"/>
      <c r="L101" s="229"/>
      <c r="N101" s="254"/>
      <c r="Q101" s="169"/>
      <c r="R101" s="169"/>
      <c r="T101" s="169"/>
      <c r="U101" s="169"/>
      <c r="W101" s="169"/>
      <c r="X101" s="169"/>
      <c r="Z101" s="169"/>
      <c r="AA101" s="169"/>
      <c r="AC101" s="169"/>
    </row>
    <row r="102" spans="2:29">
      <c r="B102" s="169"/>
      <c r="C102" s="229"/>
      <c r="E102" s="169"/>
      <c r="F102" s="229"/>
      <c r="H102" s="169"/>
      <c r="I102" s="229"/>
      <c r="K102" s="169"/>
      <c r="L102" s="229"/>
      <c r="N102" s="254"/>
      <c r="Q102" s="169"/>
      <c r="R102" s="169"/>
      <c r="T102" s="169"/>
      <c r="U102" s="169"/>
      <c r="W102" s="169"/>
      <c r="X102" s="169"/>
      <c r="Z102" s="169"/>
      <c r="AA102" s="169"/>
      <c r="AC102" s="169"/>
    </row>
    <row r="103" spans="2:29">
      <c r="B103" s="169"/>
      <c r="C103" s="229"/>
      <c r="E103" s="169"/>
      <c r="F103" s="229"/>
      <c r="H103" s="169"/>
      <c r="I103" s="229"/>
      <c r="K103" s="169"/>
      <c r="L103" s="229"/>
      <c r="N103" s="254"/>
      <c r="Q103" s="169"/>
      <c r="R103" s="169"/>
      <c r="T103" s="169"/>
      <c r="U103" s="169"/>
      <c r="W103" s="169"/>
      <c r="X103" s="169"/>
      <c r="Z103" s="169"/>
      <c r="AA103" s="169"/>
      <c r="AC103" s="169"/>
    </row>
    <row r="104" spans="2:29">
      <c r="B104" s="169"/>
      <c r="C104" s="229"/>
      <c r="E104" s="169"/>
      <c r="F104" s="229"/>
      <c r="H104" s="169"/>
      <c r="I104" s="229"/>
      <c r="K104" s="169"/>
      <c r="L104" s="229"/>
      <c r="N104" s="254"/>
      <c r="Q104" s="169"/>
      <c r="R104" s="169"/>
      <c r="T104" s="169"/>
      <c r="U104" s="169"/>
      <c r="W104" s="169"/>
      <c r="X104" s="169"/>
      <c r="Z104" s="169"/>
      <c r="AA104" s="169"/>
      <c r="AC104" s="169"/>
    </row>
    <row r="105" spans="2:29">
      <c r="B105" s="169"/>
      <c r="C105" s="229"/>
      <c r="E105" s="169"/>
      <c r="F105" s="229"/>
      <c r="H105" s="169"/>
      <c r="I105" s="229"/>
      <c r="K105" s="169"/>
      <c r="L105" s="229"/>
      <c r="N105" s="254"/>
      <c r="Q105" s="169"/>
      <c r="R105" s="169"/>
      <c r="T105" s="169"/>
      <c r="U105" s="169"/>
      <c r="W105" s="169"/>
      <c r="X105" s="169"/>
      <c r="Z105" s="169"/>
      <c r="AA105" s="169"/>
      <c r="AC105" s="169"/>
    </row>
    <row r="106" spans="2:29">
      <c r="B106" s="169"/>
      <c r="C106" s="229"/>
      <c r="E106" s="169"/>
      <c r="F106" s="229"/>
      <c r="H106" s="169"/>
      <c r="I106" s="229"/>
      <c r="K106" s="169"/>
      <c r="L106" s="229"/>
      <c r="N106" s="254"/>
      <c r="Q106" s="169"/>
      <c r="R106" s="169"/>
      <c r="T106" s="169"/>
      <c r="U106" s="169"/>
      <c r="W106" s="169"/>
      <c r="X106" s="169"/>
      <c r="Z106" s="169"/>
      <c r="AA106" s="169"/>
      <c r="AC106" s="169"/>
    </row>
    <row r="107" spans="2:29">
      <c r="B107" s="169"/>
      <c r="C107" s="229"/>
      <c r="E107" s="169"/>
      <c r="F107" s="229"/>
      <c r="H107" s="169"/>
      <c r="I107" s="229"/>
      <c r="K107" s="169"/>
      <c r="L107" s="229"/>
      <c r="N107" s="254"/>
      <c r="Q107" s="169"/>
      <c r="R107" s="169"/>
      <c r="T107" s="169"/>
      <c r="U107" s="169"/>
      <c r="W107" s="169"/>
      <c r="X107" s="169"/>
      <c r="Z107" s="169"/>
      <c r="AA107" s="169"/>
      <c r="AC107" s="169"/>
    </row>
    <row r="108" spans="2:29">
      <c r="B108" s="169"/>
      <c r="C108" s="229"/>
      <c r="E108" s="169"/>
      <c r="F108" s="229"/>
      <c r="H108" s="169"/>
      <c r="I108" s="229"/>
      <c r="K108" s="169"/>
      <c r="L108" s="229"/>
      <c r="N108" s="254"/>
      <c r="Q108" s="169"/>
      <c r="R108" s="169"/>
      <c r="T108" s="169"/>
      <c r="U108" s="169"/>
      <c r="W108" s="169"/>
      <c r="X108" s="169"/>
      <c r="Z108" s="169"/>
      <c r="AA108" s="169"/>
      <c r="AC108" s="169"/>
    </row>
    <row r="109" spans="2:29">
      <c r="B109" s="169"/>
      <c r="C109" s="229"/>
      <c r="E109" s="169"/>
      <c r="F109" s="229"/>
      <c r="H109" s="169"/>
      <c r="I109" s="229"/>
      <c r="K109" s="169"/>
      <c r="L109" s="229"/>
      <c r="N109" s="254"/>
      <c r="Q109" s="169"/>
      <c r="R109" s="169"/>
      <c r="T109" s="169"/>
      <c r="U109" s="169"/>
      <c r="W109" s="169"/>
      <c r="X109" s="169"/>
      <c r="Z109" s="169"/>
      <c r="AA109" s="169"/>
      <c r="AC109" s="169"/>
    </row>
    <row r="110" spans="2:29">
      <c r="B110" s="169"/>
      <c r="C110" s="229"/>
      <c r="E110" s="169"/>
      <c r="F110" s="229"/>
      <c r="H110" s="169"/>
      <c r="I110" s="229"/>
      <c r="K110" s="169"/>
      <c r="L110" s="229"/>
      <c r="N110" s="254"/>
      <c r="Q110" s="169"/>
      <c r="R110" s="169"/>
      <c r="T110" s="169"/>
      <c r="U110" s="169"/>
      <c r="W110" s="169"/>
      <c r="X110" s="169"/>
      <c r="Z110" s="169"/>
      <c r="AA110" s="169"/>
      <c r="AC110" s="169"/>
    </row>
    <row r="111" spans="2:29">
      <c r="B111" s="169"/>
      <c r="C111" s="229"/>
      <c r="E111" s="169"/>
      <c r="F111" s="229"/>
      <c r="H111" s="169"/>
      <c r="I111" s="229"/>
      <c r="K111" s="169"/>
      <c r="L111" s="229"/>
      <c r="N111" s="254"/>
      <c r="Q111" s="169"/>
      <c r="R111" s="169"/>
      <c r="T111" s="169"/>
      <c r="U111" s="169"/>
      <c r="W111" s="169"/>
      <c r="X111" s="169"/>
      <c r="Z111" s="169"/>
      <c r="AA111" s="169"/>
      <c r="AC111" s="169"/>
    </row>
  </sheetData>
  <mergeCells count="6">
    <mergeCell ref="N1:O1"/>
    <mergeCell ref="Q1:AC1"/>
    <mergeCell ref="B1:C1"/>
    <mergeCell ref="E1:F1"/>
    <mergeCell ref="H1:I1"/>
    <mergeCell ref="K1:L1"/>
  </mergeCells>
  <phoneticPr fontId="2" type="noConversion"/>
  <conditionalFormatting sqref="A1:XFD1048576">
    <cfRule type="cellIs" dxfId="0" priority="1" stopIfTrue="1" operator="equal">
      <formula>0</formula>
    </cfRule>
  </conditionalFormatting>
  <pageMargins left="0.36" right="0.15" top="0.2" bottom="0.32" header="0.2" footer="0.19"/>
  <pageSetup paperSize="9" scale="27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1:M16"/>
  <sheetViews>
    <sheetView zoomScale="110" zoomScaleNormal="110" workbookViewId="0">
      <selection activeCell="E16" sqref="E16"/>
    </sheetView>
  </sheetViews>
  <sheetFormatPr defaultRowHeight="12.75"/>
  <cols>
    <col min="2" max="2" width="32.140625" bestFit="1" customWidth="1"/>
    <col min="4" max="4" width="10.140625" customWidth="1"/>
  </cols>
  <sheetData>
    <row r="1" spans="2:13">
      <c r="D1" s="334" t="s">
        <v>222</v>
      </c>
      <c r="E1" s="81">
        <f>'Financial Projection'!E9</f>
        <v>27585</v>
      </c>
    </row>
    <row r="2" spans="2:13">
      <c r="D2" s="334" t="s">
        <v>219</v>
      </c>
      <c r="E2" s="340">
        <f>'Financial Projection'!K13</f>
        <v>4.7729698042497271E-2</v>
      </c>
      <c r="G2" s="340"/>
    </row>
    <row r="3" spans="2:13">
      <c r="D3" s="352" t="s">
        <v>220</v>
      </c>
      <c r="E3" s="353">
        <v>0</v>
      </c>
      <c r="K3" s="334" t="s">
        <v>196</v>
      </c>
      <c r="L3" s="334" t="s">
        <v>194</v>
      </c>
      <c r="M3" s="334" t="s">
        <v>195</v>
      </c>
    </row>
    <row r="4" spans="2:13">
      <c r="B4" s="341" t="s">
        <v>190</v>
      </c>
      <c r="C4" s="338">
        <v>-0.1</v>
      </c>
      <c r="D4" s="338">
        <v>-0.05</v>
      </c>
      <c r="E4" s="338">
        <v>0</v>
      </c>
      <c r="F4" s="338">
        <v>0.05</v>
      </c>
      <c r="G4" s="338">
        <v>0.1</v>
      </c>
      <c r="K4" s="344">
        <v>39629</v>
      </c>
      <c r="L4" s="345">
        <v>7.51E-2</v>
      </c>
      <c r="M4" s="340">
        <v>6.7100000000000007E-2</v>
      </c>
    </row>
    <row r="5" spans="2:13">
      <c r="B5" s="337" t="s">
        <v>193</v>
      </c>
      <c r="C5" s="342">
        <v>24826.5</v>
      </c>
      <c r="D5" s="342">
        <v>26205.75</v>
      </c>
      <c r="E5" s="342">
        <v>27585</v>
      </c>
      <c r="F5" s="342">
        <v>28964.25</v>
      </c>
      <c r="G5" s="342">
        <v>30343.5</v>
      </c>
      <c r="K5" s="344">
        <v>39660</v>
      </c>
      <c r="L5" s="345">
        <v>7.4300000000000005E-2</v>
      </c>
      <c r="M5" s="340">
        <v>6.7900000000000002E-2</v>
      </c>
    </row>
    <row r="6" spans="2:13">
      <c r="B6" s="337" t="s">
        <v>219</v>
      </c>
      <c r="C6" s="343">
        <v>5.2838136516879075E-2</v>
      </c>
      <c r="D6" s="343">
        <v>5.2017292530292192E-2</v>
      </c>
      <c r="E6" s="343">
        <v>4.7729698042497271E-2</v>
      </c>
      <c r="F6" s="343">
        <v>4.1433771743524694E-2</v>
      </c>
      <c r="G6" s="343">
        <v>3.540039424021435E-2</v>
      </c>
      <c r="K6" s="344">
        <v>39691</v>
      </c>
      <c r="L6" s="345">
        <v>7.5600000000000001E-2</v>
      </c>
      <c r="M6" s="340">
        <v>6.7100000000000007E-2</v>
      </c>
    </row>
    <row r="7" spans="2:13">
      <c r="B7" s="341"/>
      <c r="C7" s="341"/>
      <c r="D7" s="341"/>
      <c r="E7" s="341"/>
      <c r="F7" s="341"/>
      <c r="G7" s="341"/>
      <c r="K7" s="344">
        <v>39721</v>
      </c>
      <c r="L7" s="345">
        <v>8.14E-2</v>
      </c>
      <c r="M7" s="340">
        <v>7.0800000000000002E-2</v>
      </c>
    </row>
    <row r="8" spans="2:13">
      <c r="B8" s="341"/>
      <c r="C8" s="341"/>
      <c r="D8" s="341"/>
      <c r="E8" s="341"/>
      <c r="F8" s="341"/>
      <c r="G8" s="341"/>
      <c r="K8" s="344">
        <v>39752</v>
      </c>
      <c r="L8" s="345">
        <v>8.3000000000000004E-2</v>
      </c>
      <c r="M8" s="340">
        <v>8.8300000000000003E-2</v>
      </c>
    </row>
    <row r="9" spans="2:13">
      <c r="B9" s="341" t="s">
        <v>191</v>
      </c>
      <c r="C9" s="338">
        <v>-0.1</v>
      </c>
      <c r="D9" s="338">
        <v>-0.05</v>
      </c>
      <c r="E9" s="338">
        <v>0</v>
      </c>
      <c r="F9" s="338">
        <v>0.05</v>
      </c>
      <c r="G9" s="338">
        <v>0.1</v>
      </c>
      <c r="K9" s="344">
        <v>39782</v>
      </c>
      <c r="L9" s="345">
        <v>9.69E-2</v>
      </c>
      <c r="M9" s="340">
        <v>9.1999999999999998E-2</v>
      </c>
    </row>
    <row r="10" spans="2:13">
      <c r="B10" s="341" t="s">
        <v>192</v>
      </c>
      <c r="C10" s="342">
        <v>32361.3</v>
      </c>
      <c r="D10" s="342">
        <v>34159.15</v>
      </c>
      <c r="E10" s="342">
        <v>35957</v>
      </c>
      <c r="F10" s="342">
        <v>37754.85</v>
      </c>
      <c r="G10" s="342">
        <v>39552.699999999997</v>
      </c>
      <c r="K10" s="344">
        <v>39813</v>
      </c>
      <c r="L10" s="345">
        <v>9.9299999999999999E-2</v>
      </c>
      <c r="M10" s="340">
        <v>0.10680000000000001</v>
      </c>
    </row>
    <row r="11" spans="2:13">
      <c r="B11" s="337" t="s">
        <v>219</v>
      </c>
      <c r="C11" s="343">
        <v>3.3420719064433113E-2</v>
      </c>
      <c r="D11" s="343">
        <v>4.0769626628452071E-2</v>
      </c>
      <c r="E11" s="343">
        <v>4.7729698042497271E-2</v>
      </c>
      <c r="F11" s="343">
        <v>5.2030072523519655E-2</v>
      </c>
      <c r="G11" s="343">
        <v>5.3009210114432825E-2</v>
      </c>
    </row>
    <row r="12" spans="2:13">
      <c r="B12" s="341"/>
      <c r="C12" s="341"/>
      <c r="D12" s="341"/>
      <c r="E12" s="341"/>
      <c r="F12" s="341"/>
      <c r="G12" s="341"/>
    </row>
    <row r="13" spans="2:13">
      <c r="B13" s="337" t="s">
        <v>189</v>
      </c>
      <c r="C13" s="339">
        <v>9.9299999999999999E-2</v>
      </c>
      <c r="D13" s="339">
        <v>9.9299999999999999E-2</v>
      </c>
      <c r="E13" s="339">
        <v>9.9299999999999999E-2</v>
      </c>
      <c r="F13" s="339">
        <v>9.9299999999999999E-2</v>
      </c>
      <c r="G13" s="339">
        <v>9.9299999999999999E-2</v>
      </c>
    </row>
    <row r="14" spans="2:13">
      <c r="D14" s="352" t="s">
        <v>220</v>
      </c>
      <c r="E14" s="353">
        <v>0</v>
      </c>
    </row>
    <row r="15" spans="2:13">
      <c r="D15" s="334" t="s">
        <v>221</v>
      </c>
      <c r="E15" s="81">
        <f>'Financial Projection'!E4</f>
        <v>35957</v>
      </c>
    </row>
    <row r="16" spans="2:13">
      <c r="D16" s="334" t="s">
        <v>219</v>
      </c>
      <c r="E16" s="340">
        <f>'Financial Projection'!K13</f>
        <v>4.7729698042497271E-2</v>
      </c>
      <c r="G16" s="340"/>
    </row>
  </sheetData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2"/>
  <sheetViews>
    <sheetView tabSelected="1" workbookViewId="0">
      <selection activeCell="C4" sqref="C4"/>
    </sheetView>
  </sheetViews>
  <sheetFormatPr defaultRowHeight="12.75"/>
  <cols>
    <col min="1" max="1" width="22.42578125" bestFit="1" customWidth="1"/>
    <col min="2" max="2" width="21.140625" bestFit="1" customWidth="1"/>
    <col min="3" max="3" width="49" customWidth="1"/>
    <col min="4" max="4" width="18.42578125" customWidth="1"/>
  </cols>
  <sheetData>
    <row r="1" spans="1:3">
      <c r="A1" s="346" t="s">
        <v>197</v>
      </c>
      <c r="B1" s="346" t="s">
        <v>198</v>
      </c>
      <c r="C1" s="346" t="s">
        <v>199</v>
      </c>
    </row>
    <row r="2" spans="1:3">
      <c r="A2" s="347" t="s">
        <v>213</v>
      </c>
      <c r="B2" s="350" t="s">
        <v>214</v>
      </c>
      <c r="C2" s="349" t="s">
        <v>218</v>
      </c>
    </row>
    <row r="3" spans="1:3" ht="25.5">
      <c r="A3" s="347" t="s">
        <v>200</v>
      </c>
      <c r="B3" s="350" t="s">
        <v>216</v>
      </c>
      <c r="C3" s="349" t="s">
        <v>217</v>
      </c>
    </row>
    <row r="4" spans="1:3" ht="38.25">
      <c r="A4" s="347" t="s">
        <v>201</v>
      </c>
      <c r="B4" s="349" t="s">
        <v>210</v>
      </c>
      <c r="C4" s="349" t="s">
        <v>236</v>
      </c>
    </row>
    <row r="5" spans="1:3" ht="38.25">
      <c r="A5" s="347" t="s">
        <v>202</v>
      </c>
      <c r="B5" s="348" t="s">
        <v>226</v>
      </c>
      <c r="C5" s="348" t="s">
        <v>227</v>
      </c>
    </row>
    <row r="6" spans="1:3" ht="25.5">
      <c r="A6" s="347" t="s">
        <v>203</v>
      </c>
      <c r="B6" s="347" t="s">
        <v>204</v>
      </c>
      <c r="C6" s="348" t="s">
        <v>205</v>
      </c>
    </row>
    <row r="7" spans="1:3" ht="38.25">
      <c r="A7" s="347" t="s">
        <v>206</v>
      </c>
      <c r="B7" s="349" t="s">
        <v>212</v>
      </c>
      <c r="C7" s="349" t="s">
        <v>211</v>
      </c>
    </row>
    <row r="8" spans="1:3" ht="25.5">
      <c r="A8" s="347" t="s">
        <v>207</v>
      </c>
      <c r="B8" s="347" t="s">
        <v>208</v>
      </c>
      <c r="C8" s="349" t="s">
        <v>211</v>
      </c>
    </row>
    <row r="9" spans="1:3" ht="38.25">
      <c r="A9" s="350" t="s">
        <v>209</v>
      </c>
      <c r="B9" s="351">
        <v>9.9299999999999999E-2</v>
      </c>
      <c r="C9" s="349" t="s">
        <v>235</v>
      </c>
    </row>
    <row r="10" spans="1:3" ht="25.5">
      <c r="A10" s="348" t="s">
        <v>228</v>
      </c>
      <c r="B10" s="357">
        <v>0.03</v>
      </c>
      <c r="C10" s="349" t="s">
        <v>229</v>
      </c>
    </row>
    <row r="11" spans="1:3" ht="25.5">
      <c r="A11" s="347" t="s">
        <v>230</v>
      </c>
      <c r="B11" s="347" t="s">
        <v>231</v>
      </c>
      <c r="C11" s="349" t="s">
        <v>232</v>
      </c>
    </row>
    <row r="12" spans="1:3" ht="25.5">
      <c r="A12" s="347" t="s">
        <v>233</v>
      </c>
      <c r="B12" s="357">
        <v>0.08</v>
      </c>
      <c r="C12" s="349" t="s">
        <v>234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C3:F8"/>
  <sheetViews>
    <sheetView workbookViewId="0">
      <selection activeCell="I20" sqref="I20"/>
    </sheetView>
  </sheetViews>
  <sheetFormatPr defaultRowHeight="12.75"/>
  <cols>
    <col min="3" max="3" width="18.5703125" customWidth="1"/>
    <col min="4" max="4" width="9.85546875" bestFit="1" customWidth="1"/>
    <col min="5" max="5" width="10.85546875" bestFit="1" customWidth="1"/>
    <col min="6" max="6" width="9.85546875" bestFit="1" customWidth="1"/>
  </cols>
  <sheetData>
    <row r="3" spans="3:6">
      <c r="C3" s="138" t="s">
        <v>223</v>
      </c>
      <c r="D3" s="354">
        <v>2011</v>
      </c>
      <c r="E3" s="354">
        <v>2012</v>
      </c>
      <c r="F3" s="354" t="s">
        <v>56</v>
      </c>
    </row>
    <row r="4" spans="3:6">
      <c r="D4" s="355">
        <f>D8*0.626/12*4</f>
        <v>7503.0273333333325</v>
      </c>
      <c r="E4" s="355">
        <f>D8*0.626</f>
        <v>22509.081999999999</v>
      </c>
      <c r="F4" s="355">
        <f>SUM(D4:E4)</f>
        <v>30012.10933333333</v>
      </c>
    </row>
    <row r="5" spans="3:6">
      <c r="D5" s="356"/>
      <c r="E5" s="356"/>
    </row>
    <row r="8" spans="3:6">
      <c r="C8" t="s">
        <v>224</v>
      </c>
      <c r="D8" s="81">
        <f>'Financial Projection'!E4</f>
        <v>35957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9</vt:i4>
      </vt:variant>
      <vt:variant>
        <vt:lpstr>Įvardinti diapazonai</vt:lpstr>
      </vt:variant>
      <vt:variant>
        <vt:i4>2</vt:i4>
      </vt:variant>
    </vt:vector>
  </HeadingPairs>
  <TitlesOfParts>
    <vt:vector size="11" baseType="lpstr">
      <vt:lpstr>Wind invest budget</vt:lpstr>
      <vt:lpstr>Monthly</vt:lpstr>
      <vt:lpstr>Financial Projection</vt:lpstr>
      <vt:lpstr>Estimate</vt:lpstr>
      <vt:lpstr>Actual</vt:lpstr>
      <vt:lpstr>Estimate vs Actual</vt:lpstr>
      <vt:lpstr>Sensitivity</vt:lpstr>
      <vt:lpstr>Data sources</vt:lpstr>
      <vt:lpstr>ERUs</vt:lpstr>
      <vt:lpstr>'Financial Projection'!Prindiala</vt:lpstr>
      <vt:lpstr>Monthly!Prindiala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Piret Loomets</dc:creator>
  <cp:lastModifiedBy>Tomas Paulaitis</cp:lastModifiedBy>
  <cp:lastPrinted>2010-05-21T10:53:04Z</cp:lastPrinted>
  <dcterms:created xsi:type="dcterms:W3CDTF">1996-10-14T23:33:28Z</dcterms:created>
  <dcterms:modified xsi:type="dcterms:W3CDTF">2011-11-07T07:33:03Z</dcterms:modified>
</cp:coreProperties>
</file>