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8400" tabRatio="724" activeTab="5"/>
  </bookViews>
  <sheets>
    <sheet name="Title" sheetId="1" r:id="rId1"/>
    <sheet name="Alternative 1.1" sheetId="2" r:id="rId2"/>
    <sheet name="Alternative 1.3" sheetId="3" r:id="rId3"/>
    <sheet name="summary cashflow" sheetId="4" r:id="rId4"/>
    <sheet name="sensitivity analysis 1.1" sheetId="5" r:id="rId5"/>
    <sheet name="sensitivity analysis 1.3" sheetId="6" r:id="rId6"/>
  </sheets>
  <definedNames/>
  <calcPr fullCalcOnLoad="1"/>
</workbook>
</file>

<file path=xl/sharedStrings.xml><?xml version="1.0" encoding="utf-8"?>
<sst xmlns="http://schemas.openxmlformats.org/spreadsheetml/2006/main" count="311" uniqueCount="95">
  <si>
    <t>INDEX</t>
  </si>
  <si>
    <t>U/M</t>
  </si>
  <si>
    <t>ПОКАЗАТЕЛЬ</t>
  </si>
  <si>
    <t>MWh</t>
  </si>
  <si>
    <t>CHP auxiliaries</t>
  </si>
  <si>
    <t>electricity to the grid</t>
  </si>
  <si>
    <t>steam production, including:</t>
  </si>
  <si>
    <t>Gcal</t>
  </si>
  <si>
    <t xml:space="preserve">coke plant auxiliaries </t>
  </si>
  <si>
    <t>rate of exchange</t>
  </si>
  <si>
    <t>EUR/UAH</t>
  </si>
  <si>
    <t>UAH/EUR</t>
  </si>
  <si>
    <t>%</t>
  </si>
  <si>
    <t>Euro/MWh</t>
  </si>
  <si>
    <t>EUR/Gcal</t>
  </si>
  <si>
    <t>Euro/m3</t>
  </si>
  <si>
    <t>Euro</t>
  </si>
  <si>
    <t>Euro/a</t>
  </si>
  <si>
    <t>Investment cost, including:</t>
  </si>
  <si>
    <t>design works</t>
  </si>
  <si>
    <t>boiler department's equipment costs</t>
  </si>
  <si>
    <t>turbine department's equipment costs</t>
  </si>
  <si>
    <t>construction costs</t>
  </si>
  <si>
    <t>water treatment unit</t>
  </si>
  <si>
    <t>auxilary equipment</t>
  </si>
  <si>
    <t>equipment for the grid connection</t>
  </si>
  <si>
    <t>balancing and commissioning</t>
  </si>
  <si>
    <t>VAT 20%</t>
  </si>
  <si>
    <t xml:space="preserve">НДС 20% </t>
  </si>
  <si>
    <t>project lifetime</t>
  </si>
  <si>
    <t>years</t>
  </si>
  <si>
    <t>operation cost/операционные затраты</t>
  </si>
  <si>
    <t>total cashflow 1/сведенный денежный поток 1</t>
  </si>
  <si>
    <t>discounted cashflow/дисконтированный денежный поток</t>
  </si>
  <si>
    <t>accumulated cashflow/аккумулированный денежный поток</t>
  </si>
  <si>
    <t>accumulated discounted cashflow/аккумулированный дисконтированный денежный поток</t>
  </si>
  <si>
    <t>NPV</t>
  </si>
  <si>
    <t>IRR</t>
  </si>
  <si>
    <t>PB/срок окупаемости</t>
  </si>
  <si>
    <t>investment costs/капитальные затраты Steam Boiler House</t>
  </si>
  <si>
    <t>Steam Boiler House</t>
  </si>
  <si>
    <t>electricity production, including:</t>
  </si>
  <si>
    <t>external consumers</t>
  </si>
  <si>
    <t>tarrif for the electricity purchasing from the grid in the absence of the project</t>
  </si>
  <si>
    <t>tarrif for the electricity selling to the grid after project implementation</t>
  </si>
  <si>
    <t>manufacturing cost for the electricity production at the CHP</t>
  </si>
  <si>
    <t>service water costs in the absence of the project</t>
  </si>
  <si>
    <t>service water tarrif in the absence of the project</t>
  </si>
  <si>
    <t>manufacturing cost of the steam producing in the new Boiler house</t>
  </si>
  <si>
    <t>tarrif for the heat energy selling to external consumers</t>
  </si>
  <si>
    <t>manufacturing cost of the steam producing in the existing Boiler house</t>
  </si>
  <si>
    <t>profit from heat energy selling to external consumers/прибыль от продажи пара внешним потребителям</t>
  </si>
  <si>
    <t>savings on costs from heat energy on own needs/экономия затрат на поизводство тепловой энергии на собственные нужды</t>
  </si>
  <si>
    <t>Steam Boiler House heat price to external consumers increase 10%</t>
  </si>
  <si>
    <t>Steam Boiler House savings on cost from heat energy on needs increase 10%</t>
  </si>
  <si>
    <t>Steam Boiler House production cost of heat energy increase 10%</t>
  </si>
  <si>
    <t>Alternative 1.1. Introduction of the Coke Oven Gas CHP without JI incentive (PDD, Section B.2., step 1): In this scenario CHP will be constructed on site of the HCP. The main revenue will come from the two sources:
• Export of the electricity to the grid;
• Stopping import of the electricity from the grid.</t>
  </si>
  <si>
    <t>Alternative 1.3. COG is used for heat energy production (PDD, Section B.2., step 1): In this scenario electricity will be imported from the grid. The new boiler house with higher capacity will be constructed. COG currently flared and burned in the old boiler house will be directed to the new boiler(s). Steam will be used on site (as it is now) and sold to the external consumers. In addition to the new boiler house, steam and condensate pipelines to external consumers should be constructed. In that case fossil fuel consumption for steam generation at external sites would be stopped and ERU could be generated.</t>
  </si>
  <si>
    <t>PI</t>
  </si>
  <si>
    <t>steam production on coke plant auxiliaries</t>
  </si>
  <si>
    <t>manufacturing cost of the steam producing at the CHP</t>
  </si>
  <si>
    <t>PI=(PV of the project benefits/PV of the investments)</t>
  </si>
  <si>
    <t>Electricity production</t>
  </si>
  <si>
    <t>Tariffs</t>
  </si>
  <si>
    <t>Discunt rate (NBU rate)</t>
  </si>
  <si>
    <t>UAH/MWh</t>
  </si>
  <si>
    <t>UAH/Gcal</t>
  </si>
  <si>
    <t>UAH/m3</t>
  </si>
  <si>
    <t>UAH/a</t>
  </si>
  <si>
    <t>Investment costs</t>
  </si>
  <si>
    <t>UAH</t>
  </si>
  <si>
    <t>steam production</t>
  </si>
  <si>
    <t>CHP</t>
  </si>
  <si>
    <t>investment costs</t>
  </si>
  <si>
    <t>operation cash flow</t>
  </si>
  <si>
    <t>electricity costs savings on-site</t>
  </si>
  <si>
    <t>profit from electricity sales to grid</t>
  </si>
  <si>
    <t>savings on costs from heat energy on own needs</t>
  </si>
  <si>
    <t>service water costs savings on site</t>
  </si>
  <si>
    <t>total cashflow 1</t>
  </si>
  <si>
    <t>discounted cashflow</t>
  </si>
  <si>
    <t>accumulated cashflow</t>
  </si>
  <si>
    <t>accumulated discounted cashflow</t>
  </si>
  <si>
    <t>PV of the projects benefits</t>
  </si>
  <si>
    <t>PV of the investments</t>
  </si>
  <si>
    <t>PB</t>
  </si>
  <si>
    <t>profit from heat energy sales to external consumers</t>
  </si>
  <si>
    <t>operation cost</t>
  </si>
  <si>
    <t xml:space="preserve">electricity costs savings on-site </t>
  </si>
  <si>
    <t>profit from electricity sell to grid</t>
  </si>
  <si>
    <t>CHP  Electricity price from the grid 10% increase</t>
  </si>
  <si>
    <t>CHP Electricity price to the grid 10% increase</t>
  </si>
  <si>
    <t>CHP electricity production cost increase 10%</t>
  </si>
  <si>
    <t>profit from heat energy selling to external consumers</t>
  </si>
  <si>
    <t>CHP service water cost increase 10%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</si>
</sst>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0_р_."/>
    <numFmt numFmtId="174" formatCode="0.0%"/>
  </numFmts>
  <fonts count="39">
    <font>
      <sz val="10"/>
      <name val="Arial Cyr"/>
      <family val="0"/>
    </font>
    <font>
      <u val="single"/>
      <sz val="10"/>
      <color indexed="12"/>
      <name val="Arial Cyr"/>
      <family val="0"/>
    </font>
    <font>
      <u val="single"/>
      <sz val="10"/>
      <color indexed="36"/>
      <name val="Arial Cyr"/>
      <family val="0"/>
    </font>
    <font>
      <sz val="8"/>
      <name val="Arial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3">
    <xf numFmtId="0" fontId="0" fillId="0" borderId="0" xfId="0" applyAlignment="1">
      <alignment/>
    </xf>
    <xf numFmtId="0" fontId="0" fillId="0" borderId="0" xfId="0"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Border="1" applyAlignment="1">
      <alignment horizontal="right"/>
    </xf>
    <xf numFmtId="0" fontId="0" fillId="0" borderId="11" xfId="0" applyBorder="1" applyAlignment="1">
      <alignment horizontal="right"/>
    </xf>
    <xf numFmtId="0" fontId="0" fillId="0" borderId="13" xfId="0" applyBorder="1" applyAlignment="1">
      <alignment/>
    </xf>
    <xf numFmtId="0" fontId="0" fillId="0" borderId="14" xfId="0" applyFont="1" applyBorder="1" applyAlignment="1">
      <alignment/>
    </xf>
    <xf numFmtId="0" fontId="0" fillId="0" borderId="14" xfId="0" applyFont="1" applyBorder="1" applyAlignment="1">
      <alignment horizontal="center"/>
    </xf>
    <xf numFmtId="4" fontId="0" fillId="0" borderId="14" xfId="0" applyNumberFormat="1" applyFill="1" applyBorder="1" applyAlignment="1">
      <alignment/>
    </xf>
    <xf numFmtId="4" fontId="0" fillId="0" borderId="10" xfId="0" applyNumberFormat="1" applyBorder="1" applyAlignment="1">
      <alignment/>
    </xf>
    <xf numFmtId="4" fontId="0" fillId="0" borderId="12" xfId="0" applyNumberFormat="1" applyBorder="1" applyAlignment="1">
      <alignment/>
    </xf>
    <xf numFmtId="4" fontId="0" fillId="0" borderId="11" xfId="0" applyNumberFormat="1" applyBorder="1" applyAlignment="1">
      <alignment/>
    </xf>
    <xf numFmtId="0" fontId="0" fillId="0" borderId="15" xfId="0" applyBorder="1" applyAlignment="1">
      <alignment/>
    </xf>
    <xf numFmtId="4" fontId="0" fillId="0" borderId="15" xfId="0" applyNumberFormat="1" applyBorder="1" applyAlignment="1">
      <alignment/>
    </xf>
    <xf numFmtId="4" fontId="0" fillId="0" borderId="13" xfId="0" applyNumberFormat="1" applyBorder="1" applyAlignment="1">
      <alignment/>
    </xf>
    <xf numFmtId="0" fontId="0" fillId="0" borderId="16" xfId="0" applyBorder="1" applyAlignment="1">
      <alignment/>
    </xf>
    <xf numFmtId="173" fontId="0" fillId="0" borderId="10" xfId="0" applyNumberFormat="1" applyBorder="1" applyAlignment="1">
      <alignment/>
    </xf>
    <xf numFmtId="0" fontId="0" fillId="0" borderId="17" xfId="0" applyBorder="1" applyAlignment="1">
      <alignment/>
    </xf>
    <xf numFmtId="0" fontId="0" fillId="0" borderId="15" xfId="0" applyFill="1" applyBorder="1" applyAlignment="1">
      <alignment horizontal="left"/>
    </xf>
    <xf numFmtId="0" fontId="0" fillId="0" borderId="13" xfId="0" applyFill="1" applyBorder="1" applyAlignment="1">
      <alignment horizontal="left"/>
    </xf>
    <xf numFmtId="0" fontId="4" fillId="0" borderId="18" xfId="0" applyFont="1" applyBorder="1" applyAlignment="1">
      <alignment/>
    </xf>
    <xf numFmtId="0" fontId="4" fillId="0" borderId="19" xfId="0" applyFont="1" applyBorder="1" applyAlignment="1">
      <alignment horizontal="center"/>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4" fontId="0" fillId="0" borderId="24" xfId="0" applyNumberFormat="1" applyBorder="1" applyAlignment="1">
      <alignment/>
    </xf>
    <xf numFmtId="4" fontId="0" fillId="0" borderId="25" xfId="0" applyNumberFormat="1" applyBorder="1" applyAlignment="1">
      <alignment/>
    </xf>
    <xf numFmtId="4" fontId="0" fillId="0" borderId="26" xfId="0" applyNumberFormat="1" applyBorder="1" applyAlignment="1">
      <alignment/>
    </xf>
    <xf numFmtId="4" fontId="0" fillId="0" borderId="27" xfId="0" applyNumberFormat="1" applyBorder="1" applyAlignment="1">
      <alignment/>
    </xf>
    <xf numFmtId="0" fontId="4" fillId="33" borderId="17" xfId="0" applyFont="1" applyFill="1" applyBorder="1" applyAlignment="1">
      <alignment/>
    </xf>
    <xf numFmtId="0" fontId="4" fillId="0" borderId="17" xfId="0" applyFont="1" applyBorder="1" applyAlignment="1">
      <alignment/>
    </xf>
    <xf numFmtId="4" fontId="4" fillId="0" borderId="26" xfId="0" applyNumberFormat="1" applyFont="1" applyBorder="1" applyAlignment="1">
      <alignment/>
    </xf>
    <xf numFmtId="0" fontId="4" fillId="0" borderId="0" xfId="0" applyFont="1" applyAlignment="1">
      <alignment/>
    </xf>
    <xf numFmtId="4" fontId="0" fillId="0" borderId="27" xfId="0" applyNumberFormat="1" applyFont="1" applyFill="1" applyBorder="1" applyAlignment="1">
      <alignment/>
    </xf>
    <xf numFmtId="4" fontId="4" fillId="34" borderId="27" xfId="0" applyNumberFormat="1" applyFont="1" applyFill="1" applyBorder="1" applyAlignment="1">
      <alignment/>
    </xf>
    <xf numFmtId="4" fontId="0" fillId="0" borderId="27" xfId="0" applyNumberFormat="1" applyFont="1" applyBorder="1" applyAlignment="1">
      <alignment/>
    </xf>
    <xf numFmtId="4" fontId="4" fillId="0" borderId="27" xfId="0" applyNumberFormat="1" applyFont="1" applyBorder="1" applyAlignment="1">
      <alignment/>
    </xf>
    <xf numFmtId="10" fontId="4" fillId="0" borderId="26" xfId="0" applyNumberFormat="1" applyFont="1" applyBorder="1" applyAlignment="1">
      <alignment/>
    </xf>
    <xf numFmtId="10" fontId="4" fillId="0" borderId="27" xfId="0" applyNumberFormat="1" applyFont="1" applyBorder="1" applyAlignment="1">
      <alignment/>
    </xf>
    <xf numFmtId="0" fontId="4" fillId="0" borderId="0" xfId="0" applyFont="1" applyFill="1"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xf>
    <xf numFmtId="0" fontId="0" fillId="0" borderId="14" xfId="0" applyFill="1" applyBorder="1" applyAlignment="1">
      <alignment/>
    </xf>
    <xf numFmtId="0" fontId="0" fillId="0" borderId="15" xfId="0" applyFill="1" applyBorder="1" applyAlignment="1">
      <alignment/>
    </xf>
    <xf numFmtId="0" fontId="0" fillId="0" borderId="31" xfId="0" applyBorder="1" applyAlignment="1">
      <alignment/>
    </xf>
    <xf numFmtId="4" fontId="0" fillId="0" borderId="0" xfId="0" applyNumberFormat="1" applyBorder="1" applyAlignment="1">
      <alignment/>
    </xf>
    <xf numFmtId="0" fontId="4" fillId="33" borderId="17" xfId="0" applyFont="1" applyFill="1" applyBorder="1" applyAlignment="1">
      <alignment horizontal="center"/>
    </xf>
    <xf numFmtId="4" fontId="4" fillId="0" borderId="0" xfId="0" applyNumberFormat="1" applyFont="1" applyBorder="1" applyAlignment="1">
      <alignment/>
    </xf>
    <xf numFmtId="0" fontId="4" fillId="0" borderId="10" xfId="0" applyFont="1" applyBorder="1" applyAlignment="1">
      <alignment wrapText="1"/>
    </xf>
    <xf numFmtId="0" fontId="0" fillId="0" borderId="17" xfId="0" applyBorder="1" applyAlignment="1">
      <alignment wrapText="1"/>
    </xf>
    <xf numFmtId="0" fontId="4" fillId="0" borderId="17" xfId="0" applyFont="1" applyBorder="1" applyAlignment="1">
      <alignment wrapText="1"/>
    </xf>
    <xf numFmtId="0" fontId="4" fillId="33" borderId="17" xfId="0" applyFont="1" applyFill="1" applyBorder="1" applyAlignment="1">
      <alignment wrapText="1"/>
    </xf>
    <xf numFmtId="0" fontId="4" fillId="0" borderId="18" xfId="0" applyFont="1" applyBorder="1" applyAlignment="1">
      <alignment wrapText="1"/>
    </xf>
    <xf numFmtId="0" fontId="4" fillId="0" borderId="21" xfId="0" applyFont="1" applyBorder="1" applyAlignment="1">
      <alignment wrapText="1"/>
    </xf>
    <xf numFmtId="4" fontId="0" fillId="0" borderId="32" xfId="0" applyNumberFormat="1" applyFill="1" applyBorder="1" applyAlignment="1">
      <alignment/>
    </xf>
    <xf numFmtId="174" fontId="0" fillId="0" borderId="14" xfId="0" applyNumberFormat="1" applyFont="1" applyFill="1" applyBorder="1" applyAlignment="1">
      <alignment/>
    </xf>
    <xf numFmtId="4" fontId="0" fillId="0" borderId="26" xfId="0" applyNumberFormat="1" applyFont="1" applyBorder="1" applyAlignment="1">
      <alignment/>
    </xf>
    <xf numFmtId="0" fontId="0" fillId="0" borderId="0" xfId="0" applyFont="1" applyAlignment="1">
      <alignment/>
    </xf>
    <xf numFmtId="0" fontId="0" fillId="0" borderId="15" xfId="0" applyBorder="1" applyAlignment="1">
      <alignment horizontal="right" vertical="center"/>
    </xf>
    <xf numFmtId="0" fontId="0" fillId="0" borderId="13" xfId="0" applyBorder="1" applyAlignment="1">
      <alignment horizontal="right" vertical="center"/>
    </xf>
    <xf numFmtId="0" fontId="4" fillId="35" borderId="33" xfId="0" applyFont="1" applyFill="1" applyBorder="1" applyAlignment="1">
      <alignment horizontal="center"/>
    </xf>
    <xf numFmtId="0" fontId="4" fillId="35" borderId="34" xfId="0" applyFont="1" applyFill="1" applyBorder="1" applyAlignment="1">
      <alignment horizontal="center"/>
    </xf>
    <xf numFmtId="0" fontId="4" fillId="35" borderId="35" xfId="0" applyFont="1" applyFill="1" applyBorder="1" applyAlignment="1">
      <alignment horizontal="center"/>
    </xf>
    <xf numFmtId="0" fontId="4" fillId="0" borderId="31" xfId="0" applyFont="1" applyBorder="1" applyAlignment="1">
      <alignment horizontal="left" wrapText="1"/>
    </xf>
    <xf numFmtId="0" fontId="4" fillId="0" borderId="36" xfId="0" applyFont="1" applyBorder="1" applyAlignment="1">
      <alignment horizontal="left" wrapText="1"/>
    </xf>
    <xf numFmtId="0" fontId="4" fillId="0" borderId="37" xfId="0" applyFont="1" applyBorder="1" applyAlignment="1">
      <alignment horizontal="left" wrapText="1"/>
    </xf>
    <xf numFmtId="0" fontId="4" fillId="0" borderId="33" xfId="0" applyFont="1" applyBorder="1" applyAlignment="1">
      <alignment horizontal="left" wrapText="1"/>
    </xf>
    <xf numFmtId="0" fontId="4" fillId="0" borderId="34" xfId="0" applyFont="1" applyBorder="1" applyAlignment="1">
      <alignment horizontal="left" wrapText="1"/>
    </xf>
    <xf numFmtId="0" fontId="4" fillId="0" borderId="35" xfId="0" applyFont="1" applyBorder="1" applyAlignment="1">
      <alignment horizontal="left" wrapText="1"/>
    </xf>
    <xf numFmtId="0" fontId="4" fillId="0" borderId="15" xfId="0" applyFont="1" applyBorder="1" applyAlignment="1">
      <alignment/>
    </xf>
    <xf numFmtId="4" fontId="0" fillId="0" borderId="15" xfId="0" applyNumberFormat="1" applyBorder="1" applyAlignment="1">
      <alignment vertical="center"/>
    </xf>
    <xf numFmtId="0" fontId="0" fillId="0" borderId="14" xfId="0" applyBorder="1" applyAlignment="1">
      <alignment/>
    </xf>
    <xf numFmtId="0" fontId="0" fillId="0" borderId="38" xfId="0" applyBorder="1" applyAlignment="1">
      <alignment/>
    </xf>
    <xf numFmtId="173" fontId="0" fillId="0" borderId="11" xfId="0" applyNumberFormat="1" applyBorder="1" applyAlignment="1">
      <alignment/>
    </xf>
    <xf numFmtId="4" fontId="0" fillId="0" borderId="39"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N13" sqref="N13"/>
    </sheetView>
  </sheetViews>
  <sheetFormatPr defaultColWidth="9.00390625" defaultRowHeight="12.75"/>
  <sheetData/>
  <sheetProtection/>
  <printOptions/>
  <pageMargins left="0.75" right="0.75" top="1" bottom="1" header="0.5" footer="0.5"/>
  <pageSetup horizontalDpi="300" verticalDpi="300" orientation="portrait" paperSize="9" r:id="rId3"/>
  <legacyDrawing r:id="rId2"/>
  <oleObjects>
    <oleObject progId="Word.Document.8" shapeId="23166304" r:id="rId1"/>
  </oleObjects>
</worksheet>
</file>

<file path=xl/worksheets/sheet2.xml><?xml version="1.0" encoding="utf-8"?>
<worksheet xmlns="http://schemas.openxmlformats.org/spreadsheetml/2006/main" xmlns:r="http://schemas.openxmlformats.org/officeDocument/2006/relationships">
  <dimension ref="B3:G52"/>
  <sheetViews>
    <sheetView zoomScalePageLayoutView="0" workbookViewId="0" topLeftCell="A24">
      <selection activeCell="E45" sqref="E45"/>
    </sheetView>
  </sheetViews>
  <sheetFormatPr defaultColWidth="9.00390625" defaultRowHeight="12.75"/>
  <cols>
    <col min="2" max="2" width="72.875" style="0" bestFit="1" customWidth="1"/>
    <col min="3" max="3" width="17.875" style="1" bestFit="1" customWidth="1"/>
    <col min="4" max="4" width="15.375" style="0" bestFit="1" customWidth="1"/>
    <col min="5" max="7" width="13.875" style="0" bestFit="1" customWidth="1"/>
    <col min="9" max="9" width="10.00390625" style="0" bestFit="1" customWidth="1"/>
  </cols>
  <sheetData>
    <row r="2" ht="13.5" thickBot="1"/>
    <row r="3" spans="2:4" ht="65.25" customHeight="1">
      <c r="B3" s="71" t="s">
        <v>56</v>
      </c>
      <c r="C3" s="72"/>
      <c r="D3" s="73"/>
    </row>
    <row r="4" spans="2:4" ht="13.5" thickBot="1">
      <c r="B4" s="47"/>
      <c r="C4" s="48"/>
      <c r="D4" s="49"/>
    </row>
    <row r="5" spans="2:4" ht="13.5" thickBot="1">
      <c r="B5" s="2" t="s">
        <v>0</v>
      </c>
      <c r="C5" s="3" t="s">
        <v>1</v>
      </c>
      <c r="D5" s="77"/>
    </row>
    <row r="6" spans="2:7" ht="13.5" thickBot="1">
      <c r="B6" s="68" t="s">
        <v>62</v>
      </c>
      <c r="C6" s="69"/>
      <c r="D6" s="70"/>
      <c r="E6" s="46"/>
      <c r="F6" s="46"/>
      <c r="G6" s="46"/>
    </row>
    <row r="7" spans="2:7" ht="13.5" thickBot="1">
      <c r="B7" s="5" t="s">
        <v>59</v>
      </c>
      <c r="C7" s="7" t="s">
        <v>7</v>
      </c>
      <c r="D7" s="78">
        <v>93537</v>
      </c>
      <c r="E7" s="46"/>
      <c r="F7" s="46"/>
      <c r="G7" s="46"/>
    </row>
    <row r="8" spans="2:4" ht="13.5" thickBot="1">
      <c r="B8" s="5" t="s">
        <v>41</v>
      </c>
      <c r="C8" s="7" t="s">
        <v>3</v>
      </c>
      <c r="D8" s="78">
        <v>82432</v>
      </c>
    </row>
    <row r="9" spans="2:4" ht="13.5" thickBot="1">
      <c r="B9" s="8" t="s">
        <v>8</v>
      </c>
      <c r="C9" s="7" t="s">
        <v>3</v>
      </c>
      <c r="D9" s="78">
        <v>16000</v>
      </c>
    </row>
    <row r="10" spans="2:4" ht="13.5" thickBot="1">
      <c r="B10" s="8" t="s">
        <v>4</v>
      </c>
      <c r="C10" s="7" t="s">
        <v>3</v>
      </c>
      <c r="D10" s="78">
        <v>12000</v>
      </c>
    </row>
    <row r="11" spans="2:4" ht="13.5" thickBot="1">
      <c r="B11" s="8" t="s">
        <v>5</v>
      </c>
      <c r="C11" s="7" t="s">
        <v>3</v>
      </c>
      <c r="D11" s="78">
        <f>D8-D9-D10</f>
        <v>54432</v>
      </c>
    </row>
    <row r="12" spans="2:4" ht="13.5" thickBot="1">
      <c r="B12" s="68" t="s">
        <v>63</v>
      </c>
      <c r="C12" s="69"/>
      <c r="D12" s="70"/>
    </row>
    <row r="13" spans="2:4" ht="12.75">
      <c r="B13" s="11" t="s">
        <v>9</v>
      </c>
      <c r="C13" s="12" t="s">
        <v>10</v>
      </c>
      <c r="D13" s="13">
        <f>6.74/1</f>
        <v>6.74</v>
      </c>
    </row>
    <row r="14" spans="2:4" ht="12.75">
      <c r="B14" s="11" t="s">
        <v>9</v>
      </c>
      <c r="C14" s="12" t="s">
        <v>11</v>
      </c>
      <c r="D14" s="13">
        <f>1/6.74</f>
        <v>0.14836795252225518</v>
      </c>
    </row>
    <row r="15" spans="2:4" ht="13.5" thickBot="1">
      <c r="B15" s="79" t="s">
        <v>64</v>
      </c>
      <c r="C15" s="12" t="s">
        <v>12</v>
      </c>
      <c r="D15" s="63">
        <v>0.1</v>
      </c>
    </row>
    <row r="16" spans="2:4" ht="12.75">
      <c r="B16" s="5" t="s">
        <v>43</v>
      </c>
      <c r="C16" s="5" t="s">
        <v>13</v>
      </c>
      <c r="D16" s="14">
        <f>D17/D13</f>
        <v>57.86350148367952</v>
      </c>
    </row>
    <row r="17" spans="2:4" ht="13.5" thickBot="1">
      <c r="B17" s="6"/>
      <c r="C17" s="6" t="s">
        <v>65</v>
      </c>
      <c r="D17" s="15">
        <v>390</v>
      </c>
    </row>
    <row r="18" spans="2:4" ht="12.75">
      <c r="B18" s="5" t="s">
        <v>44</v>
      </c>
      <c r="C18" s="5" t="s">
        <v>13</v>
      </c>
      <c r="D18" s="14">
        <f>D19/D13</f>
        <v>40.0593471810089</v>
      </c>
    </row>
    <row r="19" spans="2:6" ht="13.5" thickBot="1">
      <c r="B19" s="6"/>
      <c r="C19" s="6" t="s">
        <v>65</v>
      </c>
      <c r="D19" s="16">
        <v>270</v>
      </c>
      <c r="F19" s="50"/>
    </row>
    <row r="20" spans="2:4" ht="12.75">
      <c r="B20" s="5" t="s">
        <v>45</v>
      </c>
      <c r="C20" s="5" t="s">
        <v>13</v>
      </c>
      <c r="D20" s="14">
        <f>D21/D13</f>
        <v>10.118694362017804</v>
      </c>
    </row>
    <row r="21" spans="2:4" ht="13.5" thickBot="1">
      <c r="B21" s="4"/>
      <c r="C21" s="6" t="s">
        <v>65</v>
      </c>
      <c r="D21" s="16">
        <v>68.2</v>
      </c>
    </row>
    <row r="22" spans="2:4" ht="13.5" thickBot="1">
      <c r="B22" s="17" t="s">
        <v>60</v>
      </c>
      <c r="C22" s="52" t="s">
        <v>14</v>
      </c>
      <c r="D22" s="18">
        <f>D23/$D$13</f>
        <v>6.109792284866469</v>
      </c>
    </row>
    <row r="23" spans="2:4" ht="13.5" thickBot="1">
      <c r="B23" s="10"/>
      <c r="C23" s="52" t="s">
        <v>66</v>
      </c>
      <c r="D23" s="19">
        <v>41.18</v>
      </c>
    </row>
    <row r="24" spans="2:4" ht="13.5" thickBot="1">
      <c r="B24" s="17" t="s">
        <v>50</v>
      </c>
      <c r="C24" s="52" t="s">
        <v>14</v>
      </c>
      <c r="D24" s="18">
        <f>D25/$D$13</f>
        <v>9.792284866468842</v>
      </c>
    </row>
    <row r="25" spans="2:4" ht="13.5" thickBot="1">
      <c r="B25" s="10"/>
      <c r="C25" s="52" t="s">
        <v>66</v>
      </c>
      <c r="D25" s="19">
        <v>66</v>
      </c>
    </row>
    <row r="26" spans="2:4" ht="13.5" thickBot="1">
      <c r="B26" s="50" t="s">
        <v>47</v>
      </c>
      <c r="C26" s="5" t="s">
        <v>15</v>
      </c>
      <c r="D26" s="14">
        <f>D27/D13</f>
        <v>0.17091988130563796</v>
      </c>
    </row>
    <row r="27" spans="2:4" ht="13.5" thickBot="1">
      <c r="B27" s="6"/>
      <c r="C27" s="5" t="s">
        <v>67</v>
      </c>
      <c r="D27" s="16">
        <v>1.152</v>
      </c>
    </row>
    <row r="28" spans="2:4" ht="13.5" thickBot="1">
      <c r="B28" s="51" t="s">
        <v>46</v>
      </c>
      <c r="C28" s="5" t="s">
        <v>17</v>
      </c>
      <c r="D28" s="14">
        <f>D29/D13</f>
        <v>92906.74896142431</v>
      </c>
    </row>
    <row r="29" spans="2:4" ht="13.5" thickBot="1">
      <c r="B29" s="4"/>
      <c r="C29" s="5" t="s">
        <v>68</v>
      </c>
      <c r="D29" s="16">
        <f>543569*D27</f>
        <v>626191.4879999999</v>
      </c>
    </row>
    <row r="30" spans="2:4" ht="13.5" thickBot="1">
      <c r="B30" s="68" t="s">
        <v>69</v>
      </c>
      <c r="C30" s="69"/>
      <c r="D30" s="70"/>
    </row>
    <row r="31" spans="2:4" ht="12.75">
      <c r="B31" s="5" t="s">
        <v>18</v>
      </c>
      <c r="C31" s="20" t="s">
        <v>16</v>
      </c>
      <c r="D31" s="21">
        <f>D32/$D$13</f>
        <v>22932818.991097923</v>
      </c>
    </row>
    <row r="32" spans="2:4" ht="13.5" thickBot="1">
      <c r="B32" s="4"/>
      <c r="C32" s="80" t="s">
        <v>70</v>
      </c>
      <c r="D32" s="81">
        <f>D34+D36+D38+D40+D42+D44+D46+D48+D50</f>
        <v>154567200</v>
      </c>
    </row>
    <row r="33" spans="2:4" ht="12.75">
      <c r="B33" s="8" t="s">
        <v>19</v>
      </c>
      <c r="C33" s="20" t="s">
        <v>16</v>
      </c>
      <c r="D33" s="21">
        <f>D34/$D$13</f>
        <v>387240.35608308605</v>
      </c>
    </row>
    <row r="34" spans="2:4" ht="13.5" thickBot="1">
      <c r="B34" s="9"/>
      <c r="C34" s="80" t="s">
        <v>70</v>
      </c>
      <c r="D34" s="81">
        <f>2110000+500000</f>
        <v>2610000</v>
      </c>
    </row>
    <row r="35" spans="2:4" ht="12.75">
      <c r="B35" s="8" t="s">
        <v>20</v>
      </c>
      <c r="C35" s="20" t="s">
        <v>16</v>
      </c>
      <c r="D35" s="21">
        <f>D36/$D$13</f>
        <v>6759643.916913946</v>
      </c>
    </row>
    <row r="36" spans="2:4" ht="13.5" thickBot="1">
      <c r="B36" s="9"/>
      <c r="C36" s="80" t="s">
        <v>70</v>
      </c>
      <c r="D36" s="81">
        <f>45560000</f>
        <v>45560000</v>
      </c>
    </row>
    <row r="37" spans="2:4" ht="12.75">
      <c r="B37" s="8" t="s">
        <v>21</v>
      </c>
      <c r="C37" s="20" t="s">
        <v>16</v>
      </c>
      <c r="D37" s="21">
        <f>D38/$D$13</f>
        <v>7449554.896142433</v>
      </c>
    </row>
    <row r="38" spans="2:4" ht="13.5" thickBot="1">
      <c r="B38" s="9"/>
      <c r="C38" s="80" t="s">
        <v>70</v>
      </c>
      <c r="D38" s="81">
        <v>50210000</v>
      </c>
    </row>
    <row r="39" spans="2:4" ht="12.75">
      <c r="B39" s="8" t="s">
        <v>22</v>
      </c>
      <c r="C39" s="20" t="s">
        <v>16</v>
      </c>
      <c r="D39" s="21">
        <f>D40/$D$13</f>
        <v>1344213.649851632</v>
      </c>
    </row>
    <row r="40" spans="2:4" ht="13.5" thickBot="1">
      <c r="B40" s="9"/>
      <c r="C40" s="80" t="s">
        <v>70</v>
      </c>
      <c r="D40" s="81">
        <f>4000000+4500000+560000</f>
        <v>9060000</v>
      </c>
    </row>
    <row r="41" spans="2:4" ht="12.75">
      <c r="B41" s="8" t="s">
        <v>23</v>
      </c>
      <c r="C41" s="20" t="s">
        <v>16</v>
      </c>
      <c r="D41" s="21">
        <f>D42/$D$13</f>
        <v>833234.4213649852</v>
      </c>
    </row>
    <row r="42" spans="2:4" ht="13.5" thickBot="1">
      <c r="B42" s="9"/>
      <c r="C42" s="80" t="s">
        <v>70</v>
      </c>
      <c r="D42" s="81">
        <f>5616000</f>
        <v>5616000</v>
      </c>
    </row>
    <row r="43" spans="2:4" ht="12.75">
      <c r="B43" s="8" t="s">
        <v>24</v>
      </c>
      <c r="C43" s="20" t="s">
        <v>16</v>
      </c>
      <c r="D43" s="21">
        <f>D44/$D$13</f>
        <v>145400.59347181008</v>
      </c>
    </row>
    <row r="44" spans="2:4" ht="13.5" thickBot="1">
      <c r="B44" s="9"/>
      <c r="C44" s="80" t="s">
        <v>70</v>
      </c>
      <c r="D44" s="81">
        <f>980000</f>
        <v>980000</v>
      </c>
    </row>
    <row r="45" spans="2:4" ht="12.75">
      <c r="B45" s="8" t="s">
        <v>25</v>
      </c>
      <c r="C45" s="20" t="s">
        <v>16</v>
      </c>
      <c r="D45" s="21">
        <f>D46/$D$13</f>
        <v>1988130.5637982194</v>
      </c>
    </row>
    <row r="46" spans="2:4" ht="13.5" thickBot="1">
      <c r="B46" s="9"/>
      <c r="C46" s="80" t="s">
        <v>70</v>
      </c>
      <c r="D46" s="81">
        <f>13400000</f>
        <v>13400000</v>
      </c>
    </row>
    <row r="47" spans="2:4" ht="12.75">
      <c r="B47" s="8" t="s">
        <v>26</v>
      </c>
      <c r="C47" s="20" t="s">
        <v>16</v>
      </c>
      <c r="D47" s="21">
        <f>D48/$D$13</f>
        <v>203264.09495548962</v>
      </c>
    </row>
    <row r="48" spans="2:4" ht="13.5" thickBot="1">
      <c r="B48" s="9"/>
      <c r="C48" s="80" t="s">
        <v>70</v>
      </c>
      <c r="D48" s="81">
        <f>1370000</f>
        <v>1370000</v>
      </c>
    </row>
    <row r="49" spans="2:4" ht="12.75">
      <c r="B49" s="8" t="s">
        <v>27</v>
      </c>
      <c r="C49" s="20" t="s">
        <v>16</v>
      </c>
      <c r="D49" s="21">
        <f>D50/$D$13</f>
        <v>3822136.4985163203</v>
      </c>
    </row>
    <row r="50" spans="2:4" ht="13.5" thickBot="1">
      <c r="B50" s="9"/>
      <c r="C50" s="80" t="s">
        <v>70</v>
      </c>
      <c r="D50" s="81">
        <f>(D34+D36+D38+D40+D42+D44+D46+D48)*0.2</f>
        <v>25761200</v>
      </c>
    </row>
    <row r="51" spans="2:4" ht="12.75">
      <c r="B51" s="23" t="s">
        <v>29</v>
      </c>
      <c r="C51" s="17" t="s">
        <v>30</v>
      </c>
      <c r="D51" s="66">
        <v>30</v>
      </c>
    </row>
    <row r="52" spans="2:4" ht="13.5" thickBot="1">
      <c r="B52" s="24"/>
      <c r="C52" s="10"/>
      <c r="D52" s="67"/>
    </row>
  </sheetData>
  <sheetProtection/>
  <mergeCells count="5">
    <mergeCell ref="B6:D6"/>
    <mergeCell ref="B3:D3"/>
    <mergeCell ref="B12:D12"/>
    <mergeCell ref="D51:D52"/>
    <mergeCell ref="B30:D30"/>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D44"/>
  <sheetViews>
    <sheetView zoomScalePageLayoutView="0" workbookViewId="0" topLeftCell="A17">
      <selection activeCell="G35" sqref="G35"/>
    </sheetView>
  </sheetViews>
  <sheetFormatPr defaultColWidth="9.00390625" defaultRowHeight="12.75"/>
  <cols>
    <col min="2" max="2" width="68.375" style="0" bestFit="1" customWidth="1"/>
    <col min="3" max="3" width="15.25390625" style="0" customWidth="1"/>
    <col min="4" max="4" width="16.00390625" style="0" customWidth="1"/>
  </cols>
  <sheetData>
    <row r="1" ht="13.5" thickBot="1"/>
    <row r="2" spans="2:4" ht="105" customHeight="1" thickBot="1">
      <c r="B2" s="74" t="s">
        <v>57</v>
      </c>
      <c r="C2" s="75"/>
      <c r="D2" s="76"/>
    </row>
    <row r="3" spans="2:4" ht="13.5" thickBot="1">
      <c r="B3" s="2" t="s">
        <v>0</v>
      </c>
      <c r="C3" s="3" t="s">
        <v>1</v>
      </c>
      <c r="D3" s="77"/>
    </row>
    <row r="4" spans="2:4" ht="13.5" thickBot="1">
      <c r="B4" s="68" t="s">
        <v>71</v>
      </c>
      <c r="C4" s="69"/>
      <c r="D4" s="70"/>
    </row>
    <row r="5" spans="2:4" ht="13.5" thickBot="1">
      <c r="B5" s="5" t="s">
        <v>6</v>
      </c>
      <c r="C5" s="7" t="s">
        <v>7</v>
      </c>
      <c r="D5" s="78">
        <v>338770.79</v>
      </c>
    </row>
    <row r="6" spans="2:4" ht="13.5" thickBot="1">
      <c r="B6" s="8" t="s">
        <v>8</v>
      </c>
      <c r="C6" s="7" t="s">
        <v>7</v>
      </c>
      <c r="D6" s="78">
        <v>93537</v>
      </c>
    </row>
    <row r="7" spans="2:4" ht="13.5" thickBot="1">
      <c r="B7" s="8" t="s">
        <v>42</v>
      </c>
      <c r="C7" s="7" t="s">
        <v>7</v>
      </c>
      <c r="D7" s="78">
        <f>D5-D6</f>
        <v>245233.78999999998</v>
      </c>
    </row>
    <row r="8" spans="2:4" ht="13.5" thickBot="1">
      <c r="B8" s="68" t="s">
        <v>63</v>
      </c>
      <c r="C8" s="69"/>
      <c r="D8" s="70"/>
    </row>
    <row r="9" spans="2:4" ht="12.75">
      <c r="B9" s="11" t="s">
        <v>9</v>
      </c>
      <c r="C9" s="12" t="s">
        <v>10</v>
      </c>
      <c r="D9" s="13">
        <f>6.74/1</f>
        <v>6.74</v>
      </c>
    </row>
    <row r="10" spans="2:4" ht="12.75">
      <c r="B10" s="11"/>
      <c r="C10" s="12" t="s">
        <v>11</v>
      </c>
      <c r="D10" s="13">
        <f>1/6.74</f>
        <v>0.14836795252225518</v>
      </c>
    </row>
    <row r="11" spans="2:4" ht="13.5" thickBot="1">
      <c r="B11" s="79" t="s">
        <v>64</v>
      </c>
      <c r="C11" s="12" t="s">
        <v>12</v>
      </c>
      <c r="D11" s="63">
        <v>0.1</v>
      </c>
    </row>
    <row r="12" spans="2:4" ht="13.5" thickBot="1">
      <c r="B12" s="17" t="s">
        <v>49</v>
      </c>
      <c r="C12" s="52" t="s">
        <v>14</v>
      </c>
      <c r="D12" s="82">
        <f>D13/$D$9</f>
        <v>10.385756676557863</v>
      </c>
    </row>
    <row r="13" spans="2:4" ht="13.5" thickBot="1">
      <c r="B13" s="10"/>
      <c r="C13" s="52" t="s">
        <v>66</v>
      </c>
      <c r="D13" s="19">
        <v>70</v>
      </c>
    </row>
    <row r="14" spans="2:4" ht="13.5" thickBot="1">
      <c r="B14" s="50" t="s">
        <v>47</v>
      </c>
      <c r="C14" s="5" t="s">
        <v>15</v>
      </c>
      <c r="D14" s="82">
        <f>D15/D9</f>
        <v>0.17091988130563796</v>
      </c>
    </row>
    <row r="15" spans="2:4" ht="13.5" thickBot="1">
      <c r="B15" s="6"/>
      <c r="C15" s="5" t="s">
        <v>67</v>
      </c>
      <c r="D15" s="19">
        <v>1.152</v>
      </c>
    </row>
    <row r="16" spans="2:4" ht="13.5" thickBot="1">
      <c r="B16" s="51" t="s">
        <v>46</v>
      </c>
      <c r="C16" s="5" t="s">
        <v>17</v>
      </c>
      <c r="D16" s="82">
        <f>D17/D9</f>
        <v>92906.74896142431</v>
      </c>
    </row>
    <row r="17" spans="2:4" ht="13.5" thickBot="1">
      <c r="B17" s="4"/>
      <c r="C17" s="5" t="s">
        <v>68</v>
      </c>
      <c r="D17" s="19">
        <f>543569*D15</f>
        <v>626191.4879999999</v>
      </c>
    </row>
    <row r="18" spans="2:4" ht="13.5" thickBot="1">
      <c r="B18" s="17" t="s">
        <v>48</v>
      </c>
      <c r="C18" s="52" t="s">
        <v>14</v>
      </c>
      <c r="D18" s="82">
        <f>D19/$D$9</f>
        <v>6.109792284866469</v>
      </c>
    </row>
    <row r="19" spans="2:4" ht="13.5" thickBot="1">
      <c r="B19" s="10"/>
      <c r="C19" s="52" t="s">
        <v>66</v>
      </c>
      <c r="D19" s="19">
        <v>41.18</v>
      </c>
    </row>
    <row r="20" spans="2:4" ht="13.5" thickBot="1">
      <c r="B20" s="17" t="s">
        <v>50</v>
      </c>
      <c r="C20" s="52" t="s">
        <v>14</v>
      </c>
      <c r="D20" s="82">
        <f>D21/$D$9</f>
        <v>9.792284866468842</v>
      </c>
    </row>
    <row r="21" spans="2:4" ht="13.5" thickBot="1">
      <c r="B21" s="10"/>
      <c r="C21" s="52" t="s">
        <v>66</v>
      </c>
      <c r="D21" s="19">
        <v>66</v>
      </c>
    </row>
    <row r="22" spans="2:4" ht="13.5" thickBot="1">
      <c r="B22" s="68" t="s">
        <v>69</v>
      </c>
      <c r="C22" s="69"/>
      <c r="D22" s="70"/>
    </row>
    <row r="23" spans="2:4" ht="12.75">
      <c r="B23" s="5" t="s">
        <v>18</v>
      </c>
      <c r="C23" s="20" t="s">
        <v>16</v>
      </c>
      <c r="D23" s="21">
        <f>D24/$D$9</f>
        <v>10708842.729970327</v>
      </c>
    </row>
    <row r="24" spans="2:4" ht="13.5" thickBot="1">
      <c r="B24" s="4"/>
      <c r="C24" s="80" t="s">
        <v>70</v>
      </c>
      <c r="D24" s="81">
        <f>D26+D28+D30+D32+D34+D36+D38+D40+D42</f>
        <v>72177600</v>
      </c>
    </row>
    <row r="25" spans="2:4" ht="12.75">
      <c r="B25" s="8" t="s">
        <v>19</v>
      </c>
      <c r="C25" s="20" t="s">
        <v>16</v>
      </c>
      <c r="D25" s="21">
        <v>387240.35608308605</v>
      </c>
    </row>
    <row r="26" spans="2:4" ht="13.5" thickBot="1">
      <c r="B26" s="9"/>
      <c r="C26" s="80" t="s">
        <v>70</v>
      </c>
      <c r="D26" s="81">
        <v>2610000</v>
      </c>
    </row>
    <row r="27" spans="2:4" ht="12.75">
      <c r="B27" s="8" t="s">
        <v>20</v>
      </c>
      <c r="C27" s="20" t="s">
        <v>16</v>
      </c>
      <c r="D27" s="21">
        <v>6759643.916913946</v>
      </c>
    </row>
    <row r="28" spans="2:4" ht="13.5" thickBot="1">
      <c r="B28" s="9"/>
      <c r="C28" s="80" t="s">
        <v>70</v>
      </c>
      <c r="D28" s="81">
        <v>45560000</v>
      </c>
    </row>
    <row r="29" spans="2:4" ht="12.75">
      <c r="B29" s="8" t="s">
        <v>21</v>
      </c>
      <c r="C29" s="20" t="s">
        <v>16</v>
      </c>
      <c r="D29" s="21">
        <v>0</v>
      </c>
    </row>
    <row r="30" spans="2:4" ht="13.5" thickBot="1">
      <c r="B30" s="9"/>
      <c r="C30" s="80" t="s">
        <v>70</v>
      </c>
      <c r="D30" s="81">
        <v>0</v>
      </c>
    </row>
    <row r="31" spans="2:4" ht="12.75">
      <c r="B31" s="8" t="s">
        <v>22</v>
      </c>
      <c r="C31" s="20" t="s">
        <v>16</v>
      </c>
      <c r="D31" s="21">
        <v>676557.8635014837</v>
      </c>
    </row>
    <row r="32" spans="2:4" ht="13.5" thickBot="1">
      <c r="B32" s="9"/>
      <c r="C32" s="80" t="s">
        <v>70</v>
      </c>
      <c r="D32" s="81">
        <v>4560000</v>
      </c>
    </row>
    <row r="33" spans="2:4" ht="12.75">
      <c r="B33" s="8" t="s">
        <v>23</v>
      </c>
      <c r="C33" s="20" t="s">
        <v>16</v>
      </c>
      <c r="D33" s="21">
        <v>833234.4213649852</v>
      </c>
    </row>
    <row r="34" spans="2:4" ht="13.5" thickBot="1">
      <c r="B34" s="9"/>
      <c r="C34" s="80" t="s">
        <v>70</v>
      </c>
      <c r="D34" s="81">
        <v>5616000</v>
      </c>
    </row>
    <row r="35" spans="2:4" ht="12.75">
      <c r="B35" s="8" t="s">
        <v>24</v>
      </c>
      <c r="C35" s="20" t="s">
        <v>16</v>
      </c>
      <c r="D35" s="21">
        <v>145400.59347181008</v>
      </c>
    </row>
    <row r="36" spans="2:4" ht="13.5" thickBot="1">
      <c r="B36" s="9"/>
      <c r="C36" s="80" t="s">
        <v>70</v>
      </c>
      <c r="D36" s="81">
        <v>980000</v>
      </c>
    </row>
    <row r="37" spans="2:4" ht="12.75">
      <c r="B37" s="8" t="s">
        <v>25</v>
      </c>
      <c r="C37" s="20" t="s">
        <v>16</v>
      </c>
      <c r="D37" s="21">
        <v>0</v>
      </c>
    </row>
    <row r="38" spans="2:4" ht="13.5" thickBot="1">
      <c r="B38" s="9"/>
      <c r="C38" s="80" t="s">
        <v>70</v>
      </c>
      <c r="D38" s="81">
        <v>0</v>
      </c>
    </row>
    <row r="39" spans="2:4" ht="12.75">
      <c r="B39" s="8" t="s">
        <v>26</v>
      </c>
      <c r="C39" s="20" t="s">
        <v>16</v>
      </c>
      <c r="D39" s="21">
        <v>121958.45697329377</v>
      </c>
    </row>
    <row r="40" spans="2:4" ht="13.5" thickBot="1">
      <c r="B40" s="9"/>
      <c r="C40" s="80" t="s">
        <v>70</v>
      </c>
      <c r="D40" s="81">
        <v>822000</v>
      </c>
    </row>
    <row r="41" spans="2:4" ht="12.75">
      <c r="B41" s="8" t="s">
        <v>27</v>
      </c>
      <c r="C41" s="20" t="s">
        <v>16</v>
      </c>
      <c r="D41" s="21">
        <v>1784807.121661721</v>
      </c>
    </row>
    <row r="42" spans="2:4" ht="13.5" thickBot="1">
      <c r="B42" s="9" t="s">
        <v>28</v>
      </c>
      <c r="C42" s="80" t="s">
        <v>70</v>
      </c>
      <c r="D42" s="81">
        <v>12029600</v>
      </c>
    </row>
    <row r="43" spans="2:4" ht="12.75">
      <c r="B43" s="23" t="s">
        <v>29</v>
      </c>
      <c r="C43" s="17" t="s">
        <v>30</v>
      </c>
      <c r="D43" s="66">
        <v>30</v>
      </c>
    </row>
    <row r="44" spans="2:4" ht="13.5" thickBot="1">
      <c r="B44" s="24"/>
      <c r="C44" s="10"/>
      <c r="D44" s="67"/>
    </row>
  </sheetData>
  <sheetProtection/>
  <mergeCells count="5">
    <mergeCell ref="D43:D44"/>
    <mergeCell ref="B8:D8"/>
    <mergeCell ref="B2:D2"/>
    <mergeCell ref="B4:D4"/>
    <mergeCell ref="B22:D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AJ44"/>
  <sheetViews>
    <sheetView zoomScalePageLayoutView="0" workbookViewId="0" topLeftCell="A14">
      <selection activeCell="B48" sqref="B48"/>
    </sheetView>
  </sheetViews>
  <sheetFormatPr defaultColWidth="9.00390625" defaultRowHeight="12.75"/>
  <cols>
    <col min="2" max="2" width="78.75390625" style="0" customWidth="1"/>
    <col min="3" max="3" width="13.375" style="0" hidden="1" customWidth="1"/>
    <col min="4" max="35" width="13.375" style="0" bestFit="1" customWidth="1"/>
  </cols>
  <sheetData>
    <row r="3" ht="13.5" thickBot="1">
      <c r="B3" s="54" t="s">
        <v>72</v>
      </c>
    </row>
    <row r="4" spans="2:35" ht="12.75">
      <c r="B4" s="25" t="s">
        <v>0</v>
      </c>
      <c r="C4" s="26"/>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8"/>
    </row>
    <row r="5" spans="2:35" ht="13.5" thickBot="1">
      <c r="B5" s="29"/>
      <c r="C5" s="30">
        <v>2007</v>
      </c>
      <c r="D5" s="30">
        <v>2008</v>
      </c>
      <c r="E5" s="30">
        <v>2009</v>
      </c>
      <c r="F5" s="30">
        <v>2010</v>
      </c>
      <c r="G5" s="30">
        <v>2011</v>
      </c>
      <c r="H5" s="30">
        <v>2012</v>
      </c>
      <c r="I5" s="30">
        <v>2013</v>
      </c>
      <c r="J5" s="30">
        <v>2014</v>
      </c>
      <c r="K5" s="30">
        <v>2015</v>
      </c>
      <c r="L5" s="30">
        <v>2016</v>
      </c>
      <c r="M5" s="30">
        <v>2017</v>
      </c>
      <c r="N5" s="30">
        <v>2018</v>
      </c>
      <c r="O5" s="30">
        <v>2019</v>
      </c>
      <c r="P5" s="30">
        <v>2020</v>
      </c>
      <c r="Q5" s="30">
        <v>2021</v>
      </c>
      <c r="R5" s="30">
        <v>2022</v>
      </c>
      <c r="S5" s="30">
        <v>2023</v>
      </c>
      <c r="T5" s="30">
        <v>2024</v>
      </c>
      <c r="U5" s="30">
        <v>2025</v>
      </c>
      <c r="V5" s="30">
        <v>2026</v>
      </c>
      <c r="W5" s="30">
        <v>2027</v>
      </c>
      <c r="X5" s="30">
        <v>2028</v>
      </c>
      <c r="Y5" s="30">
        <v>2029</v>
      </c>
      <c r="Z5" s="30">
        <v>2030</v>
      </c>
      <c r="AA5" s="30">
        <v>2031</v>
      </c>
      <c r="AB5" s="30">
        <v>2032</v>
      </c>
      <c r="AC5" s="30">
        <v>2033</v>
      </c>
      <c r="AD5" s="30">
        <v>2034</v>
      </c>
      <c r="AE5" s="30">
        <v>2035</v>
      </c>
      <c r="AF5" s="30">
        <v>2036</v>
      </c>
      <c r="AG5" s="30">
        <v>2037</v>
      </c>
      <c r="AH5" s="30">
        <v>2038</v>
      </c>
      <c r="AI5" s="31">
        <v>2039</v>
      </c>
    </row>
    <row r="6" spans="2:35" ht="12.75">
      <c r="B6" s="56" t="s">
        <v>73</v>
      </c>
      <c r="C6" s="32"/>
      <c r="D6" s="33">
        <f>-'Alternative 1.1'!D31/2</f>
        <v>-11466409.495548962</v>
      </c>
      <c r="E6" s="33">
        <f>D6</f>
        <v>-11466409.495548962</v>
      </c>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2:35" ht="12.75">
      <c r="B7" s="57"/>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row>
    <row r="8" spans="2:35" ht="12.75">
      <c r="B8" s="58" t="s">
        <v>74</v>
      </c>
      <c r="C8" s="34"/>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row>
    <row r="9" spans="2:35" ht="12.75">
      <c r="B9" s="57" t="s">
        <v>75</v>
      </c>
      <c r="C9" s="34"/>
      <c r="D9" s="35"/>
      <c r="E9" s="35"/>
      <c r="F9" s="35">
        <f>'Alternative 1.1'!D9*('Alternative 1.1'!D16-'Alternative 1.1'!D20)</f>
        <v>763916.9139465875</v>
      </c>
      <c r="G9" s="35">
        <f aca="true" t="shared" si="0" ref="G9:J12">F9</f>
        <v>763916.9139465875</v>
      </c>
      <c r="H9" s="35">
        <f t="shared" si="0"/>
        <v>763916.9139465875</v>
      </c>
      <c r="I9" s="35">
        <f t="shared" si="0"/>
        <v>763916.9139465875</v>
      </c>
      <c r="J9" s="35">
        <f t="shared" si="0"/>
        <v>763916.9139465875</v>
      </c>
      <c r="K9" s="35">
        <f aca="true" t="shared" si="1" ref="K9:AI9">J9</f>
        <v>763916.9139465875</v>
      </c>
      <c r="L9" s="35">
        <f t="shared" si="1"/>
        <v>763916.9139465875</v>
      </c>
      <c r="M9" s="35">
        <f t="shared" si="1"/>
        <v>763916.9139465875</v>
      </c>
      <c r="N9" s="35">
        <f t="shared" si="1"/>
        <v>763916.9139465875</v>
      </c>
      <c r="O9" s="35">
        <f t="shared" si="1"/>
        <v>763916.9139465875</v>
      </c>
      <c r="P9" s="35">
        <f t="shared" si="1"/>
        <v>763916.9139465875</v>
      </c>
      <c r="Q9" s="35">
        <f t="shared" si="1"/>
        <v>763916.9139465875</v>
      </c>
      <c r="R9" s="35">
        <f t="shared" si="1"/>
        <v>763916.9139465875</v>
      </c>
      <c r="S9" s="35">
        <f t="shared" si="1"/>
        <v>763916.9139465875</v>
      </c>
      <c r="T9" s="35">
        <f t="shared" si="1"/>
        <v>763916.9139465875</v>
      </c>
      <c r="U9" s="35">
        <f t="shared" si="1"/>
        <v>763916.9139465875</v>
      </c>
      <c r="V9" s="35">
        <f t="shared" si="1"/>
        <v>763916.9139465875</v>
      </c>
      <c r="W9" s="35">
        <f t="shared" si="1"/>
        <v>763916.9139465875</v>
      </c>
      <c r="X9" s="35">
        <f t="shared" si="1"/>
        <v>763916.9139465875</v>
      </c>
      <c r="Y9" s="35">
        <f t="shared" si="1"/>
        <v>763916.9139465875</v>
      </c>
      <c r="Z9" s="35">
        <f t="shared" si="1"/>
        <v>763916.9139465875</v>
      </c>
      <c r="AA9" s="35">
        <f t="shared" si="1"/>
        <v>763916.9139465875</v>
      </c>
      <c r="AB9" s="35">
        <f t="shared" si="1"/>
        <v>763916.9139465875</v>
      </c>
      <c r="AC9" s="35">
        <f t="shared" si="1"/>
        <v>763916.9139465875</v>
      </c>
      <c r="AD9" s="35">
        <f t="shared" si="1"/>
        <v>763916.9139465875</v>
      </c>
      <c r="AE9" s="35">
        <f t="shared" si="1"/>
        <v>763916.9139465875</v>
      </c>
      <c r="AF9" s="35">
        <f t="shared" si="1"/>
        <v>763916.9139465875</v>
      </c>
      <c r="AG9" s="35">
        <f t="shared" si="1"/>
        <v>763916.9139465875</v>
      </c>
      <c r="AH9" s="35">
        <f t="shared" si="1"/>
        <v>763916.9139465875</v>
      </c>
      <c r="AI9" s="35">
        <f t="shared" si="1"/>
        <v>763916.9139465875</v>
      </c>
    </row>
    <row r="10" spans="2:35" ht="12.75">
      <c r="B10" s="57" t="s">
        <v>76</v>
      </c>
      <c r="C10" s="34"/>
      <c r="D10" s="35"/>
      <c r="E10" s="35"/>
      <c r="F10" s="35">
        <f>'Alternative 1.1'!D11*('Alternative 1.1'!D18-'Alternative 1.1'!D20)</f>
        <v>1629729.6142433234</v>
      </c>
      <c r="G10" s="35">
        <f t="shared" si="0"/>
        <v>1629729.6142433234</v>
      </c>
      <c r="H10" s="35">
        <f t="shared" si="0"/>
        <v>1629729.6142433234</v>
      </c>
      <c r="I10" s="35">
        <f t="shared" si="0"/>
        <v>1629729.6142433234</v>
      </c>
      <c r="J10" s="35">
        <f t="shared" si="0"/>
        <v>1629729.6142433234</v>
      </c>
      <c r="K10" s="35">
        <f aca="true" t="shared" si="2" ref="K10:AI10">J10</f>
        <v>1629729.6142433234</v>
      </c>
      <c r="L10" s="35">
        <f t="shared" si="2"/>
        <v>1629729.6142433234</v>
      </c>
      <c r="M10" s="35">
        <f t="shared" si="2"/>
        <v>1629729.6142433234</v>
      </c>
      <c r="N10" s="35">
        <f t="shared" si="2"/>
        <v>1629729.6142433234</v>
      </c>
      <c r="O10" s="35">
        <f t="shared" si="2"/>
        <v>1629729.6142433234</v>
      </c>
      <c r="P10" s="35">
        <f t="shared" si="2"/>
        <v>1629729.6142433234</v>
      </c>
      <c r="Q10" s="35">
        <f t="shared" si="2"/>
        <v>1629729.6142433234</v>
      </c>
      <c r="R10" s="35">
        <f t="shared" si="2"/>
        <v>1629729.6142433234</v>
      </c>
      <c r="S10" s="35">
        <f t="shared" si="2"/>
        <v>1629729.6142433234</v>
      </c>
      <c r="T10" s="35">
        <f t="shared" si="2"/>
        <v>1629729.6142433234</v>
      </c>
      <c r="U10" s="35">
        <f t="shared" si="2"/>
        <v>1629729.6142433234</v>
      </c>
      <c r="V10" s="35">
        <f t="shared" si="2"/>
        <v>1629729.6142433234</v>
      </c>
      <c r="W10" s="35">
        <f t="shared" si="2"/>
        <v>1629729.6142433234</v>
      </c>
      <c r="X10" s="35">
        <f t="shared" si="2"/>
        <v>1629729.6142433234</v>
      </c>
      <c r="Y10" s="35">
        <f t="shared" si="2"/>
        <v>1629729.6142433234</v>
      </c>
      <c r="Z10" s="35">
        <f t="shared" si="2"/>
        <v>1629729.6142433234</v>
      </c>
      <c r="AA10" s="35">
        <f t="shared" si="2"/>
        <v>1629729.6142433234</v>
      </c>
      <c r="AB10" s="35">
        <f t="shared" si="2"/>
        <v>1629729.6142433234</v>
      </c>
      <c r="AC10" s="35">
        <f t="shared" si="2"/>
        <v>1629729.6142433234</v>
      </c>
      <c r="AD10" s="35">
        <f t="shared" si="2"/>
        <v>1629729.6142433234</v>
      </c>
      <c r="AE10" s="35">
        <f t="shared" si="2"/>
        <v>1629729.6142433234</v>
      </c>
      <c r="AF10" s="35">
        <f t="shared" si="2"/>
        <v>1629729.6142433234</v>
      </c>
      <c r="AG10" s="35">
        <f t="shared" si="2"/>
        <v>1629729.6142433234</v>
      </c>
      <c r="AH10" s="35">
        <f t="shared" si="2"/>
        <v>1629729.6142433234</v>
      </c>
      <c r="AI10" s="35">
        <f t="shared" si="2"/>
        <v>1629729.6142433234</v>
      </c>
    </row>
    <row r="11" spans="2:35" s="65" customFormat="1" ht="12.75">
      <c r="B11" s="57" t="s">
        <v>77</v>
      </c>
      <c r="C11" s="64"/>
      <c r="D11" s="42"/>
      <c r="E11" s="42"/>
      <c r="F11" s="42">
        <f>'Alternative 1.1'!D7*('Alternative 1.1'!D24-'Alternative 1.1'!D22)</f>
        <v>344449.3086053412</v>
      </c>
      <c r="G11" s="42">
        <f>F11</f>
        <v>344449.3086053412</v>
      </c>
      <c r="H11" s="42">
        <f aca="true" t="shared" si="3" ref="H11:AI11">G11</f>
        <v>344449.3086053412</v>
      </c>
      <c r="I11" s="42">
        <f t="shared" si="3"/>
        <v>344449.3086053412</v>
      </c>
      <c r="J11" s="42">
        <f t="shared" si="3"/>
        <v>344449.3086053412</v>
      </c>
      <c r="K11" s="42">
        <f t="shared" si="3"/>
        <v>344449.3086053412</v>
      </c>
      <c r="L11" s="42">
        <f t="shared" si="3"/>
        <v>344449.3086053412</v>
      </c>
      <c r="M11" s="42">
        <f t="shared" si="3"/>
        <v>344449.3086053412</v>
      </c>
      <c r="N11" s="42">
        <f t="shared" si="3"/>
        <v>344449.3086053412</v>
      </c>
      <c r="O11" s="42">
        <f t="shared" si="3"/>
        <v>344449.3086053412</v>
      </c>
      <c r="P11" s="42">
        <f t="shared" si="3"/>
        <v>344449.3086053412</v>
      </c>
      <c r="Q11" s="42">
        <f t="shared" si="3"/>
        <v>344449.3086053412</v>
      </c>
      <c r="R11" s="42">
        <f t="shared" si="3"/>
        <v>344449.3086053412</v>
      </c>
      <c r="S11" s="42">
        <f t="shared" si="3"/>
        <v>344449.3086053412</v>
      </c>
      <c r="T11" s="42">
        <f t="shared" si="3"/>
        <v>344449.3086053412</v>
      </c>
      <c r="U11" s="42">
        <f t="shared" si="3"/>
        <v>344449.3086053412</v>
      </c>
      <c r="V11" s="42">
        <f t="shared" si="3"/>
        <v>344449.3086053412</v>
      </c>
      <c r="W11" s="42">
        <f t="shared" si="3"/>
        <v>344449.3086053412</v>
      </c>
      <c r="X11" s="42">
        <f t="shared" si="3"/>
        <v>344449.3086053412</v>
      </c>
      <c r="Y11" s="42">
        <f t="shared" si="3"/>
        <v>344449.3086053412</v>
      </c>
      <c r="Z11" s="42">
        <f t="shared" si="3"/>
        <v>344449.3086053412</v>
      </c>
      <c r="AA11" s="42">
        <f t="shared" si="3"/>
        <v>344449.3086053412</v>
      </c>
      <c r="AB11" s="42">
        <f t="shared" si="3"/>
        <v>344449.3086053412</v>
      </c>
      <c r="AC11" s="42">
        <f t="shared" si="3"/>
        <v>344449.3086053412</v>
      </c>
      <c r="AD11" s="42">
        <f t="shared" si="3"/>
        <v>344449.3086053412</v>
      </c>
      <c r="AE11" s="42">
        <f t="shared" si="3"/>
        <v>344449.3086053412</v>
      </c>
      <c r="AF11" s="42">
        <f t="shared" si="3"/>
        <v>344449.3086053412</v>
      </c>
      <c r="AG11" s="42">
        <f t="shared" si="3"/>
        <v>344449.3086053412</v>
      </c>
      <c r="AH11" s="42">
        <f t="shared" si="3"/>
        <v>344449.3086053412</v>
      </c>
      <c r="AI11" s="42">
        <f t="shared" si="3"/>
        <v>344449.3086053412</v>
      </c>
    </row>
    <row r="12" spans="2:35" ht="12.75">
      <c r="B12" s="57" t="s">
        <v>78</v>
      </c>
      <c r="C12" s="34"/>
      <c r="D12" s="35"/>
      <c r="E12" s="35"/>
      <c r="F12" s="35">
        <f>'Alternative 1.1'!D28</f>
        <v>92906.74896142431</v>
      </c>
      <c r="G12" s="35">
        <f t="shared" si="0"/>
        <v>92906.74896142431</v>
      </c>
      <c r="H12" s="35">
        <f t="shared" si="0"/>
        <v>92906.74896142431</v>
      </c>
      <c r="I12" s="35">
        <f t="shared" si="0"/>
        <v>92906.74896142431</v>
      </c>
      <c r="J12" s="35">
        <f t="shared" si="0"/>
        <v>92906.74896142431</v>
      </c>
      <c r="K12" s="35">
        <f aca="true" t="shared" si="4" ref="K12:AI12">J12</f>
        <v>92906.74896142431</v>
      </c>
      <c r="L12" s="35">
        <f t="shared" si="4"/>
        <v>92906.74896142431</v>
      </c>
      <c r="M12" s="35">
        <f t="shared" si="4"/>
        <v>92906.74896142431</v>
      </c>
      <c r="N12" s="35">
        <f t="shared" si="4"/>
        <v>92906.74896142431</v>
      </c>
      <c r="O12" s="35">
        <f t="shared" si="4"/>
        <v>92906.74896142431</v>
      </c>
      <c r="P12" s="35">
        <f t="shared" si="4"/>
        <v>92906.74896142431</v>
      </c>
      <c r="Q12" s="35">
        <f t="shared" si="4"/>
        <v>92906.74896142431</v>
      </c>
      <c r="R12" s="35">
        <f t="shared" si="4"/>
        <v>92906.74896142431</v>
      </c>
      <c r="S12" s="35">
        <f t="shared" si="4"/>
        <v>92906.74896142431</v>
      </c>
      <c r="T12" s="35">
        <f t="shared" si="4"/>
        <v>92906.74896142431</v>
      </c>
      <c r="U12" s="35">
        <f t="shared" si="4"/>
        <v>92906.74896142431</v>
      </c>
      <c r="V12" s="35">
        <f t="shared" si="4"/>
        <v>92906.74896142431</v>
      </c>
      <c r="W12" s="35">
        <f t="shared" si="4"/>
        <v>92906.74896142431</v>
      </c>
      <c r="X12" s="35">
        <f t="shared" si="4"/>
        <v>92906.74896142431</v>
      </c>
      <c r="Y12" s="35">
        <f t="shared" si="4"/>
        <v>92906.74896142431</v>
      </c>
      <c r="Z12" s="35">
        <f t="shared" si="4"/>
        <v>92906.74896142431</v>
      </c>
      <c r="AA12" s="35">
        <f t="shared" si="4"/>
        <v>92906.74896142431</v>
      </c>
      <c r="AB12" s="35">
        <f t="shared" si="4"/>
        <v>92906.74896142431</v>
      </c>
      <c r="AC12" s="35">
        <f t="shared" si="4"/>
        <v>92906.74896142431</v>
      </c>
      <c r="AD12" s="35">
        <f t="shared" si="4"/>
        <v>92906.74896142431</v>
      </c>
      <c r="AE12" s="35">
        <f t="shared" si="4"/>
        <v>92906.74896142431</v>
      </c>
      <c r="AF12" s="35">
        <f t="shared" si="4"/>
        <v>92906.74896142431</v>
      </c>
      <c r="AG12" s="35">
        <f t="shared" si="4"/>
        <v>92906.74896142431</v>
      </c>
      <c r="AH12" s="35">
        <f t="shared" si="4"/>
        <v>92906.74896142431</v>
      </c>
      <c r="AI12" s="35">
        <f t="shared" si="4"/>
        <v>92906.74896142431</v>
      </c>
    </row>
    <row r="13" spans="2:35" s="39" customFormat="1" ht="12.75">
      <c r="B13" s="58" t="s">
        <v>79</v>
      </c>
      <c r="C13" s="38">
        <f aca="true" t="shared" si="5" ref="C13:AI13">SUM(C6:C12)</f>
        <v>0</v>
      </c>
      <c r="D13" s="38">
        <f t="shared" si="5"/>
        <v>-11466409.495548962</v>
      </c>
      <c r="E13" s="38">
        <f t="shared" si="5"/>
        <v>-11466409.495548962</v>
      </c>
      <c r="F13" s="38">
        <f t="shared" si="5"/>
        <v>2831002.5857566767</v>
      </c>
      <c r="G13" s="38">
        <f t="shared" si="5"/>
        <v>2831002.5857566767</v>
      </c>
      <c r="H13" s="38">
        <f t="shared" si="5"/>
        <v>2831002.5857566767</v>
      </c>
      <c r="I13" s="38">
        <f t="shared" si="5"/>
        <v>2831002.5857566767</v>
      </c>
      <c r="J13" s="38">
        <f t="shared" si="5"/>
        <v>2831002.5857566767</v>
      </c>
      <c r="K13" s="38">
        <f t="shared" si="5"/>
        <v>2831002.5857566767</v>
      </c>
      <c r="L13" s="38">
        <f t="shared" si="5"/>
        <v>2831002.5857566767</v>
      </c>
      <c r="M13" s="38">
        <f t="shared" si="5"/>
        <v>2831002.5857566767</v>
      </c>
      <c r="N13" s="38">
        <f t="shared" si="5"/>
        <v>2831002.5857566767</v>
      </c>
      <c r="O13" s="38">
        <f t="shared" si="5"/>
        <v>2831002.5857566767</v>
      </c>
      <c r="P13" s="38">
        <f t="shared" si="5"/>
        <v>2831002.5857566767</v>
      </c>
      <c r="Q13" s="38">
        <f t="shared" si="5"/>
        <v>2831002.5857566767</v>
      </c>
      <c r="R13" s="38">
        <f t="shared" si="5"/>
        <v>2831002.5857566767</v>
      </c>
      <c r="S13" s="38">
        <f t="shared" si="5"/>
        <v>2831002.5857566767</v>
      </c>
      <c r="T13" s="38">
        <f t="shared" si="5"/>
        <v>2831002.5857566767</v>
      </c>
      <c r="U13" s="38">
        <f t="shared" si="5"/>
        <v>2831002.5857566767</v>
      </c>
      <c r="V13" s="38">
        <f t="shared" si="5"/>
        <v>2831002.5857566767</v>
      </c>
      <c r="W13" s="38">
        <f t="shared" si="5"/>
        <v>2831002.5857566767</v>
      </c>
      <c r="X13" s="38">
        <f t="shared" si="5"/>
        <v>2831002.5857566767</v>
      </c>
      <c r="Y13" s="38">
        <f t="shared" si="5"/>
        <v>2831002.5857566767</v>
      </c>
      <c r="Z13" s="38">
        <f t="shared" si="5"/>
        <v>2831002.5857566767</v>
      </c>
      <c r="AA13" s="38">
        <f t="shared" si="5"/>
        <v>2831002.5857566767</v>
      </c>
      <c r="AB13" s="38">
        <f t="shared" si="5"/>
        <v>2831002.5857566767</v>
      </c>
      <c r="AC13" s="38">
        <f t="shared" si="5"/>
        <v>2831002.5857566767</v>
      </c>
      <c r="AD13" s="38">
        <f t="shared" si="5"/>
        <v>2831002.5857566767</v>
      </c>
      <c r="AE13" s="38">
        <f t="shared" si="5"/>
        <v>2831002.5857566767</v>
      </c>
      <c r="AF13" s="38">
        <f t="shared" si="5"/>
        <v>2831002.5857566767</v>
      </c>
      <c r="AG13" s="38">
        <f t="shared" si="5"/>
        <v>2831002.5857566767</v>
      </c>
      <c r="AH13" s="38">
        <f t="shared" si="5"/>
        <v>2831002.5857566767</v>
      </c>
      <c r="AI13" s="38">
        <f t="shared" si="5"/>
        <v>2831002.5857566767</v>
      </c>
    </row>
    <row r="14" spans="2:36" ht="12.75">
      <c r="B14" s="57" t="s">
        <v>80</v>
      </c>
      <c r="C14" s="34">
        <f>C13</f>
        <v>0</v>
      </c>
      <c r="D14" s="35">
        <f>D13</f>
        <v>-11466409.495548962</v>
      </c>
      <c r="E14" s="35">
        <f>E13/1.1</f>
        <v>-10424008.632317238</v>
      </c>
      <c r="F14" s="35">
        <f>F13/1.1^2</f>
        <v>2339671.558476592</v>
      </c>
      <c r="G14" s="35">
        <f>G13/1.1^3</f>
        <v>2126974.144069629</v>
      </c>
      <c r="H14" s="35">
        <f>H13/1.1^4</f>
        <v>1933612.8582451171</v>
      </c>
      <c r="I14" s="35">
        <f>I13/1.1^5</f>
        <v>1757829.8711319244</v>
      </c>
      <c r="J14" s="35">
        <f>J13/1.1^6</f>
        <v>1598027.1555744766</v>
      </c>
      <c r="K14" s="35">
        <f>K13/1.1^7</f>
        <v>1452751.9596131605</v>
      </c>
      <c r="L14" s="35">
        <f>L13/1.1^8</f>
        <v>1320683.5996483278</v>
      </c>
      <c r="M14" s="35">
        <f>M13/1.1^9</f>
        <v>1200621.4542257523</v>
      </c>
      <c r="N14" s="35">
        <f>N13/1.1^10</f>
        <v>1091474.0492961383</v>
      </c>
      <c r="O14" s="35">
        <f>O13/1.1^11</f>
        <v>992249.1357237621</v>
      </c>
      <c r="P14" s="35">
        <f>P13/1.1^12</f>
        <v>902044.6688397838</v>
      </c>
      <c r="Q14" s="35">
        <f>Q13/1.1^13</f>
        <v>820040.608036167</v>
      </c>
      <c r="R14" s="35">
        <f>R13/1.1^14</f>
        <v>745491.4618510607</v>
      </c>
      <c r="S14" s="35">
        <f>S13/1.1^15</f>
        <v>677719.5107736916</v>
      </c>
      <c r="T14" s="35">
        <f>T13/1.1^16</f>
        <v>616108.6461579014</v>
      </c>
      <c r="U14" s="35">
        <f>U13/1.1^17</f>
        <v>560098.7692344559</v>
      </c>
      <c r="V14" s="35">
        <f>V13/1.1^18</f>
        <v>509180.6993040507</v>
      </c>
      <c r="W14" s="35">
        <f>W13/1.1^19</f>
        <v>462891.54482186417</v>
      </c>
      <c r="X14" s="35">
        <f>X13/1.1^20</f>
        <v>420810.49529260385</v>
      </c>
      <c r="Y14" s="35">
        <f>Y13/1.1^21</f>
        <v>382554.9957205489</v>
      </c>
      <c r="Z14" s="35">
        <f>Z13/1.1^22</f>
        <v>347777.2688368626</v>
      </c>
      <c r="AA14" s="35">
        <f>AA13/1.1^23</f>
        <v>316161.15348805685</v>
      </c>
      <c r="AB14" s="35">
        <f>AB13/1.1^24</f>
        <v>287419.2304436881</v>
      </c>
      <c r="AC14" s="35">
        <f>AC13/1.1^25</f>
        <v>261290.20949426186</v>
      </c>
      <c r="AD14" s="35">
        <f>AD13/1.1^26</f>
        <v>237536.5540856926</v>
      </c>
      <c r="AE14" s="35">
        <f>AE13/1.1^27</f>
        <v>215942.32189608415</v>
      </c>
      <c r="AF14" s="35">
        <f>AF13/1.1^28</f>
        <v>196311.20172371285</v>
      </c>
      <c r="AG14" s="35">
        <f>AG13/1.1^29</f>
        <v>178464.72883973896</v>
      </c>
      <c r="AH14" s="35">
        <f>AH13/1.1^30</f>
        <v>162240.66258158084</v>
      </c>
      <c r="AI14" s="35">
        <f>AI13/1.1^31</f>
        <v>147491.51143780077</v>
      </c>
      <c r="AJ14" s="35"/>
    </row>
    <row r="15" spans="2:36" ht="12.75">
      <c r="B15" s="57" t="s">
        <v>81</v>
      </c>
      <c r="C15" s="34">
        <f>C13</f>
        <v>0</v>
      </c>
      <c r="D15" s="34">
        <f>D13</f>
        <v>-11466409.495548962</v>
      </c>
      <c r="E15" s="35">
        <f aca="true" t="shared" si="6" ref="E15:AI15">D15+E13</f>
        <v>-22932818.991097923</v>
      </c>
      <c r="F15" s="35">
        <f t="shared" si="6"/>
        <v>-20101816.405341245</v>
      </c>
      <c r="G15" s="35">
        <f t="shared" si="6"/>
        <v>-17270813.819584567</v>
      </c>
      <c r="H15" s="35">
        <f t="shared" si="6"/>
        <v>-14439811.23382789</v>
      </c>
      <c r="I15" s="35">
        <f t="shared" si="6"/>
        <v>-11608808.648071215</v>
      </c>
      <c r="J15" s="35">
        <f t="shared" si="6"/>
        <v>-8777806.062314538</v>
      </c>
      <c r="K15" s="35">
        <f t="shared" si="6"/>
        <v>-5946803.476557862</v>
      </c>
      <c r="L15" s="40">
        <f t="shared" si="6"/>
        <v>-3115800.8908011853</v>
      </c>
      <c r="M15" s="35">
        <f t="shared" si="6"/>
        <v>-284798.30504450854</v>
      </c>
      <c r="N15" s="41">
        <f t="shared" si="6"/>
        <v>2546204.280712168</v>
      </c>
      <c r="O15" s="40">
        <f>N15+O13</f>
        <v>5377206.866468845</v>
      </c>
      <c r="P15" s="35">
        <f t="shared" si="6"/>
        <v>8208209.452225521</v>
      </c>
      <c r="Q15" s="35">
        <f t="shared" si="6"/>
        <v>11039212.037982197</v>
      </c>
      <c r="R15" s="35">
        <f t="shared" si="6"/>
        <v>13870214.623738874</v>
      </c>
      <c r="S15" s="35">
        <f t="shared" si="6"/>
        <v>16701217.20949555</v>
      </c>
      <c r="T15" s="35">
        <f t="shared" si="6"/>
        <v>19532219.795252226</v>
      </c>
      <c r="U15" s="35">
        <f t="shared" si="6"/>
        <v>22363222.381008904</v>
      </c>
      <c r="V15" s="35">
        <f t="shared" si="6"/>
        <v>25194224.966765583</v>
      </c>
      <c r="W15" s="35">
        <f t="shared" si="6"/>
        <v>28025227.55252226</v>
      </c>
      <c r="X15" s="35">
        <f t="shared" si="6"/>
        <v>30856230.13827894</v>
      </c>
      <c r="Y15" s="40">
        <f t="shared" si="6"/>
        <v>33687232.72403561</v>
      </c>
      <c r="Z15" s="35">
        <f t="shared" si="6"/>
        <v>36518235.30979229</v>
      </c>
      <c r="AA15" s="35">
        <f t="shared" si="6"/>
        <v>39349237.89554896</v>
      </c>
      <c r="AB15" s="35">
        <f t="shared" si="6"/>
        <v>42180240.48130564</v>
      </c>
      <c r="AC15" s="35">
        <f t="shared" si="6"/>
        <v>45011243.06706231</v>
      </c>
      <c r="AD15" s="35">
        <f t="shared" si="6"/>
        <v>47842245.652818985</v>
      </c>
      <c r="AE15" s="35">
        <f t="shared" si="6"/>
        <v>50673248.23857566</v>
      </c>
      <c r="AF15" s="35">
        <f t="shared" si="6"/>
        <v>53504250.824332334</v>
      </c>
      <c r="AG15" s="35">
        <f t="shared" si="6"/>
        <v>56335253.41008901</v>
      </c>
      <c r="AH15" s="35">
        <f t="shared" si="6"/>
        <v>59166255.99584568</v>
      </c>
      <c r="AI15" s="35">
        <f t="shared" si="6"/>
        <v>61997258.58160236</v>
      </c>
      <c r="AJ15" s="62"/>
    </row>
    <row r="16" spans="2:35" ht="12.75">
      <c r="B16" s="57" t="s">
        <v>82</v>
      </c>
      <c r="C16" s="34">
        <f>C14</f>
        <v>0</v>
      </c>
      <c r="D16" s="34">
        <f>D14</f>
        <v>-11466409.495548962</v>
      </c>
      <c r="E16" s="35">
        <f>E14+D16</f>
        <v>-21890418.1278662</v>
      </c>
      <c r="F16" s="35">
        <f>F14+E16</f>
        <v>-19550746.569389608</v>
      </c>
      <c r="G16" s="35">
        <f>G14+F16</f>
        <v>-17423772.425319977</v>
      </c>
      <c r="H16" s="35">
        <f>H14+G16</f>
        <v>-15490159.56707486</v>
      </c>
      <c r="I16" s="35">
        <f>I14+H16</f>
        <v>-13732329.695942935</v>
      </c>
      <c r="J16" s="35">
        <f aca="true" t="shared" si="7" ref="J16:AI16">K14+I16</f>
        <v>-12279577.736329773</v>
      </c>
      <c r="K16" s="35">
        <f t="shared" si="7"/>
        <v>-10958894.136681445</v>
      </c>
      <c r="L16" s="35">
        <f t="shared" si="7"/>
        <v>-9758272.682455692</v>
      </c>
      <c r="M16" s="35">
        <f t="shared" si="7"/>
        <v>-8666798.633159554</v>
      </c>
      <c r="N16" s="35">
        <f t="shared" si="7"/>
        <v>-7674549.497435791</v>
      </c>
      <c r="O16" s="35">
        <f t="shared" si="7"/>
        <v>-6772504.828596008</v>
      </c>
      <c r="P16" s="35">
        <f t="shared" si="7"/>
        <v>-5952464.220559841</v>
      </c>
      <c r="Q16" s="35">
        <f t="shared" si="7"/>
        <v>-5206972.758708781</v>
      </c>
      <c r="R16" s="42">
        <f t="shared" si="7"/>
        <v>-4529253.247935089</v>
      </c>
      <c r="S16" s="35">
        <f t="shared" si="7"/>
        <v>-3913144.601777188</v>
      </c>
      <c r="T16" s="35">
        <f t="shared" si="7"/>
        <v>-3353045.8325427324</v>
      </c>
      <c r="U16" s="35">
        <f t="shared" si="7"/>
        <v>-2843865.1332386816</v>
      </c>
      <c r="V16" s="35">
        <f t="shared" si="7"/>
        <v>-2380973.5884168176</v>
      </c>
      <c r="W16" s="35">
        <f t="shared" si="7"/>
        <v>-1960163.0931242136</v>
      </c>
      <c r="X16" s="35">
        <f t="shared" si="7"/>
        <v>-1577608.0974036646</v>
      </c>
      <c r="Y16" s="35">
        <f t="shared" si="7"/>
        <v>-1229830.828566802</v>
      </c>
      <c r="Z16" s="35">
        <f t="shared" si="7"/>
        <v>-913669.6750787451</v>
      </c>
      <c r="AA16" s="35">
        <f t="shared" si="7"/>
        <v>-626250.444635057</v>
      </c>
      <c r="AB16" s="35">
        <f t="shared" si="7"/>
        <v>-364960.2351407951</v>
      </c>
      <c r="AC16" s="35">
        <f t="shared" si="7"/>
        <v>-127423.68105510253</v>
      </c>
      <c r="AD16" s="35">
        <f t="shared" si="7"/>
        <v>88518.64084098162</v>
      </c>
      <c r="AE16" s="35">
        <f t="shared" si="7"/>
        <v>284829.84256469447</v>
      </c>
      <c r="AF16" s="35">
        <f t="shared" si="7"/>
        <v>463294.57140443346</v>
      </c>
      <c r="AG16" s="35">
        <f t="shared" si="7"/>
        <v>625535.2339860143</v>
      </c>
      <c r="AH16" s="35">
        <f t="shared" si="7"/>
        <v>773026.745423815</v>
      </c>
      <c r="AI16" s="35">
        <f t="shared" si="7"/>
        <v>773026.745423815</v>
      </c>
    </row>
    <row r="17" spans="2:35" ht="12.75">
      <c r="B17" s="57" t="s">
        <v>83</v>
      </c>
      <c r="C17" s="34"/>
      <c r="D17" s="34">
        <f>SUM(F14:AI14)</f>
        <v>24261472.0288645</v>
      </c>
      <c r="E17" s="35"/>
      <c r="F17" s="35"/>
      <c r="G17" s="35"/>
      <c r="H17" s="35"/>
      <c r="I17" s="35"/>
      <c r="J17" s="35"/>
      <c r="K17" s="35"/>
      <c r="L17" s="35"/>
      <c r="M17" s="35"/>
      <c r="N17" s="35"/>
      <c r="O17" s="35"/>
      <c r="P17" s="35"/>
      <c r="Q17" s="35"/>
      <c r="R17" s="42"/>
      <c r="S17" s="35"/>
      <c r="T17" s="35"/>
      <c r="U17" s="35"/>
      <c r="V17" s="35"/>
      <c r="W17" s="35"/>
      <c r="X17" s="35"/>
      <c r="Y17" s="35"/>
      <c r="Z17" s="35"/>
      <c r="AA17" s="35"/>
      <c r="AB17" s="35"/>
      <c r="AC17" s="35"/>
      <c r="AD17" s="35"/>
      <c r="AE17" s="35"/>
      <c r="AF17" s="35"/>
      <c r="AG17" s="35"/>
      <c r="AH17" s="35"/>
      <c r="AI17" s="35"/>
    </row>
    <row r="18" spans="2:35" ht="12.75">
      <c r="B18" s="57" t="s">
        <v>84</v>
      </c>
      <c r="C18" s="34"/>
      <c r="D18" s="34">
        <f>-(D14+E14)</f>
        <v>21890418.1278662</v>
      </c>
      <c r="E18" s="35"/>
      <c r="F18" s="35"/>
      <c r="G18" s="35"/>
      <c r="H18" s="35"/>
      <c r="I18" s="35"/>
      <c r="J18" s="35"/>
      <c r="K18" s="35"/>
      <c r="L18" s="35"/>
      <c r="M18" s="35"/>
      <c r="N18" s="35"/>
      <c r="O18" s="35"/>
      <c r="P18" s="35"/>
      <c r="Q18" s="35"/>
      <c r="R18" s="42"/>
      <c r="S18" s="35"/>
      <c r="T18" s="35"/>
      <c r="U18" s="35"/>
      <c r="V18" s="35"/>
      <c r="W18" s="35"/>
      <c r="X18" s="35"/>
      <c r="Y18" s="35"/>
      <c r="Z18" s="35"/>
      <c r="AA18" s="35"/>
      <c r="AB18" s="35"/>
      <c r="AC18" s="35"/>
      <c r="AD18" s="35"/>
      <c r="AE18" s="35"/>
      <c r="AF18" s="35"/>
      <c r="AG18" s="35"/>
      <c r="AH18" s="35"/>
      <c r="AI18" s="35"/>
    </row>
    <row r="19" spans="2:35" ht="12.75">
      <c r="B19" s="57" t="s">
        <v>36</v>
      </c>
      <c r="C19" s="38">
        <f>SUM(C14:AJ14)</f>
        <v>2371053.9009982925</v>
      </c>
      <c r="D19" s="43">
        <f>SUM(D14:AJ14)</f>
        <v>2371053.9009982925</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row>
    <row r="20" spans="2:35" ht="12.75">
      <c r="B20" s="57" t="s">
        <v>37</v>
      </c>
      <c r="C20" s="44">
        <f>IRR(C13:AI13,0.13)</f>
        <v>0.11206836479833764</v>
      </c>
      <c r="D20" s="45">
        <f>IRR(D13:AI13,0.13)</f>
        <v>0.11206836479833754</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row>
    <row r="21" spans="2:35" ht="12.75">
      <c r="B21" s="57" t="s">
        <v>85</v>
      </c>
      <c r="C21" s="38">
        <f>23+(Y15+Z15)/Z15</f>
        <v>24.92247701561314</v>
      </c>
      <c r="D21" s="43">
        <f>10+M15/-N13</f>
        <v>10.100599803927196</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2:35" ht="12.75">
      <c r="B22" s="57" t="s">
        <v>61</v>
      </c>
      <c r="C22" s="55"/>
      <c r="D22" s="55">
        <f>D17/D18</f>
        <v>1.1083146921702687</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ht="13.5" thickBot="1">
      <c r="B23" s="59" t="s">
        <v>40</v>
      </c>
    </row>
    <row r="24" spans="2:35" ht="12.75">
      <c r="B24" s="60" t="s">
        <v>0</v>
      </c>
      <c r="C24" s="26"/>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8"/>
    </row>
    <row r="25" spans="2:35" ht="13.5" thickBot="1">
      <c r="B25" s="61"/>
      <c r="C25" s="30">
        <v>2007</v>
      </c>
      <c r="D25" s="30">
        <v>2008</v>
      </c>
      <c r="E25" s="30">
        <v>2009</v>
      </c>
      <c r="F25" s="30">
        <v>2010</v>
      </c>
      <c r="G25" s="30">
        <v>2011</v>
      </c>
      <c r="H25" s="30">
        <v>2012</v>
      </c>
      <c r="I25" s="30">
        <v>2013</v>
      </c>
      <c r="J25" s="30">
        <v>2014</v>
      </c>
      <c r="K25" s="30">
        <v>2015</v>
      </c>
      <c r="L25" s="30">
        <v>2016</v>
      </c>
      <c r="M25" s="30">
        <v>2017</v>
      </c>
      <c r="N25" s="30">
        <v>2018</v>
      </c>
      <c r="O25" s="30">
        <v>2019</v>
      </c>
      <c r="P25" s="30">
        <v>2020</v>
      </c>
      <c r="Q25" s="30">
        <v>2021</v>
      </c>
      <c r="R25" s="30">
        <v>2022</v>
      </c>
      <c r="S25" s="30">
        <v>2023</v>
      </c>
      <c r="T25" s="30">
        <v>2024</v>
      </c>
      <c r="U25" s="30">
        <v>2025</v>
      </c>
      <c r="V25" s="30">
        <v>2026</v>
      </c>
      <c r="W25" s="30">
        <v>2027</v>
      </c>
      <c r="X25" s="30">
        <v>2028</v>
      </c>
      <c r="Y25" s="30">
        <v>2029</v>
      </c>
      <c r="Z25" s="30">
        <v>2030</v>
      </c>
      <c r="AA25" s="30">
        <v>2031</v>
      </c>
      <c r="AB25" s="30">
        <v>2032</v>
      </c>
      <c r="AC25" s="30">
        <v>2033</v>
      </c>
      <c r="AD25" s="30">
        <v>2034</v>
      </c>
      <c r="AE25" s="30">
        <v>2035</v>
      </c>
      <c r="AF25" s="30">
        <v>2036</v>
      </c>
      <c r="AG25" s="30">
        <v>2037</v>
      </c>
      <c r="AH25" s="30">
        <v>2038</v>
      </c>
      <c r="AI25" s="31">
        <v>2039</v>
      </c>
    </row>
    <row r="26" spans="2:35" ht="12.75">
      <c r="B26" s="56" t="s">
        <v>73</v>
      </c>
      <c r="C26" s="32">
        <v>0</v>
      </c>
      <c r="D26" s="33">
        <f>-'Alternative 1.3'!D23/2</f>
        <v>-5354421.364985163</v>
      </c>
      <c r="E26" s="33">
        <f>D26</f>
        <v>-5354421.364985163</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row>
    <row r="27" spans="2:35" ht="12.75">
      <c r="B27" s="57"/>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row>
    <row r="28" spans="2:35" ht="12.75">
      <c r="B28" s="58" t="s">
        <v>74</v>
      </c>
      <c r="C28" s="34"/>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row>
    <row r="29" spans="2:35" ht="12.75">
      <c r="B29" s="57" t="s">
        <v>86</v>
      </c>
      <c r="C29" s="34"/>
      <c r="D29" s="35"/>
      <c r="E29" s="35"/>
      <c r="F29" s="35">
        <f>'Alternative 1.3'!D7*('Alternative 1.3'!D12-'Alternative 1.3'!D18)</f>
        <v>1048610.953679525</v>
      </c>
      <c r="G29" s="35">
        <f>F29</f>
        <v>1048610.953679525</v>
      </c>
      <c r="H29" s="35">
        <f>G29</f>
        <v>1048610.953679525</v>
      </c>
      <c r="I29" s="35">
        <f>H29</f>
        <v>1048610.953679525</v>
      </c>
      <c r="J29" s="35">
        <f aca="true" t="shared" si="8" ref="J29:AI29">I29</f>
        <v>1048610.953679525</v>
      </c>
      <c r="K29" s="35">
        <f t="shared" si="8"/>
        <v>1048610.953679525</v>
      </c>
      <c r="L29" s="35">
        <f t="shared" si="8"/>
        <v>1048610.953679525</v>
      </c>
      <c r="M29" s="35">
        <f t="shared" si="8"/>
        <v>1048610.953679525</v>
      </c>
      <c r="N29" s="35">
        <f t="shared" si="8"/>
        <v>1048610.953679525</v>
      </c>
      <c r="O29" s="35">
        <f t="shared" si="8"/>
        <v>1048610.953679525</v>
      </c>
      <c r="P29" s="35">
        <f t="shared" si="8"/>
        <v>1048610.953679525</v>
      </c>
      <c r="Q29" s="35">
        <f t="shared" si="8"/>
        <v>1048610.953679525</v>
      </c>
      <c r="R29" s="35">
        <f t="shared" si="8"/>
        <v>1048610.953679525</v>
      </c>
      <c r="S29" s="35">
        <f t="shared" si="8"/>
        <v>1048610.953679525</v>
      </c>
      <c r="T29" s="35">
        <f t="shared" si="8"/>
        <v>1048610.953679525</v>
      </c>
      <c r="U29" s="35">
        <f t="shared" si="8"/>
        <v>1048610.953679525</v>
      </c>
      <c r="V29" s="35">
        <f t="shared" si="8"/>
        <v>1048610.953679525</v>
      </c>
      <c r="W29" s="35">
        <f t="shared" si="8"/>
        <v>1048610.953679525</v>
      </c>
      <c r="X29" s="35">
        <f t="shared" si="8"/>
        <v>1048610.953679525</v>
      </c>
      <c r="Y29" s="35">
        <f t="shared" si="8"/>
        <v>1048610.953679525</v>
      </c>
      <c r="Z29" s="35">
        <f t="shared" si="8"/>
        <v>1048610.953679525</v>
      </c>
      <c r="AA29" s="35">
        <f t="shared" si="8"/>
        <v>1048610.953679525</v>
      </c>
      <c r="AB29" s="35">
        <f t="shared" si="8"/>
        <v>1048610.953679525</v>
      </c>
      <c r="AC29" s="35">
        <f t="shared" si="8"/>
        <v>1048610.953679525</v>
      </c>
      <c r="AD29" s="35">
        <f t="shared" si="8"/>
        <v>1048610.953679525</v>
      </c>
      <c r="AE29" s="35">
        <f t="shared" si="8"/>
        <v>1048610.953679525</v>
      </c>
      <c r="AF29" s="35">
        <f t="shared" si="8"/>
        <v>1048610.953679525</v>
      </c>
      <c r="AG29" s="35">
        <f t="shared" si="8"/>
        <v>1048610.953679525</v>
      </c>
      <c r="AH29" s="35">
        <f t="shared" si="8"/>
        <v>1048610.953679525</v>
      </c>
      <c r="AI29" s="35">
        <f t="shared" si="8"/>
        <v>1048610.953679525</v>
      </c>
    </row>
    <row r="30" spans="2:35" ht="12.75">
      <c r="B30" s="57" t="s">
        <v>77</v>
      </c>
      <c r="C30" s="34"/>
      <c r="D30" s="34"/>
      <c r="E30" s="34"/>
      <c r="F30" s="34">
        <f>'Alternative 1.3'!D6*('Alternative 1.3'!D20-'Alternative 1.3'!D18)</f>
        <v>344449.3086053412</v>
      </c>
      <c r="G30" s="34">
        <f>F30</f>
        <v>344449.3086053412</v>
      </c>
      <c r="H30" s="34">
        <f aca="true" t="shared" si="9" ref="H30:AI30">G30</f>
        <v>344449.3086053412</v>
      </c>
      <c r="I30" s="34">
        <f t="shared" si="9"/>
        <v>344449.3086053412</v>
      </c>
      <c r="J30" s="34">
        <f t="shared" si="9"/>
        <v>344449.3086053412</v>
      </c>
      <c r="K30" s="34">
        <f t="shared" si="9"/>
        <v>344449.3086053412</v>
      </c>
      <c r="L30" s="34">
        <f t="shared" si="9"/>
        <v>344449.3086053412</v>
      </c>
      <c r="M30" s="34">
        <f t="shared" si="9"/>
        <v>344449.3086053412</v>
      </c>
      <c r="N30" s="34">
        <f t="shared" si="9"/>
        <v>344449.3086053412</v>
      </c>
      <c r="O30" s="34">
        <f t="shared" si="9"/>
        <v>344449.3086053412</v>
      </c>
      <c r="P30" s="34">
        <f t="shared" si="9"/>
        <v>344449.3086053412</v>
      </c>
      <c r="Q30" s="34">
        <f t="shared" si="9"/>
        <v>344449.3086053412</v>
      </c>
      <c r="R30" s="34">
        <f t="shared" si="9"/>
        <v>344449.3086053412</v>
      </c>
      <c r="S30" s="34">
        <f t="shared" si="9"/>
        <v>344449.3086053412</v>
      </c>
      <c r="T30" s="34">
        <f t="shared" si="9"/>
        <v>344449.3086053412</v>
      </c>
      <c r="U30" s="34">
        <f t="shared" si="9"/>
        <v>344449.3086053412</v>
      </c>
      <c r="V30" s="34">
        <f t="shared" si="9"/>
        <v>344449.3086053412</v>
      </c>
      <c r="W30" s="34">
        <f t="shared" si="9"/>
        <v>344449.3086053412</v>
      </c>
      <c r="X30" s="34">
        <f t="shared" si="9"/>
        <v>344449.3086053412</v>
      </c>
      <c r="Y30" s="34">
        <f t="shared" si="9"/>
        <v>344449.3086053412</v>
      </c>
      <c r="Z30" s="34">
        <f t="shared" si="9"/>
        <v>344449.3086053412</v>
      </c>
      <c r="AA30" s="34">
        <f t="shared" si="9"/>
        <v>344449.3086053412</v>
      </c>
      <c r="AB30" s="34">
        <f t="shared" si="9"/>
        <v>344449.3086053412</v>
      </c>
      <c r="AC30" s="34">
        <f t="shared" si="9"/>
        <v>344449.3086053412</v>
      </c>
      <c r="AD30" s="34">
        <f t="shared" si="9"/>
        <v>344449.3086053412</v>
      </c>
      <c r="AE30" s="34">
        <f t="shared" si="9"/>
        <v>344449.3086053412</v>
      </c>
      <c r="AF30" s="34">
        <f t="shared" si="9"/>
        <v>344449.3086053412</v>
      </c>
      <c r="AG30" s="34">
        <f t="shared" si="9"/>
        <v>344449.3086053412</v>
      </c>
      <c r="AH30" s="34">
        <f t="shared" si="9"/>
        <v>344449.3086053412</v>
      </c>
      <c r="AI30" s="34">
        <f t="shared" si="9"/>
        <v>344449.3086053412</v>
      </c>
    </row>
    <row r="31" spans="2:35" ht="12.75">
      <c r="B31" s="57" t="s">
        <v>78</v>
      </c>
      <c r="C31" s="34"/>
      <c r="D31" s="34"/>
      <c r="E31" s="34"/>
      <c r="F31" s="34">
        <f>'Alternative 1.3'!D16</f>
        <v>92906.74896142431</v>
      </c>
      <c r="G31" s="34">
        <f aca="true" t="shared" si="10" ref="G31:AI31">G12</f>
        <v>92906.74896142431</v>
      </c>
      <c r="H31" s="34">
        <f t="shared" si="10"/>
        <v>92906.74896142431</v>
      </c>
      <c r="I31" s="34">
        <f t="shared" si="10"/>
        <v>92906.74896142431</v>
      </c>
      <c r="J31" s="34">
        <f t="shared" si="10"/>
        <v>92906.74896142431</v>
      </c>
      <c r="K31" s="34">
        <f t="shared" si="10"/>
        <v>92906.74896142431</v>
      </c>
      <c r="L31" s="34">
        <f t="shared" si="10"/>
        <v>92906.74896142431</v>
      </c>
      <c r="M31" s="34">
        <f t="shared" si="10"/>
        <v>92906.74896142431</v>
      </c>
      <c r="N31" s="34">
        <f t="shared" si="10"/>
        <v>92906.74896142431</v>
      </c>
      <c r="O31" s="34">
        <f t="shared" si="10"/>
        <v>92906.74896142431</v>
      </c>
      <c r="P31" s="34">
        <f t="shared" si="10"/>
        <v>92906.74896142431</v>
      </c>
      <c r="Q31" s="34">
        <f t="shared" si="10"/>
        <v>92906.74896142431</v>
      </c>
      <c r="R31" s="34">
        <f t="shared" si="10"/>
        <v>92906.74896142431</v>
      </c>
      <c r="S31" s="34">
        <f t="shared" si="10"/>
        <v>92906.74896142431</v>
      </c>
      <c r="T31" s="34">
        <f t="shared" si="10"/>
        <v>92906.74896142431</v>
      </c>
      <c r="U31" s="34">
        <f t="shared" si="10"/>
        <v>92906.74896142431</v>
      </c>
      <c r="V31" s="34">
        <f t="shared" si="10"/>
        <v>92906.74896142431</v>
      </c>
      <c r="W31" s="34">
        <f t="shared" si="10"/>
        <v>92906.74896142431</v>
      </c>
      <c r="X31" s="34">
        <f t="shared" si="10"/>
        <v>92906.74896142431</v>
      </c>
      <c r="Y31" s="34">
        <f t="shared" si="10"/>
        <v>92906.74896142431</v>
      </c>
      <c r="Z31" s="34">
        <f t="shared" si="10"/>
        <v>92906.74896142431</v>
      </c>
      <c r="AA31" s="34">
        <f t="shared" si="10"/>
        <v>92906.74896142431</v>
      </c>
      <c r="AB31" s="34">
        <f t="shared" si="10"/>
        <v>92906.74896142431</v>
      </c>
      <c r="AC31" s="34">
        <f t="shared" si="10"/>
        <v>92906.74896142431</v>
      </c>
      <c r="AD31" s="34">
        <f t="shared" si="10"/>
        <v>92906.74896142431</v>
      </c>
      <c r="AE31" s="34">
        <f t="shared" si="10"/>
        <v>92906.74896142431</v>
      </c>
      <c r="AF31" s="34">
        <f t="shared" si="10"/>
        <v>92906.74896142431</v>
      </c>
      <c r="AG31" s="34">
        <f t="shared" si="10"/>
        <v>92906.74896142431</v>
      </c>
      <c r="AH31" s="34">
        <f t="shared" si="10"/>
        <v>92906.74896142431</v>
      </c>
      <c r="AI31" s="34">
        <f t="shared" si="10"/>
        <v>92906.74896142431</v>
      </c>
    </row>
    <row r="32" spans="2:35" ht="12.75">
      <c r="B32" s="58" t="s">
        <v>79</v>
      </c>
      <c r="C32" s="38">
        <f>SUM(C26:C29)</f>
        <v>0</v>
      </c>
      <c r="D32" s="38">
        <f aca="true" t="shared" si="11" ref="D32:AI32">SUM(D26:D31)</f>
        <v>-5354421.364985163</v>
      </c>
      <c r="E32" s="38">
        <f t="shared" si="11"/>
        <v>-5354421.364985163</v>
      </c>
      <c r="F32" s="38">
        <f t="shared" si="11"/>
        <v>1485967.0112462905</v>
      </c>
      <c r="G32" s="38">
        <f t="shared" si="11"/>
        <v>1485967.0112462905</v>
      </c>
      <c r="H32" s="38">
        <f t="shared" si="11"/>
        <v>1485967.0112462905</v>
      </c>
      <c r="I32" s="38">
        <f t="shared" si="11"/>
        <v>1485967.0112462905</v>
      </c>
      <c r="J32" s="38">
        <f t="shared" si="11"/>
        <v>1485967.0112462905</v>
      </c>
      <c r="K32" s="38">
        <f t="shared" si="11"/>
        <v>1485967.0112462905</v>
      </c>
      <c r="L32" s="38">
        <f t="shared" si="11"/>
        <v>1485967.0112462905</v>
      </c>
      <c r="M32" s="38">
        <f t="shared" si="11"/>
        <v>1485967.0112462905</v>
      </c>
      <c r="N32" s="38">
        <f t="shared" si="11"/>
        <v>1485967.0112462905</v>
      </c>
      <c r="O32" s="38">
        <f t="shared" si="11"/>
        <v>1485967.0112462905</v>
      </c>
      <c r="P32" s="38">
        <f t="shared" si="11"/>
        <v>1485967.0112462905</v>
      </c>
      <c r="Q32" s="38">
        <f t="shared" si="11"/>
        <v>1485967.0112462905</v>
      </c>
      <c r="R32" s="38">
        <f t="shared" si="11"/>
        <v>1485967.0112462905</v>
      </c>
      <c r="S32" s="38">
        <f t="shared" si="11"/>
        <v>1485967.0112462905</v>
      </c>
      <c r="T32" s="38">
        <f t="shared" si="11"/>
        <v>1485967.0112462905</v>
      </c>
      <c r="U32" s="38">
        <f t="shared" si="11"/>
        <v>1485967.0112462905</v>
      </c>
      <c r="V32" s="38">
        <f t="shared" si="11"/>
        <v>1485967.0112462905</v>
      </c>
      <c r="W32" s="38">
        <f t="shared" si="11"/>
        <v>1485967.0112462905</v>
      </c>
      <c r="X32" s="38">
        <f t="shared" si="11"/>
        <v>1485967.0112462905</v>
      </c>
      <c r="Y32" s="38">
        <f t="shared" si="11"/>
        <v>1485967.0112462905</v>
      </c>
      <c r="Z32" s="38">
        <f t="shared" si="11"/>
        <v>1485967.0112462905</v>
      </c>
      <c r="AA32" s="38">
        <f t="shared" si="11"/>
        <v>1485967.0112462905</v>
      </c>
      <c r="AB32" s="38">
        <f t="shared" si="11"/>
        <v>1485967.0112462905</v>
      </c>
      <c r="AC32" s="38">
        <f t="shared" si="11"/>
        <v>1485967.0112462905</v>
      </c>
      <c r="AD32" s="38">
        <f t="shared" si="11"/>
        <v>1485967.0112462905</v>
      </c>
      <c r="AE32" s="38">
        <f t="shared" si="11"/>
        <v>1485967.0112462905</v>
      </c>
      <c r="AF32" s="38">
        <f t="shared" si="11"/>
        <v>1485967.0112462905</v>
      </c>
      <c r="AG32" s="38">
        <f t="shared" si="11"/>
        <v>1485967.0112462905</v>
      </c>
      <c r="AH32" s="38">
        <f t="shared" si="11"/>
        <v>1485967.0112462905</v>
      </c>
      <c r="AI32" s="38">
        <f t="shared" si="11"/>
        <v>1485967.0112462905</v>
      </c>
    </row>
    <row r="33" spans="2:35" ht="12.75">
      <c r="B33" s="57" t="s">
        <v>80</v>
      </c>
      <c r="C33" s="34">
        <f>C32</f>
        <v>0</v>
      </c>
      <c r="D33" s="35">
        <f>D32</f>
        <v>-5354421.364985163</v>
      </c>
      <c r="E33" s="35">
        <f>E32/1.1</f>
        <v>-4867655.786350148</v>
      </c>
      <c r="F33" s="35">
        <f>F32/1.1^2</f>
        <v>1228071.9101209012</v>
      </c>
      <c r="G33" s="35">
        <f>G32/1.1^3</f>
        <v>1116429.009200819</v>
      </c>
      <c r="H33" s="35">
        <f aca="true" t="shared" si="12" ref="H33:AI33">H32/1.1^H44</f>
        <v>1014935.4629098355</v>
      </c>
      <c r="I33" s="35">
        <f t="shared" si="12"/>
        <v>922668.6026453049</v>
      </c>
      <c r="J33" s="35">
        <f t="shared" si="12"/>
        <v>838789.6387684589</v>
      </c>
      <c r="K33" s="35">
        <f t="shared" si="12"/>
        <v>762536.0352440535</v>
      </c>
      <c r="L33" s="35">
        <f t="shared" si="12"/>
        <v>693214.5774945942</v>
      </c>
      <c r="M33" s="35">
        <f t="shared" si="12"/>
        <v>630195.070449631</v>
      </c>
      <c r="N33" s="35">
        <f t="shared" si="12"/>
        <v>572904.6094996644</v>
      </c>
      <c r="O33" s="35">
        <f t="shared" si="12"/>
        <v>520822.37227242213</v>
      </c>
      <c r="P33" s="35">
        <f t="shared" si="12"/>
        <v>473474.88388402015</v>
      </c>
      <c r="Q33" s="35">
        <f t="shared" si="12"/>
        <v>430431.71262183646</v>
      </c>
      <c r="R33" s="35">
        <f t="shared" si="12"/>
        <v>391301.5569289422</v>
      </c>
      <c r="S33" s="35">
        <f t="shared" si="12"/>
        <v>355728.6881172202</v>
      </c>
      <c r="T33" s="35">
        <f t="shared" si="12"/>
        <v>323389.71647020016</v>
      </c>
      <c r="U33" s="35">
        <f t="shared" si="12"/>
        <v>293990.6513365456</v>
      </c>
      <c r="V33" s="35">
        <f t="shared" si="12"/>
        <v>267264.2284877687</v>
      </c>
      <c r="W33" s="35">
        <f t="shared" si="12"/>
        <v>242967.48044342603</v>
      </c>
      <c r="X33" s="35">
        <f t="shared" si="12"/>
        <v>220879.52767584185</v>
      </c>
      <c r="Y33" s="35">
        <f t="shared" si="12"/>
        <v>200799.57061440166</v>
      </c>
      <c r="Z33" s="35">
        <f t="shared" si="12"/>
        <v>182545.06419491058</v>
      </c>
      <c r="AA33" s="35">
        <f t="shared" si="12"/>
        <v>165950.0583590096</v>
      </c>
      <c r="AB33" s="35">
        <f t="shared" si="12"/>
        <v>150863.68941728148</v>
      </c>
      <c r="AC33" s="35">
        <f t="shared" si="12"/>
        <v>137148.80856116494</v>
      </c>
      <c r="AD33" s="35">
        <f t="shared" si="12"/>
        <v>124680.7350556045</v>
      </c>
      <c r="AE33" s="35">
        <f t="shared" si="12"/>
        <v>113346.12277782225</v>
      </c>
      <c r="AF33" s="35">
        <f t="shared" si="12"/>
        <v>103041.92979802022</v>
      </c>
      <c r="AG33" s="35">
        <f t="shared" si="12"/>
        <v>93674.48163456384</v>
      </c>
      <c r="AH33" s="35">
        <f t="shared" si="12"/>
        <v>85158.6196677853</v>
      </c>
      <c r="AI33" s="35">
        <f t="shared" si="12"/>
        <v>77416.9269707139</v>
      </c>
    </row>
    <row r="34" spans="2:36" ht="12.75">
      <c r="B34" s="57" t="s">
        <v>81</v>
      </c>
      <c r="C34" s="34">
        <f>C32</f>
        <v>0</v>
      </c>
      <c r="D34" s="34">
        <f>D32</f>
        <v>-5354421.364985163</v>
      </c>
      <c r="E34" s="35">
        <f aca="true" t="shared" si="13" ref="E34:AI34">D34+E32</f>
        <v>-10708842.729970327</v>
      </c>
      <c r="F34" s="35">
        <f t="shared" si="13"/>
        <v>-9222875.718724037</v>
      </c>
      <c r="G34" s="40">
        <f t="shared" si="13"/>
        <v>-7736908.7074777465</v>
      </c>
      <c r="H34" s="35">
        <f t="shared" si="13"/>
        <v>-6250941.6962314565</v>
      </c>
      <c r="I34" s="35">
        <f t="shared" si="13"/>
        <v>-4764974.684985166</v>
      </c>
      <c r="J34" s="35">
        <f t="shared" si="13"/>
        <v>-3279007.673738876</v>
      </c>
      <c r="K34" s="35">
        <f t="shared" si="13"/>
        <v>-1793040.6624925854</v>
      </c>
      <c r="L34" s="40">
        <f t="shared" si="13"/>
        <v>-307073.65124629484</v>
      </c>
      <c r="M34" s="41">
        <f t="shared" si="13"/>
        <v>1178893.3599999957</v>
      </c>
      <c r="N34" s="40">
        <f t="shared" si="13"/>
        <v>2664860.371246286</v>
      </c>
      <c r="O34" s="35">
        <f t="shared" si="13"/>
        <v>4150827.3824925767</v>
      </c>
      <c r="P34" s="35">
        <f t="shared" si="13"/>
        <v>5636794.393738868</v>
      </c>
      <c r="Q34" s="35">
        <f t="shared" si="13"/>
        <v>7122761.404985158</v>
      </c>
      <c r="R34" s="35">
        <f t="shared" si="13"/>
        <v>8608728.416231448</v>
      </c>
      <c r="S34" s="35">
        <f t="shared" si="13"/>
        <v>10094695.427477738</v>
      </c>
      <c r="T34" s="35">
        <f t="shared" si="13"/>
        <v>11580662.438724028</v>
      </c>
      <c r="U34" s="35">
        <f t="shared" si="13"/>
        <v>13066629.449970318</v>
      </c>
      <c r="V34" s="35">
        <f t="shared" si="13"/>
        <v>14552596.461216608</v>
      </c>
      <c r="W34" s="35">
        <f t="shared" si="13"/>
        <v>16038563.472462898</v>
      </c>
      <c r="X34" s="35">
        <f t="shared" si="13"/>
        <v>17524530.48370919</v>
      </c>
      <c r="Y34" s="35">
        <f t="shared" si="13"/>
        <v>19010497.49495548</v>
      </c>
      <c r="Z34" s="35">
        <f t="shared" si="13"/>
        <v>20496464.50620177</v>
      </c>
      <c r="AA34" s="35">
        <f t="shared" si="13"/>
        <v>21982431.51744806</v>
      </c>
      <c r="AB34" s="35">
        <f t="shared" si="13"/>
        <v>23468398.52869435</v>
      </c>
      <c r="AC34" s="35">
        <f t="shared" si="13"/>
        <v>24954365.53994064</v>
      </c>
      <c r="AD34" s="35">
        <f t="shared" si="13"/>
        <v>26440332.55118693</v>
      </c>
      <c r="AE34" s="35">
        <f t="shared" si="13"/>
        <v>27926299.56243322</v>
      </c>
      <c r="AF34" s="35">
        <f t="shared" si="13"/>
        <v>29412266.57367951</v>
      </c>
      <c r="AG34" s="35">
        <f t="shared" si="13"/>
        <v>30898233.5849258</v>
      </c>
      <c r="AH34" s="35">
        <f t="shared" si="13"/>
        <v>32384200.59617209</v>
      </c>
      <c r="AI34" s="35">
        <f t="shared" si="13"/>
        <v>33870167.60741838</v>
      </c>
      <c r="AJ34" s="62"/>
    </row>
    <row r="35" spans="2:35" ht="12.75">
      <c r="B35" s="57" t="s">
        <v>82</v>
      </c>
      <c r="C35" s="34">
        <f>C33</f>
        <v>0</v>
      </c>
      <c r="D35" s="34">
        <f>D33</f>
        <v>-5354421.364985163</v>
      </c>
      <c r="E35" s="35">
        <f aca="true" t="shared" si="14" ref="E35:AI35">E33+D35</f>
        <v>-10222077.15133531</v>
      </c>
      <c r="F35" s="35">
        <f t="shared" si="14"/>
        <v>-8994005.24121441</v>
      </c>
      <c r="G35" s="35">
        <f t="shared" si="14"/>
        <v>-7877576.232013591</v>
      </c>
      <c r="H35" s="35">
        <f t="shared" si="14"/>
        <v>-6862640.769103755</v>
      </c>
      <c r="I35" s="35">
        <f t="shared" si="14"/>
        <v>-5939972.16645845</v>
      </c>
      <c r="J35" s="35">
        <f t="shared" si="14"/>
        <v>-5101182.5276899915</v>
      </c>
      <c r="K35" s="35">
        <f t="shared" si="14"/>
        <v>-4338646.492445938</v>
      </c>
      <c r="L35" s="35">
        <f t="shared" si="14"/>
        <v>-3645431.914951344</v>
      </c>
      <c r="M35" s="35">
        <f t="shared" si="14"/>
        <v>-3015236.8445017133</v>
      </c>
      <c r="N35" s="35">
        <f t="shared" si="14"/>
        <v>-2442332.235002049</v>
      </c>
      <c r="O35" s="35">
        <f t="shared" si="14"/>
        <v>-1921509.8627296267</v>
      </c>
      <c r="P35" s="35">
        <f t="shared" si="14"/>
        <v>-1448034.9788456066</v>
      </c>
      <c r="Q35" s="35">
        <f t="shared" si="14"/>
        <v>-1017603.2662237701</v>
      </c>
      <c r="R35" s="42">
        <f t="shared" si="14"/>
        <v>-626301.7092948279</v>
      </c>
      <c r="S35" s="35">
        <f t="shared" si="14"/>
        <v>-270573.0211776077</v>
      </c>
      <c r="T35" s="35">
        <f t="shared" si="14"/>
        <v>52816.695292592456</v>
      </c>
      <c r="U35" s="35">
        <f t="shared" si="14"/>
        <v>346807.34662913805</v>
      </c>
      <c r="V35" s="35">
        <f t="shared" si="14"/>
        <v>614071.5751169068</v>
      </c>
      <c r="W35" s="35">
        <f t="shared" si="14"/>
        <v>857039.0555603328</v>
      </c>
      <c r="X35" s="35">
        <f t="shared" si="14"/>
        <v>1077918.5832361747</v>
      </c>
      <c r="Y35" s="35">
        <f t="shared" si="14"/>
        <v>1278718.1538505764</v>
      </c>
      <c r="Z35" s="35">
        <f t="shared" si="14"/>
        <v>1461263.218045487</v>
      </c>
      <c r="AA35" s="35">
        <f t="shared" si="14"/>
        <v>1627213.2764044967</v>
      </c>
      <c r="AB35" s="35">
        <f t="shared" si="14"/>
        <v>1778076.9658217782</v>
      </c>
      <c r="AC35" s="35">
        <f t="shared" si="14"/>
        <v>1915225.774382943</v>
      </c>
      <c r="AD35" s="35">
        <f t="shared" si="14"/>
        <v>2039906.5094385475</v>
      </c>
      <c r="AE35" s="35">
        <f t="shared" si="14"/>
        <v>2153252.6322163697</v>
      </c>
      <c r="AF35" s="35">
        <f t="shared" si="14"/>
        <v>2256294.56201439</v>
      </c>
      <c r="AG35" s="35">
        <f t="shared" si="14"/>
        <v>2349969.0436489535</v>
      </c>
      <c r="AH35" s="35">
        <f t="shared" si="14"/>
        <v>2435127.663316739</v>
      </c>
      <c r="AI35" s="35">
        <f t="shared" si="14"/>
        <v>2512544.5902874526</v>
      </c>
    </row>
    <row r="36" spans="2:35" ht="12.75">
      <c r="B36" s="57" t="s">
        <v>83</v>
      </c>
      <c r="C36" s="34"/>
      <c r="D36" s="34">
        <f>SUM(F33:AI33)</f>
        <v>12734621.741622765</v>
      </c>
      <c r="E36" s="35"/>
      <c r="F36" s="35"/>
      <c r="G36" s="35"/>
      <c r="H36" s="35"/>
      <c r="I36" s="35"/>
      <c r="J36" s="35"/>
      <c r="K36" s="35"/>
      <c r="L36" s="35"/>
      <c r="M36" s="35"/>
      <c r="N36" s="35"/>
      <c r="O36" s="35"/>
      <c r="P36" s="35"/>
      <c r="Q36" s="35"/>
      <c r="R36" s="42"/>
      <c r="S36" s="35"/>
      <c r="T36" s="35"/>
      <c r="U36" s="35"/>
      <c r="V36" s="35"/>
      <c r="W36" s="35"/>
      <c r="X36" s="35"/>
      <c r="Y36" s="35"/>
      <c r="Z36" s="35"/>
      <c r="AA36" s="35"/>
      <c r="AB36" s="35"/>
      <c r="AC36" s="35"/>
      <c r="AD36" s="35"/>
      <c r="AE36" s="35"/>
      <c r="AF36" s="35"/>
      <c r="AG36" s="35"/>
      <c r="AH36" s="35"/>
      <c r="AI36" s="35"/>
    </row>
    <row r="37" spans="2:35" ht="12.75">
      <c r="B37" s="57" t="s">
        <v>84</v>
      </c>
      <c r="C37" s="34"/>
      <c r="D37" s="34">
        <f>-(D33+E33)</f>
        <v>10222077.15133531</v>
      </c>
      <c r="E37" s="35"/>
      <c r="F37" s="35"/>
      <c r="G37" s="35"/>
      <c r="H37" s="35"/>
      <c r="I37" s="35"/>
      <c r="J37" s="35"/>
      <c r="K37" s="35"/>
      <c r="L37" s="35"/>
      <c r="M37" s="35"/>
      <c r="N37" s="35"/>
      <c r="O37" s="35"/>
      <c r="P37" s="35"/>
      <c r="Q37" s="35"/>
      <c r="R37" s="42"/>
      <c r="S37" s="35"/>
      <c r="T37" s="35"/>
      <c r="U37" s="35"/>
      <c r="V37" s="35"/>
      <c r="W37" s="35"/>
      <c r="X37" s="35"/>
      <c r="Y37" s="35"/>
      <c r="Z37" s="35"/>
      <c r="AA37" s="35"/>
      <c r="AB37" s="35"/>
      <c r="AC37" s="35"/>
      <c r="AD37" s="35"/>
      <c r="AE37" s="35"/>
      <c r="AF37" s="35"/>
      <c r="AG37" s="35"/>
      <c r="AH37" s="35"/>
      <c r="AI37" s="35"/>
    </row>
    <row r="38" spans="2:35" ht="12.75">
      <c r="B38" s="57" t="s">
        <v>36</v>
      </c>
      <c r="C38" s="38">
        <f>SUM(C33:AI33)</f>
        <v>2512544.5902874526</v>
      </c>
      <c r="D38" s="43">
        <f>SUM(D33:AI33)</f>
        <v>2512544.5902874526</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row>
    <row r="39" spans="2:35" ht="12.75">
      <c r="B39" s="57" t="s">
        <v>37</v>
      </c>
      <c r="C39" s="44">
        <f>IRR(C32:AI32,0.13)</f>
        <v>0.12685779729753902</v>
      </c>
      <c r="D39" s="45">
        <f>IRR(D32:AI32,0.13)</f>
        <v>0.12685779729753804</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row>
    <row r="40" spans="2:35" ht="12.75">
      <c r="B40" s="57" t="s">
        <v>85</v>
      </c>
      <c r="C40" s="38">
        <f>9+(L33+M33)/M33</f>
        <v>11.1</v>
      </c>
      <c r="D40" s="43">
        <f>10+M34/-N32</f>
        <v>9.206649036568281</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2:35" ht="12.75">
      <c r="B41" s="57" t="s">
        <v>58</v>
      </c>
      <c r="C41" s="38">
        <f>9+(L34+M34)/M34</f>
        <v>9.73952380964611</v>
      </c>
      <c r="D41" s="43">
        <f>D36/D37</f>
        <v>1.2457958938374125</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row>
    <row r="42" spans="2:35" ht="12.75">
      <c r="B42" s="36"/>
      <c r="C42" s="34"/>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row>
    <row r="44" spans="5:35" ht="12.75" hidden="1">
      <c r="E44">
        <v>1</v>
      </c>
      <c r="F44">
        <v>2</v>
      </c>
      <c r="G44">
        <v>3</v>
      </c>
      <c r="H44">
        <v>4</v>
      </c>
      <c r="I44">
        <v>5</v>
      </c>
      <c r="J44">
        <v>6</v>
      </c>
      <c r="K44">
        <v>7</v>
      </c>
      <c r="L44">
        <v>8</v>
      </c>
      <c r="M44">
        <v>9</v>
      </c>
      <c r="N44">
        <v>10</v>
      </c>
      <c r="O44">
        <v>11</v>
      </c>
      <c r="P44">
        <v>12</v>
      </c>
      <c r="Q44">
        <v>13</v>
      </c>
      <c r="R44">
        <v>14</v>
      </c>
      <c r="S44">
        <v>15</v>
      </c>
      <c r="T44">
        <v>16</v>
      </c>
      <c r="U44">
        <v>17</v>
      </c>
      <c r="V44">
        <v>18</v>
      </c>
      <c r="W44">
        <v>19</v>
      </c>
      <c r="X44">
        <v>20</v>
      </c>
      <c r="Y44">
        <v>21</v>
      </c>
      <c r="Z44">
        <v>22</v>
      </c>
      <c r="AA44">
        <v>23</v>
      </c>
      <c r="AB44">
        <v>24</v>
      </c>
      <c r="AC44">
        <v>25</v>
      </c>
      <c r="AD44">
        <v>26</v>
      </c>
      <c r="AE44">
        <v>27</v>
      </c>
      <c r="AF44">
        <v>28</v>
      </c>
      <c r="AG44">
        <v>29</v>
      </c>
      <c r="AH44">
        <v>30</v>
      </c>
      <c r="AI44">
        <v>31</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AJ85"/>
  <sheetViews>
    <sheetView zoomScalePageLayoutView="0" workbookViewId="0" topLeftCell="A56">
      <selection activeCell="B67" sqref="B67"/>
    </sheetView>
  </sheetViews>
  <sheetFormatPr defaultColWidth="9.00390625" defaultRowHeight="12.75"/>
  <cols>
    <col min="2" max="2" width="109.125" style="0" bestFit="1" customWidth="1"/>
    <col min="3" max="3" width="13.375" style="0" hidden="1" customWidth="1"/>
    <col min="4" max="35" width="13.375" style="0" bestFit="1" customWidth="1"/>
  </cols>
  <sheetData>
    <row r="3" ht="13.5" thickBot="1">
      <c r="B3" s="54" t="s">
        <v>90</v>
      </c>
    </row>
    <row r="4" spans="2:35" ht="12.75">
      <c r="B4" s="25" t="s">
        <v>0</v>
      </c>
      <c r="C4" s="26"/>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8"/>
    </row>
    <row r="5" spans="2:35" ht="13.5" thickBot="1">
      <c r="B5" s="29"/>
      <c r="C5" s="30">
        <v>2007</v>
      </c>
      <c r="D5" s="30">
        <v>2008</v>
      </c>
      <c r="E5" s="30">
        <v>2009</v>
      </c>
      <c r="F5" s="30">
        <v>2010</v>
      </c>
      <c r="G5" s="30">
        <v>2011</v>
      </c>
      <c r="H5" s="30">
        <v>2012</v>
      </c>
      <c r="I5" s="30">
        <v>2013</v>
      </c>
      <c r="J5" s="30">
        <v>2014</v>
      </c>
      <c r="K5" s="30">
        <v>2015</v>
      </c>
      <c r="L5" s="30">
        <v>2016</v>
      </c>
      <c r="M5" s="30">
        <v>2017</v>
      </c>
      <c r="N5" s="30">
        <v>2018</v>
      </c>
      <c r="O5" s="30">
        <v>2019</v>
      </c>
      <c r="P5" s="30">
        <v>2020</v>
      </c>
      <c r="Q5" s="30">
        <v>2021</v>
      </c>
      <c r="R5" s="30">
        <v>2022</v>
      </c>
      <c r="S5" s="30">
        <v>2023</v>
      </c>
      <c r="T5" s="30">
        <v>2024</v>
      </c>
      <c r="U5" s="30">
        <v>2025</v>
      </c>
      <c r="V5" s="30">
        <v>2026</v>
      </c>
      <c r="W5" s="30">
        <v>2027</v>
      </c>
      <c r="X5" s="30">
        <v>2028</v>
      </c>
      <c r="Y5" s="30">
        <v>2029</v>
      </c>
      <c r="Z5" s="30">
        <v>2030</v>
      </c>
      <c r="AA5" s="30">
        <v>2031</v>
      </c>
      <c r="AB5" s="30">
        <v>2032</v>
      </c>
      <c r="AC5" s="30">
        <v>2033</v>
      </c>
      <c r="AD5" s="30">
        <v>2034</v>
      </c>
      <c r="AE5" s="30">
        <v>2035</v>
      </c>
      <c r="AF5" s="30">
        <v>2036</v>
      </c>
      <c r="AG5" s="30">
        <v>2037</v>
      </c>
      <c r="AH5" s="30">
        <v>2038</v>
      </c>
      <c r="AI5" s="31">
        <v>2039</v>
      </c>
    </row>
    <row r="6" spans="2:35" ht="12.75">
      <c r="B6" s="2" t="s">
        <v>73</v>
      </c>
      <c r="C6" s="32"/>
      <c r="D6" s="33">
        <f>-'Alternative 1.1'!$D$31/2</f>
        <v>-11466409.495548962</v>
      </c>
      <c r="E6" s="33">
        <f>D6</f>
        <v>-11466409.495548962</v>
      </c>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2:35" ht="12.75">
      <c r="B7" s="22"/>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row>
    <row r="8" spans="2:35" ht="12.75">
      <c r="B8" s="37" t="s">
        <v>87</v>
      </c>
      <c r="C8" s="34"/>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row>
    <row r="9" spans="2:35" ht="12.75">
      <c r="B9" s="22" t="s">
        <v>88</v>
      </c>
      <c r="C9" s="34"/>
      <c r="D9" s="35"/>
      <c r="E9" s="35"/>
      <c r="F9" s="35">
        <f>'Alternative 1.1'!$D$9*('Alternative 1.1'!$D$16*1.1-'Alternative 1.1'!$D$20)</f>
        <v>856498.5163204748</v>
      </c>
      <c r="G9" s="35">
        <f aca="true" t="shared" si="0" ref="G9:AI9">F9</f>
        <v>856498.5163204748</v>
      </c>
      <c r="H9" s="35">
        <f t="shared" si="0"/>
        <v>856498.5163204748</v>
      </c>
      <c r="I9" s="35">
        <f t="shared" si="0"/>
        <v>856498.5163204748</v>
      </c>
      <c r="J9" s="35">
        <f t="shared" si="0"/>
        <v>856498.5163204748</v>
      </c>
      <c r="K9" s="35">
        <f t="shared" si="0"/>
        <v>856498.5163204748</v>
      </c>
      <c r="L9" s="35">
        <f t="shared" si="0"/>
        <v>856498.5163204748</v>
      </c>
      <c r="M9" s="35">
        <f t="shared" si="0"/>
        <v>856498.5163204748</v>
      </c>
      <c r="N9" s="35">
        <f t="shared" si="0"/>
        <v>856498.5163204748</v>
      </c>
      <c r="O9" s="35">
        <f t="shared" si="0"/>
        <v>856498.5163204748</v>
      </c>
      <c r="P9" s="35">
        <f t="shared" si="0"/>
        <v>856498.5163204748</v>
      </c>
      <c r="Q9" s="35">
        <f t="shared" si="0"/>
        <v>856498.5163204748</v>
      </c>
      <c r="R9" s="35">
        <f t="shared" si="0"/>
        <v>856498.5163204748</v>
      </c>
      <c r="S9" s="35">
        <f t="shared" si="0"/>
        <v>856498.5163204748</v>
      </c>
      <c r="T9" s="35">
        <f t="shared" si="0"/>
        <v>856498.5163204748</v>
      </c>
      <c r="U9" s="35">
        <f t="shared" si="0"/>
        <v>856498.5163204748</v>
      </c>
      <c r="V9" s="35">
        <f t="shared" si="0"/>
        <v>856498.5163204748</v>
      </c>
      <c r="W9" s="35">
        <f t="shared" si="0"/>
        <v>856498.5163204748</v>
      </c>
      <c r="X9" s="35">
        <f t="shared" si="0"/>
        <v>856498.5163204748</v>
      </c>
      <c r="Y9" s="35">
        <f t="shared" si="0"/>
        <v>856498.5163204748</v>
      </c>
      <c r="Z9" s="35">
        <f t="shared" si="0"/>
        <v>856498.5163204748</v>
      </c>
      <c r="AA9" s="35">
        <f t="shared" si="0"/>
        <v>856498.5163204748</v>
      </c>
      <c r="AB9" s="35">
        <f t="shared" si="0"/>
        <v>856498.5163204748</v>
      </c>
      <c r="AC9" s="35">
        <f t="shared" si="0"/>
        <v>856498.5163204748</v>
      </c>
      <c r="AD9" s="35">
        <f t="shared" si="0"/>
        <v>856498.5163204748</v>
      </c>
      <c r="AE9" s="35">
        <f t="shared" si="0"/>
        <v>856498.5163204748</v>
      </c>
      <c r="AF9" s="35">
        <f t="shared" si="0"/>
        <v>856498.5163204748</v>
      </c>
      <c r="AG9" s="35">
        <f t="shared" si="0"/>
        <v>856498.5163204748</v>
      </c>
      <c r="AH9" s="35">
        <f t="shared" si="0"/>
        <v>856498.5163204748</v>
      </c>
      <c r="AI9" s="35">
        <f t="shared" si="0"/>
        <v>856498.5163204748</v>
      </c>
    </row>
    <row r="10" spans="2:35" ht="12.75">
      <c r="B10" s="22" t="s">
        <v>89</v>
      </c>
      <c r="C10" s="34"/>
      <c r="D10" s="35"/>
      <c r="E10" s="35"/>
      <c r="F10" s="35">
        <f>'Alternative 1.1'!$D$11*('Alternative 1.1'!$D$18-'Alternative 1.1'!$D$20)</f>
        <v>1629729.6142433234</v>
      </c>
      <c r="G10" s="35">
        <f aca="true" t="shared" si="1" ref="G10:AI10">F10</f>
        <v>1629729.6142433234</v>
      </c>
      <c r="H10" s="35">
        <f t="shared" si="1"/>
        <v>1629729.6142433234</v>
      </c>
      <c r="I10" s="35">
        <f t="shared" si="1"/>
        <v>1629729.6142433234</v>
      </c>
      <c r="J10" s="35">
        <f t="shared" si="1"/>
        <v>1629729.6142433234</v>
      </c>
      <c r="K10" s="35">
        <f t="shared" si="1"/>
        <v>1629729.6142433234</v>
      </c>
      <c r="L10" s="35">
        <f t="shared" si="1"/>
        <v>1629729.6142433234</v>
      </c>
      <c r="M10" s="35">
        <f t="shared" si="1"/>
        <v>1629729.6142433234</v>
      </c>
      <c r="N10" s="35">
        <f t="shared" si="1"/>
        <v>1629729.6142433234</v>
      </c>
      <c r="O10" s="35">
        <f t="shared" si="1"/>
        <v>1629729.6142433234</v>
      </c>
      <c r="P10" s="35">
        <f t="shared" si="1"/>
        <v>1629729.6142433234</v>
      </c>
      <c r="Q10" s="35">
        <f t="shared" si="1"/>
        <v>1629729.6142433234</v>
      </c>
      <c r="R10" s="35">
        <f t="shared" si="1"/>
        <v>1629729.6142433234</v>
      </c>
      <c r="S10" s="35">
        <f t="shared" si="1"/>
        <v>1629729.6142433234</v>
      </c>
      <c r="T10" s="35">
        <f t="shared" si="1"/>
        <v>1629729.6142433234</v>
      </c>
      <c r="U10" s="35">
        <f t="shared" si="1"/>
        <v>1629729.6142433234</v>
      </c>
      <c r="V10" s="35">
        <f t="shared" si="1"/>
        <v>1629729.6142433234</v>
      </c>
      <c r="W10" s="35">
        <f t="shared" si="1"/>
        <v>1629729.6142433234</v>
      </c>
      <c r="X10" s="35">
        <f t="shared" si="1"/>
        <v>1629729.6142433234</v>
      </c>
      <c r="Y10" s="35">
        <f t="shared" si="1"/>
        <v>1629729.6142433234</v>
      </c>
      <c r="Z10" s="35">
        <f t="shared" si="1"/>
        <v>1629729.6142433234</v>
      </c>
      <c r="AA10" s="35">
        <f t="shared" si="1"/>
        <v>1629729.6142433234</v>
      </c>
      <c r="AB10" s="35">
        <f t="shared" si="1"/>
        <v>1629729.6142433234</v>
      </c>
      <c r="AC10" s="35">
        <f t="shared" si="1"/>
        <v>1629729.6142433234</v>
      </c>
      <c r="AD10" s="35">
        <f t="shared" si="1"/>
        <v>1629729.6142433234</v>
      </c>
      <c r="AE10" s="35">
        <f t="shared" si="1"/>
        <v>1629729.6142433234</v>
      </c>
      <c r="AF10" s="35">
        <f t="shared" si="1"/>
        <v>1629729.6142433234</v>
      </c>
      <c r="AG10" s="35">
        <f t="shared" si="1"/>
        <v>1629729.6142433234</v>
      </c>
      <c r="AH10" s="35">
        <f t="shared" si="1"/>
        <v>1629729.6142433234</v>
      </c>
      <c r="AI10" s="35">
        <f t="shared" si="1"/>
        <v>1629729.6142433234</v>
      </c>
    </row>
    <row r="11" spans="2:35" ht="12.75">
      <c r="B11" s="57" t="s">
        <v>77</v>
      </c>
      <c r="C11" s="34"/>
      <c r="D11" s="35"/>
      <c r="E11" s="35"/>
      <c r="F11" s="35">
        <f>'Alternative 1.1'!D7*('Alternative 1.1'!D24-'Alternative 1.1'!D22)</f>
        <v>344449.3086053412</v>
      </c>
      <c r="G11" s="35">
        <f>F11</f>
        <v>344449.3086053412</v>
      </c>
      <c r="H11" s="35">
        <f aca="true" t="shared" si="2" ref="H11:AI11">G11</f>
        <v>344449.3086053412</v>
      </c>
      <c r="I11" s="35">
        <f t="shared" si="2"/>
        <v>344449.3086053412</v>
      </c>
      <c r="J11" s="35">
        <f t="shared" si="2"/>
        <v>344449.3086053412</v>
      </c>
      <c r="K11" s="35">
        <f t="shared" si="2"/>
        <v>344449.3086053412</v>
      </c>
      <c r="L11" s="35">
        <f t="shared" si="2"/>
        <v>344449.3086053412</v>
      </c>
      <c r="M11" s="35">
        <f t="shared" si="2"/>
        <v>344449.3086053412</v>
      </c>
      <c r="N11" s="35">
        <f t="shared" si="2"/>
        <v>344449.3086053412</v>
      </c>
      <c r="O11" s="35">
        <f t="shared" si="2"/>
        <v>344449.3086053412</v>
      </c>
      <c r="P11" s="35">
        <f t="shared" si="2"/>
        <v>344449.3086053412</v>
      </c>
      <c r="Q11" s="35">
        <f t="shared" si="2"/>
        <v>344449.3086053412</v>
      </c>
      <c r="R11" s="35">
        <f t="shared" si="2"/>
        <v>344449.3086053412</v>
      </c>
      <c r="S11" s="35">
        <f t="shared" si="2"/>
        <v>344449.3086053412</v>
      </c>
      <c r="T11" s="35">
        <f t="shared" si="2"/>
        <v>344449.3086053412</v>
      </c>
      <c r="U11" s="35">
        <f t="shared" si="2"/>
        <v>344449.3086053412</v>
      </c>
      <c r="V11" s="35">
        <f t="shared" si="2"/>
        <v>344449.3086053412</v>
      </c>
      <c r="W11" s="35">
        <f t="shared" si="2"/>
        <v>344449.3086053412</v>
      </c>
      <c r="X11" s="35">
        <f t="shared" si="2"/>
        <v>344449.3086053412</v>
      </c>
      <c r="Y11" s="35">
        <f t="shared" si="2"/>
        <v>344449.3086053412</v>
      </c>
      <c r="Z11" s="35">
        <f t="shared" si="2"/>
        <v>344449.3086053412</v>
      </c>
      <c r="AA11" s="35">
        <f t="shared" si="2"/>
        <v>344449.3086053412</v>
      </c>
      <c r="AB11" s="35">
        <f t="shared" si="2"/>
        <v>344449.3086053412</v>
      </c>
      <c r="AC11" s="35">
        <f t="shared" si="2"/>
        <v>344449.3086053412</v>
      </c>
      <c r="AD11" s="35">
        <f t="shared" si="2"/>
        <v>344449.3086053412</v>
      </c>
      <c r="AE11" s="35">
        <f t="shared" si="2"/>
        <v>344449.3086053412</v>
      </c>
      <c r="AF11" s="35">
        <f t="shared" si="2"/>
        <v>344449.3086053412</v>
      </c>
      <c r="AG11" s="35">
        <f t="shared" si="2"/>
        <v>344449.3086053412</v>
      </c>
      <c r="AH11" s="35">
        <f t="shared" si="2"/>
        <v>344449.3086053412</v>
      </c>
      <c r="AI11" s="35">
        <f t="shared" si="2"/>
        <v>344449.3086053412</v>
      </c>
    </row>
    <row r="12" spans="2:35" ht="12.75">
      <c r="B12" s="22" t="s">
        <v>78</v>
      </c>
      <c r="C12" s="34"/>
      <c r="D12" s="35"/>
      <c r="E12" s="35"/>
      <c r="F12" s="35">
        <f>'Alternative 1.1'!$D$28</f>
        <v>92906.74896142431</v>
      </c>
      <c r="G12" s="35">
        <f aca="true" t="shared" si="3" ref="G12:AI12">F12</f>
        <v>92906.74896142431</v>
      </c>
      <c r="H12" s="35">
        <f t="shared" si="3"/>
        <v>92906.74896142431</v>
      </c>
      <c r="I12" s="35">
        <f t="shared" si="3"/>
        <v>92906.74896142431</v>
      </c>
      <c r="J12" s="35">
        <f t="shared" si="3"/>
        <v>92906.74896142431</v>
      </c>
      <c r="K12" s="35">
        <f t="shared" si="3"/>
        <v>92906.74896142431</v>
      </c>
      <c r="L12" s="35">
        <f t="shared" si="3"/>
        <v>92906.74896142431</v>
      </c>
      <c r="M12" s="35">
        <f t="shared" si="3"/>
        <v>92906.74896142431</v>
      </c>
      <c r="N12" s="35">
        <f t="shared" si="3"/>
        <v>92906.74896142431</v>
      </c>
      <c r="O12" s="35">
        <f t="shared" si="3"/>
        <v>92906.74896142431</v>
      </c>
      <c r="P12" s="35">
        <f t="shared" si="3"/>
        <v>92906.74896142431</v>
      </c>
      <c r="Q12" s="35">
        <f t="shared" si="3"/>
        <v>92906.74896142431</v>
      </c>
      <c r="R12" s="35">
        <f t="shared" si="3"/>
        <v>92906.74896142431</v>
      </c>
      <c r="S12" s="35">
        <f t="shared" si="3"/>
        <v>92906.74896142431</v>
      </c>
      <c r="T12" s="35">
        <f t="shared" si="3"/>
        <v>92906.74896142431</v>
      </c>
      <c r="U12" s="35">
        <f t="shared" si="3"/>
        <v>92906.74896142431</v>
      </c>
      <c r="V12" s="35">
        <f t="shared" si="3"/>
        <v>92906.74896142431</v>
      </c>
      <c r="W12" s="35">
        <f t="shared" si="3"/>
        <v>92906.74896142431</v>
      </c>
      <c r="X12" s="35">
        <f t="shared" si="3"/>
        <v>92906.74896142431</v>
      </c>
      <c r="Y12" s="35">
        <f t="shared" si="3"/>
        <v>92906.74896142431</v>
      </c>
      <c r="Z12" s="35">
        <f t="shared" si="3"/>
        <v>92906.74896142431</v>
      </c>
      <c r="AA12" s="35">
        <f t="shared" si="3"/>
        <v>92906.74896142431</v>
      </c>
      <c r="AB12" s="35">
        <f t="shared" si="3"/>
        <v>92906.74896142431</v>
      </c>
      <c r="AC12" s="35">
        <f t="shared" si="3"/>
        <v>92906.74896142431</v>
      </c>
      <c r="AD12" s="35">
        <f t="shared" si="3"/>
        <v>92906.74896142431</v>
      </c>
      <c r="AE12" s="35">
        <f t="shared" si="3"/>
        <v>92906.74896142431</v>
      </c>
      <c r="AF12" s="35">
        <f t="shared" si="3"/>
        <v>92906.74896142431</v>
      </c>
      <c r="AG12" s="35">
        <f t="shared" si="3"/>
        <v>92906.74896142431</v>
      </c>
      <c r="AH12" s="35">
        <f t="shared" si="3"/>
        <v>92906.74896142431</v>
      </c>
      <c r="AI12" s="35">
        <f t="shared" si="3"/>
        <v>92906.74896142431</v>
      </c>
    </row>
    <row r="13" spans="2:35" s="39" customFormat="1" ht="12.75">
      <c r="B13" s="37" t="s">
        <v>79</v>
      </c>
      <c r="C13" s="38">
        <f aca="true" t="shared" si="4" ref="C13:AI13">SUM(C6:C12)</f>
        <v>0</v>
      </c>
      <c r="D13" s="38">
        <f t="shared" si="4"/>
        <v>-11466409.495548962</v>
      </c>
      <c r="E13" s="38">
        <f t="shared" si="4"/>
        <v>-11466409.495548962</v>
      </c>
      <c r="F13" s="38">
        <f t="shared" si="4"/>
        <v>2923584.188130564</v>
      </c>
      <c r="G13" s="38">
        <f t="shared" si="4"/>
        <v>2923584.188130564</v>
      </c>
      <c r="H13" s="38">
        <f t="shared" si="4"/>
        <v>2923584.188130564</v>
      </c>
      <c r="I13" s="38">
        <f t="shared" si="4"/>
        <v>2923584.188130564</v>
      </c>
      <c r="J13" s="38">
        <f t="shared" si="4"/>
        <v>2923584.188130564</v>
      </c>
      <c r="K13" s="38">
        <f t="shared" si="4"/>
        <v>2923584.188130564</v>
      </c>
      <c r="L13" s="38">
        <f t="shared" si="4"/>
        <v>2923584.188130564</v>
      </c>
      <c r="M13" s="38">
        <f t="shared" si="4"/>
        <v>2923584.188130564</v>
      </c>
      <c r="N13" s="38">
        <f t="shared" si="4"/>
        <v>2923584.188130564</v>
      </c>
      <c r="O13" s="38">
        <f t="shared" si="4"/>
        <v>2923584.188130564</v>
      </c>
      <c r="P13" s="38">
        <f t="shared" si="4"/>
        <v>2923584.188130564</v>
      </c>
      <c r="Q13" s="38">
        <f t="shared" si="4"/>
        <v>2923584.188130564</v>
      </c>
      <c r="R13" s="38">
        <f t="shared" si="4"/>
        <v>2923584.188130564</v>
      </c>
      <c r="S13" s="38">
        <f t="shared" si="4"/>
        <v>2923584.188130564</v>
      </c>
      <c r="T13" s="38">
        <f t="shared" si="4"/>
        <v>2923584.188130564</v>
      </c>
      <c r="U13" s="38">
        <f t="shared" si="4"/>
        <v>2923584.188130564</v>
      </c>
      <c r="V13" s="38">
        <f t="shared" si="4"/>
        <v>2923584.188130564</v>
      </c>
      <c r="W13" s="38">
        <f t="shared" si="4"/>
        <v>2923584.188130564</v>
      </c>
      <c r="X13" s="38">
        <f t="shared" si="4"/>
        <v>2923584.188130564</v>
      </c>
      <c r="Y13" s="38">
        <f t="shared" si="4"/>
        <v>2923584.188130564</v>
      </c>
      <c r="Z13" s="38">
        <f t="shared" si="4"/>
        <v>2923584.188130564</v>
      </c>
      <c r="AA13" s="38">
        <f t="shared" si="4"/>
        <v>2923584.188130564</v>
      </c>
      <c r="AB13" s="38">
        <f t="shared" si="4"/>
        <v>2923584.188130564</v>
      </c>
      <c r="AC13" s="38">
        <f t="shared" si="4"/>
        <v>2923584.188130564</v>
      </c>
      <c r="AD13" s="38">
        <f t="shared" si="4"/>
        <v>2923584.188130564</v>
      </c>
      <c r="AE13" s="38">
        <f t="shared" si="4"/>
        <v>2923584.188130564</v>
      </c>
      <c r="AF13" s="38">
        <f t="shared" si="4"/>
        <v>2923584.188130564</v>
      </c>
      <c r="AG13" s="38">
        <f t="shared" si="4"/>
        <v>2923584.188130564</v>
      </c>
      <c r="AH13" s="38">
        <f t="shared" si="4"/>
        <v>2923584.188130564</v>
      </c>
      <c r="AI13" s="38">
        <f t="shared" si="4"/>
        <v>2923584.188130564</v>
      </c>
    </row>
    <row r="14" spans="2:36" ht="12.75">
      <c r="B14" s="22" t="s">
        <v>80</v>
      </c>
      <c r="C14" s="34">
        <f>C13</f>
        <v>0</v>
      </c>
      <c r="D14" s="35">
        <f>D13</f>
        <v>-11466409.495548962</v>
      </c>
      <c r="E14" s="35">
        <f>E13/1.1</f>
        <v>-10424008.632317238</v>
      </c>
      <c r="F14" s="35">
        <f>F13/1.1^2</f>
        <v>2416185.2794467467</v>
      </c>
      <c r="G14" s="35">
        <f>G13/1.1^3</f>
        <v>2196532.072224315</v>
      </c>
      <c r="H14" s="35">
        <f>H13/1.1^4</f>
        <v>1996847.338385741</v>
      </c>
      <c r="I14" s="35">
        <f>I13/1.1^5</f>
        <v>1815315.7621688552</v>
      </c>
      <c r="J14" s="35">
        <f>J13/1.1^6</f>
        <v>1650287.056517141</v>
      </c>
      <c r="K14" s="35">
        <f>K13/1.1^7</f>
        <v>1500260.9604701279</v>
      </c>
      <c r="L14" s="35">
        <f>L13/1.1^8</f>
        <v>1363873.6004273891</v>
      </c>
      <c r="M14" s="35">
        <f>M13/1.1^9</f>
        <v>1239885.0912976263</v>
      </c>
      <c r="N14" s="35">
        <f>N13/1.1^10</f>
        <v>1127168.2648160239</v>
      </c>
      <c r="O14" s="35">
        <f>O13/1.1^11</f>
        <v>1024698.4225600215</v>
      </c>
      <c r="P14" s="35">
        <f>P13/1.1^12</f>
        <v>931544.0205091105</v>
      </c>
      <c r="Q14" s="35">
        <f>Q13/1.1^13</f>
        <v>846858.2004628277</v>
      </c>
      <c r="R14" s="35">
        <f>R13/1.1^14</f>
        <v>769871.0913298433</v>
      </c>
      <c r="S14" s="35">
        <f>S13/1.1^15</f>
        <v>699882.8102998575</v>
      </c>
      <c r="T14" s="35">
        <f>T13/1.1^16</f>
        <v>636257.1002725977</v>
      </c>
      <c r="U14" s="35">
        <f>U13/1.1^17</f>
        <v>578415.5457023615</v>
      </c>
      <c r="V14" s="35">
        <f>V13/1.1^18</f>
        <v>525832.314274874</v>
      </c>
      <c r="W14" s="35">
        <f>W13/1.1^19</f>
        <v>478029.3766135218</v>
      </c>
      <c r="X14" s="35">
        <f>X13/1.1^20</f>
        <v>434572.1605577471</v>
      </c>
      <c r="Y14" s="35">
        <f>Y13/1.1^21</f>
        <v>395065.6005070428</v>
      </c>
      <c r="Z14" s="35">
        <f>Z13/1.1^22</f>
        <v>359150.5459154934</v>
      </c>
      <c r="AA14" s="35">
        <f>AA13/1.1^23</f>
        <v>326500.4962868121</v>
      </c>
      <c r="AB14" s="35">
        <f>AB13/1.1^24</f>
        <v>296818.63298801106</v>
      </c>
      <c r="AC14" s="35">
        <f>AC13/1.1^25</f>
        <v>269835.1208981918</v>
      </c>
      <c r="AD14" s="35">
        <f>AD13/1.1^26</f>
        <v>245304.65536199257</v>
      </c>
      <c r="AE14" s="35">
        <f>AE13/1.1^27</f>
        <v>223004.23214726592</v>
      </c>
      <c r="AF14" s="35">
        <f>AF13/1.1^28</f>
        <v>202731.1201338781</v>
      </c>
      <c r="AG14" s="35">
        <f>AG13/1.1^29</f>
        <v>184301.01830352555</v>
      </c>
      <c r="AH14" s="35">
        <f>AH13/1.1^30</f>
        <v>167546.3802759323</v>
      </c>
      <c r="AI14" s="35">
        <f>AI13/1.1^31</f>
        <v>152314.89115993844</v>
      </c>
      <c r="AJ14" s="35"/>
    </row>
    <row r="15" spans="2:35" ht="12.75">
      <c r="B15" s="22" t="s">
        <v>81</v>
      </c>
      <c r="C15" s="34">
        <f>C13</f>
        <v>0</v>
      </c>
      <c r="D15" s="34">
        <f>D13</f>
        <v>-11466409.495548962</v>
      </c>
      <c r="E15" s="35">
        <f aca="true" t="shared" si="5" ref="E15:AI15">D15+E13</f>
        <v>-22932818.991097923</v>
      </c>
      <c r="F15" s="35">
        <f t="shared" si="5"/>
        <v>-20009234.80296736</v>
      </c>
      <c r="G15" s="35">
        <f t="shared" si="5"/>
        <v>-17085650.614836793</v>
      </c>
      <c r="H15" s="35">
        <f t="shared" si="5"/>
        <v>-14162066.426706228</v>
      </c>
      <c r="I15" s="35">
        <f t="shared" si="5"/>
        <v>-11238482.238575663</v>
      </c>
      <c r="J15" s="35">
        <f t="shared" si="5"/>
        <v>-8314898.050445099</v>
      </c>
      <c r="K15" s="35">
        <f t="shared" si="5"/>
        <v>-5391313.862314535</v>
      </c>
      <c r="L15" s="40">
        <f t="shared" si="5"/>
        <v>-2467729.6741839712</v>
      </c>
      <c r="M15" s="41">
        <f t="shared" si="5"/>
        <v>455854.5139465928</v>
      </c>
      <c r="N15" s="40">
        <f t="shared" si="5"/>
        <v>3379438.702077157</v>
      </c>
      <c r="O15" s="40">
        <f t="shared" si="5"/>
        <v>6303022.890207721</v>
      </c>
      <c r="P15" s="35">
        <f t="shared" si="5"/>
        <v>9226607.078338284</v>
      </c>
      <c r="Q15" s="35">
        <f t="shared" si="5"/>
        <v>12150191.266468849</v>
      </c>
      <c r="R15" s="35">
        <f t="shared" si="5"/>
        <v>15073775.454599414</v>
      </c>
      <c r="S15" s="35">
        <f t="shared" si="5"/>
        <v>17997359.64272998</v>
      </c>
      <c r="T15" s="35">
        <f t="shared" si="5"/>
        <v>20920943.830860544</v>
      </c>
      <c r="U15" s="35">
        <f t="shared" si="5"/>
        <v>23844528.01899111</v>
      </c>
      <c r="V15" s="35">
        <f t="shared" si="5"/>
        <v>26768112.207121674</v>
      </c>
      <c r="W15" s="35">
        <f t="shared" si="5"/>
        <v>29691696.39525224</v>
      </c>
      <c r="X15" s="35">
        <f t="shared" si="5"/>
        <v>32615280.583382804</v>
      </c>
      <c r="Y15" s="40">
        <f t="shared" si="5"/>
        <v>35538864.771513365</v>
      </c>
      <c r="Z15" s="35">
        <f t="shared" si="5"/>
        <v>38462448.95964393</v>
      </c>
      <c r="AA15" s="35">
        <f t="shared" si="5"/>
        <v>41386033.147774495</v>
      </c>
      <c r="AB15" s="35">
        <f t="shared" si="5"/>
        <v>44309617.33590506</v>
      </c>
      <c r="AC15" s="35">
        <f t="shared" si="5"/>
        <v>47233201.524035625</v>
      </c>
      <c r="AD15" s="35">
        <f t="shared" si="5"/>
        <v>50156785.71216619</v>
      </c>
      <c r="AE15" s="35">
        <f t="shared" si="5"/>
        <v>53080369.900296755</v>
      </c>
      <c r="AF15" s="35">
        <f t="shared" si="5"/>
        <v>56003954.08842732</v>
      </c>
      <c r="AG15" s="35">
        <f t="shared" si="5"/>
        <v>58927538.276557885</v>
      </c>
      <c r="AH15" s="35">
        <f t="shared" si="5"/>
        <v>61851122.46468845</v>
      </c>
      <c r="AI15" s="35">
        <f t="shared" si="5"/>
        <v>64774706.652819015</v>
      </c>
    </row>
    <row r="16" spans="2:35" ht="12.75">
      <c r="B16" s="22" t="s">
        <v>82</v>
      </c>
      <c r="C16" s="34">
        <f>C14</f>
        <v>0</v>
      </c>
      <c r="D16" s="34">
        <f>D14</f>
        <v>-11466409.495548962</v>
      </c>
      <c r="E16" s="35">
        <f>E14+D16</f>
        <v>-21890418.1278662</v>
      </c>
      <c r="F16" s="35">
        <f>F14+E16</f>
        <v>-19474232.848419454</v>
      </c>
      <c r="G16" s="35">
        <f>G14+F16</f>
        <v>-17277700.77619514</v>
      </c>
      <c r="H16" s="35">
        <f>H14+G16</f>
        <v>-15280853.437809398</v>
      </c>
      <c r="I16" s="35">
        <f>I14+H16</f>
        <v>-13465537.675640544</v>
      </c>
      <c r="J16" s="35">
        <f aca="true" t="shared" si="6" ref="J16:AI16">K14+I16</f>
        <v>-11965276.715170417</v>
      </c>
      <c r="K16" s="35">
        <f t="shared" si="6"/>
        <v>-10601403.114743028</v>
      </c>
      <c r="L16" s="35">
        <f t="shared" si="6"/>
        <v>-9361518.023445401</v>
      </c>
      <c r="M16" s="35">
        <f t="shared" si="6"/>
        <v>-8234349.758629378</v>
      </c>
      <c r="N16" s="35">
        <f t="shared" si="6"/>
        <v>-7209651.336069357</v>
      </c>
      <c r="O16" s="35">
        <f t="shared" si="6"/>
        <v>-6278107.315560246</v>
      </c>
      <c r="P16" s="35">
        <f t="shared" si="6"/>
        <v>-5431249.115097418</v>
      </c>
      <c r="Q16" s="35">
        <f t="shared" si="6"/>
        <v>-4661378.023767576</v>
      </c>
      <c r="R16" s="42">
        <f t="shared" si="6"/>
        <v>-3961495.213467718</v>
      </c>
      <c r="S16" s="35">
        <f t="shared" si="6"/>
        <v>-3325238.1131951204</v>
      </c>
      <c r="T16" s="35">
        <f t="shared" si="6"/>
        <v>-2746822.567492759</v>
      </c>
      <c r="U16" s="35">
        <f t="shared" si="6"/>
        <v>-2220990.253217885</v>
      </c>
      <c r="V16" s="35">
        <f t="shared" si="6"/>
        <v>-1742960.876604363</v>
      </c>
      <c r="W16" s="35">
        <f t="shared" si="6"/>
        <v>-1308388.716046616</v>
      </c>
      <c r="X16" s="35">
        <f t="shared" si="6"/>
        <v>-913323.1155395731</v>
      </c>
      <c r="Y16" s="35">
        <f t="shared" si="6"/>
        <v>-554172.5696240797</v>
      </c>
      <c r="Z16" s="35">
        <f t="shared" si="6"/>
        <v>-227672.07333726762</v>
      </c>
      <c r="AA16" s="35">
        <f t="shared" si="6"/>
        <v>69146.55965074344</v>
      </c>
      <c r="AB16" s="35">
        <f t="shared" si="6"/>
        <v>338981.68054893526</v>
      </c>
      <c r="AC16" s="35">
        <f t="shared" si="6"/>
        <v>584286.3359109279</v>
      </c>
      <c r="AD16" s="35">
        <f t="shared" si="6"/>
        <v>807290.5680581938</v>
      </c>
      <c r="AE16" s="35">
        <f t="shared" si="6"/>
        <v>1010021.6881920719</v>
      </c>
      <c r="AF16" s="35">
        <f t="shared" si="6"/>
        <v>1194322.7064955975</v>
      </c>
      <c r="AG16" s="35">
        <f t="shared" si="6"/>
        <v>1361869.0867715299</v>
      </c>
      <c r="AH16" s="35">
        <f t="shared" si="6"/>
        <v>1514183.9779314683</v>
      </c>
      <c r="AI16" s="35">
        <f t="shared" si="6"/>
        <v>1514183.9779314683</v>
      </c>
    </row>
    <row r="17" spans="2:35" ht="12.75">
      <c r="B17" s="57" t="s">
        <v>83</v>
      </c>
      <c r="C17" s="34"/>
      <c r="D17" s="34">
        <f>SUM(F14:AI14)</f>
        <v>25054889.162314802</v>
      </c>
      <c r="E17" s="35"/>
      <c r="F17" s="35"/>
      <c r="G17" s="35"/>
      <c r="H17" s="35"/>
      <c r="I17" s="35"/>
      <c r="J17" s="35"/>
      <c r="K17" s="35"/>
      <c r="L17" s="35"/>
      <c r="M17" s="35"/>
      <c r="N17" s="35"/>
      <c r="O17" s="35"/>
      <c r="P17" s="35"/>
      <c r="Q17" s="35"/>
      <c r="R17" s="42"/>
      <c r="S17" s="35"/>
      <c r="T17" s="35"/>
      <c r="U17" s="35"/>
      <c r="V17" s="35"/>
      <c r="W17" s="35"/>
      <c r="X17" s="35"/>
      <c r="Y17" s="35"/>
      <c r="Z17" s="35"/>
      <c r="AA17" s="35"/>
      <c r="AB17" s="35"/>
      <c r="AC17" s="35"/>
      <c r="AD17" s="35"/>
      <c r="AE17" s="35"/>
      <c r="AF17" s="35"/>
      <c r="AG17" s="35"/>
      <c r="AH17" s="35"/>
      <c r="AI17" s="35"/>
    </row>
    <row r="18" spans="2:35" ht="12.75">
      <c r="B18" s="57" t="s">
        <v>84</v>
      </c>
      <c r="C18" s="34"/>
      <c r="D18" s="34">
        <f>-(D14+E14)</f>
        <v>21890418.1278662</v>
      </c>
      <c r="E18" s="35"/>
      <c r="F18" s="35"/>
      <c r="G18" s="35"/>
      <c r="H18" s="35"/>
      <c r="I18" s="35"/>
      <c r="J18" s="35"/>
      <c r="K18" s="35"/>
      <c r="L18" s="35"/>
      <c r="M18" s="35"/>
      <c r="N18" s="35"/>
      <c r="O18" s="35"/>
      <c r="P18" s="35"/>
      <c r="Q18" s="35"/>
      <c r="R18" s="42"/>
      <c r="S18" s="35"/>
      <c r="T18" s="35"/>
      <c r="U18" s="35"/>
      <c r="V18" s="35"/>
      <c r="W18" s="35"/>
      <c r="X18" s="35"/>
      <c r="Y18" s="35"/>
      <c r="Z18" s="35"/>
      <c r="AA18" s="35"/>
      <c r="AB18" s="35"/>
      <c r="AC18" s="35"/>
      <c r="AD18" s="35"/>
      <c r="AE18" s="35"/>
      <c r="AF18" s="35"/>
      <c r="AG18" s="35"/>
      <c r="AH18" s="35"/>
      <c r="AI18" s="35"/>
    </row>
    <row r="19" spans="2:35" ht="12.75">
      <c r="B19" s="22" t="s">
        <v>36</v>
      </c>
      <c r="C19" s="38">
        <f>SUM(C14:AJ14)</f>
        <v>3164471.034448612</v>
      </c>
      <c r="D19" s="43">
        <f>SUM(D14:AJ14)</f>
        <v>3164471.034448612</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row>
    <row r="20" spans="2:35" ht="12.75">
      <c r="B20" s="22" t="s">
        <v>37</v>
      </c>
      <c r="C20" s="44">
        <f>IRR(C13:AI13,0.13)</f>
        <v>0.11601963412520333</v>
      </c>
      <c r="D20" s="45">
        <f>IRR(D13:AI13,0.13)</f>
        <v>0.1160196341252034</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row>
    <row r="21" spans="2:35" ht="12.75">
      <c r="B21" s="22" t="s">
        <v>85</v>
      </c>
      <c r="C21" s="38">
        <f>23+(Y15+Z15)/Z15</f>
        <v>24.923988610522485</v>
      </c>
      <c r="D21" s="43">
        <f>9+L15/-M13</f>
        <v>9.844076830146602</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2:35" ht="12.75">
      <c r="B22" s="22" t="s">
        <v>58</v>
      </c>
      <c r="C22" s="55"/>
      <c r="D22" s="55">
        <f>D17/D18</f>
        <v>1.1445596432176082</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4" ht="13.5" thickBot="1">
      <c r="B24" s="54" t="s">
        <v>91</v>
      </c>
    </row>
    <row r="25" spans="2:35" ht="12.75">
      <c r="B25" s="25" t="s">
        <v>0</v>
      </c>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8"/>
    </row>
    <row r="26" spans="2:35" ht="13.5" thickBot="1">
      <c r="B26" s="29"/>
      <c r="C26" s="30">
        <v>2007</v>
      </c>
      <c r="D26" s="30">
        <v>2008</v>
      </c>
      <c r="E26" s="30">
        <v>2009</v>
      </c>
      <c r="F26" s="30">
        <v>2010</v>
      </c>
      <c r="G26" s="30">
        <v>2011</v>
      </c>
      <c r="H26" s="30">
        <v>2012</v>
      </c>
      <c r="I26" s="30">
        <v>2013</v>
      </c>
      <c r="J26" s="30">
        <v>2014</v>
      </c>
      <c r="K26" s="30">
        <v>2015</v>
      </c>
      <c r="L26" s="30">
        <v>2016</v>
      </c>
      <c r="M26" s="30">
        <v>2017</v>
      </c>
      <c r="N26" s="30">
        <v>2018</v>
      </c>
      <c r="O26" s="30">
        <v>2019</v>
      </c>
      <c r="P26" s="30">
        <v>2020</v>
      </c>
      <c r="Q26" s="30">
        <v>2021</v>
      </c>
      <c r="R26" s="30">
        <v>2022</v>
      </c>
      <c r="S26" s="30">
        <v>2023</v>
      </c>
      <c r="T26" s="30">
        <v>2024</v>
      </c>
      <c r="U26" s="30">
        <v>2025</v>
      </c>
      <c r="V26" s="30">
        <v>2026</v>
      </c>
      <c r="W26" s="30">
        <v>2027</v>
      </c>
      <c r="X26" s="30">
        <v>2028</v>
      </c>
      <c r="Y26" s="30">
        <v>2029</v>
      </c>
      <c r="Z26" s="30">
        <v>2030</v>
      </c>
      <c r="AA26" s="30">
        <v>2031</v>
      </c>
      <c r="AB26" s="30">
        <v>2032</v>
      </c>
      <c r="AC26" s="30">
        <v>2033</v>
      </c>
      <c r="AD26" s="30">
        <v>2034</v>
      </c>
      <c r="AE26" s="30">
        <v>2035</v>
      </c>
      <c r="AF26" s="30">
        <v>2036</v>
      </c>
      <c r="AG26" s="30">
        <v>2037</v>
      </c>
      <c r="AH26" s="30">
        <v>2038</v>
      </c>
      <c r="AI26" s="31">
        <v>2039</v>
      </c>
    </row>
    <row r="27" spans="2:35" ht="12.75">
      <c r="B27" s="2" t="s">
        <v>73</v>
      </c>
      <c r="C27" s="32"/>
      <c r="D27" s="33">
        <f>-'Alternative 1.1'!$D$31/2</f>
        <v>-11466409.495548962</v>
      </c>
      <c r="E27" s="33">
        <f>D27</f>
        <v>-11466409.495548962</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row>
    <row r="28" spans="2:35" ht="12.75">
      <c r="B28" s="22"/>
      <c r="C28" s="34"/>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row>
    <row r="29" spans="2:35" ht="12.75">
      <c r="B29" s="37" t="s">
        <v>87</v>
      </c>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row>
    <row r="30" spans="2:35" ht="12.75">
      <c r="B30" s="22" t="s">
        <v>75</v>
      </c>
      <c r="C30" s="34"/>
      <c r="D30" s="35"/>
      <c r="E30" s="35"/>
      <c r="F30" s="35">
        <f>'Alternative 1.1'!$D$9*('Alternative 1.1'!$D$16-'Alternative 1.1'!$D$20)</f>
        <v>763916.9139465875</v>
      </c>
      <c r="G30" s="35">
        <f aca="true" t="shared" si="7" ref="G30:AI30">F30</f>
        <v>763916.9139465875</v>
      </c>
      <c r="H30" s="35">
        <f t="shared" si="7"/>
        <v>763916.9139465875</v>
      </c>
      <c r="I30" s="35">
        <f t="shared" si="7"/>
        <v>763916.9139465875</v>
      </c>
      <c r="J30" s="35">
        <f t="shared" si="7"/>
        <v>763916.9139465875</v>
      </c>
      <c r="K30" s="35">
        <f t="shared" si="7"/>
        <v>763916.9139465875</v>
      </c>
      <c r="L30" s="35">
        <f t="shared" si="7"/>
        <v>763916.9139465875</v>
      </c>
      <c r="M30" s="35">
        <f t="shared" si="7"/>
        <v>763916.9139465875</v>
      </c>
      <c r="N30" s="35">
        <f t="shared" si="7"/>
        <v>763916.9139465875</v>
      </c>
      <c r="O30" s="35">
        <f t="shared" si="7"/>
        <v>763916.9139465875</v>
      </c>
      <c r="P30" s="35">
        <f t="shared" si="7"/>
        <v>763916.9139465875</v>
      </c>
      <c r="Q30" s="35">
        <f t="shared" si="7"/>
        <v>763916.9139465875</v>
      </c>
      <c r="R30" s="35">
        <f t="shared" si="7"/>
        <v>763916.9139465875</v>
      </c>
      <c r="S30" s="35">
        <f t="shared" si="7"/>
        <v>763916.9139465875</v>
      </c>
      <c r="T30" s="35">
        <f t="shared" si="7"/>
        <v>763916.9139465875</v>
      </c>
      <c r="U30" s="35">
        <f t="shared" si="7"/>
        <v>763916.9139465875</v>
      </c>
      <c r="V30" s="35">
        <f t="shared" si="7"/>
        <v>763916.9139465875</v>
      </c>
      <c r="W30" s="35">
        <f t="shared" si="7"/>
        <v>763916.9139465875</v>
      </c>
      <c r="X30" s="35">
        <f t="shared" si="7"/>
        <v>763916.9139465875</v>
      </c>
      <c r="Y30" s="35">
        <f t="shared" si="7"/>
        <v>763916.9139465875</v>
      </c>
      <c r="Z30" s="35">
        <f t="shared" si="7"/>
        <v>763916.9139465875</v>
      </c>
      <c r="AA30" s="35">
        <f t="shared" si="7"/>
        <v>763916.9139465875</v>
      </c>
      <c r="AB30" s="35">
        <f t="shared" si="7"/>
        <v>763916.9139465875</v>
      </c>
      <c r="AC30" s="35">
        <f t="shared" si="7"/>
        <v>763916.9139465875</v>
      </c>
      <c r="AD30" s="35">
        <f t="shared" si="7"/>
        <v>763916.9139465875</v>
      </c>
      <c r="AE30" s="35">
        <f t="shared" si="7"/>
        <v>763916.9139465875</v>
      </c>
      <c r="AF30" s="35">
        <f t="shared" si="7"/>
        <v>763916.9139465875</v>
      </c>
      <c r="AG30" s="35">
        <f t="shared" si="7"/>
        <v>763916.9139465875</v>
      </c>
      <c r="AH30" s="35">
        <f t="shared" si="7"/>
        <v>763916.9139465875</v>
      </c>
      <c r="AI30" s="35">
        <f t="shared" si="7"/>
        <v>763916.9139465875</v>
      </c>
    </row>
    <row r="31" spans="2:35" ht="12.75">
      <c r="B31" s="22" t="s">
        <v>89</v>
      </c>
      <c r="C31" s="34"/>
      <c r="D31" s="35"/>
      <c r="E31" s="35"/>
      <c r="F31" s="35">
        <f>'Alternative 1.1'!$D$11*('Alternative 1.1'!$D$18*1.1-'Alternative 1.1'!$D$20)</f>
        <v>1847780.6528189913</v>
      </c>
      <c r="G31" s="35">
        <f aca="true" t="shared" si="8" ref="G31:AI31">F31</f>
        <v>1847780.6528189913</v>
      </c>
      <c r="H31" s="35">
        <f t="shared" si="8"/>
        <v>1847780.6528189913</v>
      </c>
      <c r="I31" s="35">
        <f t="shared" si="8"/>
        <v>1847780.6528189913</v>
      </c>
      <c r="J31" s="35">
        <f t="shared" si="8"/>
        <v>1847780.6528189913</v>
      </c>
      <c r="K31" s="35">
        <f t="shared" si="8"/>
        <v>1847780.6528189913</v>
      </c>
      <c r="L31" s="35">
        <f t="shared" si="8"/>
        <v>1847780.6528189913</v>
      </c>
      <c r="M31" s="35">
        <f t="shared" si="8"/>
        <v>1847780.6528189913</v>
      </c>
      <c r="N31" s="35">
        <f t="shared" si="8"/>
        <v>1847780.6528189913</v>
      </c>
      <c r="O31" s="35">
        <f t="shared" si="8"/>
        <v>1847780.6528189913</v>
      </c>
      <c r="P31" s="35">
        <f t="shared" si="8"/>
        <v>1847780.6528189913</v>
      </c>
      <c r="Q31" s="35">
        <f t="shared" si="8"/>
        <v>1847780.6528189913</v>
      </c>
      <c r="R31" s="35">
        <f t="shared" si="8"/>
        <v>1847780.6528189913</v>
      </c>
      <c r="S31" s="35">
        <f t="shared" si="8"/>
        <v>1847780.6528189913</v>
      </c>
      <c r="T31" s="35">
        <f t="shared" si="8"/>
        <v>1847780.6528189913</v>
      </c>
      <c r="U31" s="35">
        <f t="shared" si="8"/>
        <v>1847780.6528189913</v>
      </c>
      <c r="V31" s="35">
        <f t="shared" si="8"/>
        <v>1847780.6528189913</v>
      </c>
      <c r="W31" s="35">
        <f t="shared" si="8"/>
        <v>1847780.6528189913</v>
      </c>
      <c r="X31" s="35">
        <f t="shared" si="8"/>
        <v>1847780.6528189913</v>
      </c>
      <c r="Y31" s="35">
        <f t="shared" si="8"/>
        <v>1847780.6528189913</v>
      </c>
      <c r="Z31" s="35">
        <f t="shared" si="8"/>
        <v>1847780.6528189913</v>
      </c>
      <c r="AA31" s="35">
        <f t="shared" si="8"/>
        <v>1847780.6528189913</v>
      </c>
      <c r="AB31" s="35">
        <f t="shared" si="8"/>
        <v>1847780.6528189913</v>
      </c>
      <c r="AC31" s="35">
        <f t="shared" si="8"/>
        <v>1847780.6528189913</v>
      </c>
      <c r="AD31" s="35">
        <f t="shared" si="8"/>
        <v>1847780.6528189913</v>
      </c>
      <c r="AE31" s="35">
        <f t="shared" si="8"/>
        <v>1847780.6528189913</v>
      </c>
      <c r="AF31" s="35">
        <f t="shared" si="8"/>
        <v>1847780.6528189913</v>
      </c>
      <c r="AG31" s="35">
        <f t="shared" si="8"/>
        <v>1847780.6528189913</v>
      </c>
      <c r="AH31" s="35">
        <f t="shared" si="8"/>
        <v>1847780.6528189913</v>
      </c>
      <c r="AI31" s="35">
        <f t="shared" si="8"/>
        <v>1847780.6528189913</v>
      </c>
    </row>
    <row r="32" spans="2:35" ht="12.75">
      <c r="B32" s="57" t="s">
        <v>77</v>
      </c>
      <c r="C32" s="34"/>
      <c r="D32" s="35"/>
      <c r="E32" s="35"/>
      <c r="F32" s="35">
        <f>'Alternative 1.1'!D7*('Alternative 1.1'!D24-'Alternative 1.1'!D22)</f>
        <v>344449.3086053412</v>
      </c>
      <c r="G32" s="35">
        <f>F32</f>
        <v>344449.3086053412</v>
      </c>
      <c r="H32" s="35">
        <f aca="true" t="shared" si="9" ref="H32:AI32">G32</f>
        <v>344449.3086053412</v>
      </c>
      <c r="I32" s="35">
        <f t="shared" si="9"/>
        <v>344449.3086053412</v>
      </c>
      <c r="J32" s="35">
        <f t="shared" si="9"/>
        <v>344449.3086053412</v>
      </c>
      <c r="K32" s="35">
        <f t="shared" si="9"/>
        <v>344449.3086053412</v>
      </c>
      <c r="L32" s="35">
        <f t="shared" si="9"/>
        <v>344449.3086053412</v>
      </c>
      <c r="M32" s="35">
        <f t="shared" si="9"/>
        <v>344449.3086053412</v>
      </c>
      <c r="N32" s="35">
        <f t="shared" si="9"/>
        <v>344449.3086053412</v>
      </c>
      <c r="O32" s="35">
        <f t="shared" si="9"/>
        <v>344449.3086053412</v>
      </c>
      <c r="P32" s="35">
        <f t="shared" si="9"/>
        <v>344449.3086053412</v>
      </c>
      <c r="Q32" s="35">
        <f t="shared" si="9"/>
        <v>344449.3086053412</v>
      </c>
      <c r="R32" s="35">
        <f t="shared" si="9"/>
        <v>344449.3086053412</v>
      </c>
      <c r="S32" s="35">
        <f t="shared" si="9"/>
        <v>344449.3086053412</v>
      </c>
      <c r="T32" s="35">
        <f t="shared" si="9"/>
        <v>344449.3086053412</v>
      </c>
      <c r="U32" s="35">
        <f t="shared" si="9"/>
        <v>344449.3086053412</v>
      </c>
      <c r="V32" s="35">
        <f t="shared" si="9"/>
        <v>344449.3086053412</v>
      </c>
      <c r="W32" s="35">
        <f t="shared" si="9"/>
        <v>344449.3086053412</v>
      </c>
      <c r="X32" s="35">
        <f t="shared" si="9"/>
        <v>344449.3086053412</v>
      </c>
      <c r="Y32" s="35">
        <f t="shared" si="9"/>
        <v>344449.3086053412</v>
      </c>
      <c r="Z32" s="35">
        <f t="shared" si="9"/>
        <v>344449.3086053412</v>
      </c>
      <c r="AA32" s="35">
        <f t="shared" si="9"/>
        <v>344449.3086053412</v>
      </c>
      <c r="AB32" s="35">
        <f t="shared" si="9"/>
        <v>344449.3086053412</v>
      </c>
      <c r="AC32" s="35">
        <f t="shared" si="9"/>
        <v>344449.3086053412</v>
      </c>
      <c r="AD32" s="35">
        <f t="shared" si="9"/>
        <v>344449.3086053412</v>
      </c>
      <c r="AE32" s="35">
        <f t="shared" si="9"/>
        <v>344449.3086053412</v>
      </c>
      <c r="AF32" s="35">
        <f t="shared" si="9"/>
        <v>344449.3086053412</v>
      </c>
      <c r="AG32" s="35">
        <f t="shared" si="9"/>
        <v>344449.3086053412</v>
      </c>
      <c r="AH32" s="35">
        <f t="shared" si="9"/>
        <v>344449.3086053412</v>
      </c>
      <c r="AI32" s="35">
        <f t="shared" si="9"/>
        <v>344449.3086053412</v>
      </c>
    </row>
    <row r="33" spans="2:35" ht="12.75">
      <c r="B33" s="22" t="s">
        <v>78</v>
      </c>
      <c r="C33" s="34"/>
      <c r="D33" s="35"/>
      <c r="E33" s="35"/>
      <c r="F33" s="35">
        <f>'Alternative 1.1'!$D$28</f>
        <v>92906.74896142431</v>
      </c>
      <c r="G33" s="35">
        <f aca="true" t="shared" si="10" ref="G33:AI33">F33</f>
        <v>92906.74896142431</v>
      </c>
      <c r="H33" s="35">
        <f t="shared" si="10"/>
        <v>92906.74896142431</v>
      </c>
      <c r="I33" s="35">
        <f t="shared" si="10"/>
        <v>92906.74896142431</v>
      </c>
      <c r="J33" s="35">
        <f t="shared" si="10"/>
        <v>92906.74896142431</v>
      </c>
      <c r="K33" s="35">
        <f t="shared" si="10"/>
        <v>92906.74896142431</v>
      </c>
      <c r="L33" s="35">
        <f t="shared" si="10"/>
        <v>92906.74896142431</v>
      </c>
      <c r="M33" s="35">
        <f t="shared" si="10"/>
        <v>92906.74896142431</v>
      </c>
      <c r="N33" s="35">
        <f t="shared" si="10"/>
        <v>92906.74896142431</v>
      </c>
      <c r="O33" s="35">
        <f t="shared" si="10"/>
        <v>92906.74896142431</v>
      </c>
      <c r="P33" s="35">
        <f t="shared" si="10"/>
        <v>92906.74896142431</v>
      </c>
      <c r="Q33" s="35">
        <f t="shared" si="10"/>
        <v>92906.74896142431</v>
      </c>
      <c r="R33" s="35">
        <f t="shared" si="10"/>
        <v>92906.74896142431</v>
      </c>
      <c r="S33" s="35">
        <f t="shared" si="10"/>
        <v>92906.74896142431</v>
      </c>
      <c r="T33" s="35">
        <f t="shared" si="10"/>
        <v>92906.74896142431</v>
      </c>
      <c r="U33" s="35">
        <f t="shared" si="10"/>
        <v>92906.74896142431</v>
      </c>
      <c r="V33" s="35">
        <f t="shared" si="10"/>
        <v>92906.74896142431</v>
      </c>
      <c r="W33" s="35">
        <f t="shared" si="10"/>
        <v>92906.74896142431</v>
      </c>
      <c r="X33" s="35">
        <f t="shared" si="10"/>
        <v>92906.74896142431</v>
      </c>
      <c r="Y33" s="35">
        <f t="shared" si="10"/>
        <v>92906.74896142431</v>
      </c>
      <c r="Z33" s="35">
        <f t="shared" si="10"/>
        <v>92906.74896142431</v>
      </c>
      <c r="AA33" s="35">
        <f t="shared" si="10"/>
        <v>92906.74896142431</v>
      </c>
      <c r="AB33" s="35">
        <f t="shared" si="10"/>
        <v>92906.74896142431</v>
      </c>
      <c r="AC33" s="35">
        <f t="shared" si="10"/>
        <v>92906.74896142431</v>
      </c>
      <c r="AD33" s="35">
        <f t="shared" si="10"/>
        <v>92906.74896142431</v>
      </c>
      <c r="AE33" s="35">
        <f t="shared" si="10"/>
        <v>92906.74896142431</v>
      </c>
      <c r="AF33" s="35">
        <f t="shared" si="10"/>
        <v>92906.74896142431</v>
      </c>
      <c r="AG33" s="35">
        <f t="shared" si="10"/>
        <v>92906.74896142431</v>
      </c>
      <c r="AH33" s="35">
        <f t="shared" si="10"/>
        <v>92906.74896142431</v>
      </c>
      <c r="AI33" s="35">
        <f t="shared" si="10"/>
        <v>92906.74896142431</v>
      </c>
    </row>
    <row r="34" spans="2:35" s="39" customFormat="1" ht="12.75">
      <c r="B34" s="37" t="s">
        <v>79</v>
      </c>
      <c r="C34" s="38">
        <f aca="true" t="shared" si="11" ref="C34:AI34">SUM(C27:C33)</f>
        <v>0</v>
      </c>
      <c r="D34" s="38">
        <f t="shared" si="11"/>
        <v>-11466409.495548962</v>
      </c>
      <c r="E34" s="38">
        <f t="shared" si="11"/>
        <v>-11466409.495548962</v>
      </c>
      <c r="F34" s="38">
        <f t="shared" si="11"/>
        <v>3049053.6243323446</v>
      </c>
      <c r="G34" s="38">
        <f t="shared" si="11"/>
        <v>3049053.6243323446</v>
      </c>
      <c r="H34" s="38">
        <f t="shared" si="11"/>
        <v>3049053.6243323446</v>
      </c>
      <c r="I34" s="38">
        <f t="shared" si="11"/>
        <v>3049053.6243323446</v>
      </c>
      <c r="J34" s="38">
        <f t="shared" si="11"/>
        <v>3049053.6243323446</v>
      </c>
      <c r="K34" s="38">
        <f t="shared" si="11"/>
        <v>3049053.6243323446</v>
      </c>
      <c r="L34" s="38">
        <f t="shared" si="11"/>
        <v>3049053.6243323446</v>
      </c>
      <c r="M34" s="38">
        <f t="shared" si="11"/>
        <v>3049053.6243323446</v>
      </c>
      <c r="N34" s="38">
        <f t="shared" si="11"/>
        <v>3049053.6243323446</v>
      </c>
      <c r="O34" s="38">
        <f t="shared" si="11"/>
        <v>3049053.6243323446</v>
      </c>
      <c r="P34" s="38">
        <f t="shared" si="11"/>
        <v>3049053.6243323446</v>
      </c>
      <c r="Q34" s="38">
        <f t="shared" si="11"/>
        <v>3049053.6243323446</v>
      </c>
      <c r="R34" s="38">
        <f t="shared" si="11"/>
        <v>3049053.6243323446</v>
      </c>
      <c r="S34" s="38">
        <f t="shared" si="11"/>
        <v>3049053.6243323446</v>
      </c>
      <c r="T34" s="38">
        <f t="shared" si="11"/>
        <v>3049053.6243323446</v>
      </c>
      <c r="U34" s="38">
        <f t="shared" si="11"/>
        <v>3049053.6243323446</v>
      </c>
      <c r="V34" s="38">
        <f t="shared" si="11"/>
        <v>3049053.6243323446</v>
      </c>
      <c r="W34" s="38">
        <f t="shared" si="11"/>
        <v>3049053.6243323446</v>
      </c>
      <c r="X34" s="38">
        <f t="shared" si="11"/>
        <v>3049053.6243323446</v>
      </c>
      <c r="Y34" s="38">
        <f t="shared" si="11"/>
        <v>3049053.6243323446</v>
      </c>
      <c r="Z34" s="38">
        <f t="shared" si="11"/>
        <v>3049053.6243323446</v>
      </c>
      <c r="AA34" s="38">
        <f t="shared" si="11"/>
        <v>3049053.6243323446</v>
      </c>
      <c r="AB34" s="38">
        <f t="shared" si="11"/>
        <v>3049053.6243323446</v>
      </c>
      <c r="AC34" s="38">
        <f t="shared" si="11"/>
        <v>3049053.6243323446</v>
      </c>
      <c r="AD34" s="38">
        <f t="shared" si="11"/>
        <v>3049053.6243323446</v>
      </c>
      <c r="AE34" s="38">
        <f t="shared" si="11"/>
        <v>3049053.6243323446</v>
      </c>
      <c r="AF34" s="38">
        <f t="shared" si="11"/>
        <v>3049053.6243323446</v>
      </c>
      <c r="AG34" s="38">
        <f t="shared" si="11"/>
        <v>3049053.6243323446</v>
      </c>
      <c r="AH34" s="38">
        <f t="shared" si="11"/>
        <v>3049053.6243323446</v>
      </c>
      <c r="AI34" s="38">
        <f t="shared" si="11"/>
        <v>3049053.6243323446</v>
      </c>
    </row>
    <row r="35" spans="2:36" ht="12.75">
      <c r="B35" s="22" t="s">
        <v>80</v>
      </c>
      <c r="C35" s="34">
        <f>C34</f>
        <v>0</v>
      </c>
      <c r="D35" s="35">
        <f>D34</f>
        <v>-11466409.495548962</v>
      </c>
      <c r="E35" s="35">
        <f>E34/1.1</f>
        <v>-10424008.632317238</v>
      </c>
      <c r="F35" s="35">
        <f>F34/1.1^2</f>
        <v>2519879.028373838</v>
      </c>
      <c r="G35" s="35">
        <f>G34/1.1^3</f>
        <v>2290799.116703489</v>
      </c>
      <c r="H35" s="35">
        <f>H34/1.1^4</f>
        <v>2082544.6515486264</v>
      </c>
      <c r="I35" s="35">
        <f>I34/1.1^5</f>
        <v>1893222.410498751</v>
      </c>
      <c r="J35" s="35">
        <f>J34/1.1^6</f>
        <v>1721111.2822715917</v>
      </c>
      <c r="K35" s="35">
        <f>K34/1.1^7</f>
        <v>1564646.6202469012</v>
      </c>
      <c r="L35" s="35">
        <f>L34/1.1^8</f>
        <v>1422406.018406274</v>
      </c>
      <c r="M35" s="35">
        <f>M34/1.1^9</f>
        <v>1293096.3803693398</v>
      </c>
      <c r="N35" s="35">
        <f>N34/1.1^10</f>
        <v>1175542.163972127</v>
      </c>
      <c r="O35" s="35">
        <f>O34/1.1^11</f>
        <v>1068674.6945201154</v>
      </c>
      <c r="P35" s="35">
        <f>P34/1.1^12</f>
        <v>971522.4495637412</v>
      </c>
      <c r="Q35" s="35">
        <f>Q34/1.1^13</f>
        <v>883202.2268761285</v>
      </c>
      <c r="R35" s="35">
        <f>R34/1.1^14</f>
        <v>802911.1153419347</v>
      </c>
      <c r="S35" s="35">
        <f>S34/1.1^15</f>
        <v>729919.1957653952</v>
      </c>
      <c r="T35" s="35">
        <f>T34/1.1^16</f>
        <v>663562.9052412683</v>
      </c>
      <c r="U35" s="35">
        <f>U34/1.1^17</f>
        <v>603239.0047647894</v>
      </c>
      <c r="V35" s="35">
        <f>V34/1.1^18</f>
        <v>548399.0952407176</v>
      </c>
      <c r="W35" s="35">
        <f>W34/1.1^19</f>
        <v>498544.63203701586</v>
      </c>
      <c r="X35" s="35">
        <f>X34/1.1^20</f>
        <v>453222.39276092354</v>
      </c>
      <c r="Y35" s="35">
        <f>Y34/1.1^21</f>
        <v>412020.357055385</v>
      </c>
      <c r="Z35" s="35">
        <f>Z34/1.1^22</f>
        <v>374563.96095944085</v>
      </c>
      <c r="AA35" s="35">
        <f>AA34/1.1^23</f>
        <v>340512.69178130984</v>
      </c>
      <c r="AB35" s="35">
        <f>AB34/1.1^24</f>
        <v>309556.99252846354</v>
      </c>
      <c r="AC35" s="35">
        <f>AC34/1.1^25</f>
        <v>281415.4477531486</v>
      </c>
      <c r="AD35" s="35">
        <f>AD34/1.1^26</f>
        <v>255832.2252301351</v>
      </c>
      <c r="AE35" s="35">
        <f>AE34/1.1^27</f>
        <v>232574.7502092137</v>
      </c>
      <c r="AF35" s="35">
        <f>AF34/1.1^28</f>
        <v>211431.59109928517</v>
      </c>
      <c r="AG35" s="35">
        <f>AG34/1.1^29</f>
        <v>192210.5373629865</v>
      </c>
      <c r="AH35" s="35">
        <f>AH34/1.1^30</f>
        <v>174736.85214816954</v>
      </c>
      <c r="AI35" s="35">
        <f>AI34/1.1^31</f>
        <v>158851.6837710632</v>
      </c>
      <c r="AJ35" s="35"/>
    </row>
    <row r="36" spans="2:35" ht="12.75">
      <c r="B36" s="22" t="s">
        <v>81</v>
      </c>
      <c r="C36" s="34">
        <f>C34</f>
        <v>0</v>
      </c>
      <c r="D36" s="34">
        <f>D34</f>
        <v>-11466409.495548962</v>
      </c>
      <c r="E36" s="35">
        <f aca="true" t="shared" si="12" ref="E36:AI36">D36+E34</f>
        <v>-22932818.991097923</v>
      </c>
      <c r="F36" s="35">
        <f t="shared" si="12"/>
        <v>-19883765.366765577</v>
      </c>
      <c r="G36" s="35">
        <f t="shared" si="12"/>
        <v>-16834711.74243323</v>
      </c>
      <c r="H36" s="35">
        <f t="shared" si="12"/>
        <v>-13785658.118100887</v>
      </c>
      <c r="I36" s="35">
        <f t="shared" si="12"/>
        <v>-10736604.493768543</v>
      </c>
      <c r="J36" s="35">
        <f t="shared" si="12"/>
        <v>-7687550.869436199</v>
      </c>
      <c r="K36" s="35">
        <f t="shared" si="12"/>
        <v>-4638497.245103855</v>
      </c>
      <c r="L36" s="40">
        <f t="shared" si="12"/>
        <v>-1589443.62077151</v>
      </c>
      <c r="M36" s="41">
        <f t="shared" si="12"/>
        <v>1459610.0035608346</v>
      </c>
      <c r="N36" s="40">
        <f t="shared" si="12"/>
        <v>4508663.62789318</v>
      </c>
      <c r="O36" s="40">
        <f t="shared" si="12"/>
        <v>7557717.252225524</v>
      </c>
      <c r="P36" s="35">
        <f t="shared" si="12"/>
        <v>10606770.876557868</v>
      </c>
      <c r="Q36" s="35">
        <f t="shared" si="12"/>
        <v>13655824.500890212</v>
      </c>
      <c r="R36" s="35">
        <f t="shared" si="12"/>
        <v>16704878.125222556</v>
      </c>
      <c r="S36" s="35">
        <f t="shared" si="12"/>
        <v>19753931.749554902</v>
      </c>
      <c r="T36" s="35">
        <f t="shared" si="12"/>
        <v>22802985.37388725</v>
      </c>
      <c r="U36" s="35">
        <f t="shared" si="12"/>
        <v>25852038.998219594</v>
      </c>
      <c r="V36" s="35">
        <f t="shared" si="12"/>
        <v>28901092.62255194</v>
      </c>
      <c r="W36" s="35">
        <f t="shared" si="12"/>
        <v>31950146.246884286</v>
      </c>
      <c r="X36" s="35">
        <f t="shared" si="12"/>
        <v>34999199.87121663</v>
      </c>
      <c r="Y36" s="40">
        <f t="shared" si="12"/>
        <v>38048253.49554898</v>
      </c>
      <c r="Z36" s="35">
        <f t="shared" si="12"/>
        <v>41097307.119881324</v>
      </c>
      <c r="AA36" s="35">
        <f t="shared" si="12"/>
        <v>44146360.74421367</v>
      </c>
      <c r="AB36" s="35">
        <f t="shared" si="12"/>
        <v>47195414.36854602</v>
      </c>
      <c r="AC36" s="35">
        <f t="shared" si="12"/>
        <v>50244467.99287836</v>
      </c>
      <c r="AD36" s="35">
        <f t="shared" si="12"/>
        <v>53293521.61721071</v>
      </c>
      <c r="AE36" s="35">
        <f t="shared" si="12"/>
        <v>56342575.241543055</v>
      </c>
      <c r="AF36" s="35">
        <f t="shared" si="12"/>
        <v>59391628.8658754</v>
      </c>
      <c r="AG36" s="35">
        <f t="shared" si="12"/>
        <v>62440682.49020775</v>
      </c>
      <c r="AH36" s="35">
        <f t="shared" si="12"/>
        <v>65489736.11454009</v>
      </c>
      <c r="AI36" s="35">
        <f t="shared" si="12"/>
        <v>68538789.73887244</v>
      </c>
    </row>
    <row r="37" spans="2:35" ht="12.75">
      <c r="B37" s="22" t="s">
        <v>82</v>
      </c>
      <c r="C37" s="34">
        <f>C35</f>
        <v>0</v>
      </c>
      <c r="D37" s="34">
        <f>D35</f>
        <v>-11466409.495548962</v>
      </c>
      <c r="E37" s="35">
        <f>E35+D37</f>
        <v>-21890418.1278662</v>
      </c>
      <c r="F37" s="35">
        <f>F35+E37</f>
        <v>-19370539.099492364</v>
      </c>
      <c r="G37" s="35">
        <f>G35+F37</f>
        <v>-17079739.982788876</v>
      </c>
      <c r="H37" s="35">
        <f>H35+G37</f>
        <v>-14997195.33124025</v>
      </c>
      <c r="I37" s="35">
        <f>I35+H37</f>
        <v>-13103972.920741498</v>
      </c>
      <c r="J37" s="35">
        <f aca="true" t="shared" si="13" ref="J37:AI37">K35+I37</f>
        <v>-11539326.300494596</v>
      </c>
      <c r="K37" s="35">
        <f t="shared" si="13"/>
        <v>-10116920.282088323</v>
      </c>
      <c r="L37" s="35">
        <f t="shared" si="13"/>
        <v>-8823823.901718983</v>
      </c>
      <c r="M37" s="35">
        <f t="shared" si="13"/>
        <v>-7648281.737746856</v>
      </c>
      <c r="N37" s="35">
        <f t="shared" si="13"/>
        <v>-6579607.043226741</v>
      </c>
      <c r="O37" s="35">
        <f t="shared" si="13"/>
        <v>-5608084.593663</v>
      </c>
      <c r="P37" s="35">
        <f t="shared" si="13"/>
        <v>-4724882.366786871</v>
      </c>
      <c r="Q37" s="35">
        <f t="shared" si="13"/>
        <v>-3921971.2514449363</v>
      </c>
      <c r="R37" s="42">
        <f t="shared" si="13"/>
        <v>-3192052.055679541</v>
      </c>
      <c r="S37" s="35">
        <f t="shared" si="13"/>
        <v>-2528489.150438273</v>
      </c>
      <c r="T37" s="35">
        <f t="shared" si="13"/>
        <v>-1925250.1456734836</v>
      </c>
      <c r="U37" s="35">
        <f t="shared" si="13"/>
        <v>-1376851.0504327659</v>
      </c>
      <c r="V37" s="35">
        <f t="shared" si="13"/>
        <v>-878306.41839575</v>
      </c>
      <c r="W37" s="35">
        <f t="shared" si="13"/>
        <v>-425084.02563482645</v>
      </c>
      <c r="X37" s="35">
        <f t="shared" si="13"/>
        <v>-13063.668579441437</v>
      </c>
      <c r="Y37" s="35">
        <f t="shared" si="13"/>
        <v>361500.2923799994</v>
      </c>
      <c r="Z37" s="35">
        <f t="shared" si="13"/>
        <v>702012.9841613092</v>
      </c>
      <c r="AA37" s="35">
        <f t="shared" si="13"/>
        <v>1011569.9766897727</v>
      </c>
      <c r="AB37" s="35">
        <f t="shared" si="13"/>
        <v>1292985.4244429213</v>
      </c>
      <c r="AC37" s="35">
        <f t="shared" si="13"/>
        <v>1548817.6496730563</v>
      </c>
      <c r="AD37" s="35">
        <f t="shared" si="13"/>
        <v>1781392.39988227</v>
      </c>
      <c r="AE37" s="35">
        <f t="shared" si="13"/>
        <v>1992823.990981555</v>
      </c>
      <c r="AF37" s="35">
        <f t="shared" si="13"/>
        <v>2185034.528344542</v>
      </c>
      <c r="AG37" s="35">
        <f t="shared" si="13"/>
        <v>2359771.3804927114</v>
      </c>
      <c r="AH37" s="35">
        <f t="shared" si="13"/>
        <v>2518623.0642637745</v>
      </c>
      <c r="AI37" s="35">
        <f t="shared" si="13"/>
        <v>2518623.0642637745</v>
      </c>
    </row>
    <row r="38" spans="2:35" ht="12.75">
      <c r="B38" s="57" t="s">
        <v>83</v>
      </c>
      <c r="C38" s="34"/>
      <c r="D38" s="34">
        <f>SUM(F35:AI35)</f>
        <v>26130152.474401567</v>
      </c>
      <c r="E38" s="35"/>
      <c r="F38" s="35"/>
      <c r="G38" s="35"/>
      <c r="H38" s="35"/>
      <c r="I38" s="35"/>
      <c r="J38" s="35"/>
      <c r="K38" s="35"/>
      <c r="L38" s="35"/>
      <c r="M38" s="35"/>
      <c r="N38" s="35"/>
      <c r="O38" s="35"/>
      <c r="P38" s="35"/>
      <c r="Q38" s="35"/>
      <c r="R38" s="42"/>
      <c r="S38" s="35"/>
      <c r="T38" s="35"/>
      <c r="U38" s="35"/>
      <c r="V38" s="35"/>
      <c r="W38" s="35"/>
      <c r="X38" s="35"/>
      <c r="Y38" s="35"/>
      <c r="Z38" s="35"/>
      <c r="AA38" s="35"/>
      <c r="AB38" s="35"/>
      <c r="AC38" s="35"/>
      <c r="AD38" s="35"/>
      <c r="AE38" s="35"/>
      <c r="AF38" s="35"/>
      <c r="AG38" s="35"/>
      <c r="AH38" s="35"/>
      <c r="AI38" s="35"/>
    </row>
    <row r="39" spans="2:35" ht="12.75">
      <c r="B39" s="57" t="s">
        <v>84</v>
      </c>
      <c r="C39" s="34"/>
      <c r="D39" s="34">
        <f>-(D35+E35)</f>
        <v>21890418.1278662</v>
      </c>
      <c r="E39" s="35"/>
      <c r="F39" s="35"/>
      <c r="G39" s="35"/>
      <c r="H39" s="35"/>
      <c r="I39" s="35"/>
      <c r="J39" s="35"/>
      <c r="K39" s="35"/>
      <c r="L39" s="35"/>
      <c r="M39" s="35"/>
      <c r="N39" s="35"/>
      <c r="O39" s="35"/>
      <c r="P39" s="35"/>
      <c r="Q39" s="35"/>
      <c r="R39" s="42"/>
      <c r="S39" s="35"/>
      <c r="T39" s="35"/>
      <c r="U39" s="35"/>
      <c r="V39" s="35"/>
      <c r="W39" s="35"/>
      <c r="X39" s="35"/>
      <c r="Y39" s="35"/>
      <c r="Z39" s="35"/>
      <c r="AA39" s="35"/>
      <c r="AB39" s="35"/>
      <c r="AC39" s="35"/>
      <c r="AD39" s="35"/>
      <c r="AE39" s="35"/>
      <c r="AF39" s="35"/>
      <c r="AG39" s="35"/>
      <c r="AH39" s="35"/>
      <c r="AI39" s="35"/>
    </row>
    <row r="40" spans="2:35" ht="12.75">
      <c r="B40" s="22" t="s">
        <v>36</v>
      </c>
      <c r="C40" s="38">
        <f>SUM(C35:AJ35)</f>
        <v>4239734.346535366</v>
      </c>
      <c r="D40" s="43">
        <f>SUM(D35:AJ35)</f>
        <v>4239734.346535366</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2:35" ht="12.75">
      <c r="B41" s="22" t="s">
        <v>37</v>
      </c>
      <c r="C41" s="44">
        <f>IRR(C34:AI34,0.13)</f>
        <v>0.12131296250291224</v>
      </c>
      <c r="D41" s="45">
        <f>IRR(D34:AI34,0.13)</f>
        <v>0.12131296250291206</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row>
    <row r="42" spans="2:35" ht="12.75">
      <c r="B42" s="22" t="s">
        <v>85</v>
      </c>
      <c r="C42" s="38">
        <f>23+(Y36+Z36)/Z36</f>
        <v>24.925808919415616</v>
      </c>
      <c r="D42" s="43">
        <f>9+L36/-M34</f>
        <v>9.521290805805211</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row>
    <row r="43" spans="2:35" ht="12.75">
      <c r="B43" s="22" t="s">
        <v>58</v>
      </c>
      <c r="C43" s="55"/>
      <c r="D43" s="55">
        <f>D38/D39</f>
        <v>1.1936799161062275</v>
      </c>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5" ht="13.5" thickBot="1">
      <c r="B45" s="54" t="s">
        <v>92</v>
      </c>
    </row>
    <row r="46" spans="2:35" ht="12.75">
      <c r="B46" s="25"/>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8"/>
    </row>
    <row r="47" spans="2:35" ht="13.5" thickBot="1">
      <c r="B47" s="29"/>
      <c r="C47" s="30">
        <v>2007</v>
      </c>
      <c r="D47" s="30">
        <v>2008</v>
      </c>
      <c r="E47" s="30">
        <v>2009</v>
      </c>
      <c r="F47" s="30">
        <v>2010</v>
      </c>
      <c r="G47" s="30">
        <v>2011</v>
      </c>
      <c r="H47" s="30">
        <v>2012</v>
      </c>
      <c r="I47" s="30">
        <v>2013</v>
      </c>
      <c r="J47" s="30">
        <v>2014</v>
      </c>
      <c r="K47" s="30">
        <v>2015</v>
      </c>
      <c r="L47" s="30">
        <v>2016</v>
      </c>
      <c r="M47" s="30">
        <v>2017</v>
      </c>
      <c r="N47" s="30">
        <v>2018</v>
      </c>
      <c r="O47" s="30">
        <v>2019</v>
      </c>
      <c r="P47" s="30">
        <v>2020</v>
      </c>
      <c r="Q47" s="30">
        <v>2021</v>
      </c>
      <c r="R47" s="30">
        <v>2022</v>
      </c>
      <c r="S47" s="30">
        <v>2023</v>
      </c>
      <c r="T47" s="30">
        <v>2024</v>
      </c>
      <c r="U47" s="30">
        <v>2025</v>
      </c>
      <c r="V47" s="30">
        <v>2026</v>
      </c>
      <c r="W47" s="30">
        <v>2027</v>
      </c>
      <c r="X47" s="30">
        <v>2028</v>
      </c>
      <c r="Y47" s="30">
        <v>2029</v>
      </c>
      <c r="Z47" s="30">
        <v>2030</v>
      </c>
      <c r="AA47" s="30">
        <v>2031</v>
      </c>
      <c r="AB47" s="30">
        <v>2032</v>
      </c>
      <c r="AC47" s="30">
        <v>2033</v>
      </c>
      <c r="AD47" s="30">
        <v>2034</v>
      </c>
      <c r="AE47" s="30">
        <v>2035</v>
      </c>
      <c r="AF47" s="30">
        <v>2036</v>
      </c>
      <c r="AG47" s="30">
        <v>2037</v>
      </c>
      <c r="AH47" s="30">
        <v>2038</v>
      </c>
      <c r="AI47" s="31">
        <v>2039</v>
      </c>
    </row>
    <row r="48" spans="2:35" ht="12.75">
      <c r="B48" s="2" t="s">
        <v>73</v>
      </c>
      <c r="C48" s="32"/>
      <c r="D48" s="33">
        <f>-'Alternative 1.1'!$D$31/2</f>
        <v>-11466409.495548962</v>
      </c>
      <c r="E48" s="33">
        <f>D48</f>
        <v>-11466409.495548962</v>
      </c>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row>
    <row r="49" spans="2:35" ht="12.75">
      <c r="B49" s="22"/>
      <c r="C49" s="34"/>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row>
    <row r="50" spans="2:35" ht="12.75">
      <c r="B50" s="37" t="s">
        <v>87</v>
      </c>
      <c r="C50" s="34"/>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row>
    <row r="51" spans="2:35" ht="12.75">
      <c r="B51" s="22" t="s">
        <v>75</v>
      </c>
      <c r="C51" s="34"/>
      <c r="D51" s="35"/>
      <c r="E51" s="35"/>
      <c r="F51" s="35">
        <f>'Alternative 1.1'!$D$9*('Alternative 1.1'!$D$16-'Alternative 1.1'!$D$20*1.1)</f>
        <v>747727.002967359</v>
      </c>
      <c r="G51" s="35">
        <f aca="true" t="shared" si="14" ref="G51:AI51">F51</f>
        <v>747727.002967359</v>
      </c>
      <c r="H51" s="35">
        <f t="shared" si="14"/>
        <v>747727.002967359</v>
      </c>
      <c r="I51" s="35">
        <f t="shared" si="14"/>
        <v>747727.002967359</v>
      </c>
      <c r="J51" s="35">
        <f t="shared" si="14"/>
        <v>747727.002967359</v>
      </c>
      <c r="K51" s="35">
        <f t="shared" si="14"/>
        <v>747727.002967359</v>
      </c>
      <c r="L51" s="35">
        <f t="shared" si="14"/>
        <v>747727.002967359</v>
      </c>
      <c r="M51" s="35">
        <f t="shared" si="14"/>
        <v>747727.002967359</v>
      </c>
      <c r="N51" s="35">
        <f t="shared" si="14"/>
        <v>747727.002967359</v>
      </c>
      <c r="O51" s="35">
        <f t="shared" si="14"/>
        <v>747727.002967359</v>
      </c>
      <c r="P51" s="35">
        <f t="shared" si="14"/>
        <v>747727.002967359</v>
      </c>
      <c r="Q51" s="35">
        <f t="shared" si="14"/>
        <v>747727.002967359</v>
      </c>
      <c r="R51" s="35">
        <f t="shared" si="14"/>
        <v>747727.002967359</v>
      </c>
      <c r="S51" s="35">
        <f t="shared" si="14"/>
        <v>747727.002967359</v>
      </c>
      <c r="T51" s="35">
        <f t="shared" si="14"/>
        <v>747727.002967359</v>
      </c>
      <c r="U51" s="35">
        <f t="shared" si="14"/>
        <v>747727.002967359</v>
      </c>
      <c r="V51" s="35">
        <f t="shared" si="14"/>
        <v>747727.002967359</v>
      </c>
      <c r="W51" s="35">
        <f t="shared" si="14"/>
        <v>747727.002967359</v>
      </c>
      <c r="X51" s="35">
        <f t="shared" si="14"/>
        <v>747727.002967359</v>
      </c>
      <c r="Y51" s="35">
        <f t="shared" si="14"/>
        <v>747727.002967359</v>
      </c>
      <c r="Z51" s="35">
        <f t="shared" si="14"/>
        <v>747727.002967359</v>
      </c>
      <c r="AA51" s="35">
        <f t="shared" si="14"/>
        <v>747727.002967359</v>
      </c>
      <c r="AB51" s="35">
        <f t="shared" si="14"/>
        <v>747727.002967359</v>
      </c>
      <c r="AC51" s="35">
        <f t="shared" si="14"/>
        <v>747727.002967359</v>
      </c>
      <c r="AD51" s="35">
        <f t="shared" si="14"/>
        <v>747727.002967359</v>
      </c>
      <c r="AE51" s="35">
        <f t="shared" si="14"/>
        <v>747727.002967359</v>
      </c>
      <c r="AF51" s="35">
        <f t="shared" si="14"/>
        <v>747727.002967359</v>
      </c>
      <c r="AG51" s="35">
        <f t="shared" si="14"/>
        <v>747727.002967359</v>
      </c>
      <c r="AH51" s="35">
        <f t="shared" si="14"/>
        <v>747727.002967359</v>
      </c>
      <c r="AI51" s="35">
        <f t="shared" si="14"/>
        <v>747727.002967359</v>
      </c>
    </row>
    <row r="52" spans="2:35" ht="12.75">
      <c r="B52" s="22" t="s">
        <v>89</v>
      </c>
      <c r="C52" s="34"/>
      <c r="D52" s="35"/>
      <c r="E52" s="35"/>
      <c r="F52" s="35">
        <f>'Alternative 1.1'!$D$11*('Alternative 1.1'!$D$18-'Alternative 1.1'!$D$20*1.1)</f>
        <v>1574651.5370919881</v>
      </c>
      <c r="G52" s="35">
        <f aca="true" t="shared" si="15" ref="G52:AI52">F52</f>
        <v>1574651.5370919881</v>
      </c>
      <c r="H52" s="35">
        <f t="shared" si="15"/>
        <v>1574651.5370919881</v>
      </c>
      <c r="I52" s="35">
        <f t="shared" si="15"/>
        <v>1574651.5370919881</v>
      </c>
      <c r="J52" s="35">
        <f t="shared" si="15"/>
        <v>1574651.5370919881</v>
      </c>
      <c r="K52" s="35">
        <f t="shared" si="15"/>
        <v>1574651.5370919881</v>
      </c>
      <c r="L52" s="35">
        <f t="shared" si="15"/>
        <v>1574651.5370919881</v>
      </c>
      <c r="M52" s="35">
        <f t="shared" si="15"/>
        <v>1574651.5370919881</v>
      </c>
      <c r="N52" s="35">
        <f t="shared" si="15"/>
        <v>1574651.5370919881</v>
      </c>
      <c r="O52" s="35">
        <f t="shared" si="15"/>
        <v>1574651.5370919881</v>
      </c>
      <c r="P52" s="35">
        <f t="shared" si="15"/>
        <v>1574651.5370919881</v>
      </c>
      <c r="Q52" s="35">
        <f t="shared" si="15"/>
        <v>1574651.5370919881</v>
      </c>
      <c r="R52" s="35">
        <f t="shared" si="15"/>
        <v>1574651.5370919881</v>
      </c>
      <c r="S52" s="35">
        <f t="shared" si="15"/>
        <v>1574651.5370919881</v>
      </c>
      <c r="T52" s="35">
        <f t="shared" si="15"/>
        <v>1574651.5370919881</v>
      </c>
      <c r="U52" s="35">
        <f t="shared" si="15"/>
        <v>1574651.5370919881</v>
      </c>
      <c r="V52" s="35">
        <f t="shared" si="15"/>
        <v>1574651.5370919881</v>
      </c>
      <c r="W52" s="35">
        <f t="shared" si="15"/>
        <v>1574651.5370919881</v>
      </c>
      <c r="X52" s="35">
        <f t="shared" si="15"/>
        <v>1574651.5370919881</v>
      </c>
      <c r="Y52" s="35">
        <f t="shared" si="15"/>
        <v>1574651.5370919881</v>
      </c>
      <c r="Z52" s="35">
        <f t="shared" si="15"/>
        <v>1574651.5370919881</v>
      </c>
      <c r="AA52" s="35">
        <f t="shared" si="15"/>
        <v>1574651.5370919881</v>
      </c>
      <c r="AB52" s="35">
        <f t="shared" si="15"/>
        <v>1574651.5370919881</v>
      </c>
      <c r="AC52" s="35">
        <f t="shared" si="15"/>
        <v>1574651.5370919881</v>
      </c>
      <c r="AD52" s="35">
        <f t="shared" si="15"/>
        <v>1574651.5370919881</v>
      </c>
      <c r="AE52" s="35">
        <f t="shared" si="15"/>
        <v>1574651.5370919881</v>
      </c>
      <c r="AF52" s="35">
        <f t="shared" si="15"/>
        <v>1574651.5370919881</v>
      </c>
      <c r="AG52" s="35">
        <f t="shared" si="15"/>
        <v>1574651.5370919881</v>
      </c>
      <c r="AH52" s="35">
        <f t="shared" si="15"/>
        <v>1574651.5370919881</v>
      </c>
      <c r="AI52" s="35">
        <f t="shared" si="15"/>
        <v>1574651.5370919881</v>
      </c>
    </row>
    <row r="53" spans="2:35" ht="12.75">
      <c r="B53" s="57" t="s">
        <v>77</v>
      </c>
      <c r="C53" s="34"/>
      <c r="D53" s="35"/>
      <c r="E53" s="35"/>
      <c r="F53" s="35">
        <f>'Alternative 1.1'!D7*('Alternative 1.1'!D24-'Alternative 1.1'!D22*1.1)</f>
        <v>287300.14451038564</v>
      </c>
      <c r="G53" s="35">
        <f>F53</f>
        <v>287300.14451038564</v>
      </c>
      <c r="H53" s="35">
        <f aca="true" t="shared" si="16" ref="H53:AI53">G53</f>
        <v>287300.14451038564</v>
      </c>
      <c r="I53" s="35">
        <f t="shared" si="16"/>
        <v>287300.14451038564</v>
      </c>
      <c r="J53" s="35">
        <f t="shared" si="16"/>
        <v>287300.14451038564</v>
      </c>
      <c r="K53" s="35">
        <f t="shared" si="16"/>
        <v>287300.14451038564</v>
      </c>
      <c r="L53" s="35">
        <f t="shared" si="16"/>
        <v>287300.14451038564</v>
      </c>
      <c r="M53" s="35">
        <f t="shared" si="16"/>
        <v>287300.14451038564</v>
      </c>
      <c r="N53" s="35">
        <f t="shared" si="16"/>
        <v>287300.14451038564</v>
      </c>
      <c r="O53" s="35">
        <f t="shared" si="16"/>
        <v>287300.14451038564</v>
      </c>
      <c r="P53" s="35">
        <f t="shared" si="16"/>
        <v>287300.14451038564</v>
      </c>
      <c r="Q53" s="35">
        <f t="shared" si="16"/>
        <v>287300.14451038564</v>
      </c>
      <c r="R53" s="35">
        <f t="shared" si="16"/>
        <v>287300.14451038564</v>
      </c>
      <c r="S53" s="35">
        <f t="shared" si="16"/>
        <v>287300.14451038564</v>
      </c>
      <c r="T53" s="35">
        <f t="shared" si="16"/>
        <v>287300.14451038564</v>
      </c>
      <c r="U53" s="35">
        <f t="shared" si="16"/>
        <v>287300.14451038564</v>
      </c>
      <c r="V53" s="35">
        <f t="shared" si="16"/>
        <v>287300.14451038564</v>
      </c>
      <c r="W53" s="35">
        <f t="shared" si="16"/>
        <v>287300.14451038564</v>
      </c>
      <c r="X53" s="35">
        <f t="shared" si="16"/>
        <v>287300.14451038564</v>
      </c>
      <c r="Y53" s="35">
        <f t="shared" si="16"/>
        <v>287300.14451038564</v>
      </c>
      <c r="Z53" s="35">
        <f t="shared" si="16"/>
        <v>287300.14451038564</v>
      </c>
      <c r="AA53" s="35">
        <f t="shared" si="16"/>
        <v>287300.14451038564</v>
      </c>
      <c r="AB53" s="35">
        <f t="shared" si="16"/>
        <v>287300.14451038564</v>
      </c>
      <c r="AC53" s="35">
        <f t="shared" si="16"/>
        <v>287300.14451038564</v>
      </c>
      <c r="AD53" s="35">
        <f t="shared" si="16"/>
        <v>287300.14451038564</v>
      </c>
      <c r="AE53" s="35">
        <f t="shared" si="16"/>
        <v>287300.14451038564</v>
      </c>
      <c r="AF53" s="35">
        <f t="shared" si="16"/>
        <v>287300.14451038564</v>
      </c>
      <c r="AG53" s="35">
        <f t="shared" si="16"/>
        <v>287300.14451038564</v>
      </c>
      <c r="AH53" s="35">
        <f t="shared" si="16"/>
        <v>287300.14451038564</v>
      </c>
      <c r="AI53" s="35">
        <f t="shared" si="16"/>
        <v>287300.14451038564</v>
      </c>
    </row>
    <row r="54" spans="2:35" ht="12.75">
      <c r="B54" s="22" t="s">
        <v>78</v>
      </c>
      <c r="C54" s="34"/>
      <c r="D54" s="35"/>
      <c r="E54" s="35"/>
      <c r="F54" s="35">
        <f>'Alternative 1.1'!$D$28</f>
        <v>92906.74896142431</v>
      </c>
      <c r="G54" s="35">
        <f aca="true" t="shared" si="17" ref="G54:AI54">F54</f>
        <v>92906.74896142431</v>
      </c>
      <c r="H54" s="35">
        <f t="shared" si="17"/>
        <v>92906.74896142431</v>
      </c>
      <c r="I54" s="35">
        <f t="shared" si="17"/>
        <v>92906.74896142431</v>
      </c>
      <c r="J54" s="35">
        <f t="shared" si="17"/>
        <v>92906.74896142431</v>
      </c>
      <c r="K54" s="35">
        <f t="shared" si="17"/>
        <v>92906.74896142431</v>
      </c>
      <c r="L54" s="35">
        <f t="shared" si="17"/>
        <v>92906.74896142431</v>
      </c>
      <c r="M54" s="35">
        <f t="shared" si="17"/>
        <v>92906.74896142431</v>
      </c>
      <c r="N54" s="35">
        <f t="shared" si="17"/>
        <v>92906.74896142431</v>
      </c>
      <c r="O54" s="35">
        <f t="shared" si="17"/>
        <v>92906.74896142431</v>
      </c>
      <c r="P54" s="35">
        <f t="shared" si="17"/>
        <v>92906.74896142431</v>
      </c>
      <c r="Q54" s="35">
        <f t="shared" si="17"/>
        <v>92906.74896142431</v>
      </c>
      <c r="R54" s="35">
        <f t="shared" si="17"/>
        <v>92906.74896142431</v>
      </c>
      <c r="S54" s="35">
        <f t="shared" si="17"/>
        <v>92906.74896142431</v>
      </c>
      <c r="T54" s="35">
        <f t="shared" si="17"/>
        <v>92906.74896142431</v>
      </c>
      <c r="U54" s="35">
        <f t="shared" si="17"/>
        <v>92906.74896142431</v>
      </c>
      <c r="V54" s="35">
        <f t="shared" si="17"/>
        <v>92906.74896142431</v>
      </c>
      <c r="W54" s="35">
        <f t="shared" si="17"/>
        <v>92906.74896142431</v>
      </c>
      <c r="X54" s="35">
        <f t="shared" si="17"/>
        <v>92906.74896142431</v>
      </c>
      <c r="Y54" s="35">
        <f t="shared" si="17"/>
        <v>92906.74896142431</v>
      </c>
      <c r="Z54" s="35">
        <f t="shared" si="17"/>
        <v>92906.74896142431</v>
      </c>
      <c r="AA54" s="35">
        <f t="shared" si="17"/>
        <v>92906.74896142431</v>
      </c>
      <c r="AB54" s="35">
        <f t="shared" si="17"/>
        <v>92906.74896142431</v>
      </c>
      <c r="AC54" s="35">
        <f t="shared" si="17"/>
        <v>92906.74896142431</v>
      </c>
      <c r="AD54" s="35">
        <f t="shared" si="17"/>
        <v>92906.74896142431</v>
      </c>
      <c r="AE54" s="35">
        <f t="shared" si="17"/>
        <v>92906.74896142431</v>
      </c>
      <c r="AF54" s="35">
        <f t="shared" si="17"/>
        <v>92906.74896142431</v>
      </c>
      <c r="AG54" s="35">
        <f t="shared" si="17"/>
        <v>92906.74896142431</v>
      </c>
      <c r="AH54" s="35">
        <f t="shared" si="17"/>
        <v>92906.74896142431</v>
      </c>
      <c r="AI54" s="35">
        <f t="shared" si="17"/>
        <v>92906.74896142431</v>
      </c>
    </row>
    <row r="55" spans="2:35" s="39" customFormat="1" ht="12.75">
      <c r="B55" s="37" t="s">
        <v>79</v>
      </c>
      <c r="C55" s="38">
        <f aca="true" t="shared" si="18" ref="C55:AI55">SUM(C48:C54)</f>
        <v>0</v>
      </c>
      <c r="D55" s="38">
        <f t="shared" si="18"/>
        <v>-11466409.495548962</v>
      </c>
      <c r="E55" s="38">
        <f t="shared" si="18"/>
        <v>-11466409.495548962</v>
      </c>
      <c r="F55" s="38">
        <f t="shared" si="18"/>
        <v>2702585.433531157</v>
      </c>
      <c r="G55" s="38">
        <f t="shared" si="18"/>
        <v>2702585.433531157</v>
      </c>
      <c r="H55" s="38">
        <f t="shared" si="18"/>
        <v>2702585.433531157</v>
      </c>
      <c r="I55" s="38">
        <f t="shared" si="18"/>
        <v>2702585.433531157</v>
      </c>
      <c r="J55" s="38">
        <f t="shared" si="18"/>
        <v>2702585.433531157</v>
      </c>
      <c r="K55" s="38">
        <f t="shared" si="18"/>
        <v>2702585.433531157</v>
      </c>
      <c r="L55" s="38">
        <f t="shared" si="18"/>
        <v>2702585.433531157</v>
      </c>
      <c r="M55" s="38">
        <f t="shared" si="18"/>
        <v>2702585.433531157</v>
      </c>
      <c r="N55" s="38">
        <f t="shared" si="18"/>
        <v>2702585.433531157</v>
      </c>
      <c r="O55" s="38">
        <f t="shared" si="18"/>
        <v>2702585.433531157</v>
      </c>
      <c r="P55" s="38">
        <f t="shared" si="18"/>
        <v>2702585.433531157</v>
      </c>
      <c r="Q55" s="38">
        <f t="shared" si="18"/>
        <v>2702585.433531157</v>
      </c>
      <c r="R55" s="38">
        <f t="shared" si="18"/>
        <v>2702585.433531157</v>
      </c>
      <c r="S55" s="38">
        <f t="shared" si="18"/>
        <v>2702585.433531157</v>
      </c>
      <c r="T55" s="38">
        <f t="shared" si="18"/>
        <v>2702585.433531157</v>
      </c>
      <c r="U55" s="38">
        <f t="shared" si="18"/>
        <v>2702585.433531157</v>
      </c>
      <c r="V55" s="38">
        <f t="shared" si="18"/>
        <v>2702585.433531157</v>
      </c>
      <c r="W55" s="38">
        <f t="shared" si="18"/>
        <v>2702585.433531157</v>
      </c>
      <c r="X55" s="38">
        <f t="shared" si="18"/>
        <v>2702585.433531157</v>
      </c>
      <c r="Y55" s="38">
        <f t="shared" si="18"/>
        <v>2702585.433531157</v>
      </c>
      <c r="Z55" s="38">
        <f t="shared" si="18"/>
        <v>2702585.433531157</v>
      </c>
      <c r="AA55" s="38">
        <f t="shared" si="18"/>
        <v>2702585.433531157</v>
      </c>
      <c r="AB55" s="38">
        <f t="shared" si="18"/>
        <v>2702585.433531157</v>
      </c>
      <c r="AC55" s="38">
        <f t="shared" si="18"/>
        <v>2702585.433531157</v>
      </c>
      <c r="AD55" s="38">
        <f t="shared" si="18"/>
        <v>2702585.433531157</v>
      </c>
      <c r="AE55" s="38">
        <f t="shared" si="18"/>
        <v>2702585.433531157</v>
      </c>
      <c r="AF55" s="38">
        <f t="shared" si="18"/>
        <v>2702585.433531157</v>
      </c>
      <c r="AG55" s="38">
        <f t="shared" si="18"/>
        <v>2702585.433531157</v>
      </c>
      <c r="AH55" s="38">
        <f t="shared" si="18"/>
        <v>2702585.433531157</v>
      </c>
      <c r="AI55" s="38">
        <f t="shared" si="18"/>
        <v>2702585.433531157</v>
      </c>
    </row>
    <row r="56" spans="2:36" ht="12.75">
      <c r="B56" s="22" t="s">
        <v>80</v>
      </c>
      <c r="C56" s="34">
        <f>C55</f>
        <v>0</v>
      </c>
      <c r="D56" s="35">
        <f>D55</f>
        <v>-11466409.495548962</v>
      </c>
      <c r="E56" s="35">
        <f>E55/1.1</f>
        <v>-10424008.632317238</v>
      </c>
      <c r="F56" s="35">
        <f>F55/1.1^2</f>
        <v>2233541.680604262</v>
      </c>
      <c r="G56" s="35">
        <f>G55/1.1^3</f>
        <v>2030492.436912965</v>
      </c>
      <c r="H56" s="35">
        <f>H55/1.1^4</f>
        <v>1845902.2153754227</v>
      </c>
      <c r="I56" s="35">
        <f>I55/1.1^5</f>
        <v>1678092.923068566</v>
      </c>
      <c r="J56" s="35">
        <f>J55/1.1^6</f>
        <v>1525539.0209714235</v>
      </c>
      <c r="K56" s="35">
        <f>K55/1.1^7</f>
        <v>1386853.6554285665</v>
      </c>
      <c r="L56" s="35">
        <f>L55/1.1^8</f>
        <v>1260776.050389606</v>
      </c>
      <c r="M56" s="35">
        <f>M55/1.1^9</f>
        <v>1146160.0458087327</v>
      </c>
      <c r="N56" s="35">
        <f>N55/1.1^10</f>
        <v>1041963.6780079388</v>
      </c>
      <c r="O56" s="35">
        <f>O55/1.1^11</f>
        <v>947239.7072799442</v>
      </c>
      <c r="P56" s="35">
        <f>P55/1.1^12</f>
        <v>861127.0066181311</v>
      </c>
      <c r="Q56" s="35">
        <f>Q55/1.1^13</f>
        <v>782842.73328921</v>
      </c>
      <c r="R56" s="35">
        <f>R55/1.1^14</f>
        <v>711675.2120811</v>
      </c>
      <c r="S56" s="35">
        <f>S55/1.1^15</f>
        <v>646977.4655282727</v>
      </c>
      <c r="T56" s="35">
        <f>T55/1.1^16</f>
        <v>588161.3322984297</v>
      </c>
      <c r="U56" s="35">
        <f>U55/1.1^17</f>
        <v>534692.1202712997</v>
      </c>
      <c r="V56" s="35">
        <f>V55/1.1^18</f>
        <v>486083.7457011815</v>
      </c>
      <c r="W56" s="35">
        <f>W55/1.1^19</f>
        <v>441894.3142738013</v>
      </c>
      <c r="X56" s="35">
        <f>X55/1.1^20</f>
        <v>401722.1038852739</v>
      </c>
      <c r="Y56" s="35">
        <f>Y55/1.1^21</f>
        <v>365201.91262297623</v>
      </c>
      <c r="Z56" s="35">
        <f>Z55/1.1^22</f>
        <v>332001.7387481602</v>
      </c>
      <c r="AA56" s="35">
        <f>AA55/1.1^23</f>
        <v>301819.7624983274</v>
      </c>
      <c r="AB56" s="35">
        <f>AB55/1.1^24</f>
        <v>274381.60227120674</v>
      </c>
      <c r="AC56" s="35">
        <f>AC55/1.1^25</f>
        <v>249437.82024655156</v>
      </c>
      <c r="AD56" s="35">
        <f>AD55/1.1^26</f>
        <v>226761.6547695923</v>
      </c>
      <c r="AE56" s="35">
        <f>AE55/1.1^27</f>
        <v>206146.95888144753</v>
      </c>
      <c r="AF56" s="35">
        <f>AF55/1.1^28</f>
        <v>187406.32625586138</v>
      </c>
      <c r="AG56" s="35">
        <f>AG55/1.1^29</f>
        <v>170369.38750532852</v>
      </c>
      <c r="AH56" s="35">
        <f>AH55/1.1^30</f>
        <v>154881.26136848045</v>
      </c>
      <c r="AI56" s="35">
        <f>AI55/1.1^31</f>
        <v>140801.1466986186</v>
      </c>
      <c r="AJ56" s="35"/>
    </row>
    <row r="57" spans="2:35" ht="12.75">
      <c r="B57" s="22" t="s">
        <v>81</v>
      </c>
      <c r="C57" s="34">
        <f>C55</f>
        <v>0</v>
      </c>
      <c r="D57" s="34">
        <f>D55</f>
        <v>-11466409.495548962</v>
      </c>
      <c r="E57" s="35">
        <f aca="true" t="shared" si="19" ref="E57:AI57">D57+E55</f>
        <v>-22932818.991097923</v>
      </c>
      <c r="F57" s="35">
        <f t="shared" si="19"/>
        <v>-20230233.557566766</v>
      </c>
      <c r="G57" s="35">
        <f t="shared" si="19"/>
        <v>-17527648.124035608</v>
      </c>
      <c r="H57" s="35">
        <f t="shared" si="19"/>
        <v>-14825062.69050445</v>
      </c>
      <c r="I57" s="35">
        <f t="shared" si="19"/>
        <v>-12122477.256973293</v>
      </c>
      <c r="J57" s="35">
        <f t="shared" si="19"/>
        <v>-9419891.823442135</v>
      </c>
      <c r="K57" s="35">
        <f t="shared" si="19"/>
        <v>-6717306.389910977</v>
      </c>
      <c r="L57" s="40">
        <f t="shared" si="19"/>
        <v>-4014720.95637982</v>
      </c>
      <c r="M57" s="35">
        <f t="shared" si="19"/>
        <v>-1312135.522848663</v>
      </c>
      <c r="N57" s="41">
        <f t="shared" si="19"/>
        <v>1390449.9106824943</v>
      </c>
      <c r="O57" s="40">
        <f t="shared" si="19"/>
        <v>4093035.3442136515</v>
      </c>
      <c r="P57" s="35">
        <f t="shared" si="19"/>
        <v>6795620.777744809</v>
      </c>
      <c r="Q57" s="35">
        <f t="shared" si="19"/>
        <v>9498206.211275967</v>
      </c>
      <c r="R57" s="35">
        <f t="shared" si="19"/>
        <v>12200791.644807125</v>
      </c>
      <c r="S57" s="35">
        <f t="shared" si="19"/>
        <v>14903377.078338282</v>
      </c>
      <c r="T57" s="35">
        <f t="shared" si="19"/>
        <v>17605962.511869438</v>
      </c>
      <c r="U57" s="35">
        <f t="shared" si="19"/>
        <v>20308547.945400596</v>
      </c>
      <c r="V57" s="35">
        <f t="shared" si="19"/>
        <v>23011133.378931753</v>
      </c>
      <c r="W57" s="35">
        <f t="shared" si="19"/>
        <v>25713718.81246291</v>
      </c>
      <c r="X57" s="35">
        <f t="shared" si="19"/>
        <v>28416304.24599407</v>
      </c>
      <c r="Y57" s="40">
        <f t="shared" si="19"/>
        <v>31118889.679525226</v>
      </c>
      <c r="Z57" s="35">
        <f t="shared" si="19"/>
        <v>33821475.113056384</v>
      </c>
      <c r="AA57" s="35">
        <f t="shared" si="19"/>
        <v>36524060.54658754</v>
      </c>
      <c r="AB57" s="35">
        <f t="shared" si="19"/>
        <v>39226645.9801187</v>
      </c>
      <c r="AC57" s="35">
        <f t="shared" si="19"/>
        <v>41929231.41364986</v>
      </c>
      <c r="AD57" s="35">
        <f t="shared" si="19"/>
        <v>44631816.847181015</v>
      </c>
      <c r="AE57" s="35">
        <f t="shared" si="19"/>
        <v>47334402.28071217</v>
      </c>
      <c r="AF57" s="35">
        <f t="shared" si="19"/>
        <v>50036987.71424333</v>
      </c>
      <c r="AG57" s="35">
        <f t="shared" si="19"/>
        <v>52739573.14777449</v>
      </c>
      <c r="AH57" s="35">
        <f t="shared" si="19"/>
        <v>55442158.581305645</v>
      </c>
      <c r="AI57" s="35">
        <f t="shared" si="19"/>
        <v>58144744.0148368</v>
      </c>
    </row>
    <row r="58" spans="2:35" ht="12.75">
      <c r="B58" s="22" t="s">
        <v>82</v>
      </c>
      <c r="C58" s="34">
        <f>C56</f>
        <v>0</v>
      </c>
      <c r="D58" s="34">
        <f>D56</f>
        <v>-11466409.495548962</v>
      </c>
      <c r="E58" s="35">
        <f>E56+D58</f>
        <v>-21890418.1278662</v>
      </c>
      <c r="F58" s="35">
        <f>F56+E58</f>
        <v>-19656876.44726194</v>
      </c>
      <c r="G58" s="35">
        <f>G56+F58</f>
        <v>-17626384.010348976</v>
      </c>
      <c r="H58" s="35">
        <f>H56+G58</f>
        <v>-15780481.794973552</v>
      </c>
      <c r="I58" s="35">
        <f>I56+H58</f>
        <v>-14102388.871904986</v>
      </c>
      <c r="J58" s="35">
        <f aca="true" t="shared" si="20" ref="J58:AI58">K56+I58</f>
        <v>-12715535.21647642</v>
      </c>
      <c r="K58" s="35">
        <f t="shared" si="20"/>
        <v>-11454759.166086813</v>
      </c>
      <c r="L58" s="35">
        <f t="shared" si="20"/>
        <v>-10308599.12027808</v>
      </c>
      <c r="M58" s="35">
        <f t="shared" si="20"/>
        <v>-9266635.442270143</v>
      </c>
      <c r="N58" s="35">
        <f t="shared" si="20"/>
        <v>-8319395.734990199</v>
      </c>
      <c r="O58" s="35">
        <f t="shared" si="20"/>
        <v>-7458268.728372068</v>
      </c>
      <c r="P58" s="35">
        <f t="shared" si="20"/>
        <v>-6675425.995082858</v>
      </c>
      <c r="Q58" s="35">
        <f t="shared" si="20"/>
        <v>-5963750.783001758</v>
      </c>
      <c r="R58" s="42">
        <f t="shared" si="20"/>
        <v>-5316773.317473485</v>
      </c>
      <c r="S58" s="35">
        <f t="shared" si="20"/>
        <v>-4728611.985175055</v>
      </c>
      <c r="T58" s="35">
        <f t="shared" si="20"/>
        <v>-4193919.8649037555</v>
      </c>
      <c r="U58" s="35">
        <f t="shared" si="20"/>
        <v>-3707836.119202574</v>
      </c>
      <c r="V58" s="35">
        <f t="shared" si="20"/>
        <v>-3265941.8049287726</v>
      </c>
      <c r="W58" s="35">
        <f t="shared" si="20"/>
        <v>-2864219.7010434987</v>
      </c>
      <c r="X58" s="35">
        <f t="shared" si="20"/>
        <v>-2499017.7884205226</v>
      </c>
      <c r="Y58" s="35">
        <f t="shared" si="20"/>
        <v>-2167016.0496723624</v>
      </c>
      <c r="Z58" s="35">
        <f t="shared" si="20"/>
        <v>-1865196.2871740349</v>
      </c>
      <c r="AA58" s="35">
        <f t="shared" si="20"/>
        <v>-1590814.6849028282</v>
      </c>
      <c r="AB58" s="35">
        <f t="shared" si="20"/>
        <v>-1341376.8646562765</v>
      </c>
      <c r="AC58" s="35">
        <f t="shared" si="20"/>
        <v>-1114615.2098866843</v>
      </c>
      <c r="AD58" s="35">
        <f t="shared" si="20"/>
        <v>-908468.2510052368</v>
      </c>
      <c r="AE58" s="35">
        <f t="shared" si="20"/>
        <v>-721061.9247493753</v>
      </c>
      <c r="AF58" s="35">
        <f t="shared" si="20"/>
        <v>-550692.5372440468</v>
      </c>
      <c r="AG58" s="35">
        <f t="shared" si="20"/>
        <v>-395811.27587556635</v>
      </c>
      <c r="AH58" s="35">
        <f t="shared" si="20"/>
        <v>-255010.12917694775</v>
      </c>
      <c r="AI58" s="35">
        <f t="shared" si="20"/>
        <v>-255010.12917694775</v>
      </c>
    </row>
    <row r="59" spans="2:35" ht="12.75">
      <c r="B59" s="57" t="s">
        <v>83</v>
      </c>
      <c r="C59" s="34"/>
      <c r="D59" s="34">
        <f>SUM(F56:AI56)</f>
        <v>23160947.019660678</v>
      </c>
      <c r="E59" s="35"/>
      <c r="F59" s="35"/>
      <c r="G59" s="35"/>
      <c r="H59" s="35"/>
      <c r="I59" s="35"/>
      <c r="J59" s="35"/>
      <c r="K59" s="35"/>
      <c r="L59" s="35"/>
      <c r="M59" s="35"/>
      <c r="N59" s="35"/>
      <c r="O59" s="35"/>
      <c r="P59" s="35"/>
      <c r="Q59" s="35"/>
      <c r="R59" s="42"/>
      <c r="S59" s="35"/>
      <c r="T59" s="35"/>
      <c r="U59" s="35"/>
      <c r="V59" s="35"/>
      <c r="W59" s="35"/>
      <c r="X59" s="35"/>
      <c r="Y59" s="35"/>
      <c r="Z59" s="35"/>
      <c r="AA59" s="35"/>
      <c r="AB59" s="35"/>
      <c r="AC59" s="35"/>
      <c r="AD59" s="35"/>
      <c r="AE59" s="35"/>
      <c r="AF59" s="35"/>
      <c r="AG59" s="35"/>
      <c r="AH59" s="35"/>
      <c r="AI59" s="35"/>
    </row>
    <row r="60" spans="2:35" ht="12.75">
      <c r="B60" s="57" t="s">
        <v>84</v>
      </c>
      <c r="C60" s="34"/>
      <c r="D60" s="34">
        <f>-(D56+E56)</f>
        <v>21890418.1278662</v>
      </c>
      <c r="E60" s="35"/>
      <c r="F60" s="35"/>
      <c r="G60" s="35"/>
      <c r="H60" s="35"/>
      <c r="I60" s="35"/>
      <c r="J60" s="35"/>
      <c r="K60" s="35"/>
      <c r="L60" s="35"/>
      <c r="M60" s="35"/>
      <c r="N60" s="35"/>
      <c r="O60" s="35"/>
      <c r="P60" s="35"/>
      <c r="Q60" s="35"/>
      <c r="R60" s="42"/>
      <c r="S60" s="35"/>
      <c r="T60" s="35"/>
      <c r="U60" s="35"/>
      <c r="V60" s="35"/>
      <c r="W60" s="35"/>
      <c r="X60" s="35"/>
      <c r="Y60" s="35"/>
      <c r="Z60" s="35"/>
      <c r="AA60" s="35"/>
      <c r="AB60" s="35"/>
      <c r="AC60" s="35"/>
      <c r="AD60" s="35"/>
      <c r="AE60" s="35"/>
      <c r="AF60" s="35"/>
      <c r="AG60" s="35"/>
      <c r="AH60" s="35"/>
      <c r="AI60" s="35"/>
    </row>
    <row r="61" spans="2:35" ht="12.75">
      <c r="B61" s="22" t="s">
        <v>36</v>
      </c>
      <c r="C61" s="38">
        <f>SUM(C56:AJ56)</f>
        <v>1270528.8917944753</v>
      </c>
      <c r="D61" s="43">
        <f>SUM(D56:AJ56)</f>
        <v>1270528.8917944753</v>
      </c>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row>
    <row r="62" spans="2:35" ht="12.75">
      <c r="B62" s="22" t="s">
        <v>37</v>
      </c>
      <c r="C62" s="44">
        <f>IRR(C55:AI55,0.13)</f>
        <v>0.10651814616824866</v>
      </c>
      <c r="D62" s="45">
        <f>IRR(D55:AI55,0.13)</f>
        <v>0.10651814616824842</v>
      </c>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row>
    <row r="63" spans="2:35" ht="12.75">
      <c r="B63" s="22" t="s">
        <v>85</v>
      </c>
      <c r="C63" s="38">
        <f>23+(Y57+Z57)/Z57</f>
        <v>24.92009262090145</v>
      </c>
      <c r="D63" s="43">
        <f>10+M57/-N55</f>
        <v>10.485511209588015</v>
      </c>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row>
    <row r="64" spans="2:35" ht="12.75">
      <c r="B64" s="22" t="s">
        <v>58</v>
      </c>
      <c r="C64" s="55"/>
      <c r="D64" s="55">
        <f>D59/D60</f>
        <v>1.058040412219313</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6" ht="13.5" thickBot="1">
      <c r="B66" s="54" t="s">
        <v>94</v>
      </c>
    </row>
    <row r="67" spans="2:35" ht="12.75">
      <c r="B67" s="25" t="s">
        <v>0</v>
      </c>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8"/>
    </row>
    <row r="68" spans="2:35" ht="13.5" thickBot="1">
      <c r="B68" s="29"/>
      <c r="C68" s="30">
        <v>2007</v>
      </c>
      <c r="D68" s="30">
        <v>2008</v>
      </c>
      <c r="E68" s="30">
        <v>2009</v>
      </c>
      <c r="F68" s="30">
        <v>2010</v>
      </c>
      <c r="G68" s="30">
        <v>2011</v>
      </c>
      <c r="H68" s="30">
        <v>2012</v>
      </c>
      <c r="I68" s="30">
        <v>2013</v>
      </c>
      <c r="J68" s="30">
        <v>2014</v>
      </c>
      <c r="K68" s="30">
        <v>2015</v>
      </c>
      <c r="L68" s="30">
        <v>2016</v>
      </c>
      <c r="M68" s="30">
        <v>2017</v>
      </c>
      <c r="N68" s="30">
        <v>2018</v>
      </c>
      <c r="O68" s="30">
        <v>2019</v>
      </c>
      <c r="P68" s="30">
        <v>2020</v>
      </c>
      <c r="Q68" s="30">
        <v>2021</v>
      </c>
      <c r="R68" s="30">
        <v>2022</v>
      </c>
      <c r="S68" s="30">
        <v>2023</v>
      </c>
      <c r="T68" s="30">
        <v>2024</v>
      </c>
      <c r="U68" s="30">
        <v>2025</v>
      </c>
      <c r="V68" s="30">
        <v>2026</v>
      </c>
      <c r="W68" s="30">
        <v>2027</v>
      </c>
      <c r="X68" s="30">
        <v>2028</v>
      </c>
      <c r="Y68" s="30">
        <v>2029</v>
      </c>
      <c r="Z68" s="30">
        <v>2030</v>
      </c>
      <c r="AA68" s="30">
        <v>2031</v>
      </c>
      <c r="AB68" s="30">
        <v>2032</v>
      </c>
      <c r="AC68" s="30">
        <v>2033</v>
      </c>
      <c r="AD68" s="30">
        <v>2034</v>
      </c>
      <c r="AE68" s="30">
        <v>2035</v>
      </c>
      <c r="AF68" s="30">
        <v>2036</v>
      </c>
      <c r="AG68" s="30">
        <v>2037</v>
      </c>
      <c r="AH68" s="30">
        <v>2038</v>
      </c>
      <c r="AI68" s="31">
        <v>2039</v>
      </c>
    </row>
    <row r="69" spans="2:35" ht="12.75">
      <c r="B69" s="2" t="s">
        <v>73</v>
      </c>
      <c r="C69" s="32"/>
      <c r="D69" s="33">
        <f>-'Alternative 1.1'!$D$31/2</f>
        <v>-11466409.495548962</v>
      </c>
      <c r="E69" s="33">
        <f>D69</f>
        <v>-11466409.495548962</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row>
    <row r="70" spans="2:35" ht="12.75">
      <c r="B70" s="22"/>
      <c r="C70" s="34"/>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row>
    <row r="71" spans="2:35" ht="12.75">
      <c r="B71" s="37" t="s">
        <v>87</v>
      </c>
      <c r="C71" s="34"/>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row>
    <row r="72" spans="2:35" ht="12.75">
      <c r="B72" s="22" t="s">
        <v>75</v>
      </c>
      <c r="C72" s="34"/>
      <c r="D72" s="35"/>
      <c r="E72" s="35"/>
      <c r="F72" s="35">
        <f>'Alternative 1.1'!$D$9*('Alternative 1.1'!$D$16-'Alternative 1.1'!$D$20)</f>
        <v>763916.9139465875</v>
      </c>
      <c r="G72" s="35">
        <f aca="true" t="shared" si="21" ref="G72:AI72">F72</f>
        <v>763916.9139465875</v>
      </c>
      <c r="H72" s="35">
        <f t="shared" si="21"/>
        <v>763916.9139465875</v>
      </c>
      <c r="I72" s="35">
        <f t="shared" si="21"/>
        <v>763916.9139465875</v>
      </c>
      <c r="J72" s="35">
        <f t="shared" si="21"/>
        <v>763916.9139465875</v>
      </c>
      <c r="K72" s="35">
        <f t="shared" si="21"/>
        <v>763916.9139465875</v>
      </c>
      <c r="L72" s="35">
        <f t="shared" si="21"/>
        <v>763916.9139465875</v>
      </c>
      <c r="M72" s="35">
        <f t="shared" si="21"/>
        <v>763916.9139465875</v>
      </c>
      <c r="N72" s="35">
        <f t="shared" si="21"/>
        <v>763916.9139465875</v>
      </c>
      <c r="O72" s="35">
        <f t="shared" si="21"/>
        <v>763916.9139465875</v>
      </c>
      <c r="P72" s="35">
        <f t="shared" si="21"/>
        <v>763916.9139465875</v>
      </c>
      <c r="Q72" s="35">
        <f t="shared" si="21"/>
        <v>763916.9139465875</v>
      </c>
      <c r="R72" s="35">
        <f t="shared" si="21"/>
        <v>763916.9139465875</v>
      </c>
      <c r="S72" s="35">
        <f t="shared" si="21"/>
        <v>763916.9139465875</v>
      </c>
      <c r="T72" s="35">
        <f t="shared" si="21"/>
        <v>763916.9139465875</v>
      </c>
      <c r="U72" s="35">
        <f t="shared" si="21"/>
        <v>763916.9139465875</v>
      </c>
      <c r="V72" s="35">
        <f t="shared" si="21"/>
        <v>763916.9139465875</v>
      </c>
      <c r="W72" s="35">
        <f t="shared" si="21"/>
        <v>763916.9139465875</v>
      </c>
      <c r="X72" s="35">
        <f t="shared" si="21"/>
        <v>763916.9139465875</v>
      </c>
      <c r="Y72" s="35">
        <f t="shared" si="21"/>
        <v>763916.9139465875</v>
      </c>
      <c r="Z72" s="35">
        <f t="shared" si="21"/>
        <v>763916.9139465875</v>
      </c>
      <c r="AA72" s="35">
        <f t="shared" si="21"/>
        <v>763916.9139465875</v>
      </c>
      <c r="AB72" s="35">
        <f t="shared" si="21"/>
        <v>763916.9139465875</v>
      </c>
      <c r="AC72" s="35">
        <f t="shared" si="21"/>
        <v>763916.9139465875</v>
      </c>
      <c r="AD72" s="35">
        <f t="shared" si="21"/>
        <v>763916.9139465875</v>
      </c>
      <c r="AE72" s="35">
        <f t="shared" si="21"/>
        <v>763916.9139465875</v>
      </c>
      <c r="AF72" s="35">
        <f t="shared" si="21"/>
        <v>763916.9139465875</v>
      </c>
      <c r="AG72" s="35">
        <f t="shared" si="21"/>
        <v>763916.9139465875</v>
      </c>
      <c r="AH72" s="35">
        <f t="shared" si="21"/>
        <v>763916.9139465875</v>
      </c>
      <c r="AI72" s="35">
        <f t="shared" si="21"/>
        <v>763916.9139465875</v>
      </c>
    </row>
    <row r="73" spans="2:35" ht="12.75">
      <c r="B73" s="22" t="s">
        <v>89</v>
      </c>
      <c r="C73" s="34"/>
      <c r="D73" s="35"/>
      <c r="E73" s="35"/>
      <c r="F73" s="35">
        <f>'Alternative 1.1'!$D$11*('Alternative 1.1'!$D$18-'Alternative 1.1'!$D$20)</f>
        <v>1629729.6142433234</v>
      </c>
      <c r="G73" s="35">
        <f aca="true" t="shared" si="22" ref="G73:AI73">F73</f>
        <v>1629729.6142433234</v>
      </c>
      <c r="H73" s="35">
        <f t="shared" si="22"/>
        <v>1629729.6142433234</v>
      </c>
      <c r="I73" s="35">
        <f t="shared" si="22"/>
        <v>1629729.6142433234</v>
      </c>
      <c r="J73" s="35">
        <f t="shared" si="22"/>
        <v>1629729.6142433234</v>
      </c>
      <c r="K73" s="35">
        <f t="shared" si="22"/>
        <v>1629729.6142433234</v>
      </c>
      <c r="L73" s="35">
        <f t="shared" si="22"/>
        <v>1629729.6142433234</v>
      </c>
      <c r="M73" s="35">
        <f t="shared" si="22"/>
        <v>1629729.6142433234</v>
      </c>
      <c r="N73" s="35">
        <f t="shared" si="22"/>
        <v>1629729.6142433234</v>
      </c>
      <c r="O73" s="35">
        <f t="shared" si="22"/>
        <v>1629729.6142433234</v>
      </c>
      <c r="P73" s="35">
        <f t="shared" si="22"/>
        <v>1629729.6142433234</v>
      </c>
      <c r="Q73" s="35">
        <f t="shared" si="22"/>
        <v>1629729.6142433234</v>
      </c>
      <c r="R73" s="35">
        <f t="shared" si="22"/>
        <v>1629729.6142433234</v>
      </c>
      <c r="S73" s="35">
        <f t="shared" si="22"/>
        <v>1629729.6142433234</v>
      </c>
      <c r="T73" s="35">
        <f t="shared" si="22"/>
        <v>1629729.6142433234</v>
      </c>
      <c r="U73" s="35">
        <f t="shared" si="22"/>
        <v>1629729.6142433234</v>
      </c>
      <c r="V73" s="35">
        <f t="shared" si="22"/>
        <v>1629729.6142433234</v>
      </c>
      <c r="W73" s="35">
        <f t="shared" si="22"/>
        <v>1629729.6142433234</v>
      </c>
      <c r="X73" s="35">
        <f t="shared" si="22"/>
        <v>1629729.6142433234</v>
      </c>
      <c r="Y73" s="35">
        <f t="shared" si="22"/>
        <v>1629729.6142433234</v>
      </c>
      <c r="Z73" s="35">
        <f t="shared" si="22"/>
        <v>1629729.6142433234</v>
      </c>
      <c r="AA73" s="35">
        <f t="shared" si="22"/>
        <v>1629729.6142433234</v>
      </c>
      <c r="AB73" s="35">
        <f t="shared" si="22"/>
        <v>1629729.6142433234</v>
      </c>
      <c r="AC73" s="35">
        <f t="shared" si="22"/>
        <v>1629729.6142433234</v>
      </c>
      <c r="AD73" s="35">
        <f t="shared" si="22"/>
        <v>1629729.6142433234</v>
      </c>
      <c r="AE73" s="35">
        <f t="shared" si="22"/>
        <v>1629729.6142433234</v>
      </c>
      <c r="AF73" s="35">
        <f t="shared" si="22"/>
        <v>1629729.6142433234</v>
      </c>
      <c r="AG73" s="35">
        <f t="shared" si="22"/>
        <v>1629729.6142433234</v>
      </c>
      <c r="AH73" s="35">
        <f t="shared" si="22"/>
        <v>1629729.6142433234</v>
      </c>
      <c r="AI73" s="35">
        <f t="shared" si="22"/>
        <v>1629729.6142433234</v>
      </c>
    </row>
    <row r="74" spans="2:35" ht="12.75">
      <c r="B74" s="57" t="s">
        <v>77</v>
      </c>
      <c r="C74" s="34"/>
      <c r="D74" s="35"/>
      <c r="E74" s="35"/>
      <c r="F74" s="35">
        <f>'Alternative 1.1'!D7*('Alternative 1.1'!D24-'Alternative 1.1'!D22)</f>
        <v>344449.3086053412</v>
      </c>
      <c r="G74" s="35">
        <f>F74</f>
        <v>344449.3086053412</v>
      </c>
      <c r="H74" s="35">
        <f aca="true" t="shared" si="23" ref="H74:AI74">G74</f>
        <v>344449.3086053412</v>
      </c>
      <c r="I74" s="35">
        <f t="shared" si="23"/>
        <v>344449.3086053412</v>
      </c>
      <c r="J74" s="35">
        <f t="shared" si="23"/>
        <v>344449.3086053412</v>
      </c>
      <c r="K74" s="35">
        <f t="shared" si="23"/>
        <v>344449.3086053412</v>
      </c>
      <c r="L74" s="35">
        <f t="shared" si="23"/>
        <v>344449.3086053412</v>
      </c>
      <c r="M74" s="35">
        <f t="shared" si="23"/>
        <v>344449.3086053412</v>
      </c>
      <c r="N74" s="35">
        <f t="shared" si="23"/>
        <v>344449.3086053412</v>
      </c>
      <c r="O74" s="35">
        <f t="shared" si="23"/>
        <v>344449.3086053412</v>
      </c>
      <c r="P74" s="35">
        <f t="shared" si="23"/>
        <v>344449.3086053412</v>
      </c>
      <c r="Q74" s="35">
        <f t="shared" si="23"/>
        <v>344449.3086053412</v>
      </c>
      <c r="R74" s="35">
        <f t="shared" si="23"/>
        <v>344449.3086053412</v>
      </c>
      <c r="S74" s="35">
        <f t="shared" si="23"/>
        <v>344449.3086053412</v>
      </c>
      <c r="T74" s="35">
        <f t="shared" si="23"/>
        <v>344449.3086053412</v>
      </c>
      <c r="U74" s="35">
        <f t="shared" si="23"/>
        <v>344449.3086053412</v>
      </c>
      <c r="V74" s="35">
        <f t="shared" si="23"/>
        <v>344449.3086053412</v>
      </c>
      <c r="W74" s="35">
        <f t="shared" si="23"/>
        <v>344449.3086053412</v>
      </c>
      <c r="X74" s="35">
        <f t="shared" si="23"/>
        <v>344449.3086053412</v>
      </c>
      <c r="Y74" s="35">
        <f t="shared" si="23"/>
        <v>344449.3086053412</v>
      </c>
      <c r="Z74" s="35">
        <f t="shared" si="23"/>
        <v>344449.3086053412</v>
      </c>
      <c r="AA74" s="35">
        <f t="shared" si="23"/>
        <v>344449.3086053412</v>
      </c>
      <c r="AB74" s="35">
        <f t="shared" si="23"/>
        <v>344449.3086053412</v>
      </c>
      <c r="AC74" s="35">
        <f t="shared" si="23"/>
        <v>344449.3086053412</v>
      </c>
      <c r="AD74" s="35">
        <f t="shared" si="23"/>
        <v>344449.3086053412</v>
      </c>
      <c r="AE74" s="35">
        <f t="shared" si="23"/>
        <v>344449.3086053412</v>
      </c>
      <c r="AF74" s="35">
        <f t="shared" si="23"/>
        <v>344449.3086053412</v>
      </c>
      <c r="AG74" s="35">
        <f t="shared" si="23"/>
        <v>344449.3086053412</v>
      </c>
      <c r="AH74" s="35">
        <f t="shared" si="23"/>
        <v>344449.3086053412</v>
      </c>
      <c r="AI74" s="35">
        <f t="shared" si="23"/>
        <v>344449.3086053412</v>
      </c>
    </row>
    <row r="75" spans="2:35" ht="12.75">
      <c r="B75" s="22" t="s">
        <v>78</v>
      </c>
      <c r="C75" s="34"/>
      <c r="D75" s="35"/>
      <c r="E75" s="35"/>
      <c r="F75" s="35">
        <f>'Alternative 1.1'!$D$28*1.1</f>
        <v>102197.42385756676</v>
      </c>
      <c r="G75" s="35">
        <f aca="true" t="shared" si="24" ref="G75:AI75">F75</f>
        <v>102197.42385756676</v>
      </c>
      <c r="H75" s="35">
        <f t="shared" si="24"/>
        <v>102197.42385756676</v>
      </c>
      <c r="I75" s="35">
        <f t="shared" si="24"/>
        <v>102197.42385756676</v>
      </c>
      <c r="J75" s="35">
        <f t="shared" si="24"/>
        <v>102197.42385756676</v>
      </c>
      <c r="K75" s="35">
        <f t="shared" si="24"/>
        <v>102197.42385756676</v>
      </c>
      <c r="L75" s="35">
        <f t="shared" si="24"/>
        <v>102197.42385756676</v>
      </c>
      <c r="M75" s="35">
        <f t="shared" si="24"/>
        <v>102197.42385756676</v>
      </c>
      <c r="N75" s="35">
        <f t="shared" si="24"/>
        <v>102197.42385756676</v>
      </c>
      <c r="O75" s="35">
        <f t="shared" si="24"/>
        <v>102197.42385756676</v>
      </c>
      <c r="P75" s="35">
        <f t="shared" si="24"/>
        <v>102197.42385756676</v>
      </c>
      <c r="Q75" s="35">
        <f t="shared" si="24"/>
        <v>102197.42385756676</v>
      </c>
      <c r="R75" s="35">
        <f t="shared" si="24"/>
        <v>102197.42385756676</v>
      </c>
      <c r="S75" s="35">
        <f t="shared" si="24"/>
        <v>102197.42385756676</v>
      </c>
      <c r="T75" s="35">
        <f t="shared" si="24"/>
        <v>102197.42385756676</v>
      </c>
      <c r="U75" s="35">
        <f t="shared" si="24"/>
        <v>102197.42385756676</v>
      </c>
      <c r="V75" s="35">
        <f t="shared" si="24"/>
        <v>102197.42385756676</v>
      </c>
      <c r="W75" s="35">
        <f t="shared" si="24"/>
        <v>102197.42385756676</v>
      </c>
      <c r="X75" s="35">
        <f t="shared" si="24"/>
        <v>102197.42385756676</v>
      </c>
      <c r="Y75" s="35">
        <f t="shared" si="24"/>
        <v>102197.42385756676</v>
      </c>
      <c r="Z75" s="35">
        <f t="shared" si="24"/>
        <v>102197.42385756676</v>
      </c>
      <c r="AA75" s="35">
        <f t="shared" si="24"/>
        <v>102197.42385756676</v>
      </c>
      <c r="AB75" s="35">
        <f t="shared" si="24"/>
        <v>102197.42385756676</v>
      </c>
      <c r="AC75" s="35">
        <f t="shared" si="24"/>
        <v>102197.42385756676</v>
      </c>
      <c r="AD75" s="35">
        <f t="shared" si="24"/>
        <v>102197.42385756676</v>
      </c>
      <c r="AE75" s="35">
        <f t="shared" si="24"/>
        <v>102197.42385756676</v>
      </c>
      <c r="AF75" s="35">
        <f t="shared" si="24"/>
        <v>102197.42385756676</v>
      </c>
      <c r="AG75" s="35">
        <f t="shared" si="24"/>
        <v>102197.42385756676</v>
      </c>
      <c r="AH75" s="35">
        <f t="shared" si="24"/>
        <v>102197.42385756676</v>
      </c>
      <c r="AI75" s="35">
        <f t="shared" si="24"/>
        <v>102197.42385756676</v>
      </c>
    </row>
    <row r="76" spans="2:35" s="39" customFormat="1" ht="12.75">
      <c r="B76" s="37" t="s">
        <v>79</v>
      </c>
      <c r="C76" s="38">
        <f aca="true" t="shared" si="25" ref="C76:AI76">SUM(C69:C75)</f>
        <v>0</v>
      </c>
      <c r="D76" s="38">
        <f t="shared" si="25"/>
        <v>-11466409.495548962</v>
      </c>
      <c r="E76" s="38">
        <f t="shared" si="25"/>
        <v>-11466409.495548962</v>
      </c>
      <c r="F76" s="38">
        <f t="shared" si="25"/>
        <v>2840293.260652819</v>
      </c>
      <c r="G76" s="38">
        <f t="shared" si="25"/>
        <v>2840293.260652819</v>
      </c>
      <c r="H76" s="38">
        <f t="shared" si="25"/>
        <v>2840293.260652819</v>
      </c>
      <c r="I76" s="38">
        <f t="shared" si="25"/>
        <v>2840293.260652819</v>
      </c>
      <c r="J76" s="38">
        <f t="shared" si="25"/>
        <v>2840293.260652819</v>
      </c>
      <c r="K76" s="38">
        <f t="shared" si="25"/>
        <v>2840293.260652819</v>
      </c>
      <c r="L76" s="38">
        <f t="shared" si="25"/>
        <v>2840293.260652819</v>
      </c>
      <c r="M76" s="38">
        <f t="shared" si="25"/>
        <v>2840293.260652819</v>
      </c>
      <c r="N76" s="38">
        <f t="shared" si="25"/>
        <v>2840293.260652819</v>
      </c>
      <c r="O76" s="38">
        <f t="shared" si="25"/>
        <v>2840293.260652819</v>
      </c>
      <c r="P76" s="38">
        <f t="shared" si="25"/>
        <v>2840293.260652819</v>
      </c>
      <c r="Q76" s="38">
        <f t="shared" si="25"/>
        <v>2840293.260652819</v>
      </c>
      <c r="R76" s="38">
        <f t="shared" si="25"/>
        <v>2840293.260652819</v>
      </c>
      <c r="S76" s="38">
        <f t="shared" si="25"/>
        <v>2840293.260652819</v>
      </c>
      <c r="T76" s="38">
        <f t="shared" si="25"/>
        <v>2840293.260652819</v>
      </c>
      <c r="U76" s="38">
        <f t="shared" si="25"/>
        <v>2840293.260652819</v>
      </c>
      <c r="V76" s="38">
        <f t="shared" si="25"/>
        <v>2840293.260652819</v>
      </c>
      <c r="W76" s="38">
        <f t="shared" si="25"/>
        <v>2840293.260652819</v>
      </c>
      <c r="X76" s="38">
        <f t="shared" si="25"/>
        <v>2840293.260652819</v>
      </c>
      <c r="Y76" s="38">
        <f t="shared" si="25"/>
        <v>2840293.260652819</v>
      </c>
      <c r="Z76" s="38">
        <f t="shared" si="25"/>
        <v>2840293.260652819</v>
      </c>
      <c r="AA76" s="38">
        <f t="shared" si="25"/>
        <v>2840293.260652819</v>
      </c>
      <c r="AB76" s="38">
        <f t="shared" si="25"/>
        <v>2840293.260652819</v>
      </c>
      <c r="AC76" s="38">
        <f t="shared" si="25"/>
        <v>2840293.260652819</v>
      </c>
      <c r="AD76" s="38">
        <f t="shared" si="25"/>
        <v>2840293.260652819</v>
      </c>
      <c r="AE76" s="38">
        <f t="shared" si="25"/>
        <v>2840293.260652819</v>
      </c>
      <c r="AF76" s="38">
        <f t="shared" si="25"/>
        <v>2840293.260652819</v>
      </c>
      <c r="AG76" s="38">
        <f t="shared" si="25"/>
        <v>2840293.260652819</v>
      </c>
      <c r="AH76" s="38">
        <f t="shared" si="25"/>
        <v>2840293.260652819</v>
      </c>
      <c r="AI76" s="38">
        <f t="shared" si="25"/>
        <v>2840293.260652819</v>
      </c>
    </row>
    <row r="77" spans="2:36" ht="12.75">
      <c r="B77" s="22" t="s">
        <v>80</v>
      </c>
      <c r="C77" s="34">
        <f>C76</f>
        <v>0</v>
      </c>
      <c r="D77" s="35">
        <f>D76</f>
        <v>-11466409.495548962</v>
      </c>
      <c r="E77" s="35">
        <f>E76/1.1</f>
        <v>-10424008.632317238</v>
      </c>
      <c r="F77" s="35">
        <f>F76/1.1^2</f>
        <v>2347349.8021924123</v>
      </c>
      <c r="G77" s="35">
        <f>G76/1.1^3</f>
        <v>2133954.3656294653</v>
      </c>
      <c r="H77" s="35">
        <f>H76/1.1^4</f>
        <v>1939958.5142086048</v>
      </c>
      <c r="I77" s="35">
        <f>I76/1.1^5</f>
        <v>1763598.6492805497</v>
      </c>
      <c r="J77" s="35">
        <f>J76/1.1^6</f>
        <v>1603271.499345954</v>
      </c>
      <c r="K77" s="35">
        <f>K76/1.1^7</f>
        <v>1457519.544859958</v>
      </c>
      <c r="L77" s="35">
        <f>L76/1.1^8</f>
        <v>1325017.7680545074</v>
      </c>
      <c r="M77" s="35">
        <f>M76/1.1^9</f>
        <v>1204561.6073222794</v>
      </c>
      <c r="N77" s="35">
        <f>N76/1.1^10</f>
        <v>1095056.0066566176</v>
      </c>
      <c r="O77" s="35">
        <f>O76/1.1^11</f>
        <v>995505.4605969249</v>
      </c>
      <c r="P77" s="35">
        <f>P76/1.1^12</f>
        <v>905004.9641790227</v>
      </c>
      <c r="Q77" s="35">
        <f>Q76/1.1^13</f>
        <v>822731.7856172933</v>
      </c>
      <c r="R77" s="35">
        <f>R76/1.1^14</f>
        <v>747937.986924812</v>
      </c>
      <c r="S77" s="35">
        <f>S76/1.1^15</f>
        <v>679943.6244771017</v>
      </c>
      <c r="T77" s="35">
        <f>T76/1.1^16</f>
        <v>618130.5677064562</v>
      </c>
      <c r="U77" s="35">
        <f>U76/1.1^17</f>
        <v>561936.879733142</v>
      </c>
      <c r="V77" s="35">
        <f>V76/1.1^18</f>
        <v>510851.7088483108</v>
      </c>
      <c r="W77" s="35">
        <f>W76/1.1^19</f>
        <v>464410.64440755517</v>
      </c>
      <c r="X77" s="35">
        <f>X76/1.1^20</f>
        <v>422191.49491595925</v>
      </c>
      <c r="Y77" s="35">
        <f>Y76/1.1^21</f>
        <v>383810.4499235993</v>
      </c>
      <c r="Z77" s="35">
        <f>Z76/1.1^22</f>
        <v>348918.5908396357</v>
      </c>
      <c r="AA77" s="35">
        <f>AA76/1.1^23</f>
        <v>317198.7189451233</v>
      </c>
      <c r="AB77" s="35">
        <f>AB76/1.1^24</f>
        <v>288362.47176829394</v>
      </c>
      <c r="AC77" s="35">
        <f>AC76/1.1^25</f>
        <v>262147.7016075399</v>
      </c>
      <c r="AD77" s="35">
        <f>AD76/1.1^26</f>
        <v>238316.09237049083</v>
      </c>
      <c r="AE77" s="35">
        <f>AE76/1.1^27</f>
        <v>216650.99306408252</v>
      </c>
      <c r="AF77" s="35">
        <f>AF76/1.1^28</f>
        <v>196955.44824007503</v>
      </c>
      <c r="AG77" s="35">
        <f>AG76/1.1^29</f>
        <v>179050.4074909773</v>
      </c>
      <c r="AH77" s="35">
        <f>AH76/1.1^30</f>
        <v>162773.09771907024</v>
      </c>
      <c r="AI77" s="35">
        <f>AI76/1.1^31</f>
        <v>147975.54338097293</v>
      </c>
      <c r="AJ77" s="35"/>
    </row>
    <row r="78" spans="2:35" ht="12.75">
      <c r="B78" s="22" t="s">
        <v>81</v>
      </c>
      <c r="C78" s="34">
        <f>C76</f>
        <v>0</v>
      </c>
      <c r="D78" s="34">
        <f>D76</f>
        <v>-11466409.495548962</v>
      </c>
      <c r="E78" s="35">
        <f aca="true" t="shared" si="26" ref="E78:AI78">D78+E76</f>
        <v>-22932818.991097923</v>
      </c>
      <c r="F78" s="35">
        <f t="shared" si="26"/>
        <v>-20092525.730445106</v>
      </c>
      <c r="G78" s="35">
        <f t="shared" si="26"/>
        <v>-17252232.469792288</v>
      </c>
      <c r="H78" s="35">
        <f t="shared" si="26"/>
        <v>-14411939.209139468</v>
      </c>
      <c r="I78" s="35">
        <f t="shared" si="26"/>
        <v>-11571645.948486648</v>
      </c>
      <c r="J78" s="35">
        <f t="shared" si="26"/>
        <v>-8731352.687833829</v>
      </c>
      <c r="K78" s="35">
        <f t="shared" si="26"/>
        <v>-5891059.427181009</v>
      </c>
      <c r="L78" s="40">
        <f t="shared" si="26"/>
        <v>-3050766.16652819</v>
      </c>
      <c r="M78" s="35">
        <f t="shared" si="26"/>
        <v>-210472.90587537084</v>
      </c>
      <c r="N78" s="41">
        <f t="shared" si="26"/>
        <v>2629820.3547774483</v>
      </c>
      <c r="O78" s="40">
        <f t="shared" si="26"/>
        <v>5470113.6154302675</v>
      </c>
      <c r="P78" s="35">
        <f t="shared" si="26"/>
        <v>8310406.876083087</v>
      </c>
      <c r="Q78" s="35">
        <f t="shared" si="26"/>
        <v>11150700.136735907</v>
      </c>
      <c r="R78" s="35">
        <f t="shared" si="26"/>
        <v>13990993.397388726</v>
      </c>
      <c r="S78" s="35">
        <f t="shared" si="26"/>
        <v>16831286.658041544</v>
      </c>
      <c r="T78" s="35">
        <f t="shared" si="26"/>
        <v>19671579.918694362</v>
      </c>
      <c r="U78" s="35">
        <f t="shared" si="26"/>
        <v>22511873.17934718</v>
      </c>
      <c r="V78" s="35">
        <f t="shared" si="26"/>
        <v>25352166.439999998</v>
      </c>
      <c r="W78" s="35">
        <f t="shared" si="26"/>
        <v>28192459.700652815</v>
      </c>
      <c r="X78" s="35">
        <f t="shared" si="26"/>
        <v>31032752.961305633</v>
      </c>
      <c r="Y78" s="40">
        <f t="shared" si="26"/>
        <v>33873046.22195845</v>
      </c>
      <c r="Z78" s="35">
        <f t="shared" si="26"/>
        <v>36713339.48261127</v>
      </c>
      <c r="AA78" s="35">
        <f t="shared" si="26"/>
        <v>39553632.74326409</v>
      </c>
      <c r="AB78" s="35">
        <f t="shared" si="26"/>
        <v>42393926.003916904</v>
      </c>
      <c r="AC78" s="35">
        <f t="shared" si="26"/>
        <v>45234219.26456972</v>
      </c>
      <c r="AD78" s="35">
        <f t="shared" si="26"/>
        <v>48074512.52522254</v>
      </c>
      <c r="AE78" s="35">
        <f t="shared" si="26"/>
        <v>50914805.78587536</v>
      </c>
      <c r="AF78" s="35">
        <f t="shared" si="26"/>
        <v>53755099.046528175</v>
      </c>
      <c r="AG78" s="35">
        <f t="shared" si="26"/>
        <v>56595392.30718099</v>
      </c>
      <c r="AH78" s="35">
        <f t="shared" si="26"/>
        <v>59435685.56783381</v>
      </c>
      <c r="AI78" s="35">
        <f t="shared" si="26"/>
        <v>62275978.82848663</v>
      </c>
    </row>
    <row r="79" spans="2:35" ht="12.75">
      <c r="B79" s="22" t="s">
        <v>82</v>
      </c>
      <c r="C79" s="34">
        <f>C77</f>
        <v>0</v>
      </c>
      <c r="D79" s="34">
        <f>D77</f>
        <v>-11466409.495548962</v>
      </c>
      <c r="E79" s="35">
        <f>E77+D79</f>
        <v>-21890418.1278662</v>
      </c>
      <c r="F79" s="35">
        <f>F77+E79</f>
        <v>-19543068.32567379</v>
      </c>
      <c r="G79" s="35">
        <f>G77+F79</f>
        <v>-17409113.960044324</v>
      </c>
      <c r="H79" s="35">
        <f>H77+G79</f>
        <v>-15469155.445835719</v>
      </c>
      <c r="I79" s="35">
        <f>I77+H79</f>
        <v>-13705556.796555169</v>
      </c>
      <c r="J79" s="35">
        <f aca="true" t="shared" si="27" ref="J79:AI79">K77+I79</f>
        <v>-12248037.25169521</v>
      </c>
      <c r="K79" s="35">
        <f t="shared" si="27"/>
        <v>-10923019.483640702</v>
      </c>
      <c r="L79" s="35">
        <f t="shared" si="27"/>
        <v>-9718457.876318423</v>
      </c>
      <c r="M79" s="35">
        <f t="shared" si="27"/>
        <v>-8623401.869661806</v>
      </c>
      <c r="N79" s="35">
        <f t="shared" si="27"/>
        <v>-7627896.4090648815</v>
      </c>
      <c r="O79" s="35">
        <f t="shared" si="27"/>
        <v>-6722891.444885859</v>
      </c>
      <c r="P79" s="35">
        <f t="shared" si="27"/>
        <v>-5900159.6592685655</v>
      </c>
      <c r="Q79" s="35">
        <f t="shared" si="27"/>
        <v>-5152221.672343753</v>
      </c>
      <c r="R79" s="42">
        <f t="shared" si="27"/>
        <v>-4472278.047866652</v>
      </c>
      <c r="S79" s="35">
        <f t="shared" si="27"/>
        <v>-3854147.4801601954</v>
      </c>
      <c r="T79" s="35">
        <f t="shared" si="27"/>
        <v>-3292210.6004270534</v>
      </c>
      <c r="U79" s="35">
        <f t="shared" si="27"/>
        <v>-2781358.891578743</v>
      </c>
      <c r="V79" s="35">
        <f t="shared" si="27"/>
        <v>-2316948.247171188</v>
      </c>
      <c r="W79" s="35">
        <f t="shared" si="27"/>
        <v>-1894756.7522552286</v>
      </c>
      <c r="X79" s="35">
        <f t="shared" si="27"/>
        <v>-1510946.3023316292</v>
      </c>
      <c r="Y79" s="35">
        <f t="shared" si="27"/>
        <v>-1162027.7114919936</v>
      </c>
      <c r="Z79" s="35">
        <f t="shared" si="27"/>
        <v>-844828.9925468704</v>
      </c>
      <c r="AA79" s="35">
        <f t="shared" si="27"/>
        <v>-556466.5207785764</v>
      </c>
      <c r="AB79" s="35">
        <f t="shared" si="27"/>
        <v>-294318.8191710365</v>
      </c>
      <c r="AC79" s="35">
        <f t="shared" si="27"/>
        <v>-56002.72680054564</v>
      </c>
      <c r="AD79" s="35">
        <f t="shared" si="27"/>
        <v>160648.26626353688</v>
      </c>
      <c r="AE79" s="35">
        <f t="shared" si="27"/>
        <v>357603.7145036119</v>
      </c>
      <c r="AF79" s="35">
        <f t="shared" si="27"/>
        <v>536654.1219945892</v>
      </c>
      <c r="AG79" s="35">
        <f t="shared" si="27"/>
        <v>699427.2197136595</v>
      </c>
      <c r="AH79" s="35">
        <f t="shared" si="27"/>
        <v>847402.7630946324</v>
      </c>
      <c r="AI79" s="35">
        <f t="shared" si="27"/>
        <v>847402.7630946324</v>
      </c>
    </row>
    <row r="80" spans="2:35" ht="12.75">
      <c r="B80" s="57" t="s">
        <v>83</v>
      </c>
      <c r="C80" s="34"/>
      <c r="D80" s="34">
        <f>SUM(F77:AI77)</f>
        <v>24341092.39030679</v>
      </c>
      <c r="E80" s="35"/>
      <c r="F80" s="35"/>
      <c r="G80" s="35"/>
      <c r="H80" s="35"/>
      <c r="I80" s="35"/>
      <c r="J80" s="35"/>
      <c r="K80" s="35"/>
      <c r="L80" s="35"/>
      <c r="M80" s="35"/>
      <c r="N80" s="35"/>
      <c r="O80" s="35"/>
      <c r="P80" s="35"/>
      <c r="Q80" s="35"/>
      <c r="R80" s="42"/>
      <c r="S80" s="35"/>
      <c r="T80" s="35"/>
      <c r="U80" s="35"/>
      <c r="V80" s="35"/>
      <c r="W80" s="35"/>
      <c r="X80" s="35"/>
      <c r="Y80" s="35"/>
      <c r="Z80" s="35"/>
      <c r="AA80" s="35"/>
      <c r="AB80" s="35"/>
      <c r="AC80" s="35"/>
      <c r="AD80" s="35"/>
      <c r="AE80" s="35"/>
      <c r="AF80" s="35"/>
      <c r="AG80" s="35"/>
      <c r="AH80" s="35"/>
      <c r="AI80" s="35"/>
    </row>
    <row r="81" spans="2:35" ht="12.75">
      <c r="B81" s="57" t="s">
        <v>84</v>
      </c>
      <c r="C81" s="34"/>
      <c r="D81" s="34">
        <f>-(D77+E77)</f>
        <v>21890418.1278662</v>
      </c>
      <c r="E81" s="35"/>
      <c r="F81" s="35"/>
      <c r="G81" s="35"/>
      <c r="H81" s="35"/>
      <c r="I81" s="35"/>
      <c r="J81" s="35"/>
      <c r="K81" s="35"/>
      <c r="L81" s="35"/>
      <c r="M81" s="35"/>
      <c r="N81" s="35"/>
      <c r="O81" s="35"/>
      <c r="P81" s="35"/>
      <c r="Q81" s="35"/>
      <c r="R81" s="42"/>
      <c r="S81" s="35"/>
      <c r="T81" s="35"/>
      <c r="U81" s="35"/>
      <c r="V81" s="35"/>
      <c r="W81" s="35"/>
      <c r="X81" s="35"/>
      <c r="Y81" s="35"/>
      <c r="Z81" s="35"/>
      <c r="AA81" s="35"/>
      <c r="AB81" s="35"/>
      <c r="AC81" s="35"/>
      <c r="AD81" s="35"/>
      <c r="AE81" s="35"/>
      <c r="AF81" s="35"/>
      <c r="AG81" s="35"/>
      <c r="AH81" s="35"/>
      <c r="AI81" s="35"/>
    </row>
    <row r="82" spans="2:35" ht="12.75">
      <c r="B82" s="22" t="s">
        <v>36</v>
      </c>
      <c r="C82" s="38">
        <f>SUM(C77:AJ77)</f>
        <v>2450674.2624405893</v>
      </c>
      <c r="D82" s="43">
        <f>SUM(D77:AJ77)</f>
        <v>2450674.2624405893</v>
      </c>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2:35" ht="12.75">
      <c r="B83" s="22" t="s">
        <v>37</v>
      </c>
      <c r="C83" s="44">
        <f>IRR(C76:AI76,0.13)</f>
        <v>0.11246671017277779</v>
      </c>
      <c r="D83" s="45">
        <f>IRR(D76:AI76,0.13)</f>
        <v>0.1124667101727776</v>
      </c>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2:35" ht="12.75">
      <c r="B84" s="22" t="s">
        <v>85</v>
      </c>
      <c r="C84" s="38">
        <f>23+(Y78+Z78)/Z78</f>
        <v>24.92263593286037</v>
      </c>
      <c r="D84" s="43">
        <f>10+M78/-N76</f>
        <v>10.07410252623949</v>
      </c>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2:35" ht="12.75">
      <c r="B85" s="22" t="s">
        <v>58</v>
      </c>
      <c r="C85" s="55"/>
      <c r="D85" s="55">
        <f>D80/D81</f>
        <v>1.1119519165018101</v>
      </c>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AI90"/>
  <sheetViews>
    <sheetView tabSelected="1" zoomScalePageLayoutView="0" workbookViewId="0" topLeftCell="A1">
      <selection activeCell="B94" sqref="B94"/>
    </sheetView>
  </sheetViews>
  <sheetFormatPr defaultColWidth="9.00390625" defaultRowHeight="12.75"/>
  <cols>
    <col min="2" max="2" width="109.125" style="0" bestFit="1" customWidth="1"/>
    <col min="3" max="3" width="13.375" style="0" hidden="1" customWidth="1"/>
    <col min="4" max="35" width="13.375" style="0" bestFit="1" customWidth="1"/>
  </cols>
  <sheetData>
    <row r="3" spans="2:35" ht="12.75">
      <c r="B3" s="22"/>
      <c r="C3" s="55"/>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ht="13.5" thickBot="1">
      <c r="B4" s="36" t="s">
        <v>53</v>
      </c>
    </row>
    <row r="5" spans="2:35" ht="12.75">
      <c r="B5" s="25" t="s">
        <v>0</v>
      </c>
      <c r="C5" s="26"/>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8"/>
    </row>
    <row r="6" spans="2:35" ht="13.5" thickBot="1">
      <c r="B6" s="29"/>
      <c r="C6" s="30">
        <v>2007</v>
      </c>
      <c r="D6" s="30">
        <v>2008</v>
      </c>
      <c r="E6" s="30">
        <v>2009</v>
      </c>
      <c r="F6" s="30">
        <v>2010</v>
      </c>
      <c r="G6" s="30">
        <v>2011</v>
      </c>
      <c r="H6" s="30">
        <v>2012</v>
      </c>
      <c r="I6" s="30">
        <v>2013</v>
      </c>
      <c r="J6" s="30">
        <v>2014</v>
      </c>
      <c r="K6" s="30">
        <v>2015</v>
      </c>
      <c r="L6" s="30">
        <v>2016</v>
      </c>
      <c r="M6" s="30">
        <v>2017</v>
      </c>
      <c r="N6" s="30">
        <v>2018</v>
      </c>
      <c r="O6" s="30">
        <v>2019</v>
      </c>
      <c r="P6" s="30">
        <v>2020</v>
      </c>
      <c r="Q6" s="30">
        <v>2021</v>
      </c>
      <c r="R6" s="30">
        <v>2022</v>
      </c>
      <c r="S6" s="30">
        <v>2023</v>
      </c>
      <c r="T6" s="30">
        <v>2024</v>
      </c>
      <c r="U6" s="30">
        <v>2025</v>
      </c>
      <c r="V6" s="30">
        <v>2026</v>
      </c>
      <c r="W6" s="30">
        <v>2027</v>
      </c>
      <c r="X6" s="30">
        <v>2028</v>
      </c>
      <c r="Y6" s="30">
        <v>2029</v>
      </c>
      <c r="Z6" s="30">
        <v>2030</v>
      </c>
      <c r="AA6" s="30">
        <v>2031</v>
      </c>
      <c r="AB6" s="30">
        <v>2032</v>
      </c>
      <c r="AC6" s="30">
        <v>2033</v>
      </c>
      <c r="AD6" s="30">
        <v>2034</v>
      </c>
      <c r="AE6" s="30">
        <v>2035</v>
      </c>
      <c r="AF6" s="30">
        <v>2036</v>
      </c>
      <c r="AG6" s="30">
        <v>2037</v>
      </c>
      <c r="AH6" s="30">
        <v>2038</v>
      </c>
      <c r="AI6" s="31">
        <v>2039</v>
      </c>
    </row>
    <row r="7" spans="2:35" ht="12.75">
      <c r="B7" s="2" t="s">
        <v>73</v>
      </c>
      <c r="C7" s="32">
        <v>0</v>
      </c>
      <c r="D7" s="33">
        <f>-'Alternative 1.3'!$D$23/2</f>
        <v>-5354421.364985163</v>
      </c>
      <c r="E7" s="33">
        <f>D7</f>
        <v>-5354421.364985163</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row>
    <row r="8" spans="2:35" ht="12.75">
      <c r="B8" s="22"/>
      <c r="C8" s="34"/>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row>
    <row r="9" spans="2:35" ht="12.75">
      <c r="B9" s="37" t="s">
        <v>87</v>
      </c>
      <c r="C9" s="34"/>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row>
    <row r="10" spans="2:35" ht="12.75">
      <c r="B10" s="22" t="s">
        <v>93</v>
      </c>
      <c r="C10" s="34"/>
      <c r="D10" s="35"/>
      <c r="E10" s="35"/>
      <c r="F10" s="35">
        <f>'Alternative 1.3'!$D$7*('Alternative 1.3'!$D$12*1.1-'Alternative 1.3'!$D$18)</f>
        <v>1303304.800860534</v>
      </c>
      <c r="G10" s="35">
        <f aca="true" t="shared" si="0" ref="G10:AI10">F10</f>
        <v>1303304.800860534</v>
      </c>
      <c r="H10" s="35">
        <f t="shared" si="0"/>
        <v>1303304.800860534</v>
      </c>
      <c r="I10" s="35">
        <f t="shared" si="0"/>
        <v>1303304.800860534</v>
      </c>
      <c r="J10" s="35">
        <f t="shared" si="0"/>
        <v>1303304.800860534</v>
      </c>
      <c r="K10" s="35">
        <f t="shared" si="0"/>
        <v>1303304.800860534</v>
      </c>
      <c r="L10" s="35">
        <f t="shared" si="0"/>
        <v>1303304.800860534</v>
      </c>
      <c r="M10" s="35">
        <f t="shared" si="0"/>
        <v>1303304.800860534</v>
      </c>
      <c r="N10" s="35">
        <f t="shared" si="0"/>
        <v>1303304.800860534</v>
      </c>
      <c r="O10" s="35">
        <f t="shared" si="0"/>
        <v>1303304.800860534</v>
      </c>
      <c r="P10" s="35">
        <f t="shared" si="0"/>
        <v>1303304.800860534</v>
      </c>
      <c r="Q10" s="35">
        <f t="shared" si="0"/>
        <v>1303304.800860534</v>
      </c>
      <c r="R10" s="35">
        <f t="shared" si="0"/>
        <v>1303304.800860534</v>
      </c>
      <c r="S10" s="35">
        <f t="shared" si="0"/>
        <v>1303304.800860534</v>
      </c>
      <c r="T10" s="35">
        <f t="shared" si="0"/>
        <v>1303304.800860534</v>
      </c>
      <c r="U10" s="35">
        <f t="shared" si="0"/>
        <v>1303304.800860534</v>
      </c>
      <c r="V10" s="35">
        <f t="shared" si="0"/>
        <v>1303304.800860534</v>
      </c>
      <c r="W10" s="35">
        <f t="shared" si="0"/>
        <v>1303304.800860534</v>
      </c>
      <c r="X10" s="35">
        <f t="shared" si="0"/>
        <v>1303304.800860534</v>
      </c>
      <c r="Y10" s="35">
        <f t="shared" si="0"/>
        <v>1303304.800860534</v>
      </c>
      <c r="Z10" s="35">
        <f t="shared" si="0"/>
        <v>1303304.800860534</v>
      </c>
      <c r="AA10" s="35">
        <f t="shared" si="0"/>
        <v>1303304.800860534</v>
      </c>
      <c r="AB10" s="35">
        <f t="shared" si="0"/>
        <v>1303304.800860534</v>
      </c>
      <c r="AC10" s="35">
        <f t="shared" si="0"/>
        <v>1303304.800860534</v>
      </c>
      <c r="AD10" s="35">
        <f t="shared" si="0"/>
        <v>1303304.800860534</v>
      </c>
      <c r="AE10" s="35">
        <f t="shared" si="0"/>
        <v>1303304.800860534</v>
      </c>
      <c r="AF10" s="35">
        <f t="shared" si="0"/>
        <v>1303304.800860534</v>
      </c>
      <c r="AG10" s="35">
        <f t="shared" si="0"/>
        <v>1303304.800860534</v>
      </c>
      <c r="AH10" s="35">
        <f t="shared" si="0"/>
        <v>1303304.800860534</v>
      </c>
      <c r="AI10" s="35">
        <f t="shared" si="0"/>
        <v>1303304.800860534</v>
      </c>
    </row>
    <row r="11" spans="2:35" ht="12.75">
      <c r="B11" s="22" t="s">
        <v>77</v>
      </c>
      <c r="C11" s="34"/>
      <c r="D11" s="34"/>
      <c r="E11" s="34"/>
      <c r="F11" s="34">
        <f>'Alternative 1.3'!$D$6*('Alternative 1.3'!$D$20-'Alternative 1.3'!$D$18)</f>
        <v>344449.3086053412</v>
      </c>
      <c r="G11" s="34">
        <f aca="true" t="shared" si="1" ref="G11:AI11">F11</f>
        <v>344449.3086053412</v>
      </c>
      <c r="H11" s="34">
        <f>G11</f>
        <v>344449.3086053412</v>
      </c>
      <c r="I11" s="34">
        <f t="shared" si="1"/>
        <v>344449.3086053412</v>
      </c>
      <c r="J11" s="34">
        <f t="shared" si="1"/>
        <v>344449.3086053412</v>
      </c>
      <c r="K11" s="34">
        <f t="shared" si="1"/>
        <v>344449.3086053412</v>
      </c>
      <c r="L11" s="34">
        <f t="shared" si="1"/>
        <v>344449.3086053412</v>
      </c>
      <c r="M11" s="34">
        <f t="shared" si="1"/>
        <v>344449.3086053412</v>
      </c>
      <c r="N11" s="34">
        <f t="shared" si="1"/>
        <v>344449.3086053412</v>
      </c>
      <c r="O11" s="34">
        <f t="shared" si="1"/>
        <v>344449.3086053412</v>
      </c>
      <c r="P11" s="34">
        <f t="shared" si="1"/>
        <v>344449.3086053412</v>
      </c>
      <c r="Q11" s="34">
        <f t="shared" si="1"/>
        <v>344449.3086053412</v>
      </c>
      <c r="R11" s="34">
        <f t="shared" si="1"/>
        <v>344449.3086053412</v>
      </c>
      <c r="S11" s="34">
        <f t="shared" si="1"/>
        <v>344449.3086053412</v>
      </c>
      <c r="T11" s="34">
        <f t="shared" si="1"/>
        <v>344449.3086053412</v>
      </c>
      <c r="U11" s="34">
        <f t="shared" si="1"/>
        <v>344449.3086053412</v>
      </c>
      <c r="V11" s="34">
        <f t="shared" si="1"/>
        <v>344449.3086053412</v>
      </c>
      <c r="W11" s="34">
        <f t="shared" si="1"/>
        <v>344449.3086053412</v>
      </c>
      <c r="X11" s="34">
        <f t="shared" si="1"/>
        <v>344449.3086053412</v>
      </c>
      <c r="Y11" s="34">
        <f t="shared" si="1"/>
        <v>344449.3086053412</v>
      </c>
      <c r="Z11" s="34">
        <f t="shared" si="1"/>
        <v>344449.3086053412</v>
      </c>
      <c r="AA11" s="34">
        <f t="shared" si="1"/>
        <v>344449.3086053412</v>
      </c>
      <c r="AB11" s="34">
        <f t="shared" si="1"/>
        <v>344449.3086053412</v>
      </c>
      <c r="AC11" s="34">
        <f t="shared" si="1"/>
        <v>344449.3086053412</v>
      </c>
      <c r="AD11" s="34">
        <f t="shared" si="1"/>
        <v>344449.3086053412</v>
      </c>
      <c r="AE11" s="34">
        <f t="shared" si="1"/>
        <v>344449.3086053412</v>
      </c>
      <c r="AF11" s="34">
        <f t="shared" si="1"/>
        <v>344449.3086053412</v>
      </c>
      <c r="AG11" s="34">
        <f t="shared" si="1"/>
        <v>344449.3086053412</v>
      </c>
      <c r="AH11" s="34">
        <f t="shared" si="1"/>
        <v>344449.3086053412</v>
      </c>
      <c r="AI11" s="34">
        <f t="shared" si="1"/>
        <v>344449.3086053412</v>
      </c>
    </row>
    <row r="12" spans="2:35" ht="12.75">
      <c r="B12" s="57" t="s">
        <v>78</v>
      </c>
      <c r="C12" s="34"/>
      <c r="D12" s="34"/>
      <c r="E12" s="34"/>
      <c r="F12" s="34">
        <f>'Alternative 1.3'!D16</f>
        <v>92906.74896142431</v>
      </c>
      <c r="G12" s="34">
        <f>F12</f>
        <v>92906.74896142431</v>
      </c>
      <c r="H12" s="34">
        <f aca="true" t="shared" si="2" ref="H12:AI12">G12</f>
        <v>92906.74896142431</v>
      </c>
      <c r="I12" s="34">
        <f t="shared" si="2"/>
        <v>92906.74896142431</v>
      </c>
      <c r="J12" s="34">
        <f t="shared" si="2"/>
        <v>92906.74896142431</v>
      </c>
      <c r="K12" s="34">
        <f t="shared" si="2"/>
        <v>92906.74896142431</v>
      </c>
      <c r="L12" s="34">
        <f t="shared" si="2"/>
        <v>92906.74896142431</v>
      </c>
      <c r="M12" s="34">
        <f t="shared" si="2"/>
        <v>92906.74896142431</v>
      </c>
      <c r="N12" s="34">
        <f t="shared" si="2"/>
        <v>92906.74896142431</v>
      </c>
      <c r="O12" s="34">
        <f t="shared" si="2"/>
        <v>92906.74896142431</v>
      </c>
      <c r="P12" s="34">
        <f t="shared" si="2"/>
        <v>92906.74896142431</v>
      </c>
      <c r="Q12" s="34">
        <f t="shared" si="2"/>
        <v>92906.74896142431</v>
      </c>
      <c r="R12" s="34">
        <f t="shared" si="2"/>
        <v>92906.74896142431</v>
      </c>
      <c r="S12" s="34">
        <f t="shared" si="2"/>
        <v>92906.74896142431</v>
      </c>
      <c r="T12" s="34">
        <f t="shared" si="2"/>
        <v>92906.74896142431</v>
      </c>
      <c r="U12" s="34">
        <f t="shared" si="2"/>
        <v>92906.74896142431</v>
      </c>
      <c r="V12" s="34">
        <f t="shared" si="2"/>
        <v>92906.74896142431</v>
      </c>
      <c r="W12" s="34">
        <f t="shared" si="2"/>
        <v>92906.74896142431</v>
      </c>
      <c r="X12" s="34">
        <f t="shared" si="2"/>
        <v>92906.74896142431</v>
      </c>
      <c r="Y12" s="34">
        <f t="shared" si="2"/>
        <v>92906.74896142431</v>
      </c>
      <c r="Z12" s="34">
        <f t="shared" si="2"/>
        <v>92906.74896142431</v>
      </c>
      <c r="AA12" s="34">
        <f t="shared" si="2"/>
        <v>92906.74896142431</v>
      </c>
      <c r="AB12" s="34">
        <f t="shared" si="2"/>
        <v>92906.74896142431</v>
      </c>
      <c r="AC12" s="34">
        <f t="shared" si="2"/>
        <v>92906.74896142431</v>
      </c>
      <c r="AD12" s="34">
        <f t="shared" si="2"/>
        <v>92906.74896142431</v>
      </c>
      <c r="AE12" s="34">
        <f t="shared" si="2"/>
        <v>92906.74896142431</v>
      </c>
      <c r="AF12" s="34">
        <f t="shared" si="2"/>
        <v>92906.74896142431</v>
      </c>
      <c r="AG12" s="34">
        <f t="shared" si="2"/>
        <v>92906.74896142431</v>
      </c>
      <c r="AH12" s="34">
        <f t="shared" si="2"/>
        <v>92906.74896142431</v>
      </c>
      <c r="AI12" s="34">
        <f t="shared" si="2"/>
        <v>92906.74896142431</v>
      </c>
    </row>
    <row r="13" spans="2:35" ht="12.75">
      <c r="B13" s="37" t="s">
        <v>79</v>
      </c>
      <c r="C13" s="38">
        <f>SUM(C7:C10)</f>
        <v>0</v>
      </c>
      <c r="D13" s="38">
        <f>SUM(D7:D12)</f>
        <v>-5354421.364985163</v>
      </c>
      <c r="E13" s="38">
        <f>SUM(E7:E12)</f>
        <v>-5354421.364985163</v>
      </c>
      <c r="F13" s="38">
        <f>SUM(F7:F12)</f>
        <v>1740660.8584272994</v>
      </c>
      <c r="G13" s="38">
        <f aca="true" t="shared" si="3" ref="G13:AI13">SUM(G7:G12)</f>
        <v>1740660.8584272994</v>
      </c>
      <c r="H13" s="38">
        <f t="shared" si="3"/>
        <v>1740660.8584272994</v>
      </c>
      <c r="I13" s="38">
        <f t="shared" si="3"/>
        <v>1740660.8584272994</v>
      </c>
      <c r="J13" s="38">
        <f t="shared" si="3"/>
        <v>1740660.8584272994</v>
      </c>
      <c r="K13" s="38">
        <f t="shared" si="3"/>
        <v>1740660.8584272994</v>
      </c>
      <c r="L13" s="38">
        <f t="shared" si="3"/>
        <v>1740660.8584272994</v>
      </c>
      <c r="M13" s="38">
        <f t="shared" si="3"/>
        <v>1740660.8584272994</v>
      </c>
      <c r="N13" s="38">
        <f t="shared" si="3"/>
        <v>1740660.8584272994</v>
      </c>
      <c r="O13" s="38">
        <f t="shared" si="3"/>
        <v>1740660.8584272994</v>
      </c>
      <c r="P13" s="38">
        <f t="shared" si="3"/>
        <v>1740660.8584272994</v>
      </c>
      <c r="Q13" s="38">
        <f t="shared" si="3"/>
        <v>1740660.8584272994</v>
      </c>
      <c r="R13" s="38">
        <f t="shared" si="3"/>
        <v>1740660.8584272994</v>
      </c>
      <c r="S13" s="38">
        <f t="shared" si="3"/>
        <v>1740660.8584272994</v>
      </c>
      <c r="T13" s="38">
        <f t="shared" si="3"/>
        <v>1740660.8584272994</v>
      </c>
      <c r="U13" s="38">
        <f t="shared" si="3"/>
        <v>1740660.8584272994</v>
      </c>
      <c r="V13" s="38">
        <f t="shared" si="3"/>
        <v>1740660.8584272994</v>
      </c>
      <c r="W13" s="38">
        <f t="shared" si="3"/>
        <v>1740660.8584272994</v>
      </c>
      <c r="X13" s="38">
        <f t="shared" si="3"/>
        <v>1740660.8584272994</v>
      </c>
      <c r="Y13" s="38">
        <f t="shared" si="3"/>
        <v>1740660.8584272994</v>
      </c>
      <c r="Z13" s="38">
        <f t="shared" si="3"/>
        <v>1740660.8584272994</v>
      </c>
      <c r="AA13" s="38">
        <f t="shared" si="3"/>
        <v>1740660.8584272994</v>
      </c>
      <c r="AB13" s="38">
        <f t="shared" si="3"/>
        <v>1740660.8584272994</v>
      </c>
      <c r="AC13" s="38">
        <f t="shared" si="3"/>
        <v>1740660.8584272994</v>
      </c>
      <c r="AD13" s="38">
        <f t="shared" si="3"/>
        <v>1740660.8584272994</v>
      </c>
      <c r="AE13" s="38">
        <f t="shared" si="3"/>
        <v>1740660.8584272994</v>
      </c>
      <c r="AF13" s="38">
        <f t="shared" si="3"/>
        <v>1740660.8584272994</v>
      </c>
      <c r="AG13" s="38">
        <f t="shared" si="3"/>
        <v>1740660.8584272994</v>
      </c>
      <c r="AH13" s="38">
        <f t="shared" si="3"/>
        <v>1740660.8584272994</v>
      </c>
      <c r="AI13" s="38">
        <f t="shared" si="3"/>
        <v>1740660.8584272994</v>
      </c>
    </row>
    <row r="14" spans="2:35" ht="12.75">
      <c r="B14" s="22" t="s">
        <v>80</v>
      </c>
      <c r="C14" s="34">
        <f>C13</f>
        <v>0</v>
      </c>
      <c r="D14" s="35">
        <f>D13</f>
        <v>-5354421.364985163</v>
      </c>
      <c r="E14" s="35">
        <f>E13/1.1</f>
        <v>-4867655.786350148</v>
      </c>
      <c r="F14" s="35">
        <f>F13/1.1^2</f>
        <v>1438562.6929151232</v>
      </c>
      <c r="G14" s="35">
        <f>G13/1.1^3</f>
        <v>1307784.2662864756</v>
      </c>
      <c r="H14" s="35">
        <f aca="true" t="shared" si="4" ref="H14:AI14">H13/1.1^H25</f>
        <v>1188894.7875331596</v>
      </c>
      <c r="I14" s="35">
        <f t="shared" si="4"/>
        <v>1080813.4432119632</v>
      </c>
      <c r="J14" s="35">
        <f t="shared" si="4"/>
        <v>982557.6756472391</v>
      </c>
      <c r="K14" s="35">
        <f t="shared" si="4"/>
        <v>893234.2505883991</v>
      </c>
      <c r="L14" s="35">
        <f t="shared" si="4"/>
        <v>812031.1368985447</v>
      </c>
      <c r="M14" s="35">
        <f t="shared" si="4"/>
        <v>738210.1244532224</v>
      </c>
      <c r="N14" s="35">
        <f t="shared" si="4"/>
        <v>671100.113139293</v>
      </c>
      <c r="O14" s="35">
        <f t="shared" si="4"/>
        <v>610091.0119448118</v>
      </c>
      <c r="P14" s="35">
        <f t="shared" si="4"/>
        <v>554628.1926771016</v>
      </c>
      <c r="Q14" s="35">
        <f t="shared" si="4"/>
        <v>504207.44788827415</v>
      </c>
      <c r="R14" s="35">
        <f t="shared" si="4"/>
        <v>458370.40717115824</v>
      </c>
      <c r="S14" s="35">
        <f t="shared" si="4"/>
        <v>416700.3701555984</v>
      </c>
      <c r="T14" s="35">
        <f t="shared" si="4"/>
        <v>378818.51832327124</v>
      </c>
      <c r="U14" s="35">
        <f t="shared" si="4"/>
        <v>344380.47120297386</v>
      </c>
      <c r="V14" s="35">
        <f t="shared" si="4"/>
        <v>313073.1556390671</v>
      </c>
      <c r="W14" s="35">
        <f t="shared" si="4"/>
        <v>284611.9596718791</v>
      </c>
      <c r="X14" s="35">
        <f t="shared" si="4"/>
        <v>258738.14515625377</v>
      </c>
      <c r="Y14" s="35">
        <f t="shared" si="4"/>
        <v>235216.49559659432</v>
      </c>
      <c r="Z14" s="35">
        <f t="shared" si="4"/>
        <v>213833.1778150857</v>
      </c>
      <c r="AA14" s="35">
        <f t="shared" si="4"/>
        <v>194393.79801371426</v>
      </c>
      <c r="AB14" s="35">
        <f t="shared" si="4"/>
        <v>176721.63455792208</v>
      </c>
      <c r="AC14" s="35">
        <f t="shared" si="4"/>
        <v>160656.03141629277</v>
      </c>
      <c r="AD14" s="35">
        <f t="shared" si="4"/>
        <v>146050.93765117525</v>
      </c>
      <c r="AE14" s="35">
        <f t="shared" si="4"/>
        <v>132773.57968288657</v>
      </c>
      <c r="AF14" s="35">
        <f t="shared" si="4"/>
        <v>120703.25425716961</v>
      </c>
      <c r="AG14" s="35">
        <f t="shared" si="4"/>
        <v>109730.23114288146</v>
      </c>
      <c r="AH14" s="35">
        <f t="shared" si="4"/>
        <v>99754.75558443768</v>
      </c>
      <c r="AI14" s="35">
        <f t="shared" si="4"/>
        <v>90686.14144039789</v>
      </c>
    </row>
    <row r="15" spans="2:35" ht="12.75">
      <c r="B15" s="22" t="s">
        <v>81</v>
      </c>
      <c r="C15" s="34">
        <f>C13</f>
        <v>0</v>
      </c>
      <c r="D15" s="34">
        <f>D13</f>
        <v>-5354421.364985163</v>
      </c>
      <c r="E15" s="35">
        <f aca="true" t="shared" si="5" ref="E15:AI15">D15+E13</f>
        <v>-10708842.729970327</v>
      </c>
      <c r="F15" s="35">
        <f t="shared" si="5"/>
        <v>-8968181.871543027</v>
      </c>
      <c r="G15" s="40">
        <f>F15+G13</f>
        <v>-7227521.013115728</v>
      </c>
      <c r="H15" s="35">
        <f t="shared" si="5"/>
        <v>-5486860.154688429</v>
      </c>
      <c r="I15" s="35">
        <f t="shared" si="5"/>
        <v>-3746199.29626113</v>
      </c>
      <c r="J15" s="35">
        <f t="shared" si="5"/>
        <v>-2005538.4378338305</v>
      </c>
      <c r="K15" s="35">
        <f t="shared" si="5"/>
        <v>-264877.57940653106</v>
      </c>
      <c r="L15" s="41">
        <f>K15+L13</f>
        <v>1475783.2790207684</v>
      </c>
      <c r="M15" s="40">
        <f t="shared" si="5"/>
        <v>3216444.137448068</v>
      </c>
      <c r="N15" s="40">
        <f t="shared" si="5"/>
        <v>4957104.995875367</v>
      </c>
      <c r="O15" s="35">
        <f t="shared" si="5"/>
        <v>6697765.854302666</v>
      </c>
      <c r="P15" s="35">
        <f t="shared" si="5"/>
        <v>8438426.712729966</v>
      </c>
      <c r="Q15" s="35">
        <f t="shared" si="5"/>
        <v>10179087.571157265</v>
      </c>
      <c r="R15" s="35">
        <f t="shared" si="5"/>
        <v>11919748.429584565</v>
      </c>
      <c r="S15" s="35">
        <f t="shared" si="5"/>
        <v>13660409.288011864</v>
      </c>
      <c r="T15" s="35">
        <f t="shared" si="5"/>
        <v>15401070.146439163</v>
      </c>
      <c r="U15" s="35">
        <f t="shared" si="5"/>
        <v>17141731.004866462</v>
      </c>
      <c r="V15" s="35">
        <f t="shared" si="5"/>
        <v>18882391.863293763</v>
      </c>
      <c r="W15" s="35">
        <f t="shared" si="5"/>
        <v>20623052.721721064</v>
      </c>
      <c r="X15" s="35">
        <f t="shared" si="5"/>
        <v>22363713.580148365</v>
      </c>
      <c r="Y15" s="35">
        <f t="shared" si="5"/>
        <v>24104374.438575666</v>
      </c>
      <c r="Z15" s="35">
        <f t="shared" si="5"/>
        <v>25845035.297002967</v>
      </c>
      <c r="AA15" s="35">
        <f t="shared" si="5"/>
        <v>27585696.15543027</v>
      </c>
      <c r="AB15" s="35">
        <f t="shared" si="5"/>
        <v>29326357.01385757</v>
      </c>
      <c r="AC15" s="35">
        <f t="shared" si="5"/>
        <v>31067017.87228487</v>
      </c>
      <c r="AD15" s="35">
        <f t="shared" si="5"/>
        <v>32807678.73071217</v>
      </c>
      <c r="AE15" s="35">
        <f t="shared" si="5"/>
        <v>34548339.58913947</v>
      </c>
      <c r="AF15" s="35">
        <f t="shared" si="5"/>
        <v>36289000.44756677</v>
      </c>
      <c r="AG15" s="35">
        <f t="shared" si="5"/>
        <v>38029661.30599407</v>
      </c>
      <c r="AH15" s="35">
        <f t="shared" si="5"/>
        <v>39770322.16442137</v>
      </c>
      <c r="AI15" s="35">
        <f t="shared" si="5"/>
        <v>41510983.02284867</v>
      </c>
    </row>
    <row r="16" spans="2:35" ht="12.75">
      <c r="B16" s="22" t="s">
        <v>82</v>
      </c>
      <c r="C16" s="34">
        <f>C14</f>
        <v>0</v>
      </c>
      <c r="D16" s="34">
        <f>D14</f>
        <v>-5354421.364985163</v>
      </c>
      <c r="E16" s="35">
        <f aca="true" t="shared" si="6" ref="E16:AI16">E14+D16</f>
        <v>-10222077.15133531</v>
      </c>
      <c r="F16" s="35">
        <f t="shared" si="6"/>
        <v>-8783514.458420187</v>
      </c>
      <c r="G16" s="35">
        <f t="shared" si="6"/>
        <v>-7475730.192133712</v>
      </c>
      <c r="H16" s="35">
        <f t="shared" si="6"/>
        <v>-6286835.404600552</v>
      </c>
      <c r="I16" s="35">
        <f t="shared" si="6"/>
        <v>-5206021.961388589</v>
      </c>
      <c r="J16" s="35">
        <f t="shared" si="6"/>
        <v>-4223464.28574135</v>
      </c>
      <c r="K16" s="35">
        <f t="shared" si="6"/>
        <v>-3330230.0351529503</v>
      </c>
      <c r="L16" s="35">
        <f t="shared" si="6"/>
        <v>-2518198.8982544057</v>
      </c>
      <c r="M16" s="35">
        <f t="shared" si="6"/>
        <v>-1779988.7738011833</v>
      </c>
      <c r="N16" s="35">
        <f t="shared" si="6"/>
        <v>-1108888.6606618902</v>
      </c>
      <c r="O16" s="35">
        <f t="shared" si="6"/>
        <v>-498797.6487170784</v>
      </c>
      <c r="P16" s="35">
        <f t="shared" si="6"/>
        <v>55830.543960023206</v>
      </c>
      <c r="Q16" s="35">
        <f t="shared" si="6"/>
        <v>560037.9918482974</v>
      </c>
      <c r="R16" s="42">
        <f t="shared" si="6"/>
        <v>1018408.3990194557</v>
      </c>
      <c r="S16" s="35">
        <f t="shared" si="6"/>
        <v>1435108.769175054</v>
      </c>
      <c r="T16" s="35">
        <f t="shared" si="6"/>
        <v>1813927.2874983253</v>
      </c>
      <c r="U16" s="35">
        <f t="shared" si="6"/>
        <v>2158307.7587012993</v>
      </c>
      <c r="V16" s="35">
        <f t="shared" si="6"/>
        <v>2471380.9143403666</v>
      </c>
      <c r="W16" s="35">
        <f t="shared" si="6"/>
        <v>2755992.874012246</v>
      </c>
      <c r="X16" s="35">
        <f t="shared" si="6"/>
        <v>3014731.0191684994</v>
      </c>
      <c r="Y16" s="35">
        <f t="shared" si="6"/>
        <v>3249947.5147650936</v>
      </c>
      <c r="Z16" s="35">
        <f t="shared" si="6"/>
        <v>3463780.6925801793</v>
      </c>
      <c r="AA16" s="35">
        <f t="shared" si="6"/>
        <v>3658174.4905938935</v>
      </c>
      <c r="AB16" s="35">
        <f t="shared" si="6"/>
        <v>3834896.1251518154</v>
      </c>
      <c r="AC16" s="35">
        <f t="shared" si="6"/>
        <v>3995552.156568108</v>
      </c>
      <c r="AD16" s="35">
        <f t="shared" si="6"/>
        <v>4141603.094219283</v>
      </c>
      <c r="AE16" s="35">
        <f t="shared" si="6"/>
        <v>4274376.67390217</v>
      </c>
      <c r="AF16" s="35">
        <f t="shared" si="6"/>
        <v>4395079.928159339</v>
      </c>
      <c r="AG16" s="35">
        <f t="shared" si="6"/>
        <v>4504810.159302221</v>
      </c>
      <c r="AH16" s="35">
        <f t="shared" si="6"/>
        <v>4604564.914886658</v>
      </c>
      <c r="AI16" s="35">
        <f t="shared" si="6"/>
        <v>4695251.056327056</v>
      </c>
    </row>
    <row r="17" spans="2:35" ht="12.75">
      <c r="B17" s="57" t="s">
        <v>83</v>
      </c>
      <c r="C17" s="34"/>
      <c r="D17" s="34">
        <f>SUM(F14:AI14)</f>
        <v>14917328.207662366</v>
      </c>
      <c r="E17" s="35"/>
      <c r="F17" s="35"/>
      <c r="G17" s="35"/>
      <c r="H17" s="35"/>
      <c r="I17" s="35"/>
      <c r="J17" s="35"/>
      <c r="K17" s="35"/>
      <c r="L17" s="35"/>
      <c r="M17" s="35"/>
      <c r="N17" s="35"/>
      <c r="O17" s="35"/>
      <c r="P17" s="35"/>
      <c r="Q17" s="35"/>
      <c r="R17" s="42"/>
      <c r="S17" s="35"/>
      <c r="T17" s="35"/>
      <c r="U17" s="35"/>
      <c r="V17" s="35"/>
      <c r="W17" s="35"/>
      <c r="X17" s="35"/>
      <c r="Y17" s="35"/>
      <c r="Z17" s="35"/>
      <c r="AA17" s="35"/>
      <c r="AB17" s="35"/>
      <c r="AC17" s="35"/>
      <c r="AD17" s="35"/>
      <c r="AE17" s="35"/>
      <c r="AF17" s="35"/>
      <c r="AG17" s="35"/>
      <c r="AH17" s="35"/>
      <c r="AI17" s="35"/>
    </row>
    <row r="18" spans="2:35" ht="12.75">
      <c r="B18" s="57" t="s">
        <v>84</v>
      </c>
      <c r="C18" s="34"/>
      <c r="D18" s="34">
        <f>-(D14+E14)</f>
        <v>10222077.15133531</v>
      </c>
      <c r="E18" s="35"/>
      <c r="F18" s="35"/>
      <c r="G18" s="35"/>
      <c r="H18" s="35"/>
      <c r="I18" s="35"/>
      <c r="J18" s="35"/>
      <c r="K18" s="35"/>
      <c r="L18" s="35"/>
      <c r="M18" s="35"/>
      <c r="N18" s="35"/>
      <c r="O18" s="35"/>
      <c r="P18" s="35"/>
      <c r="Q18" s="35"/>
      <c r="R18" s="42"/>
      <c r="S18" s="35"/>
      <c r="T18" s="35"/>
      <c r="U18" s="35"/>
      <c r="V18" s="35"/>
      <c r="W18" s="35"/>
      <c r="X18" s="35"/>
      <c r="Y18" s="35"/>
      <c r="Z18" s="35"/>
      <c r="AA18" s="35"/>
      <c r="AB18" s="35"/>
      <c r="AC18" s="35"/>
      <c r="AD18" s="35"/>
      <c r="AE18" s="35"/>
      <c r="AF18" s="35"/>
      <c r="AG18" s="35"/>
      <c r="AH18" s="35"/>
      <c r="AI18" s="35"/>
    </row>
    <row r="19" spans="2:35" ht="12.75">
      <c r="B19" s="22" t="s">
        <v>36</v>
      </c>
      <c r="C19" s="38">
        <f>SUM(C14:AI14)</f>
        <v>4695251.056327056</v>
      </c>
      <c r="D19" s="43">
        <f>SUM(D14:AI14)</f>
        <v>4695251.056327056</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row>
    <row r="20" spans="2:35" ht="12.75">
      <c r="B20" s="22" t="s">
        <v>37</v>
      </c>
      <c r="C20" s="44">
        <f>IRR(C13:AI13,0.13)</f>
        <v>0.1489297646234161</v>
      </c>
      <c r="D20" s="45">
        <f>IRR(C13:AI13,0.13)</f>
        <v>0.1489297646234161</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row>
    <row r="21" spans="2:35" ht="12.75">
      <c r="B21" s="22" t="s">
        <v>85</v>
      </c>
      <c r="C21" s="44"/>
      <c r="D21" s="43">
        <f>8+K15/-L13</f>
        <v>8.152170698918255</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2:35" ht="12.75">
      <c r="B22" s="22" t="s">
        <v>58</v>
      </c>
      <c r="C22" s="38">
        <f>9+(L15+M15)/M15</f>
        <v>10.458824470737321</v>
      </c>
      <c r="D22" s="43">
        <f>D17/D18</f>
        <v>1.4593245567231623</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row>
    <row r="23" spans="2:35" ht="12.75">
      <c r="B23" s="36"/>
      <c r="C23" s="34"/>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row>
    <row r="25" spans="5:35" ht="12.75" hidden="1">
      <c r="E25">
        <v>1</v>
      </c>
      <c r="F25">
        <v>2</v>
      </c>
      <c r="G25">
        <v>3</v>
      </c>
      <c r="H25">
        <v>4</v>
      </c>
      <c r="I25">
        <v>5</v>
      </c>
      <c r="J25">
        <v>6</v>
      </c>
      <c r="K25">
        <v>7</v>
      </c>
      <c r="L25">
        <v>8</v>
      </c>
      <c r="M25">
        <v>9</v>
      </c>
      <c r="N25">
        <v>10</v>
      </c>
      <c r="O25">
        <v>11</v>
      </c>
      <c r="P25">
        <v>12</v>
      </c>
      <c r="Q25">
        <v>13</v>
      </c>
      <c r="R25">
        <v>14</v>
      </c>
      <c r="S25">
        <v>15</v>
      </c>
      <c r="T25">
        <v>16</v>
      </c>
      <c r="U25">
        <v>17</v>
      </c>
      <c r="V25">
        <v>18</v>
      </c>
      <c r="W25">
        <v>19</v>
      </c>
      <c r="X25">
        <v>20</v>
      </c>
      <c r="Y25">
        <v>21</v>
      </c>
      <c r="Z25">
        <v>22</v>
      </c>
      <c r="AA25">
        <v>23</v>
      </c>
      <c r="AB25">
        <v>24</v>
      </c>
      <c r="AC25">
        <v>25</v>
      </c>
      <c r="AD25">
        <v>26</v>
      </c>
      <c r="AE25">
        <v>27</v>
      </c>
      <c r="AF25">
        <v>28</v>
      </c>
      <c r="AG25">
        <v>29</v>
      </c>
      <c r="AH25">
        <v>30</v>
      </c>
      <c r="AI25">
        <v>31</v>
      </c>
    </row>
    <row r="27" ht="13.5" thickBot="1">
      <c r="B27" s="36" t="s">
        <v>54</v>
      </c>
    </row>
    <row r="28" spans="2:35" ht="12.75">
      <c r="B28" s="25" t="s">
        <v>0</v>
      </c>
      <c r="C28" s="26"/>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8"/>
    </row>
    <row r="29" spans="2:35" ht="13.5" thickBot="1">
      <c r="B29" s="29"/>
      <c r="C29" s="30">
        <v>2007</v>
      </c>
      <c r="D29" s="30">
        <v>2008</v>
      </c>
      <c r="E29" s="30">
        <v>2009</v>
      </c>
      <c r="F29" s="30">
        <v>2010</v>
      </c>
      <c r="G29" s="30">
        <v>2011</v>
      </c>
      <c r="H29" s="30">
        <v>2012</v>
      </c>
      <c r="I29" s="30">
        <v>2013</v>
      </c>
      <c r="J29" s="30">
        <v>2014</v>
      </c>
      <c r="K29" s="30">
        <v>2015</v>
      </c>
      <c r="L29" s="30">
        <v>2016</v>
      </c>
      <c r="M29" s="30">
        <v>2017</v>
      </c>
      <c r="N29" s="30">
        <v>2018</v>
      </c>
      <c r="O29" s="30">
        <v>2019</v>
      </c>
      <c r="P29" s="30">
        <v>2020</v>
      </c>
      <c r="Q29" s="30">
        <v>2021</v>
      </c>
      <c r="R29" s="30">
        <v>2022</v>
      </c>
      <c r="S29" s="30">
        <v>2023</v>
      </c>
      <c r="T29" s="30">
        <v>2024</v>
      </c>
      <c r="U29" s="30">
        <v>2025</v>
      </c>
      <c r="V29" s="30">
        <v>2026</v>
      </c>
      <c r="W29" s="30">
        <v>2027</v>
      </c>
      <c r="X29" s="30">
        <v>2028</v>
      </c>
      <c r="Y29" s="30">
        <v>2029</v>
      </c>
      <c r="Z29" s="30">
        <v>2030</v>
      </c>
      <c r="AA29" s="30">
        <v>2031</v>
      </c>
      <c r="AB29" s="30">
        <v>2032</v>
      </c>
      <c r="AC29" s="30">
        <v>2033</v>
      </c>
      <c r="AD29" s="30">
        <v>2034</v>
      </c>
      <c r="AE29" s="30">
        <v>2035</v>
      </c>
      <c r="AF29" s="30">
        <v>2036</v>
      </c>
      <c r="AG29" s="30">
        <v>2037</v>
      </c>
      <c r="AH29" s="30">
        <v>2038</v>
      </c>
      <c r="AI29" s="31">
        <v>2039</v>
      </c>
    </row>
    <row r="30" spans="2:35" ht="12.75">
      <c r="B30" s="2" t="s">
        <v>73</v>
      </c>
      <c r="C30" s="32">
        <v>0</v>
      </c>
      <c r="D30" s="33">
        <f>-'Alternative 1.3'!$D$23/2</f>
        <v>-5354421.364985163</v>
      </c>
      <c r="E30" s="33">
        <f>D30</f>
        <v>-5354421.364985163</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row>
    <row r="31" spans="2:35" ht="12.75">
      <c r="B31" s="2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row>
    <row r="32" spans="2:35" ht="12.75">
      <c r="B32" s="37" t="s">
        <v>87</v>
      </c>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row>
    <row r="33" spans="2:35" ht="12.75">
      <c r="B33" s="22" t="s">
        <v>93</v>
      </c>
      <c r="C33" s="34"/>
      <c r="D33" s="35"/>
      <c r="E33" s="35"/>
      <c r="F33" s="35">
        <f>'Alternative 1.3'!$D$7*('Alternative 1.3'!$D$12-'Alternative 1.3'!$D$18)</f>
        <v>1048610.953679525</v>
      </c>
      <c r="G33" s="35">
        <f aca="true" t="shared" si="7" ref="G33:AI33">F33</f>
        <v>1048610.953679525</v>
      </c>
      <c r="H33" s="35">
        <f t="shared" si="7"/>
        <v>1048610.953679525</v>
      </c>
      <c r="I33" s="35">
        <f t="shared" si="7"/>
        <v>1048610.953679525</v>
      </c>
      <c r="J33" s="35">
        <f t="shared" si="7"/>
        <v>1048610.953679525</v>
      </c>
      <c r="K33" s="35">
        <f t="shared" si="7"/>
        <v>1048610.953679525</v>
      </c>
      <c r="L33" s="35">
        <f t="shared" si="7"/>
        <v>1048610.953679525</v>
      </c>
      <c r="M33" s="35">
        <f t="shared" si="7"/>
        <v>1048610.953679525</v>
      </c>
      <c r="N33" s="35">
        <f t="shared" si="7"/>
        <v>1048610.953679525</v>
      </c>
      <c r="O33" s="35">
        <f t="shared" si="7"/>
        <v>1048610.953679525</v>
      </c>
      <c r="P33" s="35">
        <f t="shared" si="7"/>
        <v>1048610.953679525</v>
      </c>
      <c r="Q33" s="35">
        <f t="shared" si="7"/>
        <v>1048610.953679525</v>
      </c>
      <c r="R33" s="35">
        <f t="shared" si="7"/>
        <v>1048610.953679525</v>
      </c>
      <c r="S33" s="35">
        <f t="shared" si="7"/>
        <v>1048610.953679525</v>
      </c>
      <c r="T33" s="35">
        <f t="shared" si="7"/>
        <v>1048610.953679525</v>
      </c>
      <c r="U33" s="35">
        <f t="shared" si="7"/>
        <v>1048610.953679525</v>
      </c>
      <c r="V33" s="35">
        <f t="shared" si="7"/>
        <v>1048610.953679525</v>
      </c>
      <c r="W33" s="35">
        <f t="shared" si="7"/>
        <v>1048610.953679525</v>
      </c>
      <c r="X33" s="35">
        <f t="shared" si="7"/>
        <v>1048610.953679525</v>
      </c>
      <c r="Y33" s="35">
        <f t="shared" si="7"/>
        <v>1048610.953679525</v>
      </c>
      <c r="Z33" s="35">
        <f t="shared" si="7"/>
        <v>1048610.953679525</v>
      </c>
      <c r="AA33" s="35">
        <f t="shared" si="7"/>
        <v>1048610.953679525</v>
      </c>
      <c r="AB33" s="35">
        <f t="shared" si="7"/>
        <v>1048610.953679525</v>
      </c>
      <c r="AC33" s="35">
        <f t="shared" si="7"/>
        <v>1048610.953679525</v>
      </c>
      <c r="AD33" s="35">
        <f t="shared" si="7"/>
        <v>1048610.953679525</v>
      </c>
      <c r="AE33" s="35">
        <f t="shared" si="7"/>
        <v>1048610.953679525</v>
      </c>
      <c r="AF33" s="35">
        <f t="shared" si="7"/>
        <v>1048610.953679525</v>
      </c>
      <c r="AG33" s="35">
        <f t="shared" si="7"/>
        <v>1048610.953679525</v>
      </c>
      <c r="AH33" s="35">
        <f t="shared" si="7"/>
        <v>1048610.953679525</v>
      </c>
      <c r="AI33" s="35">
        <f t="shared" si="7"/>
        <v>1048610.953679525</v>
      </c>
    </row>
    <row r="34" spans="2:35" ht="12.75">
      <c r="B34" s="22" t="s">
        <v>77</v>
      </c>
      <c r="C34" s="34"/>
      <c r="D34" s="34"/>
      <c r="E34" s="34"/>
      <c r="F34" s="34">
        <f>'Alternative 1.3'!$D$6*('Alternative 1.3'!$D$20-'Alternative 1.3'!$D$18)*1.1</f>
        <v>378894.2394658753</v>
      </c>
      <c r="G34" s="34">
        <f aca="true" t="shared" si="8" ref="G34:AI34">F34</f>
        <v>378894.2394658753</v>
      </c>
      <c r="H34" s="34">
        <f t="shared" si="8"/>
        <v>378894.2394658753</v>
      </c>
      <c r="I34" s="34">
        <f t="shared" si="8"/>
        <v>378894.2394658753</v>
      </c>
      <c r="J34" s="34">
        <f t="shared" si="8"/>
        <v>378894.2394658753</v>
      </c>
      <c r="K34" s="34">
        <f t="shared" si="8"/>
        <v>378894.2394658753</v>
      </c>
      <c r="L34" s="34">
        <f t="shared" si="8"/>
        <v>378894.2394658753</v>
      </c>
      <c r="M34" s="34">
        <f t="shared" si="8"/>
        <v>378894.2394658753</v>
      </c>
      <c r="N34" s="34">
        <f t="shared" si="8"/>
        <v>378894.2394658753</v>
      </c>
      <c r="O34" s="34">
        <f t="shared" si="8"/>
        <v>378894.2394658753</v>
      </c>
      <c r="P34" s="34">
        <f t="shared" si="8"/>
        <v>378894.2394658753</v>
      </c>
      <c r="Q34" s="34">
        <f t="shared" si="8"/>
        <v>378894.2394658753</v>
      </c>
      <c r="R34" s="34">
        <f t="shared" si="8"/>
        <v>378894.2394658753</v>
      </c>
      <c r="S34" s="34">
        <f t="shared" si="8"/>
        <v>378894.2394658753</v>
      </c>
      <c r="T34" s="34">
        <f t="shared" si="8"/>
        <v>378894.2394658753</v>
      </c>
      <c r="U34" s="34">
        <f t="shared" si="8"/>
        <v>378894.2394658753</v>
      </c>
      <c r="V34" s="34">
        <f t="shared" si="8"/>
        <v>378894.2394658753</v>
      </c>
      <c r="W34" s="34">
        <f t="shared" si="8"/>
        <v>378894.2394658753</v>
      </c>
      <c r="X34" s="34">
        <f t="shared" si="8"/>
        <v>378894.2394658753</v>
      </c>
      <c r="Y34" s="34">
        <f t="shared" si="8"/>
        <v>378894.2394658753</v>
      </c>
      <c r="Z34" s="34">
        <f t="shared" si="8"/>
        <v>378894.2394658753</v>
      </c>
      <c r="AA34" s="34">
        <f t="shared" si="8"/>
        <v>378894.2394658753</v>
      </c>
      <c r="AB34" s="34">
        <f t="shared" si="8"/>
        <v>378894.2394658753</v>
      </c>
      <c r="AC34" s="34">
        <f t="shared" si="8"/>
        <v>378894.2394658753</v>
      </c>
      <c r="AD34" s="34">
        <f t="shared" si="8"/>
        <v>378894.2394658753</v>
      </c>
      <c r="AE34" s="34">
        <f t="shared" si="8"/>
        <v>378894.2394658753</v>
      </c>
      <c r="AF34" s="34">
        <f t="shared" si="8"/>
        <v>378894.2394658753</v>
      </c>
      <c r="AG34" s="34">
        <f t="shared" si="8"/>
        <v>378894.2394658753</v>
      </c>
      <c r="AH34" s="34">
        <f t="shared" si="8"/>
        <v>378894.2394658753</v>
      </c>
      <c r="AI34" s="34">
        <f t="shared" si="8"/>
        <v>378894.2394658753</v>
      </c>
    </row>
    <row r="35" spans="2:35" ht="12.75">
      <c r="B35" s="57" t="s">
        <v>78</v>
      </c>
      <c r="C35" s="34"/>
      <c r="D35" s="34"/>
      <c r="E35" s="34"/>
      <c r="F35" s="34">
        <f>'Alternative 1.3'!D16</f>
        <v>92906.74896142431</v>
      </c>
      <c r="G35" s="34">
        <f>F35</f>
        <v>92906.74896142431</v>
      </c>
      <c r="H35" s="34">
        <f aca="true" t="shared" si="9" ref="H35:AI35">G35</f>
        <v>92906.74896142431</v>
      </c>
      <c r="I35" s="34">
        <f t="shared" si="9"/>
        <v>92906.74896142431</v>
      </c>
      <c r="J35" s="34">
        <f t="shared" si="9"/>
        <v>92906.74896142431</v>
      </c>
      <c r="K35" s="34">
        <f t="shared" si="9"/>
        <v>92906.74896142431</v>
      </c>
      <c r="L35" s="34">
        <f t="shared" si="9"/>
        <v>92906.74896142431</v>
      </c>
      <c r="M35" s="34">
        <f t="shared" si="9"/>
        <v>92906.74896142431</v>
      </c>
      <c r="N35" s="34">
        <f t="shared" si="9"/>
        <v>92906.74896142431</v>
      </c>
      <c r="O35" s="34">
        <f t="shared" si="9"/>
        <v>92906.74896142431</v>
      </c>
      <c r="P35" s="34">
        <f t="shared" si="9"/>
        <v>92906.74896142431</v>
      </c>
      <c r="Q35" s="34">
        <f t="shared" si="9"/>
        <v>92906.74896142431</v>
      </c>
      <c r="R35" s="34">
        <f t="shared" si="9"/>
        <v>92906.74896142431</v>
      </c>
      <c r="S35" s="34">
        <f t="shared" si="9"/>
        <v>92906.74896142431</v>
      </c>
      <c r="T35" s="34">
        <f t="shared" si="9"/>
        <v>92906.74896142431</v>
      </c>
      <c r="U35" s="34">
        <f t="shared" si="9"/>
        <v>92906.74896142431</v>
      </c>
      <c r="V35" s="34">
        <f t="shared" si="9"/>
        <v>92906.74896142431</v>
      </c>
      <c r="W35" s="34">
        <f t="shared" si="9"/>
        <v>92906.74896142431</v>
      </c>
      <c r="X35" s="34">
        <f t="shared" si="9"/>
        <v>92906.74896142431</v>
      </c>
      <c r="Y35" s="34">
        <f t="shared" si="9"/>
        <v>92906.74896142431</v>
      </c>
      <c r="Z35" s="34">
        <f t="shared" si="9"/>
        <v>92906.74896142431</v>
      </c>
      <c r="AA35" s="34">
        <f t="shared" si="9"/>
        <v>92906.74896142431</v>
      </c>
      <c r="AB35" s="34">
        <f t="shared" si="9"/>
        <v>92906.74896142431</v>
      </c>
      <c r="AC35" s="34">
        <f t="shared" si="9"/>
        <v>92906.74896142431</v>
      </c>
      <c r="AD35" s="34">
        <f t="shared" si="9"/>
        <v>92906.74896142431</v>
      </c>
      <c r="AE35" s="34">
        <f t="shared" si="9"/>
        <v>92906.74896142431</v>
      </c>
      <c r="AF35" s="34">
        <f t="shared" si="9"/>
        <v>92906.74896142431</v>
      </c>
      <c r="AG35" s="34">
        <f t="shared" si="9"/>
        <v>92906.74896142431</v>
      </c>
      <c r="AH35" s="34">
        <f t="shared" si="9"/>
        <v>92906.74896142431</v>
      </c>
      <c r="AI35" s="34">
        <f t="shared" si="9"/>
        <v>92906.74896142431</v>
      </c>
    </row>
    <row r="36" spans="2:35" ht="12.75">
      <c r="B36" s="37" t="s">
        <v>79</v>
      </c>
      <c r="C36" s="38">
        <f>SUM(C30:C33)</f>
        <v>0</v>
      </c>
      <c r="D36" s="38">
        <f>SUM(D30:D35)</f>
        <v>-5354421.364985163</v>
      </c>
      <c r="E36" s="38">
        <f aca="true" t="shared" si="10" ref="E36:AI36">SUM(E30:E35)</f>
        <v>-5354421.364985163</v>
      </c>
      <c r="F36" s="38">
        <f t="shared" si="10"/>
        <v>1520411.9421068246</v>
      </c>
      <c r="G36" s="38">
        <f t="shared" si="10"/>
        <v>1520411.9421068246</v>
      </c>
      <c r="H36" s="38">
        <f t="shared" si="10"/>
        <v>1520411.9421068246</v>
      </c>
      <c r="I36" s="38">
        <f t="shared" si="10"/>
        <v>1520411.9421068246</v>
      </c>
      <c r="J36" s="38">
        <f t="shared" si="10"/>
        <v>1520411.9421068246</v>
      </c>
      <c r="K36" s="38">
        <f t="shared" si="10"/>
        <v>1520411.9421068246</v>
      </c>
      <c r="L36" s="38">
        <f t="shared" si="10"/>
        <v>1520411.9421068246</v>
      </c>
      <c r="M36" s="38">
        <f t="shared" si="10"/>
        <v>1520411.9421068246</v>
      </c>
      <c r="N36" s="38">
        <f t="shared" si="10"/>
        <v>1520411.9421068246</v>
      </c>
      <c r="O36" s="38">
        <f t="shared" si="10"/>
        <v>1520411.9421068246</v>
      </c>
      <c r="P36" s="38">
        <f t="shared" si="10"/>
        <v>1520411.9421068246</v>
      </c>
      <c r="Q36" s="38">
        <f t="shared" si="10"/>
        <v>1520411.9421068246</v>
      </c>
      <c r="R36" s="38">
        <f t="shared" si="10"/>
        <v>1520411.9421068246</v>
      </c>
      <c r="S36" s="38">
        <f t="shared" si="10"/>
        <v>1520411.9421068246</v>
      </c>
      <c r="T36" s="38">
        <f t="shared" si="10"/>
        <v>1520411.9421068246</v>
      </c>
      <c r="U36" s="38">
        <f t="shared" si="10"/>
        <v>1520411.9421068246</v>
      </c>
      <c r="V36" s="38">
        <f t="shared" si="10"/>
        <v>1520411.9421068246</v>
      </c>
      <c r="W36" s="38">
        <f t="shared" si="10"/>
        <v>1520411.9421068246</v>
      </c>
      <c r="X36" s="38">
        <f t="shared" si="10"/>
        <v>1520411.9421068246</v>
      </c>
      <c r="Y36" s="38">
        <f t="shared" si="10"/>
        <v>1520411.9421068246</v>
      </c>
      <c r="Z36" s="38">
        <f t="shared" si="10"/>
        <v>1520411.9421068246</v>
      </c>
      <c r="AA36" s="38">
        <f t="shared" si="10"/>
        <v>1520411.9421068246</v>
      </c>
      <c r="AB36" s="38">
        <f t="shared" si="10"/>
        <v>1520411.9421068246</v>
      </c>
      <c r="AC36" s="38">
        <f t="shared" si="10"/>
        <v>1520411.9421068246</v>
      </c>
      <c r="AD36" s="38">
        <f t="shared" si="10"/>
        <v>1520411.9421068246</v>
      </c>
      <c r="AE36" s="38">
        <f t="shared" si="10"/>
        <v>1520411.9421068246</v>
      </c>
      <c r="AF36" s="38">
        <f t="shared" si="10"/>
        <v>1520411.9421068246</v>
      </c>
      <c r="AG36" s="38">
        <f t="shared" si="10"/>
        <v>1520411.9421068246</v>
      </c>
      <c r="AH36" s="38">
        <f t="shared" si="10"/>
        <v>1520411.9421068246</v>
      </c>
      <c r="AI36" s="38">
        <f t="shared" si="10"/>
        <v>1520411.9421068246</v>
      </c>
    </row>
    <row r="37" spans="2:35" ht="12.75">
      <c r="B37" s="22" t="s">
        <v>80</v>
      </c>
      <c r="C37" s="34">
        <f>C36</f>
        <v>0</v>
      </c>
      <c r="D37" s="35">
        <f>D36</f>
        <v>-5354421.364985163</v>
      </c>
      <c r="E37" s="35">
        <f>E36/1.1</f>
        <v>-4867655.786350148</v>
      </c>
      <c r="F37" s="35">
        <f>F36/1.1^2</f>
        <v>1256538.795129607</v>
      </c>
      <c r="G37" s="35">
        <f>G36/1.1^3</f>
        <v>1142307.9955723698</v>
      </c>
      <c r="H37" s="35">
        <f aca="true" t="shared" si="11" ref="H37:AI37">H36/1.1^H48</f>
        <v>1038461.8141566998</v>
      </c>
      <c r="I37" s="35">
        <f t="shared" si="11"/>
        <v>944056.1946879089</v>
      </c>
      <c r="J37" s="35">
        <f t="shared" si="11"/>
        <v>858232.9042617352</v>
      </c>
      <c r="K37" s="35">
        <f t="shared" si="11"/>
        <v>780211.7311470319</v>
      </c>
      <c r="L37" s="35">
        <f t="shared" si="11"/>
        <v>709283.3919518472</v>
      </c>
      <c r="M37" s="35">
        <f t="shared" si="11"/>
        <v>644803.0835925883</v>
      </c>
      <c r="N37" s="35">
        <f t="shared" si="11"/>
        <v>586184.6214478075</v>
      </c>
      <c r="O37" s="35">
        <f t="shared" si="11"/>
        <v>532895.1104070977</v>
      </c>
      <c r="P37" s="35">
        <f t="shared" si="11"/>
        <v>484450.1003700888</v>
      </c>
      <c r="Q37" s="35">
        <f t="shared" si="11"/>
        <v>440409.1821546262</v>
      </c>
      <c r="R37" s="35">
        <f t="shared" si="11"/>
        <v>400371.9837769328</v>
      </c>
      <c r="S37" s="35">
        <f t="shared" si="11"/>
        <v>363974.53070630255</v>
      </c>
      <c r="T37" s="35">
        <f t="shared" si="11"/>
        <v>330885.9370057296</v>
      </c>
      <c r="U37" s="35">
        <f t="shared" si="11"/>
        <v>300805.397277936</v>
      </c>
      <c r="V37" s="35">
        <f t="shared" si="11"/>
        <v>273459.4520708509</v>
      </c>
      <c r="W37" s="35">
        <f t="shared" si="11"/>
        <v>248599.50188259163</v>
      </c>
      <c r="X37" s="35">
        <f t="shared" si="11"/>
        <v>225999.5471659924</v>
      </c>
      <c r="Y37" s="35">
        <f t="shared" si="11"/>
        <v>205454.1337872658</v>
      </c>
      <c r="Z37" s="35">
        <f t="shared" si="11"/>
        <v>186776.48526115072</v>
      </c>
      <c r="AA37" s="35">
        <f t="shared" si="11"/>
        <v>169796.80478286426</v>
      </c>
      <c r="AB37" s="35">
        <f t="shared" si="11"/>
        <v>154360.73162078572</v>
      </c>
      <c r="AC37" s="35">
        <f t="shared" si="11"/>
        <v>140327.9378370779</v>
      </c>
      <c r="AD37" s="35">
        <f t="shared" si="11"/>
        <v>127570.85257916173</v>
      </c>
      <c r="AE37" s="35">
        <f t="shared" si="11"/>
        <v>115973.50234469246</v>
      </c>
      <c r="AF37" s="35">
        <f t="shared" si="11"/>
        <v>105430.45667699314</v>
      </c>
      <c r="AG37" s="35">
        <f t="shared" si="11"/>
        <v>95845.8697063574</v>
      </c>
      <c r="AH37" s="35">
        <f t="shared" si="11"/>
        <v>87132.60882396126</v>
      </c>
      <c r="AI37" s="35">
        <f t="shared" si="11"/>
        <v>79211.46256723751</v>
      </c>
    </row>
    <row r="38" spans="2:35" ht="12.75">
      <c r="B38" s="22" t="s">
        <v>81</v>
      </c>
      <c r="C38" s="34">
        <f>C36</f>
        <v>0</v>
      </c>
      <c r="D38" s="34">
        <f>D36</f>
        <v>-5354421.364985163</v>
      </c>
      <c r="E38" s="35">
        <f aca="true" t="shared" si="12" ref="E38:AI38">D38+E36</f>
        <v>-10708842.729970327</v>
      </c>
      <c r="F38" s="35">
        <f t="shared" si="12"/>
        <v>-9188430.787863502</v>
      </c>
      <c r="G38" s="40">
        <f t="shared" si="12"/>
        <v>-7668018.845756678</v>
      </c>
      <c r="H38" s="35">
        <f t="shared" si="12"/>
        <v>-6147606.903649854</v>
      </c>
      <c r="I38" s="35">
        <f t="shared" si="12"/>
        <v>-4627194.961543029</v>
      </c>
      <c r="J38" s="35">
        <f t="shared" si="12"/>
        <v>-3106783.019436205</v>
      </c>
      <c r="K38" s="35">
        <f t="shared" si="12"/>
        <v>-1586371.0773293802</v>
      </c>
      <c r="L38" s="40">
        <f t="shared" si="12"/>
        <v>-65959.1352225556</v>
      </c>
      <c r="M38" s="41">
        <f t="shared" si="12"/>
        <v>1454452.806884269</v>
      </c>
      <c r="N38" s="40">
        <f t="shared" si="12"/>
        <v>2974864.7489910936</v>
      </c>
      <c r="O38" s="35">
        <f t="shared" si="12"/>
        <v>4495276.691097918</v>
      </c>
      <c r="P38" s="35">
        <f t="shared" si="12"/>
        <v>6015688.633204742</v>
      </c>
      <c r="Q38" s="35">
        <f t="shared" si="12"/>
        <v>7536100.575311567</v>
      </c>
      <c r="R38" s="35">
        <f t="shared" si="12"/>
        <v>9056512.517418392</v>
      </c>
      <c r="S38" s="35">
        <f t="shared" si="12"/>
        <v>10576924.459525216</v>
      </c>
      <c r="T38" s="35">
        <f t="shared" si="12"/>
        <v>12097336.40163204</v>
      </c>
      <c r="U38" s="35">
        <f t="shared" si="12"/>
        <v>13617748.343738865</v>
      </c>
      <c r="V38" s="35">
        <f t="shared" si="12"/>
        <v>15138160.28584569</v>
      </c>
      <c r="W38" s="35">
        <f t="shared" si="12"/>
        <v>16658572.227952514</v>
      </c>
      <c r="X38" s="35">
        <f t="shared" si="12"/>
        <v>18178984.17005934</v>
      </c>
      <c r="Y38" s="35">
        <f t="shared" si="12"/>
        <v>19699396.112166163</v>
      </c>
      <c r="Z38" s="35">
        <f t="shared" si="12"/>
        <v>21219808.054272987</v>
      </c>
      <c r="AA38" s="35">
        <f t="shared" si="12"/>
        <v>22740219.99637981</v>
      </c>
      <c r="AB38" s="35">
        <f t="shared" si="12"/>
        <v>24260631.938486636</v>
      </c>
      <c r="AC38" s="35">
        <f t="shared" si="12"/>
        <v>25781043.88059346</v>
      </c>
      <c r="AD38" s="35">
        <f t="shared" si="12"/>
        <v>27301455.822700284</v>
      </c>
      <c r="AE38" s="35">
        <f t="shared" si="12"/>
        <v>28821867.76480711</v>
      </c>
      <c r="AF38" s="35">
        <f t="shared" si="12"/>
        <v>30342279.706913933</v>
      </c>
      <c r="AG38" s="35">
        <f t="shared" si="12"/>
        <v>31862691.649020758</v>
      </c>
      <c r="AH38" s="35">
        <f t="shared" si="12"/>
        <v>33383103.591127582</v>
      </c>
      <c r="AI38" s="35">
        <f t="shared" si="12"/>
        <v>34903515.53323441</v>
      </c>
    </row>
    <row r="39" spans="2:35" ht="12.75">
      <c r="B39" s="22" t="s">
        <v>82</v>
      </c>
      <c r="C39" s="34">
        <f>C37</f>
        <v>0</v>
      </c>
      <c r="D39" s="34">
        <f>D37</f>
        <v>-5354421.364985163</v>
      </c>
      <c r="E39" s="35">
        <f aca="true" t="shared" si="13" ref="E39:AI39">E37+D39</f>
        <v>-10222077.15133531</v>
      </c>
      <c r="F39" s="35">
        <f t="shared" si="13"/>
        <v>-8965538.356205704</v>
      </c>
      <c r="G39" s="35">
        <f t="shared" si="13"/>
        <v>-7823230.360633334</v>
      </c>
      <c r="H39" s="35">
        <f t="shared" si="13"/>
        <v>-6784768.546476634</v>
      </c>
      <c r="I39" s="35">
        <f t="shared" si="13"/>
        <v>-5840712.351788726</v>
      </c>
      <c r="J39" s="35">
        <f t="shared" si="13"/>
        <v>-4982479.44752699</v>
      </c>
      <c r="K39" s="35">
        <f t="shared" si="13"/>
        <v>-4202267.716379958</v>
      </c>
      <c r="L39" s="35">
        <f t="shared" si="13"/>
        <v>-3492984.324428111</v>
      </c>
      <c r="M39" s="35">
        <f t="shared" si="13"/>
        <v>-2848181.2408355223</v>
      </c>
      <c r="N39" s="35">
        <f t="shared" si="13"/>
        <v>-2261996.6193877147</v>
      </c>
      <c r="O39" s="35">
        <f t="shared" si="13"/>
        <v>-1729101.508980617</v>
      </c>
      <c r="P39" s="35">
        <f t="shared" si="13"/>
        <v>-1244651.408610528</v>
      </c>
      <c r="Q39" s="35">
        <f t="shared" si="13"/>
        <v>-804242.226455902</v>
      </c>
      <c r="R39" s="42">
        <f t="shared" si="13"/>
        <v>-403870.24267896917</v>
      </c>
      <c r="S39" s="35">
        <f t="shared" si="13"/>
        <v>-39895.71197266661</v>
      </c>
      <c r="T39" s="35">
        <f t="shared" si="13"/>
        <v>290990.225033063</v>
      </c>
      <c r="U39" s="35">
        <f t="shared" si="13"/>
        <v>591795.622310999</v>
      </c>
      <c r="V39" s="35">
        <f t="shared" si="13"/>
        <v>865255.0743818498</v>
      </c>
      <c r="W39" s="35">
        <f t="shared" si="13"/>
        <v>1113854.5762644415</v>
      </c>
      <c r="X39" s="35">
        <f t="shared" si="13"/>
        <v>1339854.123430434</v>
      </c>
      <c r="Y39" s="35">
        <f t="shared" si="13"/>
        <v>1545308.2572176997</v>
      </c>
      <c r="Z39" s="35">
        <f t="shared" si="13"/>
        <v>1732084.7424788503</v>
      </c>
      <c r="AA39" s="35">
        <f t="shared" si="13"/>
        <v>1901881.5472617145</v>
      </c>
      <c r="AB39" s="35">
        <f t="shared" si="13"/>
        <v>2056242.2788825002</v>
      </c>
      <c r="AC39" s="35">
        <f t="shared" si="13"/>
        <v>2196570.216719578</v>
      </c>
      <c r="AD39" s="35">
        <f t="shared" si="13"/>
        <v>2324141.0692987395</v>
      </c>
      <c r="AE39" s="35">
        <f t="shared" si="13"/>
        <v>2440114.571643432</v>
      </c>
      <c r="AF39" s="35">
        <f t="shared" si="13"/>
        <v>2545545.028320425</v>
      </c>
      <c r="AG39" s="35">
        <f t="shared" si="13"/>
        <v>2641390.8980267826</v>
      </c>
      <c r="AH39" s="35">
        <f t="shared" si="13"/>
        <v>2728523.5068507437</v>
      </c>
      <c r="AI39" s="35">
        <f t="shared" si="13"/>
        <v>2807734.9694179813</v>
      </c>
    </row>
    <row r="40" spans="2:35" ht="12.75">
      <c r="B40" s="57" t="s">
        <v>83</v>
      </c>
      <c r="C40" s="34"/>
      <c r="D40" s="34">
        <f>SUM(F37:AI37)</f>
        <v>13029812.12075329</v>
      </c>
      <c r="E40" s="35"/>
      <c r="F40" s="35"/>
      <c r="G40" s="35"/>
      <c r="H40" s="35"/>
      <c r="I40" s="35"/>
      <c r="J40" s="35"/>
      <c r="K40" s="35"/>
      <c r="L40" s="35"/>
      <c r="M40" s="35"/>
      <c r="N40" s="35"/>
      <c r="O40" s="35"/>
      <c r="P40" s="35"/>
      <c r="Q40" s="35"/>
      <c r="R40" s="42"/>
      <c r="S40" s="35"/>
      <c r="T40" s="35"/>
      <c r="U40" s="35"/>
      <c r="V40" s="35"/>
      <c r="W40" s="35"/>
      <c r="X40" s="35"/>
      <c r="Y40" s="35"/>
      <c r="Z40" s="35"/>
      <c r="AA40" s="35"/>
      <c r="AB40" s="35"/>
      <c r="AC40" s="35"/>
      <c r="AD40" s="35"/>
      <c r="AE40" s="35"/>
      <c r="AF40" s="35"/>
      <c r="AG40" s="35"/>
      <c r="AH40" s="35"/>
      <c r="AI40" s="35"/>
    </row>
    <row r="41" spans="2:35" ht="12.75">
      <c r="B41" s="57" t="s">
        <v>84</v>
      </c>
      <c r="C41" s="34"/>
      <c r="D41" s="34">
        <f>-(D37+E37)</f>
        <v>10222077.15133531</v>
      </c>
      <c r="E41" s="35"/>
      <c r="F41" s="35"/>
      <c r="G41" s="35"/>
      <c r="H41" s="35"/>
      <c r="I41" s="35"/>
      <c r="J41" s="35"/>
      <c r="K41" s="35"/>
      <c r="L41" s="35"/>
      <c r="M41" s="35"/>
      <c r="N41" s="35"/>
      <c r="O41" s="35"/>
      <c r="P41" s="35"/>
      <c r="Q41" s="35"/>
      <c r="R41" s="42"/>
      <c r="S41" s="35"/>
      <c r="T41" s="35"/>
      <c r="U41" s="35"/>
      <c r="V41" s="35"/>
      <c r="W41" s="35"/>
      <c r="X41" s="35"/>
      <c r="Y41" s="35"/>
      <c r="Z41" s="35"/>
      <c r="AA41" s="35"/>
      <c r="AB41" s="35"/>
      <c r="AC41" s="35"/>
      <c r="AD41" s="35"/>
      <c r="AE41" s="35"/>
      <c r="AF41" s="35"/>
      <c r="AG41" s="35"/>
      <c r="AH41" s="35"/>
      <c r="AI41" s="35"/>
    </row>
    <row r="42" spans="2:35" ht="12.75">
      <c r="B42" s="22" t="s">
        <v>36</v>
      </c>
      <c r="C42" s="38">
        <f>SUM(C37:AI37)</f>
        <v>2807734.9694179813</v>
      </c>
      <c r="D42" s="43">
        <f>SUM(D37:AI37)</f>
        <v>2807734.9694179813</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row>
    <row r="43" spans="2:35" ht="12.75">
      <c r="B43" s="22" t="s">
        <v>37</v>
      </c>
      <c r="C43" s="44">
        <f>IRR(C36:AI36,0.13)</f>
        <v>0.12990090060108223</v>
      </c>
      <c r="D43" s="45">
        <f>IRR(C36:AI36,0.13)</f>
        <v>0.12990090060108223</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2:35" ht="12.75">
      <c r="B44" s="22" t="s">
        <v>85</v>
      </c>
      <c r="C44" s="38">
        <f>9+(L37+M37)/M37</f>
        <v>11.1</v>
      </c>
      <c r="D44" s="43">
        <f>9+L38/-M36</f>
        <v>9.04338241064534</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2:35" ht="12.75">
      <c r="B45" s="22" t="s">
        <v>58</v>
      </c>
      <c r="C45" s="38">
        <f>9+(L38+M38)/M38</f>
        <v>9.954650205967251</v>
      </c>
      <c r="D45" s="43">
        <f>D40/D41</f>
        <v>1.2746736233595346</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row>
    <row r="46" spans="2:35" ht="12.75">
      <c r="B46" s="36"/>
      <c r="C46" s="34"/>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row>
    <row r="48" spans="5:35" ht="12.75" hidden="1">
      <c r="E48">
        <v>1</v>
      </c>
      <c r="F48">
        <v>2</v>
      </c>
      <c r="G48">
        <v>3</v>
      </c>
      <c r="H48">
        <v>4</v>
      </c>
      <c r="I48">
        <v>5</v>
      </c>
      <c r="J48">
        <v>6</v>
      </c>
      <c r="K48">
        <v>7</v>
      </c>
      <c r="L48">
        <v>8</v>
      </c>
      <c r="M48">
        <v>9</v>
      </c>
      <c r="N48">
        <v>10</v>
      </c>
      <c r="O48">
        <v>11</v>
      </c>
      <c r="P48">
        <v>12</v>
      </c>
      <c r="Q48">
        <v>13</v>
      </c>
      <c r="R48">
        <v>14</v>
      </c>
      <c r="S48">
        <v>15</v>
      </c>
      <c r="T48">
        <v>16</v>
      </c>
      <c r="U48">
        <v>17</v>
      </c>
      <c r="V48">
        <v>18</v>
      </c>
      <c r="W48">
        <v>19</v>
      </c>
      <c r="X48">
        <v>20</v>
      </c>
      <c r="Y48">
        <v>21</v>
      </c>
      <c r="Z48">
        <v>22</v>
      </c>
      <c r="AA48">
        <v>23</v>
      </c>
      <c r="AB48">
        <v>24</v>
      </c>
      <c r="AC48">
        <v>25</v>
      </c>
      <c r="AD48">
        <v>26</v>
      </c>
      <c r="AE48">
        <v>27</v>
      </c>
      <c r="AF48">
        <v>28</v>
      </c>
      <c r="AG48">
        <v>29</v>
      </c>
      <c r="AH48">
        <v>30</v>
      </c>
      <c r="AI48">
        <v>31</v>
      </c>
    </row>
    <row r="50" ht="13.5" thickBot="1">
      <c r="B50" s="36" t="s">
        <v>55</v>
      </c>
    </row>
    <row r="51" spans="2:35" ht="12.75">
      <c r="B51" s="25" t="s">
        <v>0</v>
      </c>
      <c r="C51" s="26"/>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row>
    <row r="52" spans="2:35" ht="13.5" thickBot="1">
      <c r="B52" s="29"/>
      <c r="C52" s="30">
        <v>2007</v>
      </c>
      <c r="D52" s="30">
        <v>2008</v>
      </c>
      <c r="E52" s="30">
        <v>2009</v>
      </c>
      <c r="F52" s="30">
        <v>2010</v>
      </c>
      <c r="G52" s="30">
        <v>2011</v>
      </c>
      <c r="H52" s="30">
        <v>2012</v>
      </c>
      <c r="I52" s="30">
        <v>2013</v>
      </c>
      <c r="J52" s="30">
        <v>2014</v>
      </c>
      <c r="K52" s="30">
        <v>2015</v>
      </c>
      <c r="L52" s="30">
        <v>2016</v>
      </c>
      <c r="M52" s="30">
        <v>2017</v>
      </c>
      <c r="N52" s="30">
        <v>2018</v>
      </c>
      <c r="O52" s="30">
        <v>2019</v>
      </c>
      <c r="P52" s="30">
        <v>2020</v>
      </c>
      <c r="Q52" s="30">
        <v>2021</v>
      </c>
      <c r="R52" s="30">
        <v>2022</v>
      </c>
      <c r="S52" s="30">
        <v>2023</v>
      </c>
      <c r="T52" s="30">
        <v>2024</v>
      </c>
      <c r="U52" s="30">
        <v>2025</v>
      </c>
      <c r="V52" s="30">
        <v>2026</v>
      </c>
      <c r="W52" s="30">
        <v>2027</v>
      </c>
      <c r="X52" s="30">
        <v>2028</v>
      </c>
      <c r="Y52" s="30">
        <v>2029</v>
      </c>
      <c r="Z52" s="30">
        <v>2030</v>
      </c>
      <c r="AA52" s="30">
        <v>2031</v>
      </c>
      <c r="AB52" s="30">
        <v>2032</v>
      </c>
      <c r="AC52" s="30">
        <v>2033</v>
      </c>
      <c r="AD52" s="30">
        <v>2034</v>
      </c>
      <c r="AE52" s="30">
        <v>2035</v>
      </c>
      <c r="AF52" s="30">
        <v>2036</v>
      </c>
      <c r="AG52" s="30">
        <v>2037</v>
      </c>
      <c r="AH52" s="30">
        <v>2038</v>
      </c>
      <c r="AI52" s="31">
        <v>2039</v>
      </c>
    </row>
    <row r="53" spans="2:35" ht="12.75">
      <c r="B53" s="2" t="s">
        <v>73</v>
      </c>
      <c r="C53" s="32">
        <v>0</v>
      </c>
      <c r="D53" s="33">
        <f>-'Alternative 1.3'!$D$23/2</f>
        <v>-5354421.364985163</v>
      </c>
      <c r="E53" s="33">
        <f>D53</f>
        <v>-5354421.364985163</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2:35" ht="12.75">
      <c r="B54" s="22"/>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row>
    <row r="55" spans="2:35" ht="12.75">
      <c r="B55" s="37" t="s">
        <v>87</v>
      </c>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row>
    <row r="56" spans="2:35" ht="12.75">
      <c r="B56" s="22" t="s">
        <v>93</v>
      </c>
      <c r="C56" s="34"/>
      <c r="D56" s="35"/>
      <c r="E56" s="35"/>
      <c r="F56" s="35">
        <f>'Alternative 1.3'!$D$7*('Alternative 1.3'!$D$12-'Alternative 1.3'!$D$18*1.1)</f>
        <v>898778.2018664684</v>
      </c>
      <c r="G56" s="35">
        <f aca="true" t="shared" si="14" ref="G56:AI56">F56</f>
        <v>898778.2018664684</v>
      </c>
      <c r="H56" s="35">
        <f t="shared" si="14"/>
        <v>898778.2018664684</v>
      </c>
      <c r="I56" s="35">
        <f t="shared" si="14"/>
        <v>898778.2018664684</v>
      </c>
      <c r="J56" s="35">
        <f t="shared" si="14"/>
        <v>898778.2018664684</v>
      </c>
      <c r="K56" s="35">
        <f t="shared" si="14"/>
        <v>898778.2018664684</v>
      </c>
      <c r="L56" s="35">
        <f t="shared" si="14"/>
        <v>898778.2018664684</v>
      </c>
      <c r="M56" s="35">
        <f t="shared" si="14"/>
        <v>898778.2018664684</v>
      </c>
      <c r="N56" s="35">
        <f t="shared" si="14"/>
        <v>898778.2018664684</v>
      </c>
      <c r="O56" s="35">
        <f t="shared" si="14"/>
        <v>898778.2018664684</v>
      </c>
      <c r="P56" s="35">
        <f t="shared" si="14"/>
        <v>898778.2018664684</v>
      </c>
      <c r="Q56" s="35">
        <f t="shared" si="14"/>
        <v>898778.2018664684</v>
      </c>
      <c r="R56" s="35">
        <f t="shared" si="14"/>
        <v>898778.2018664684</v>
      </c>
      <c r="S56" s="35">
        <f t="shared" si="14"/>
        <v>898778.2018664684</v>
      </c>
      <c r="T56" s="35">
        <f t="shared" si="14"/>
        <v>898778.2018664684</v>
      </c>
      <c r="U56" s="35">
        <f t="shared" si="14"/>
        <v>898778.2018664684</v>
      </c>
      <c r="V56" s="35">
        <f t="shared" si="14"/>
        <v>898778.2018664684</v>
      </c>
      <c r="W56" s="35">
        <f t="shared" si="14"/>
        <v>898778.2018664684</v>
      </c>
      <c r="X56" s="35">
        <f t="shared" si="14"/>
        <v>898778.2018664684</v>
      </c>
      <c r="Y56" s="35">
        <f t="shared" si="14"/>
        <v>898778.2018664684</v>
      </c>
      <c r="Z56" s="35">
        <f t="shared" si="14"/>
        <v>898778.2018664684</v>
      </c>
      <c r="AA56" s="35">
        <f t="shared" si="14"/>
        <v>898778.2018664684</v>
      </c>
      <c r="AB56" s="35">
        <f t="shared" si="14"/>
        <v>898778.2018664684</v>
      </c>
      <c r="AC56" s="35">
        <f t="shared" si="14"/>
        <v>898778.2018664684</v>
      </c>
      <c r="AD56" s="35">
        <f t="shared" si="14"/>
        <v>898778.2018664684</v>
      </c>
      <c r="AE56" s="35">
        <f t="shared" si="14"/>
        <v>898778.2018664684</v>
      </c>
      <c r="AF56" s="35">
        <f t="shared" si="14"/>
        <v>898778.2018664684</v>
      </c>
      <c r="AG56" s="35">
        <f t="shared" si="14"/>
        <v>898778.2018664684</v>
      </c>
      <c r="AH56" s="35">
        <f t="shared" si="14"/>
        <v>898778.2018664684</v>
      </c>
      <c r="AI56" s="35">
        <f t="shared" si="14"/>
        <v>898778.2018664684</v>
      </c>
    </row>
    <row r="57" spans="2:35" ht="12.75">
      <c r="B57" s="22" t="s">
        <v>77</v>
      </c>
      <c r="C57" s="34"/>
      <c r="D57" s="34"/>
      <c r="E57" s="34"/>
      <c r="F57" s="34">
        <f>'Alternative 1.3'!$D$6*('Alternative 1.3'!$D$20-'Alternative 1.3'!$D$18*1.1)</f>
        <v>287300.14451038564</v>
      </c>
      <c r="G57" s="34">
        <f aca="true" t="shared" si="15" ref="G57:AI57">F57</f>
        <v>287300.14451038564</v>
      </c>
      <c r="H57" s="34">
        <f t="shared" si="15"/>
        <v>287300.14451038564</v>
      </c>
      <c r="I57" s="34">
        <f t="shared" si="15"/>
        <v>287300.14451038564</v>
      </c>
      <c r="J57" s="34">
        <f t="shared" si="15"/>
        <v>287300.14451038564</v>
      </c>
      <c r="K57" s="34">
        <f t="shared" si="15"/>
        <v>287300.14451038564</v>
      </c>
      <c r="L57" s="34">
        <f t="shared" si="15"/>
        <v>287300.14451038564</v>
      </c>
      <c r="M57" s="34">
        <f t="shared" si="15"/>
        <v>287300.14451038564</v>
      </c>
      <c r="N57" s="34">
        <f t="shared" si="15"/>
        <v>287300.14451038564</v>
      </c>
      <c r="O57" s="34">
        <f t="shared" si="15"/>
        <v>287300.14451038564</v>
      </c>
      <c r="P57" s="34">
        <f t="shared" si="15"/>
        <v>287300.14451038564</v>
      </c>
      <c r="Q57" s="34">
        <f t="shared" si="15"/>
        <v>287300.14451038564</v>
      </c>
      <c r="R57" s="34">
        <f t="shared" si="15"/>
        <v>287300.14451038564</v>
      </c>
      <c r="S57" s="34">
        <f t="shared" si="15"/>
        <v>287300.14451038564</v>
      </c>
      <c r="T57" s="34">
        <f t="shared" si="15"/>
        <v>287300.14451038564</v>
      </c>
      <c r="U57" s="34">
        <f t="shared" si="15"/>
        <v>287300.14451038564</v>
      </c>
      <c r="V57" s="34">
        <f t="shared" si="15"/>
        <v>287300.14451038564</v>
      </c>
      <c r="W57" s="34">
        <f t="shared" si="15"/>
        <v>287300.14451038564</v>
      </c>
      <c r="X57" s="34">
        <f t="shared" si="15"/>
        <v>287300.14451038564</v>
      </c>
      <c r="Y57" s="34">
        <f t="shared" si="15"/>
        <v>287300.14451038564</v>
      </c>
      <c r="Z57" s="34">
        <f t="shared" si="15"/>
        <v>287300.14451038564</v>
      </c>
      <c r="AA57" s="34">
        <f t="shared" si="15"/>
        <v>287300.14451038564</v>
      </c>
      <c r="AB57" s="34">
        <f t="shared" si="15"/>
        <v>287300.14451038564</v>
      </c>
      <c r="AC57" s="34">
        <f t="shared" si="15"/>
        <v>287300.14451038564</v>
      </c>
      <c r="AD57" s="34">
        <f t="shared" si="15"/>
        <v>287300.14451038564</v>
      </c>
      <c r="AE57" s="34">
        <f t="shared" si="15"/>
        <v>287300.14451038564</v>
      </c>
      <c r="AF57" s="34">
        <f t="shared" si="15"/>
        <v>287300.14451038564</v>
      </c>
      <c r="AG57" s="34">
        <f t="shared" si="15"/>
        <v>287300.14451038564</v>
      </c>
      <c r="AH57" s="34">
        <f t="shared" si="15"/>
        <v>287300.14451038564</v>
      </c>
      <c r="AI57" s="34">
        <f t="shared" si="15"/>
        <v>287300.14451038564</v>
      </c>
    </row>
    <row r="58" spans="2:35" ht="12.75">
      <c r="B58" s="57" t="s">
        <v>78</v>
      </c>
      <c r="C58" s="34"/>
      <c r="D58" s="34"/>
      <c r="E58" s="34"/>
      <c r="F58" s="34">
        <f>'Alternative 1.3'!D16</f>
        <v>92906.74896142431</v>
      </c>
      <c r="G58" s="34">
        <f>F58</f>
        <v>92906.74896142431</v>
      </c>
      <c r="H58" s="34">
        <f aca="true" t="shared" si="16" ref="H58:AI58">G58</f>
        <v>92906.74896142431</v>
      </c>
      <c r="I58" s="34">
        <f t="shared" si="16"/>
        <v>92906.74896142431</v>
      </c>
      <c r="J58" s="34">
        <f t="shared" si="16"/>
        <v>92906.74896142431</v>
      </c>
      <c r="K58" s="34">
        <f t="shared" si="16"/>
        <v>92906.74896142431</v>
      </c>
      <c r="L58" s="34">
        <f t="shared" si="16"/>
        <v>92906.74896142431</v>
      </c>
      <c r="M58" s="34">
        <f t="shared" si="16"/>
        <v>92906.74896142431</v>
      </c>
      <c r="N58" s="34">
        <f t="shared" si="16"/>
        <v>92906.74896142431</v>
      </c>
      <c r="O58" s="34">
        <f t="shared" si="16"/>
        <v>92906.74896142431</v>
      </c>
      <c r="P58" s="34">
        <f t="shared" si="16"/>
        <v>92906.74896142431</v>
      </c>
      <c r="Q58" s="34">
        <f t="shared" si="16"/>
        <v>92906.74896142431</v>
      </c>
      <c r="R58" s="34">
        <f t="shared" si="16"/>
        <v>92906.74896142431</v>
      </c>
      <c r="S58" s="34">
        <f t="shared" si="16"/>
        <v>92906.74896142431</v>
      </c>
      <c r="T58" s="34">
        <f t="shared" si="16"/>
        <v>92906.74896142431</v>
      </c>
      <c r="U58" s="34">
        <f t="shared" si="16"/>
        <v>92906.74896142431</v>
      </c>
      <c r="V58" s="34">
        <f t="shared" si="16"/>
        <v>92906.74896142431</v>
      </c>
      <c r="W58" s="34">
        <f t="shared" si="16"/>
        <v>92906.74896142431</v>
      </c>
      <c r="X58" s="34">
        <f t="shared" si="16"/>
        <v>92906.74896142431</v>
      </c>
      <c r="Y58" s="34">
        <f t="shared" si="16"/>
        <v>92906.74896142431</v>
      </c>
      <c r="Z58" s="34">
        <f t="shared" si="16"/>
        <v>92906.74896142431</v>
      </c>
      <c r="AA58" s="34">
        <f t="shared" si="16"/>
        <v>92906.74896142431</v>
      </c>
      <c r="AB58" s="34">
        <f t="shared" si="16"/>
        <v>92906.74896142431</v>
      </c>
      <c r="AC58" s="34">
        <f t="shared" si="16"/>
        <v>92906.74896142431</v>
      </c>
      <c r="AD58" s="34">
        <f t="shared" si="16"/>
        <v>92906.74896142431</v>
      </c>
      <c r="AE58" s="34">
        <f t="shared" si="16"/>
        <v>92906.74896142431</v>
      </c>
      <c r="AF58" s="34">
        <f t="shared" si="16"/>
        <v>92906.74896142431</v>
      </c>
      <c r="AG58" s="34">
        <f t="shared" si="16"/>
        <v>92906.74896142431</v>
      </c>
      <c r="AH58" s="34">
        <f t="shared" si="16"/>
        <v>92906.74896142431</v>
      </c>
      <c r="AI58" s="34">
        <f t="shared" si="16"/>
        <v>92906.74896142431</v>
      </c>
    </row>
    <row r="59" spans="2:35" ht="12.75">
      <c r="B59" s="37" t="s">
        <v>79</v>
      </c>
      <c r="C59" s="38">
        <f>SUM(C53:C56)</f>
        <v>0</v>
      </c>
      <c r="D59" s="38">
        <f>SUM(D53:D58)</f>
        <v>-5354421.364985163</v>
      </c>
      <c r="E59" s="38">
        <f aca="true" t="shared" si="17" ref="E59:AI59">SUM(E53:E58)</f>
        <v>-5354421.364985163</v>
      </c>
      <c r="F59" s="38">
        <f t="shared" si="17"/>
        <v>1278985.0953382782</v>
      </c>
      <c r="G59" s="38">
        <f t="shared" si="17"/>
        <v>1278985.0953382782</v>
      </c>
      <c r="H59" s="38">
        <f t="shared" si="17"/>
        <v>1278985.0953382782</v>
      </c>
      <c r="I59" s="38">
        <f t="shared" si="17"/>
        <v>1278985.0953382782</v>
      </c>
      <c r="J59" s="38">
        <f t="shared" si="17"/>
        <v>1278985.0953382782</v>
      </c>
      <c r="K59" s="38">
        <f t="shared" si="17"/>
        <v>1278985.0953382782</v>
      </c>
      <c r="L59" s="38">
        <f t="shared" si="17"/>
        <v>1278985.0953382782</v>
      </c>
      <c r="M59" s="38">
        <f t="shared" si="17"/>
        <v>1278985.0953382782</v>
      </c>
      <c r="N59" s="38">
        <f t="shared" si="17"/>
        <v>1278985.0953382782</v>
      </c>
      <c r="O59" s="38">
        <f t="shared" si="17"/>
        <v>1278985.0953382782</v>
      </c>
      <c r="P59" s="38">
        <f t="shared" si="17"/>
        <v>1278985.0953382782</v>
      </c>
      <c r="Q59" s="38">
        <f t="shared" si="17"/>
        <v>1278985.0953382782</v>
      </c>
      <c r="R59" s="38">
        <f t="shared" si="17"/>
        <v>1278985.0953382782</v>
      </c>
      <c r="S59" s="38">
        <f t="shared" si="17"/>
        <v>1278985.0953382782</v>
      </c>
      <c r="T59" s="38">
        <f t="shared" si="17"/>
        <v>1278985.0953382782</v>
      </c>
      <c r="U59" s="38">
        <f t="shared" si="17"/>
        <v>1278985.0953382782</v>
      </c>
      <c r="V59" s="38">
        <f t="shared" si="17"/>
        <v>1278985.0953382782</v>
      </c>
      <c r="W59" s="38">
        <f t="shared" si="17"/>
        <v>1278985.0953382782</v>
      </c>
      <c r="X59" s="38">
        <f t="shared" si="17"/>
        <v>1278985.0953382782</v>
      </c>
      <c r="Y59" s="38">
        <f t="shared" si="17"/>
        <v>1278985.0953382782</v>
      </c>
      <c r="Z59" s="38">
        <f t="shared" si="17"/>
        <v>1278985.0953382782</v>
      </c>
      <c r="AA59" s="38">
        <f t="shared" si="17"/>
        <v>1278985.0953382782</v>
      </c>
      <c r="AB59" s="38">
        <f t="shared" si="17"/>
        <v>1278985.0953382782</v>
      </c>
      <c r="AC59" s="38">
        <f t="shared" si="17"/>
        <v>1278985.0953382782</v>
      </c>
      <c r="AD59" s="38">
        <f t="shared" si="17"/>
        <v>1278985.0953382782</v>
      </c>
      <c r="AE59" s="38">
        <f t="shared" si="17"/>
        <v>1278985.0953382782</v>
      </c>
      <c r="AF59" s="38">
        <f t="shared" si="17"/>
        <v>1278985.0953382782</v>
      </c>
      <c r="AG59" s="38">
        <f t="shared" si="17"/>
        <v>1278985.0953382782</v>
      </c>
      <c r="AH59" s="38">
        <f t="shared" si="17"/>
        <v>1278985.0953382782</v>
      </c>
      <c r="AI59" s="38">
        <f t="shared" si="17"/>
        <v>1278985.0953382782</v>
      </c>
    </row>
    <row r="60" spans="2:35" ht="12.75">
      <c r="B60" s="22" t="s">
        <v>80</v>
      </c>
      <c r="C60" s="34">
        <f>C59</f>
        <v>0</v>
      </c>
      <c r="D60" s="35">
        <f>D59</f>
        <v>-5354421.364985163</v>
      </c>
      <c r="E60" s="35">
        <f>E59/1.1</f>
        <v>-4867655.786350148</v>
      </c>
      <c r="F60" s="35">
        <f>F59/1.1^2</f>
        <v>1057012.4754861803</v>
      </c>
      <c r="G60" s="35">
        <f>G59/1.1^3</f>
        <v>960920.4322601637</v>
      </c>
      <c r="H60" s="35">
        <f aca="true" t="shared" si="18" ref="H60:AI60">H59/1.1^H71</f>
        <v>873564.0293274216</v>
      </c>
      <c r="I60" s="35">
        <f t="shared" si="18"/>
        <v>794149.1175703831</v>
      </c>
      <c r="J60" s="35">
        <f t="shared" si="18"/>
        <v>721953.7432458028</v>
      </c>
      <c r="K60" s="35">
        <f t="shared" si="18"/>
        <v>656321.5847689115</v>
      </c>
      <c r="L60" s="35">
        <f t="shared" si="18"/>
        <v>596655.986153556</v>
      </c>
      <c r="M60" s="35">
        <f t="shared" si="18"/>
        <v>542414.532866869</v>
      </c>
      <c r="N60" s="35">
        <f t="shared" si="18"/>
        <v>493104.1207880627</v>
      </c>
      <c r="O60" s="35">
        <f t="shared" si="18"/>
        <v>448276.4734436933</v>
      </c>
      <c r="P60" s="35">
        <f t="shared" si="18"/>
        <v>407524.0667669939</v>
      </c>
      <c r="Q60" s="35">
        <f t="shared" si="18"/>
        <v>370476.4243336308</v>
      </c>
      <c r="R60" s="35">
        <f t="shared" si="18"/>
        <v>336796.74939420976</v>
      </c>
      <c r="S60" s="35">
        <f t="shared" si="18"/>
        <v>306178.86308564525</v>
      </c>
      <c r="T60" s="35">
        <f t="shared" si="18"/>
        <v>278344.4209869502</v>
      </c>
      <c r="U60" s="35">
        <f t="shared" si="18"/>
        <v>253040.3827154093</v>
      </c>
      <c r="V60" s="35">
        <f t="shared" si="18"/>
        <v>230036.71155946297</v>
      </c>
      <c r="W60" s="35">
        <f t="shared" si="18"/>
        <v>209124.28323587537</v>
      </c>
      <c r="X60" s="35">
        <f t="shared" si="18"/>
        <v>190112.98475988672</v>
      </c>
      <c r="Y60" s="35">
        <f t="shared" si="18"/>
        <v>172829.98614535155</v>
      </c>
      <c r="Z60" s="35">
        <f t="shared" si="18"/>
        <v>157118.16922304683</v>
      </c>
      <c r="AA60" s="35">
        <f t="shared" si="18"/>
        <v>142834.69929367892</v>
      </c>
      <c r="AB60" s="35">
        <f t="shared" si="18"/>
        <v>129849.72663061722</v>
      </c>
      <c r="AC60" s="35">
        <f t="shared" si="18"/>
        <v>118045.20602783382</v>
      </c>
      <c r="AD60" s="35">
        <f t="shared" si="18"/>
        <v>107313.8236616671</v>
      </c>
      <c r="AE60" s="35">
        <f t="shared" si="18"/>
        <v>97558.02151060644</v>
      </c>
      <c r="AF60" s="35">
        <f t="shared" si="18"/>
        <v>88689.11046418767</v>
      </c>
      <c r="AG60" s="35">
        <f t="shared" si="18"/>
        <v>80626.46405835243</v>
      </c>
      <c r="AH60" s="35">
        <f t="shared" si="18"/>
        <v>73296.7855075931</v>
      </c>
      <c r="AI60" s="35">
        <f t="shared" si="18"/>
        <v>66633.44137053919</v>
      </c>
    </row>
    <row r="61" spans="2:35" ht="12.75">
      <c r="B61" s="22" t="s">
        <v>81</v>
      </c>
      <c r="C61" s="34">
        <f>C59</f>
        <v>0</v>
      </c>
      <c r="D61" s="34">
        <f>D59</f>
        <v>-5354421.364985163</v>
      </c>
      <c r="E61" s="35">
        <f aca="true" t="shared" si="19" ref="E61:AI61">D61+E59</f>
        <v>-10708842.729970327</v>
      </c>
      <c r="F61" s="35">
        <f t="shared" si="19"/>
        <v>-9429857.63463205</v>
      </c>
      <c r="G61" s="40">
        <f t="shared" si="19"/>
        <v>-8150872.539293771</v>
      </c>
      <c r="H61" s="35">
        <f t="shared" si="19"/>
        <v>-6871887.443955492</v>
      </c>
      <c r="I61" s="35">
        <f t="shared" si="19"/>
        <v>-5592902.348617214</v>
      </c>
      <c r="J61" s="35">
        <f t="shared" si="19"/>
        <v>-4313917.253278935</v>
      </c>
      <c r="K61" s="35">
        <f t="shared" si="19"/>
        <v>-3034932.157940657</v>
      </c>
      <c r="L61" s="40">
        <f t="shared" si="19"/>
        <v>-1755947.0626023787</v>
      </c>
      <c r="M61" s="40">
        <f t="shared" si="19"/>
        <v>-476961.96726410044</v>
      </c>
      <c r="N61" s="41">
        <f t="shared" si="19"/>
        <v>802023.1280741778</v>
      </c>
      <c r="O61" s="40">
        <f t="shared" si="19"/>
        <v>2081008.223412456</v>
      </c>
      <c r="P61" s="35">
        <f t="shared" si="19"/>
        <v>3359993.3187507344</v>
      </c>
      <c r="Q61" s="35">
        <f t="shared" si="19"/>
        <v>4638978.414089013</v>
      </c>
      <c r="R61" s="35">
        <f t="shared" si="19"/>
        <v>5917963.509427291</v>
      </c>
      <c r="S61" s="35">
        <f t="shared" si="19"/>
        <v>7196948.60476557</v>
      </c>
      <c r="T61" s="35">
        <f t="shared" si="19"/>
        <v>8475933.700103847</v>
      </c>
      <c r="U61" s="35">
        <f t="shared" si="19"/>
        <v>9754918.795442125</v>
      </c>
      <c r="V61" s="35">
        <f t="shared" si="19"/>
        <v>11033903.890780402</v>
      </c>
      <c r="W61" s="35">
        <f t="shared" si="19"/>
        <v>12312888.98611868</v>
      </c>
      <c r="X61" s="35">
        <f t="shared" si="19"/>
        <v>13591874.081456957</v>
      </c>
      <c r="Y61" s="35">
        <f t="shared" si="19"/>
        <v>14870859.176795235</v>
      </c>
      <c r="Z61" s="35">
        <f t="shared" si="19"/>
        <v>16149844.272133512</v>
      </c>
      <c r="AA61" s="35">
        <f t="shared" si="19"/>
        <v>17428829.36747179</v>
      </c>
      <c r="AB61" s="35">
        <f t="shared" si="19"/>
        <v>18707814.46281007</v>
      </c>
      <c r="AC61" s="35">
        <f t="shared" si="19"/>
        <v>19986799.558148347</v>
      </c>
      <c r="AD61" s="35">
        <f t="shared" si="19"/>
        <v>21265784.653486624</v>
      </c>
      <c r="AE61" s="35">
        <f t="shared" si="19"/>
        <v>22544769.748824902</v>
      </c>
      <c r="AF61" s="35">
        <f t="shared" si="19"/>
        <v>23823754.84416318</v>
      </c>
      <c r="AG61" s="35">
        <f t="shared" si="19"/>
        <v>25102739.939501457</v>
      </c>
      <c r="AH61" s="35">
        <f t="shared" si="19"/>
        <v>26381725.034839734</v>
      </c>
      <c r="AI61" s="35">
        <f t="shared" si="19"/>
        <v>27660710.130178012</v>
      </c>
    </row>
    <row r="62" spans="2:35" ht="12.75">
      <c r="B62" s="22" t="s">
        <v>82</v>
      </c>
      <c r="C62" s="34">
        <f>C60</f>
        <v>0</v>
      </c>
      <c r="D62" s="34">
        <f>D60</f>
        <v>-5354421.364985163</v>
      </c>
      <c r="E62" s="35">
        <f aca="true" t="shared" si="20" ref="E62:AI62">E60+D62</f>
        <v>-10222077.15133531</v>
      </c>
      <c r="F62" s="35">
        <f t="shared" si="20"/>
        <v>-9165064.67584913</v>
      </c>
      <c r="G62" s="35">
        <f t="shared" si="20"/>
        <v>-8204144.243588966</v>
      </c>
      <c r="H62" s="35">
        <f t="shared" si="20"/>
        <v>-7330580.214261545</v>
      </c>
      <c r="I62" s="35">
        <f t="shared" si="20"/>
        <v>-6536431.096691161</v>
      </c>
      <c r="J62" s="35">
        <f t="shared" si="20"/>
        <v>-5814477.353445359</v>
      </c>
      <c r="K62" s="35">
        <f t="shared" si="20"/>
        <v>-5158155.768676447</v>
      </c>
      <c r="L62" s="35">
        <f t="shared" si="20"/>
        <v>-4561499.782522891</v>
      </c>
      <c r="M62" s="35">
        <f t="shared" si="20"/>
        <v>-4019085.2496560216</v>
      </c>
      <c r="N62" s="35">
        <f t="shared" si="20"/>
        <v>-3525981.1288679587</v>
      </c>
      <c r="O62" s="35">
        <f t="shared" si="20"/>
        <v>-3077704.655424265</v>
      </c>
      <c r="P62" s="35">
        <f t="shared" si="20"/>
        <v>-2670180.588657271</v>
      </c>
      <c r="Q62" s="35">
        <f t="shared" si="20"/>
        <v>-2299704.16432364</v>
      </c>
      <c r="R62" s="42">
        <f t="shared" si="20"/>
        <v>-1962907.4149294302</v>
      </c>
      <c r="S62" s="35">
        <f t="shared" si="20"/>
        <v>-1656728.551843785</v>
      </c>
      <c r="T62" s="35">
        <f t="shared" si="20"/>
        <v>-1378384.1308568348</v>
      </c>
      <c r="U62" s="35">
        <f t="shared" si="20"/>
        <v>-1125343.7481414254</v>
      </c>
      <c r="V62" s="35">
        <f t="shared" si="20"/>
        <v>-895307.0365819625</v>
      </c>
      <c r="W62" s="35">
        <f t="shared" si="20"/>
        <v>-686182.7533460872</v>
      </c>
      <c r="X62" s="35">
        <f t="shared" si="20"/>
        <v>-496069.76858620043</v>
      </c>
      <c r="Y62" s="35">
        <f t="shared" si="20"/>
        <v>-323239.7824408489</v>
      </c>
      <c r="Z62" s="35">
        <f t="shared" si="20"/>
        <v>-166121.61321780205</v>
      </c>
      <c r="AA62" s="35">
        <f t="shared" si="20"/>
        <v>-23286.91392412313</v>
      </c>
      <c r="AB62" s="35">
        <f t="shared" si="20"/>
        <v>106562.81270649409</v>
      </c>
      <c r="AC62" s="35">
        <f t="shared" si="20"/>
        <v>224608.01873432792</v>
      </c>
      <c r="AD62" s="35">
        <f t="shared" si="20"/>
        <v>331921.84239599505</v>
      </c>
      <c r="AE62" s="35">
        <f t="shared" si="20"/>
        <v>429479.8639066015</v>
      </c>
      <c r="AF62" s="35">
        <f t="shared" si="20"/>
        <v>518168.9743707892</v>
      </c>
      <c r="AG62" s="35">
        <f t="shared" si="20"/>
        <v>598795.4384291416</v>
      </c>
      <c r="AH62" s="35">
        <f t="shared" si="20"/>
        <v>672092.2239367347</v>
      </c>
      <c r="AI62" s="35">
        <f t="shared" si="20"/>
        <v>738725.6653072739</v>
      </c>
    </row>
    <row r="63" spans="2:35" ht="12.75">
      <c r="B63" s="57" t="s">
        <v>83</v>
      </c>
      <c r="C63" s="34"/>
      <c r="D63" s="34">
        <f>SUM(F60:AI60)</f>
        <v>10960802.816642582</v>
      </c>
      <c r="E63" s="35"/>
      <c r="F63" s="35"/>
      <c r="G63" s="35"/>
      <c r="H63" s="35"/>
      <c r="I63" s="35"/>
      <c r="J63" s="35"/>
      <c r="K63" s="35"/>
      <c r="L63" s="35"/>
      <c r="M63" s="35"/>
      <c r="N63" s="35"/>
      <c r="O63" s="35"/>
      <c r="P63" s="35"/>
      <c r="Q63" s="35"/>
      <c r="R63" s="42"/>
      <c r="S63" s="35"/>
      <c r="T63" s="35"/>
      <c r="U63" s="35"/>
      <c r="V63" s="35"/>
      <c r="W63" s="35"/>
      <c r="X63" s="35"/>
      <c r="Y63" s="35"/>
      <c r="Z63" s="35"/>
      <c r="AA63" s="35"/>
      <c r="AB63" s="35"/>
      <c r="AC63" s="35"/>
      <c r="AD63" s="35"/>
      <c r="AE63" s="35"/>
      <c r="AF63" s="35"/>
      <c r="AG63" s="35"/>
      <c r="AH63" s="35"/>
      <c r="AI63" s="35"/>
    </row>
    <row r="64" spans="2:35" ht="12.75">
      <c r="B64" s="57" t="s">
        <v>84</v>
      </c>
      <c r="C64" s="34"/>
      <c r="D64" s="34">
        <f>-(D60+E60)</f>
        <v>10222077.15133531</v>
      </c>
      <c r="E64" s="35"/>
      <c r="F64" s="35"/>
      <c r="G64" s="35"/>
      <c r="H64" s="35"/>
      <c r="I64" s="35"/>
      <c r="J64" s="35"/>
      <c r="K64" s="35"/>
      <c r="L64" s="35"/>
      <c r="M64" s="35"/>
      <c r="N64" s="35"/>
      <c r="O64" s="35"/>
      <c r="P64" s="35"/>
      <c r="Q64" s="35"/>
      <c r="R64" s="42"/>
      <c r="S64" s="35"/>
      <c r="T64" s="35"/>
      <c r="U64" s="35"/>
      <c r="V64" s="35"/>
      <c r="W64" s="35"/>
      <c r="X64" s="35"/>
      <c r="Y64" s="35"/>
      <c r="Z64" s="35"/>
      <c r="AA64" s="35"/>
      <c r="AB64" s="35"/>
      <c r="AC64" s="35"/>
      <c r="AD64" s="35"/>
      <c r="AE64" s="35"/>
      <c r="AF64" s="35"/>
      <c r="AG64" s="35"/>
      <c r="AH64" s="35"/>
      <c r="AI64" s="35"/>
    </row>
    <row r="65" spans="2:35" ht="12.75">
      <c r="B65" s="22" t="s">
        <v>36</v>
      </c>
      <c r="C65" s="38">
        <f>SUM(C60:AI60)</f>
        <v>738725.6653072739</v>
      </c>
      <c r="D65" s="43">
        <f>SUM(D60:AI60)</f>
        <v>738725.6653072739</v>
      </c>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row>
    <row r="66" spans="2:35" ht="12.75">
      <c r="B66" s="22" t="s">
        <v>37</v>
      </c>
      <c r="C66" s="44">
        <f>IRR(C59:AI59,0.13)</f>
        <v>0.10809740446043636</v>
      </c>
      <c r="D66" s="45">
        <f>IRR(C59:AI59,0.13)</f>
        <v>0.10809740446043636</v>
      </c>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row>
    <row r="67" spans="2:35" ht="12.75">
      <c r="B67" s="22" t="s">
        <v>85</v>
      </c>
      <c r="C67" s="44"/>
      <c r="D67" s="43">
        <f>10+M61/-N59</f>
        <v>10.372922224819163</v>
      </c>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row>
    <row r="68" spans="2:35" ht="12.75">
      <c r="B68" s="22" t="s">
        <v>58</v>
      </c>
      <c r="C68" s="38">
        <f>9+(L61+M61)/M61</f>
        <v>13.681524278916115</v>
      </c>
      <c r="D68" s="43">
        <f>D63/D64</f>
        <v>1.072267666773653</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2:35" ht="12.75">
      <c r="B69" s="36"/>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row>
    <row r="71" spans="5:35" ht="12.75" hidden="1">
      <c r="E71">
        <v>1</v>
      </c>
      <c r="F71">
        <v>2</v>
      </c>
      <c r="G71">
        <v>3</v>
      </c>
      <c r="H71">
        <v>4</v>
      </c>
      <c r="I71">
        <v>5</v>
      </c>
      <c r="J71">
        <v>6</v>
      </c>
      <c r="K71">
        <v>7</v>
      </c>
      <c r="L71">
        <v>8</v>
      </c>
      <c r="M71">
        <v>9</v>
      </c>
      <c r="N71">
        <v>10</v>
      </c>
      <c r="O71">
        <v>11</v>
      </c>
      <c r="P71">
        <v>12</v>
      </c>
      <c r="Q71">
        <v>13</v>
      </c>
      <c r="R71">
        <v>14</v>
      </c>
      <c r="S71">
        <v>15</v>
      </c>
      <c r="T71">
        <v>16</v>
      </c>
      <c r="U71">
        <v>17</v>
      </c>
      <c r="V71">
        <v>18</v>
      </c>
      <c r="W71">
        <v>19</v>
      </c>
      <c r="X71">
        <v>20</v>
      </c>
      <c r="Y71">
        <v>21</v>
      </c>
      <c r="Z71">
        <v>22</v>
      </c>
      <c r="AA71">
        <v>23</v>
      </c>
      <c r="AB71">
        <v>24</v>
      </c>
      <c r="AC71">
        <v>25</v>
      </c>
      <c r="AD71">
        <v>26</v>
      </c>
      <c r="AE71">
        <v>27</v>
      </c>
      <c r="AF71">
        <v>28</v>
      </c>
      <c r="AG71">
        <v>29</v>
      </c>
      <c r="AH71">
        <v>30</v>
      </c>
      <c r="AI71">
        <v>31</v>
      </c>
    </row>
    <row r="72" ht="12.75" hidden="1"/>
    <row r="73" ht="13.5" hidden="1" thickBot="1">
      <c r="B73" s="36" t="s">
        <v>40</v>
      </c>
    </row>
    <row r="74" spans="2:35" ht="12.75" hidden="1">
      <c r="B74" s="25" t="s">
        <v>0</v>
      </c>
      <c r="C74" s="26"/>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8"/>
    </row>
    <row r="75" spans="2:35" ht="13.5" hidden="1" thickBot="1">
      <c r="B75" s="29" t="s">
        <v>2</v>
      </c>
      <c r="C75" s="30">
        <v>2007</v>
      </c>
      <c r="D75" s="30">
        <v>2008</v>
      </c>
      <c r="E75" s="30">
        <v>2009</v>
      </c>
      <c r="F75" s="30">
        <v>2010</v>
      </c>
      <c r="G75" s="30">
        <v>2011</v>
      </c>
      <c r="H75" s="30">
        <v>2012</v>
      </c>
      <c r="I75" s="30">
        <v>2013</v>
      </c>
      <c r="J75" s="30">
        <v>2014</v>
      </c>
      <c r="K75" s="30">
        <v>2015</v>
      </c>
      <c r="L75" s="30">
        <v>2016</v>
      </c>
      <c r="M75" s="30">
        <v>2017</v>
      </c>
      <c r="N75" s="30">
        <v>2018</v>
      </c>
      <c r="O75" s="30">
        <v>2019</v>
      </c>
      <c r="P75" s="30">
        <v>2020</v>
      </c>
      <c r="Q75" s="30">
        <v>2021</v>
      </c>
      <c r="R75" s="30">
        <v>2022</v>
      </c>
      <c r="S75" s="30">
        <v>2023</v>
      </c>
      <c r="T75" s="30">
        <v>2024</v>
      </c>
      <c r="U75" s="30">
        <v>2025</v>
      </c>
      <c r="V75" s="30">
        <v>2026</v>
      </c>
      <c r="W75" s="30">
        <v>2027</v>
      </c>
      <c r="X75" s="30">
        <v>2028</v>
      </c>
      <c r="Y75" s="30">
        <v>2029</v>
      </c>
      <c r="Z75" s="30">
        <v>2030</v>
      </c>
      <c r="AA75" s="30">
        <v>2031</v>
      </c>
      <c r="AB75" s="30">
        <v>2032</v>
      </c>
      <c r="AC75" s="30">
        <v>2033</v>
      </c>
      <c r="AD75" s="30">
        <v>2034</v>
      </c>
      <c r="AE75" s="30">
        <v>2035</v>
      </c>
      <c r="AF75" s="30">
        <v>2036</v>
      </c>
      <c r="AG75" s="30">
        <v>2037</v>
      </c>
      <c r="AH75" s="30">
        <v>2038</v>
      </c>
      <c r="AI75" s="31">
        <v>2039</v>
      </c>
    </row>
    <row r="76" spans="2:35" ht="12.75" hidden="1">
      <c r="B76" s="2" t="s">
        <v>39</v>
      </c>
      <c r="C76" s="32">
        <v>0</v>
      </c>
      <c r="D76" s="33">
        <f>-'Alternative 1.3'!$D$23/2</f>
        <v>-5354421.364985163</v>
      </c>
      <c r="E76" s="33">
        <f>D76</f>
        <v>-5354421.364985163</v>
      </c>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row>
    <row r="77" spans="2:35" ht="12.75" hidden="1">
      <c r="B77" s="22"/>
      <c r="C77" s="34"/>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row>
    <row r="78" spans="2:35" ht="12.75" hidden="1">
      <c r="B78" s="37" t="s">
        <v>31</v>
      </c>
      <c r="C78" s="34"/>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row>
    <row r="79" spans="2:35" ht="12.75" hidden="1">
      <c r="B79" s="22" t="s">
        <v>51</v>
      </c>
      <c r="C79" s="34"/>
      <c r="D79" s="35"/>
      <c r="E79" s="35"/>
      <c r="F79" s="35">
        <f>'Alternative 1.3'!$D$7*('Alternative 1.3'!$D$12-'Alternative 1.3'!$D$18)</f>
        <v>1048610.953679525</v>
      </c>
      <c r="G79" s="35">
        <f aca="true" t="shared" si="21" ref="G79:AI79">F79</f>
        <v>1048610.953679525</v>
      </c>
      <c r="H79" s="35">
        <f t="shared" si="21"/>
        <v>1048610.953679525</v>
      </c>
      <c r="I79" s="35">
        <f t="shared" si="21"/>
        <v>1048610.953679525</v>
      </c>
      <c r="J79" s="35">
        <f t="shared" si="21"/>
        <v>1048610.953679525</v>
      </c>
      <c r="K79" s="35">
        <f t="shared" si="21"/>
        <v>1048610.953679525</v>
      </c>
      <c r="L79" s="35">
        <f t="shared" si="21"/>
        <v>1048610.953679525</v>
      </c>
      <c r="M79" s="35">
        <f t="shared" si="21"/>
        <v>1048610.953679525</v>
      </c>
      <c r="N79" s="35">
        <f t="shared" si="21"/>
        <v>1048610.953679525</v>
      </c>
      <c r="O79" s="35">
        <f t="shared" si="21"/>
        <v>1048610.953679525</v>
      </c>
      <c r="P79" s="35">
        <f t="shared" si="21"/>
        <v>1048610.953679525</v>
      </c>
      <c r="Q79" s="35">
        <f t="shared" si="21"/>
        <v>1048610.953679525</v>
      </c>
      <c r="R79" s="35">
        <f t="shared" si="21"/>
        <v>1048610.953679525</v>
      </c>
      <c r="S79" s="35">
        <f t="shared" si="21"/>
        <v>1048610.953679525</v>
      </c>
      <c r="T79" s="35">
        <f t="shared" si="21"/>
        <v>1048610.953679525</v>
      </c>
      <c r="U79" s="35">
        <f t="shared" si="21"/>
        <v>1048610.953679525</v>
      </c>
      <c r="V79" s="35">
        <f t="shared" si="21"/>
        <v>1048610.953679525</v>
      </c>
      <c r="W79" s="35">
        <f t="shared" si="21"/>
        <v>1048610.953679525</v>
      </c>
      <c r="X79" s="35">
        <f t="shared" si="21"/>
        <v>1048610.953679525</v>
      </c>
      <c r="Y79" s="35">
        <f t="shared" si="21"/>
        <v>1048610.953679525</v>
      </c>
      <c r="Z79" s="35">
        <f t="shared" si="21"/>
        <v>1048610.953679525</v>
      </c>
      <c r="AA79" s="35">
        <f t="shared" si="21"/>
        <v>1048610.953679525</v>
      </c>
      <c r="AB79" s="35">
        <f t="shared" si="21"/>
        <v>1048610.953679525</v>
      </c>
      <c r="AC79" s="35">
        <f t="shared" si="21"/>
        <v>1048610.953679525</v>
      </c>
      <c r="AD79" s="35">
        <f t="shared" si="21"/>
        <v>1048610.953679525</v>
      </c>
      <c r="AE79" s="35">
        <f t="shared" si="21"/>
        <v>1048610.953679525</v>
      </c>
      <c r="AF79" s="35">
        <f t="shared" si="21"/>
        <v>1048610.953679525</v>
      </c>
      <c r="AG79" s="35">
        <f t="shared" si="21"/>
        <v>1048610.953679525</v>
      </c>
      <c r="AH79" s="35">
        <f t="shared" si="21"/>
        <v>1048610.953679525</v>
      </c>
      <c r="AI79" s="35">
        <f t="shared" si="21"/>
        <v>1048610.953679525</v>
      </c>
    </row>
    <row r="80" spans="2:35" ht="12.75" hidden="1">
      <c r="B80" s="22" t="s">
        <v>52</v>
      </c>
      <c r="C80" s="34"/>
      <c r="D80" s="34"/>
      <c r="E80" s="34"/>
      <c r="F80" s="34">
        <f>'Alternative 1.3'!$D$6*('Alternative 1.3'!$D$20-'Alternative 1.3'!$D$18)</f>
        <v>344449.3086053412</v>
      </c>
      <c r="G80" s="34">
        <f aca="true" t="shared" si="22" ref="G80:AI80">F80</f>
        <v>344449.3086053412</v>
      </c>
      <c r="H80" s="34">
        <f t="shared" si="22"/>
        <v>344449.3086053412</v>
      </c>
      <c r="I80" s="34">
        <f t="shared" si="22"/>
        <v>344449.3086053412</v>
      </c>
      <c r="J80" s="34">
        <f t="shared" si="22"/>
        <v>344449.3086053412</v>
      </c>
      <c r="K80" s="34">
        <f t="shared" si="22"/>
        <v>344449.3086053412</v>
      </c>
      <c r="L80" s="34">
        <f t="shared" si="22"/>
        <v>344449.3086053412</v>
      </c>
      <c r="M80" s="34">
        <f t="shared" si="22"/>
        <v>344449.3086053412</v>
      </c>
      <c r="N80" s="34">
        <f t="shared" si="22"/>
        <v>344449.3086053412</v>
      </c>
      <c r="O80" s="34">
        <f t="shared" si="22"/>
        <v>344449.3086053412</v>
      </c>
      <c r="P80" s="34">
        <f t="shared" si="22"/>
        <v>344449.3086053412</v>
      </c>
      <c r="Q80" s="34">
        <f t="shared" si="22"/>
        <v>344449.3086053412</v>
      </c>
      <c r="R80" s="34">
        <f t="shared" si="22"/>
        <v>344449.3086053412</v>
      </c>
      <c r="S80" s="34">
        <f t="shared" si="22"/>
        <v>344449.3086053412</v>
      </c>
      <c r="T80" s="34">
        <f t="shared" si="22"/>
        <v>344449.3086053412</v>
      </c>
      <c r="U80" s="34">
        <f t="shared" si="22"/>
        <v>344449.3086053412</v>
      </c>
      <c r="V80" s="34">
        <f t="shared" si="22"/>
        <v>344449.3086053412</v>
      </c>
      <c r="W80" s="34">
        <f t="shared" si="22"/>
        <v>344449.3086053412</v>
      </c>
      <c r="X80" s="34">
        <f t="shared" si="22"/>
        <v>344449.3086053412</v>
      </c>
      <c r="Y80" s="34">
        <f t="shared" si="22"/>
        <v>344449.3086053412</v>
      </c>
      <c r="Z80" s="34">
        <f t="shared" si="22"/>
        <v>344449.3086053412</v>
      </c>
      <c r="AA80" s="34">
        <f t="shared" si="22"/>
        <v>344449.3086053412</v>
      </c>
      <c r="AB80" s="34">
        <f t="shared" si="22"/>
        <v>344449.3086053412</v>
      </c>
      <c r="AC80" s="34">
        <f t="shared" si="22"/>
        <v>344449.3086053412</v>
      </c>
      <c r="AD80" s="34">
        <f t="shared" si="22"/>
        <v>344449.3086053412</v>
      </c>
      <c r="AE80" s="34">
        <f t="shared" si="22"/>
        <v>344449.3086053412</v>
      </c>
      <c r="AF80" s="34">
        <f t="shared" si="22"/>
        <v>344449.3086053412</v>
      </c>
      <c r="AG80" s="34">
        <f t="shared" si="22"/>
        <v>344449.3086053412</v>
      </c>
      <c r="AH80" s="34">
        <f t="shared" si="22"/>
        <v>344449.3086053412</v>
      </c>
      <c r="AI80" s="34">
        <f t="shared" si="22"/>
        <v>344449.3086053412</v>
      </c>
    </row>
    <row r="81" spans="2:35" ht="12.75" hidden="1">
      <c r="B81" s="37" t="s">
        <v>32</v>
      </c>
      <c r="C81" s="38">
        <f>SUM(C76:C79)</f>
        <v>0</v>
      </c>
      <c r="D81" s="38">
        <f aca="true" t="shared" si="23" ref="D81:AI81">SUM(D76:D80)</f>
        <v>-5354421.364985163</v>
      </c>
      <c r="E81" s="38">
        <f t="shared" si="23"/>
        <v>-5354421.364985163</v>
      </c>
      <c r="F81" s="38">
        <f t="shared" si="23"/>
        <v>1393060.2622848663</v>
      </c>
      <c r="G81" s="38">
        <f t="shared" si="23"/>
        <v>1393060.2622848663</v>
      </c>
      <c r="H81" s="38">
        <f t="shared" si="23"/>
        <v>1393060.2622848663</v>
      </c>
      <c r="I81" s="38">
        <f t="shared" si="23"/>
        <v>1393060.2622848663</v>
      </c>
      <c r="J81" s="38">
        <f t="shared" si="23"/>
        <v>1393060.2622848663</v>
      </c>
      <c r="K81" s="38">
        <f t="shared" si="23"/>
        <v>1393060.2622848663</v>
      </c>
      <c r="L81" s="38">
        <f t="shared" si="23"/>
        <v>1393060.2622848663</v>
      </c>
      <c r="M81" s="38">
        <f t="shared" si="23"/>
        <v>1393060.2622848663</v>
      </c>
      <c r="N81" s="38">
        <f t="shared" si="23"/>
        <v>1393060.2622848663</v>
      </c>
      <c r="O81" s="38">
        <f t="shared" si="23"/>
        <v>1393060.2622848663</v>
      </c>
      <c r="P81" s="38">
        <f t="shared" si="23"/>
        <v>1393060.2622848663</v>
      </c>
      <c r="Q81" s="38">
        <f t="shared" si="23"/>
        <v>1393060.2622848663</v>
      </c>
      <c r="R81" s="38">
        <f t="shared" si="23"/>
        <v>1393060.2622848663</v>
      </c>
      <c r="S81" s="38">
        <f t="shared" si="23"/>
        <v>1393060.2622848663</v>
      </c>
      <c r="T81" s="38">
        <f t="shared" si="23"/>
        <v>1393060.2622848663</v>
      </c>
      <c r="U81" s="38">
        <f t="shared" si="23"/>
        <v>1393060.2622848663</v>
      </c>
      <c r="V81" s="38">
        <f t="shared" si="23"/>
        <v>1393060.2622848663</v>
      </c>
      <c r="W81" s="38">
        <f t="shared" si="23"/>
        <v>1393060.2622848663</v>
      </c>
      <c r="X81" s="38">
        <f t="shared" si="23"/>
        <v>1393060.2622848663</v>
      </c>
      <c r="Y81" s="38">
        <f t="shared" si="23"/>
        <v>1393060.2622848663</v>
      </c>
      <c r="Z81" s="38">
        <f t="shared" si="23"/>
        <v>1393060.2622848663</v>
      </c>
      <c r="AA81" s="38">
        <f t="shared" si="23"/>
        <v>1393060.2622848663</v>
      </c>
      <c r="AB81" s="38">
        <f t="shared" si="23"/>
        <v>1393060.2622848663</v>
      </c>
      <c r="AC81" s="38">
        <f t="shared" si="23"/>
        <v>1393060.2622848663</v>
      </c>
      <c r="AD81" s="38">
        <f t="shared" si="23"/>
        <v>1393060.2622848663</v>
      </c>
      <c r="AE81" s="38">
        <f t="shared" si="23"/>
        <v>1393060.2622848663</v>
      </c>
      <c r="AF81" s="38">
        <f t="shared" si="23"/>
        <v>1393060.2622848663</v>
      </c>
      <c r="AG81" s="38">
        <f t="shared" si="23"/>
        <v>1393060.2622848663</v>
      </c>
      <c r="AH81" s="38">
        <f t="shared" si="23"/>
        <v>1393060.2622848663</v>
      </c>
      <c r="AI81" s="38">
        <f t="shared" si="23"/>
        <v>1393060.2622848663</v>
      </c>
    </row>
    <row r="82" spans="2:35" ht="12.75" hidden="1">
      <c r="B82" s="22" t="s">
        <v>33</v>
      </c>
      <c r="C82" s="34">
        <f>C81</f>
        <v>0</v>
      </c>
      <c r="D82" s="35">
        <f>D81</f>
        <v>-5354421.364985163</v>
      </c>
      <c r="E82" s="35">
        <f>E81/1.1</f>
        <v>-4867655.786350148</v>
      </c>
      <c r="F82" s="35">
        <f>F81/1.1^2</f>
        <v>1151289.4729626991</v>
      </c>
      <c r="G82" s="35">
        <f>G81/1.1^3</f>
        <v>1046626.7936024537</v>
      </c>
      <c r="H82" s="35">
        <f aca="true" t="shared" si="24" ref="H82:AI82">H81/1.1^H90</f>
        <v>951478.9032749579</v>
      </c>
      <c r="I82" s="35">
        <f t="shared" si="24"/>
        <v>864980.8211590527</v>
      </c>
      <c r="J82" s="35">
        <f t="shared" si="24"/>
        <v>786346.2010536841</v>
      </c>
      <c r="K82" s="35">
        <f t="shared" si="24"/>
        <v>714860.1827760764</v>
      </c>
      <c r="L82" s="35">
        <f t="shared" si="24"/>
        <v>649872.8934327967</v>
      </c>
      <c r="M82" s="35">
        <f t="shared" si="24"/>
        <v>590793.5394843606</v>
      </c>
      <c r="N82" s="35">
        <f t="shared" si="24"/>
        <v>537085.0358948732</v>
      </c>
      <c r="O82" s="35">
        <f t="shared" si="24"/>
        <v>488259.1235407938</v>
      </c>
      <c r="P82" s="35">
        <f t="shared" si="24"/>
        <v>443871.93049163074</v>
      </c>
      <c r="Q82" s="35">
        <f t="shared" si="24"/>
        <v>403519.9368105734</v>
      </c>
      <c r="R82" s="35">
        <f t="shared" si="24"/>
        <v>366836.30619143025</v>
      </c>
      <c r="S82" s="35">
        <f t="shared" si="24"/>
        <v>333487.5510831184</v>
      </c>
      <c r="T82" s="35">
        <f t="shared" si="24"/>
        <v>303170.50098465313</v>
      </c>
      <c r="U82" s="35">
        <f t="shared" si="24"/>
        <v>275609.54634968465</v>
      </c>
      <c r="V82" s="35">
        <f t="shared" si="24"/>
        <v>250554.13304516784</v>
      </c>
      <c r="W82" s="35">
        <f t="shared" si="24"/>
        <v>227776.48458651616</v>
      </c>
      <c r="X82" s="35">
        <f t="shared" si="24"/>
        <v>207069.53144228744</v>
      </c>
      <c r="Y82" s="35">
        <f t="shared" si="24"/>
        <v>188245.02858389766</v>
      </c>
      <c r="Z82" s="35">
        <f t="shared" si="24"/>
        <v>171131.84416717966</v>
      </c>
      <c r="AA82" s="35">
        <f t="shared" si="24"/>
        <v>155574.4037883451</v>
      </c>
      <c r="AB82" s="35">
        <f t="shared" si="24"/>
        <v>141431.27617122285</v>
      </c>
      <c r="AC82" s="35">
        <f t="shared" si="24"/>
        <v>128573.88742838439</v>
      </c>
      <c r="AD82" s="35">
        <f t="shared" si="24"/>
        <v>116885.35220762217</v>
      </c>
      <c r="AE82" s="35">
        <f t="shared" si="24"/>
        <v>106259.41109783833</v>
      </c>
      <c r="AF82" s="35">
        <f t="shared" si="24"/>
        <v>96599.46463439848</v>
      </c>
      <c r="AG82" s="35">
        <f t="shared" si="24"/>
        <v>87817.69512218043</v>
      </c>
      <c r="AH82" s="35">
        <f t="shared" si="24"/>
        <v>79834.26829289128</v>
      </c>
      <c r="AI82" s="35">
        <f t="shared" si="24"/>
        <v>72576.60753899207</v>
      </c>
    </row>
    <row r="83" spans="2:35" ht="12.75" hidden="1">
      <c r="B83" s="22" t="s">
        <v>34</v>
      </c>
      <c r="C83" s="34">
        <f>C81</f>
        <v>0</v>
      </c>
      <c r="D83" s="34">
        <f>D81</f>
        <v>-5354421.364985163</v>
      </c>
      <c r="E83" s="35">
        <f aca="true" t="shared" si="25" ref="E83:AI83">D83+E81</f>
        <v>-10708842.729970327</v>
      </c>
      <c r="F83" s="35">
        <f t="shared" si="25"/>
        <v>-9315782.467685461</v>
      </c>
      <c r="G83" s="40">
        <f t="shared" si="25"/>
        <v>-7922722.2054005945</v>
      </c>
      <c r="H83" s="35">
        <f t="shared" si="25"/>
        <v>-6529661.943115728</v>
      </c>
      <c r="I83" s="35">
        <f t="shared" si="25"/>
        <v>-5136601.680830861</v>
      </c>
      <c r="J83" s="35">
        <f t="shared" si="25"/>
        <v>-3743541.418545995</v>
      </c>
      <c r="K83" s="35">
        <f t="shared" si="25"/>
        <v>-2350481.1562611284</v>
      </c>
      <c r="L83" s="40">
        <f t="shared" si="25"/>
        <v>-957420.8939762621</v>
      </c>
      <c r="M83" s="41">
        <f t="shared" si="25"/>
        <v>435639.36830860423</v>
      </c>
      <c r="N83" s="40">
        <f t="shared" si="25"/>
        <v>1828699.6305934705</v>
      </c>
      <c r="O83" s="35">
        <f t="shared" si="25"/>
        <v>3221759.892878337</v>
      </c>
      <c r="P83" s="35">
        <f t="shared" si="25"/>
        <v>4614820.155163203</v>
      </c>
      <c r="Q83" s="35">
        <f t="shared" si="25"/>
        <v>6007880.41744807</v>
      </c>
      <c r="R83" s="35">
        <f t="shared" si="25"/>
        <v>7400940.679732936</v>
      </c>
      <c r="S83" s="35">
        <f t="shared" si="25"/>
        <v>8794000.942017803</v>
      </c>
      <c r="T83" s="35">
        <f t="shared" si="25"/>
        <v>10187061.204302669</v>
      </c>
      <c r="U83" s="35">
        <f t="shared" si="25"/>
        <v>11580121.466587534</v>
      </c>
      <c r="V83" s="35">
        <f t="shared" si="25"/>
        <v>12973181.7288724</v>
      </c>
      <c r="W83" s="35">
        <f t="shared" si="25"/>
        <v>14366241.991157265</v>
      </c>
      <c r="X83" s="35">
        <f t="shared" si="25"/>
        <v>15759302.253442131</v>
      </c>
      <c r="Y83" s="35">
        <f t="shared" si="25"/>
        <v>17152362.515727</v>
      </c>
      <c r="Z83" s="35">
        <f t="shared" si="25"/>
        <v>18545422.778011866</v>
      </c>
      <c r="AA83" s="35">
        <f t="shared" si="25"/>
        <v>19938483.040296733</v>
      </c>
      <c r="AB83" s="35">
        <f t="shared" si="25"/>
        <v>21331543.3025816</v>
      </c>
      <c r="AC83" s="35">
        <f t="shared" si="25"/>
        <v>22724603.56486647</v>
      </c>
      <c r="AD83" s="35">
        <f t="shared" si="25"/>
        <v>24117663.827151336</v>
      </c>
      <c r="AE83" s="35">
        <f t="shared" si="25"/>
        <v>25510724.089436203</v>
      </c>
      <c r="AF83" s="35">
        <f t="shared" si="25"/>
        <v>26903784.35172107</v>
      </c>
      <c r="AG83" s="35">
        <f t="shared" si="25"/>
        <v>28296844.61400594</v>
      </c>
      <c r="AH83" s="35">
        <f t="shared" si="25"/>
        <v>29689904.876290806</v>
      </c>
      <c r="AI83" s="35">
        <f t="shared" si="25"/>
        <v>31082965.138575673</v>
      </c>
    </row>
    <row r="84" spans="2:35" ht="12.75" hidden="1">
      <c r="B84" s="22" t="s">
        <v>35</v>
      </c>
      <c r="C84" s="34">
        <f>C82</f>
        <v>0</v>
      </c>
      <c r="D84" s="34">
        <f>D82</f>
        <v>-5354421.364985163</v>
      </c>
      <c r="E84" s="35">
        <f aca="true" t="shared" si="26" ref="E84:AI84">E82+D84</f>
        <v>-10222077.15133531</v>
      </c>
      <c r="F84" s="35">
        <f t="shared" si="26"/>
        <v>-9070787.67837261</v>
      </c>
      <c r="G84" s="35">
        <f t="shared" si="26"/>
        <v>-8024160.884770157</v>
      </c>
      <c r="H84" s="35">
        <f t="shared" si="26"/>
        <v>-7072681.981495199</v>
      </c>
      <c r="I84" s="35">
        <f t="shared" si="26"/>
        <v>-6207701.160336146</v>
      </c>
      <c r="J84" s="35">
        <f t="shared" si="26"/>
        <v>-5421354.959282462</v>
      </c>
      <c r="K84" s="35">
        <f t="shared" si="26"/>
        <v>-4706494.776506385</v>
      </c>
      <c r="L84" s="35">
        <f t="shared" si="26"/>
        <v>-4056621.883073588</v>
      </c>
      <c r="M84" s="35">
        <f t="shared" si="26"/>
        <v>-3465828.343589227</v>
      </c>
      <c r="N84" s="35">
        <f t="shared" si="26"/>
        <v>-2928743.307694354</v>
      </c>
      <c r="O84" s="35">
        <f t="shared" si="26"/>
        <v>-2440484.1841535605</v>
      </c>
      <c r="P84" s="35">
        <f t="shared" si="26"/>
        <v>-1996612.2536619299</v>
      </c>
      <c r="Q84" s="35">
        <f t="shared" si="26"/>
        <v>-1593092.3168513565</v>
      </c>
      <c r="R84" s="42">
        <f t="shared" si="26"/>
        <v>-1226256.0106599263</v>
      </c>
      <c r="S84" s="35">
        <f t="shared" si="26"/>
        <v>-892768.4595768079</v>
      </c>
      <c r="T84" s="35">
        <f t="shared" si="26"/>
        <v>-589597.9585921548</v>
      </c>
      <c r="U84" s="35">
        <f t="shared" si="26"/>
        <v>-313988.41224247013</v>
      </c>
      <c r="V84" s="35">
        <f t="shared" si="26"/>
        <v>-63434.2791973023</v>
      </c>
      <c r="W84" s="35">
        <f t="shared" si="26"/>
        <v>164342.20538921386</v>
      </c>
      <c r="X84" s="35">
        <f t="shared" si="26"/>
        <v>371411.7368315013</v>
      </c>
      <c r="Y84" s="35">
        <f t="shared" si="26"/>
        <v>559656.765415399</v>
      </c>
      <c r="Z84" s="35">
        <f t="shared" si="26"/>
        <v>730788.6095825786</v>
      </c>
      <c r="AA84" s="35">
        <f t="shared" si="26"/>
        <v>886363.0133709237</v>
      </c>
      <c r="AB84" s="35">
        <f t="shared" si="26"/>
        <v>1027794.2895421465</v>
      </c>
      <c r="AC84" s="35">
        <f t="shared" si="26"/>
        <v>1156368.1769705308</v>
      </c>
      <c r="AD84" s="35">
        <f t="shared" si="26"/>
        <v>1273253.529178153</v>
      </c>
      <c r="AE84" s="35">
        <f t="shared" si="26"/>
        <v>1379512.9402759913</v>
      </c>
      <c r="AF84" s="35">
        <f t="shared" si="26"/>
        <v>1476112.4049103898</v>
      </c>
      <c r="AG84" s="35">
        <f t="shared" si="26"/>
        <v>1563930.1000325703</v>
      </c>
      <c r="AH84" s="35">
        <f t="shared" si="26"/>
        <v>1643764.3683254616</v>
      </c>
      <c r="AI84" s="35">
        <f t="shared" si="26"/>
        <v>1716340.9758644537</v>
      </c>
    </row>
    <row r="85" spans="2:35" ht="12.75" hidden="1">
      <c r="B85" s="22" t="s">
        <v>36</v>
      </c>
      <c r="C85" s="38">
        <f>SUM(C82:AI82)</f>
        <v>1716340.9758644537</v>
      </c>
      <c r="D85" s="43">
        <f>SUM(D82:AI82)</f>
        <v>1716340.9758644537</v>
      </c>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row>
    <row r="86" spans="2:35" ht="12.75" hidden="1">
      <c r="B86" s="22" t="s">
        <v>37</v>
      </c>
      <c r="C86" s="44">
        <f>IRR(C81:AI81,0.13)</f>
        <v>0.11854393704197136</v>
      </c>
      <c r="D86" s="45">
        <f>IRR(C81:AI81,0.13)</f>
        <v>0.11854393704197136</v>
      </c>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row>
    <row r="87" spans="2:35" ht="12.75" hidden="1">
      <c r="B87" s="22" t="s">
        <v>38</v>
      </c>
      <c r="C87" s="38">
        <f>9+(L83+M83)/M83</f>
        <v>7.802262688761336</v>
      </c>
      <c r="D87" s="43">
        <f>10+(L83+M83)/M83</f>
        <v>8.802262688761335</v>
      </c>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row>
    <row r="88" spans="2:35" ht="12.75" hidden="1">
      <c r="B88" s="36"/>
      <c r="C88" s="34"/>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row>
    <row r="89" ht="12.75" hidden="1"/>
    <row r="90" spans="5:35" ht="12.75" hidden="1">
      <c r="E90">
        <v>1</v>
      </c>
      <c r="F90">
        <v>2</v>
      </c>
      <c r="G90">
        <v>3</v>
      </c>
      <c r="H90">
        <v>4</v>
      </c>
      <c r="I90">
        <v>5</v>
      </c>
      <c r="J90">
        <v>6</v>
      </c>
      <c r="K90">
        <v>7</v>
      </c>
      <c r="L90">
        <v>8</v>
      </c>
      <c r="M90">
        <v>9</v>
      </c>
      <c r="N90">
        <v>10</v>
      </c>
      <c r="O90">
        <v>11</v>
      </c>
      <c r="P90">
        <v>12</v>
      </c>
      <c r="Q90">
        <v>13</v>
      </c>
      <c r="R90">
        <v>14</v>
      </c>
      <c r="S90">
        <v>15</v>
      </c>
      <c r="T90">
        <v>16</v>
      </c>
      <c r="U90">
        <v>17</v>
      </c>
      <c r="V90">
        <v>18</v>
      </c>
      <c r="W90">
        <v>19</v>
      </c>
      <c r="X90">
        <v>20</v>
      </c>
      <c r="Y90">
        <v>21</v>
      </c>
      <c r="Z90">
        <v>22</v>
      </c>
      <c r="AA90">
        <v>23</v>
      </c>
      <c r="AB90">
        <v>24</v>
      </c>
      <c r="AC90">
        <v>25</v>
      </c>
      <c r="AD90">
        <v>26</v>
      </c>
      <c r="AE90">
        <v>27</v>
      </c>
      <c r="AF90">
        <v>28</v>
      </c>
      <c r="AG90">
        <v>29</v>
      </c>
      <c r="AH90">
        <v>30</v>
      </c>
      <c r="AI90">
        <v>31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 Bulany</dc:creator>
  <cp:keywords/>
  <dc:description/>
  <cp:lastModifiedBy>Your User Name</cp:lastModifiedBy>
  <cp:lastPrinted>2009-07-22T07:59:38Z</cp:lastPrinted>
  <dcterms:created xsi:type="dcterms:W3CDTF">2008-08-04T12:51:01Z</dcterms:created>
  <dcterms:modified xsi:type="dcterms:W3CDTF">2010-03-15T14:43:48Z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