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52" yWindow="65524" windowWidth="12600" windowHeight="12672" tabRatio="717" activeTab="0"/>
  </bookViews>
  <sheets>
    <sheet name="ER-KD-ERU3" sheetId="1" r:id="rId1"/>
  </sheets>
  <definedNames>
    <definedName name="_xlnm.Print_Area" localSheetId="0">'ER-KD-ERU3'!$A$1:$AT$26</definedName>
    <definedName name="OLE_LINK10" localSheetId="0">'ER-KD-ERU3'!$AF$3</definedName>
    <definedName name="OLE_LINK11" localSheetId="0">'ER-KD-ERU3'!$AF$4</definedName>
    <definedName name="OLE_LINK12" localSheetId="0">'ER-KD-ERU3'!$AJ$4</definedName>
    <definedName name="OLE_LINK3" localSheetId="0">'ER-KD-ERU3'!$U$4</definedName>
    <definedName name="OLE_LINK4" localSheetId="0">'ER-KD-ERU3'!$AA$3</definedName>
    <definedName name="OLE_LINK5" localSheetId="0">'ER-KD-ERU3'!$AA$4</definedName>
    <definedName name="OLE_LINK7" localSheetId="0">'ER-KD-ERU3'!$AE$3</definedName>
    <definedName name="OLE_LINK8" localSheetId="0">'ER-KD-ERU3'!$AE$4</definedName>
  </definedNames>
  <calcPr fullCalcOnLoad="1"/>
</workbook>
</file>

<file path=xl/comments1.xml><?xml version="1.0" encoding="utf-8"?>
<comments xmlns="http://schemas.openxmlformats.org/spreadsheetml/2006/main">
  <authors>
    <author>Adam Hadulla</author>
    <author>A-TEC</author>
  </authors>
  <commentList>
    <comment ref="V6" authorId="0">
      <text>
        <r>
          <rPr>
            <b/>
            <sz val="8"/>
            <rFont val="Tahoma"/>
            <family val="0"/>
          </rPr>
          <t>Adam Hadulla:</t>
        </r>
        <r>
          <rPr>
            <sz val="8"/>
            <rFont val="Tahoma"/>
            <family val="0"/>
          </rPr>
          <t xml:space="preserve">
The methane amount destroyed by flaring has been calculated using the complete monitored data (15 min. intervall  storage).
The data are calculated using three different combustion efficiencies, depending on the flame temperature:
0% below 500°C
90% 500°C to 1000°C
99.5% above 1000°C
This calculation can't be done with monthly sums.
See xls-file (data sources) for details</t>
        </r>
      </text>
    </comment>
    <comment ref="AE6" authorId="0">
      <text>
        <r>
          <rPr>
            <b/>
            <sz val="8"/>
            <rFont val="Tahoma"/>
            <family val="0"/>
          </rPr>
          <t>Adam Hadulla:</t>
        </r>
        <r>
          <rPr>
            <sz val="8"/>
            <rFont val="Tahoma"/>
            <family val="0"/>
          </rPr>
          <t xml:space="preserve">
ex-ante value
constant</t>
        </r>
      </text>
    </comment>
    <comment ref="AJ6" authorId="0">
      <text>
        <r>
          <rPr>
            <b/>
            <sz val="8"/>
            <rFont val="Tahoma"/>
            <family val="0"/>
          </rPr>
          <t>Adam Hadulla:</t>
        </r>
        <r>
          <rPr>
            <sz val="8"/>
            <rFont val="Tahoma"/>
            <family val="0"/>
          </rPr>
          <t xml:space="preserve">
ex-ante value
constant</t>
        </r>
      </text>
    </comment>
    <comment ref="AQ6" authorId="0">
      <text>
        <r>
          <rPr>
            <b/>
            <sz val="8"/>
            <rFont val="Tahoma"/>
            <family val="0"/>
          </rPr>
          <t>Adam Hadulla:</t>
        </r>
        <r>
          <rPr>
            <sz val="8"/>
            <rFont val="Tahoma"/>
            <family val="0"/>
          </rPr>
          <t xml:space="preserve">
ex-ante value
constant</t>
        </r>
      </text>
    </comment>
    <comment ref="AV6" authorId="0">
      <text>
        <r>
          <rPr>
            <b/>
            <sz val="8"/>
            <rFont val="Tahoma"/>
            <family val="0"/>
          </rPr>
          <t>Adam Hadulla:</t>
        </r>
        <r>
          <rPr>
            <sz val="8"/>
            <rFont val="Tahoma"/>
            <family val="0"/>
          </rPr>
          <t xml:space="preserve">
ex-ante value 
constant
IPCC 2006</t>
        </r>
      </text>
    </comment>
    <comment ref="AS6" authorId="0">
      <text>
        <r>
          <rPr>
            <b/>
            <sz val="8"/>
            <rFont val="Tahoma"/>
            <family val="0"/>
          </rPr>
          <t>Adam Hadulla:</t>
        </r>
        <r>
          <rPr>
            <sz val="8"/>
            <rFont val="Tahoma"/>
            <family val="0"/>
          </rPr>
          <t xml:space="preserve">
0 for the whole monitoring period
</t>
        </r>
      </text>
    </comment>
    <comment ref="AR6" authorId="0">
      <text>
        <r>
          <rPr>
            <b/>
            <sz val="8"/>
            <rFont val="Tahoma"/>
            <family val="0"/>
          </rPr>
          <t>Adam Hadulla:</t>
        </r>
        <r>
          <rPr>
            <sz val="8"/>
            <rFont val="Tahoma"/>
            <family val="0"/>
          </rPr>
          <t xml:space="preserve">
ex-ante value
constant</t>
        </r>
      </text>
    </comment>
    <comment ref="S6" authorId="0">
      <text>
        <r>
          <rPr>
            <b/>
            <sz val="10"/>
            <rFont val="Tahoma"/>
            <family val="0"/>
          </rPr>
          <t>Adam Hadulla:</t>
        </r>
        <r>
          <rPr>
            <sz val="10"/>
            <rFont val="Tahoma"/>
            <family val="0"/>
          </rPr>
          <t xml:space="preserve">
Formula modified, uncombusted methane from flaring 
= MM</t>
        </r>
        <r>
          <rPr>
            <sz val="7"/>
            <rFont val="Tahoma"/>
            <family val="2"/>
          </rPr>
          <t>FL</t>
        </r>
        <r>
          <rPr>
            <sz val="10"/>
            <rFont val="Tahoma"/>
            <family val="0"/>
          </rPr>
          <t>-MD</t>
        </r>
        <r>
          <rPr>
            <sz val="7"/>
            <rFont val="Tahoma"/>
            <family val="2"/>
          </rPr>
          <t>FL</t>
        </r>
      </text>
    </comment>
    <comment ref="AW6" authorId="0">
      <text>
        <r>
          <rPr>
            <b/>
            <sz val="8"/>
            <rFont val="Tahoma"/>
            <family val="0"/>
          </rPr>
          <t>Adam Hadulla:</t>
        </r>
        <r>
          <rPr>
            <sz val="8"/>
            <rFont val="Tahoma"/>
            <family val="0"/>
          </rPr>
          <t xml:space="preserve">
ex-ante value 
constant
manufacturer date
boiler pass</t>
        </r>
      </text>
    </comment>
    <comment ref="X4" authorId="1">
      <text>
        <r>
          <rPr>
            <b/>
            <sz val="8"/>
            <rFont val="Tahoma"/>
            <family val="0"/>
          </rPr>
          <t xml:space="preserve">Adam Hadulla:
</t>
        </r>
        <r>
          <rPr>
            <sz val="8"/>
            <rFont val="Tahoma"/>
            <family val="2"/>
          </rPr>
          <t xml:space="preserve">The monthly values of EffFL represents monthly average values for information only - MDFL has been calculated using the excat values in 15 min cycles within the Data sheets. </t>
        </r>
      </text>
    </comment>
  </commentList>
</comments>
</file>

<file path=xl/sharedStrings.xml><?xml version="1.0" encoding="utf-8"?>
<sst xmlns="http://schemas.openxmlformats.org/spreadsheetml/2006/main" count="195" uniqueCount="145">
  <si>
    <t>Date</t>
  </si>
  <si>
    <t>%</t>
  </si>
  <si>
    <t>P2</t>
  </si>
  <si>
    <t>P3</t>
  </si>
  <si>
    <t>P4</t>
  </si>
  <si>
    <t>P5</t>
  </si>
  <si>
    <t>P8</t>
  </si>
  <si>
    <t>P17</t>
  </si>
  <si>
    <t>P18</t>
  </si>
  <si>
    <t>P19</t>
  </si>
  <si>
    <t>P23</t>
  </si>
  <si>
    <t>P24</t>
  </si>
  <si>
    <t>P25</t>
  </si>
  <si>
    <t>P26</t>
  </si>
  <si>
    <t>P27</t>
  </si>
  <si>
    <t>r</t>
  </si>
  <si>
    <t>P28</t>
  </si>
  <si>
    <t>B1</t>
  </si>
  <si>
    <t>B3</t>
  </si>
  <si>
    <t>B4</t>
  </si>
  <si>
    <t>B14</t>
  </si>
  <si>
    <t>B18</t>
  </si>
  <si>
    <t>B19</t>
  </si>
  <si>
    <t>B46</t>
  </si>
  <si>
    <t>B47</t>
  </si>
  <si>
    <t>B49</t>
  </si>
  <si>
    <t>B55</t>
  </si>
  <si>
    <t>B57</t>
  </si>
  <si>
    <t>Global warming potential of methane</t>
  </si>
  <si>
    <t>Carbon emission factor for combusted methane</t>
  </si>
  <si>
    <t>Electricity generation by project</t>
  </si>
  <si>
    <t>Heat generation by project</t>
  </si>
  <si>
    <t>CO2 emission factor of the grid</t>
  </si>
  <si>
    <t>CO2 emission factor of fuel used for captive power or heat</t>
  </si>
  <si>
    <t>Energy efficiency of heat plant</t>
  </si>
  <si>
    <t>P1</t>
  </si>
  <si>
    <t>P11</t>
  </si>
  <si>
    <t>P12</t>
  </si>
  <si>
    <t>P13</t>
  </si>
  <si>
    <t>P14</t>
  </si>
  <si>
    <t>P15</t>
  </si>
  <si>
    <t>P16</t>
  </si>
  <si>
    <t>Project emissions from energy use to capture and use methane</t>
  </si>
  <si>
    <t>Methane destroyed by flare</t>
  </si>
  <si>
    <t>Methane sent to flare</t>
  </si>
  <si>
    <t>Methane destroyed by power generation</t>
  </si>
  <si>
    <t>Methane sent to power plant</t>
  </si>
  <si>
    <t>Efficiency of methane destruction / oxidation in power plant</t>
  </si>
  <si>
    <t>Methane destroyed by heat generation</t>
  </si>
  <si>
    <t>Methane sent to boiler</t>
  </si>
  <si>
    <t>Efficiency of methane destruction / oxidation in heat plant</t>
  </si>
  <si>
    <t>Relative proportion of NMHC compared to methane</t>
  </si>
  <si>
    <t>t CO2eq</t>
  </si>
  <si>
    <t>MWh</t>
  </si>
  <si>
    <t>t CH4</t>
  </si>
  <si>
    <t>-</t>
  </si>
  <si>
    <t>t CO2 / MWh</t>
  </si>
  <si>
    <t>t CO2eq / 
t CH4</t>
  </si>
  <si>
    <t>ER</t>
  </si>
  <si>
    <t>Emission reductions</t>
  </si>
  <si>
    <t>Total Monitoring Period</t>
  </si>
  <si>
    <t>colour codes</t>
  </si>
  <si>
    <t>green</t>
  </si>
  <si>
    <t>yellow</t>
  </si>
  <si>
    <t>input data</t>
  </si>
  <si>
    <t>data no used, project parts not installed yet</t>
  </si>
  <si>
    <t>white</t>
  </si>
  <si>
    <t>calculated data</t>
  </si>
  <si>
    <t xml:space="preserve">Project emissions </t>
  </si>
  <si>
    <t xml:space="preserve">Baseline emissions </t>
  </si>
  <si>
    <t>CMM captured in the project activity</t>
  </si>
  <si>
    <t>HEAT</t>
  </si>
  <si>
    <t>GEN</t>
  </si>
  <si>
    <t>BE</t>
  </si>
  <si>
    <t>PE</t>
  </si>
  <si>
    <t>data sources:</t>
  </si>
  <si>
    <t>Total 2010</t>
  </si>
  <si>
    <t>Values put into MR</t>
  </si>
  <si>
    <t>blue</t>
  </si>
  <si>
    <t>Total 2011</t>
  </si>
  <si>
    <t>total methane amount utilised (sent to)</t>
  </si>
  <si>
    <t>m³ CH4</t>
  </si>
  <si>
    <t>methane amount sent to
power plant</t>
  </si>
  <si>
    <t xml:space="preserve">Flare combustion efficiency, determined by the flame temperature and operation hours </t>
  </si>
  <si>
    <t>Baseline emissions from release of methane into the atmosphere that is avoided by the project activity (flare)</t>
  </si>
  <si>
    <t>Baseline emissions from the production of power, heat or supply to gas grid replaced by the project activity (heat)</t>
  </si>
  <si>
    <t>Project emissions from methane destroyed and uncombusted methane (boiler)</t>
  </si>
  <si>
    <t>Project emissions from methane destroyed and uncombusted methane (flare)</t>
  </si>
  <si>
    <t>Project emissions from methane destroyed and uncombusted methane (power)</t>
  </si>
  <si>
    <t>Baseline emissions from the production of power, heat or supply to gas grid replaced by the project activity (power)</t>
  </si>
  <si>
    <t>Project emissions from methane destroyed (Total)</t>
  </si>
  <si>
    <t>Project emissions from uncombusted methane (Total)</t>
  </si>
  <si>
    <r>
      <t>Carbon emission factor of CONS</t>
    </r>
    <r>
      <rPr>
        <sz val="8"/>
        <rFont val="Arial"/>
        <family val="2"/>
      </rPr>
      <t>ELEC,PJ</t>
    </r>
  </si>
  <si>
    <r>
      <t>t CO</t>
    </r>
    <r>
      <rPr>
        <sz val="8"/>
        <rFont val="Arial"/>
        <family val="2"/>
      </rPr>
      <t>2eq</t>
    </r>
  </si>
  <si>
    <r>
      <t>t CH</t>
    </r>
    <r>
      <rPr>
        <sz val="8"/>
        <rFont val="Arial"/>
        <family val="2"/>
      </rPr>
      <t>4</t>
    </r>
  </si>
  <si>
    <r>
      <t>t CH</t>
    </r>
    <r>
      <rPr>
        <sz val="8"/>
        <rFont val="Arial"/>
        <family val="2"/>
      </rPr>
      <t>4</t>
    </r>
  </si>
  <si>
    <r>
      <t>t CO</t>
    </r>
    <r>
      <rPr>
        <sz val="8"/>
        <rFont val="Arial"/>
        <family val="2"/>
      </rPr>
      <t>2eq</t>
    </r>
    <r>
      <rPr>
        <sz val="10"/>
        <rFont val="Arial"/>
        <family val="2"/>
      </rPr>
      <t xml:space="preserve"> / 
t CH</t>
    </r>
    <r>
      <rPr>
        <sz val="8"/>
        <rFont val="Arial"/>
        <family val="2"/>
      </rPr>
      <t>4</t>
    </r>
  </si>
  <si>
    <r>
      <t>t CO</t>
    </r>
    <r>
      <rPr>
        <sz val="8"/>
        <rFont val="Arial"/>
        <family val="2"/>
      </rPr>
      <t>2eq</t>
    </r>
    <r>
      <rPr>
        <sz val="10"/>
        <rFont val="Arial"/>
        <family val="2"/>
      </rPr>
      <t xml:space="preserve"> / 
t NMHC</t>
    </r>
  </si>
  <si>
    <r>
      <t>PE</t>
    </r>
    <r>
      <rPr>
        <vertAlign val="subscript"/>
        <sz val="11"/>
        <rFont val="Times New Roman"/>
        <family val="1"/>
      </rPr>
      <t>ME</t>
    </r>
  </si>
  <si>
    <r>
      <t>PE</t>
    </r>
    <r>
      <rPr>
        <vertAlign val="subscript"/>
        <sz val="11"/>
        <rFont val="Times New Roman"/>
        <family val="1"/>
      </rPr>
      <t>MD</t>
    </r>
  </si>
  <si>
    <r>
      <t>PE</t>
    </r>
    <r>
      <rPr>
        <vertAlign val="subscript"/>
        <sz val="11"/>
        <rFont val="Times New Roman"/>
        <family val="1"/>
      </rPr>
      <t>UM</t>
    </r>
  </si>
  <si>
    <r>
      <t>CONS</t>
    </r>
    <r>
      <rPr>
        <vertAlign val="subscript"/>
        <sz val="11"/>
        <rFont val="Times New Roman"/>
        <family val="1"/>
      </rPr>
      <t>ELEC,PJ</t>
    </r>
  </si>
  <si>
    <r>
      <t>CEF</t>
    </r>
    <r>
      <rPr>
        <vertAlign val="subscript"/>
        <sz val="11"/>
        <color indexed="8"/>
        <rFont val="Times New Roman"/>
        <family val="1"/>
      </rPr>
      <t>E</t>
    </r>
    <r>
      <rPr>
        <vertAlign val="subscript"/>
        <sz val="11"/>
        <rFont val="Times New Roman"/>
        <family val="1"/>
      </rPr>
      <t>LEC,PJ</t>
    </r>
  </si>
  <si>
    <r>
      <t>MD</t>
    </r>
    <r>
      <rPr>
        <vertAlign val="subscript"/>
        <sz val="11"/>
        <rFont val="Times New Roman"/>
        <family val="1"/>
      </rPr>
      <t>FL</t>
    </r>
  </si>
  <si>
    <r>
      <t>MM</t>
    </r>
    <r>
      <rPr>
        <vertAlign val="subscript"/>
        <sz val="11"/>
        <rFont val="Times New Roman"/>
        <family val="1"/>
      </rPr>
      <t>FL</t>
    </r>
  </si>
  <si>
    <r>
      <t>Eff</t>
    </r>
    <r>
      <rPr>
        <vertAlign val="subscript"/>
        <sz val="11"/>
        <rFont val="Times New Roman"/>
        <family val="1"/>
      </rPr>
      <t>FL</t>
    </r>
  </si>
  <si>
    <r>
      <t>MD</t>
    </r>
    <r>
      <rPr>
        <vertAlign val="subscript"/>
        <sz val="11"/>
        <rFont val="Times New Roman"/>
        <family val="1"/>
      </rPr>
      <t>ELEC</t>
    </r>
  </si>
  <si>
    <r>
      <t>MM</t>
    </r>
    <r>
      <rPr>
        <vertAlign val="subscript"/>
        <sz val="11"/>
        <rFont val="Times New Roman"/>
        <family val="1"/>
      </rPr>
      <t>ELEC</t>
    </r>
  </si>
  <si>
    <r>
      <t>Eff</t>
    </r>
    <r>
      <rPr>
        <vertAlign val="subscript"/>
        <sz val="11"/>
        <rFont val="Times New Roman"/>
        <family val="1"/>
      </rPr>
      <t>ELEC</t>
    </r>
  </si>
  <si>
    <r>
      <t>MD</t>
    </r>
    <r>
      <rPr>
        <vertAlign val="subscript"/>
        <sz val="11"/>
        <rFont val="Times New Roman"/>
        <family val="1"/>
      </rPr>
      <t>HEAT</t>
    </r>
  </si>
  <si>
    <r>
      <t>MM</t>
    </r>
    <r>
      <rPr>
        <vertAlign val="subscript"/>
        <sz val="11"/>
        <rFont val="Times New Roman"/>
        <family val="1"/>
      </rPr>
      <t>HEAT</t>
    </r>
  </si>
  <si>
    <r>
      <t>Eff</t>
    </r>
    <r>
      <rPr>
        <vertAlign val="subscript"/>
        <sz val="11"/>
        <rFont val="Times New Roman"/>
        <family val="1"/>
      </rPr>
      <t>HEAT</t>
    </r>
  </si>
  <si>
    <r>
      <t>CEF</t>
    </r>
    <r>
      <rPr>
        <vertAlign val="subscript"/>
        <sz val="11"/>
        <rFont val="Times New Roman"/>
        <family val="1"/>
      </rPr>
      <t>CH4</t>
    </r>
  </si>
  <si>
    <r>
      <t>CEF</t>
    </r>
    <r>
      <rPr>
        <vertAlign val="subscript"/>
        <sz val="11"/>
        <rFont val="Times New Roman"/>
        <family val="1"/>
      </rPr>
      <t>NMHC</t>
    </r>
  </si>
  <si>
    <r>
      <t>PC</t>
    </r>
    <r>
      <rPr>
        <vertAlign val="subscript"/>
        <sz val="10"/>
        <rFont val="Times New Roman"/>
        <family val="1"/>
      </rPr>
      <t>CH4</t>
    </r>
  </si>
  <si>
    <r>
      <t>PC</t>
    </r>
    <r>
      <rPr>
        <vertAlign val="subscript"/>
        <sz val="10"/>
        <rFont val="Times New Roman"/>
        <family val="1"/>
      </rPr>
      <t>NMHC</t>
    </r>
  </si>
  <si>
    <r>
      <t>GWP</t>
    </r>
    <r>
      <rPr>
        <vertAlign val="subscript"/>
        <sz val="11"/>
        <rFont val="Times New Roman"/>
        <family val="1"/>
      </rPr>
      <t>CH4</t>
    </r>
  </si>
  <si>
    <r>
      <t>BE</t>
    </r>
    <r>
      <rPr>
        <vertAlign val="subscript"/>
        <sz val="11"/>
        <rFont val="Times New Roman"/>
        <family val="1"/>
      </rPr>
      <t>MR</t>
    </r>
  </si>
  <si>
    <r>
      <t>BE</t>
    </r>
    <r>
      <rPr>
        <vertAlign val="subscript"/>
        <sz val="11"/>
        <rFont val="Times New Roman"/>
        <family val="1"/>
      </rPr>
      <t>Use</t>
    </r>
  </si>
  <si>
    <r>
      <t>CMM</t>
    </r>
    <r>
      <rPr>
        <vertAlign val="subscript"/>
        <sz val="11"/>
        <color indexed="8"/>
        <rFont val="Times New Roman"/>
        <family val="1"/>
      </rPr>
      <t>PJ</t>
    </r>
  </si>
  <si>
    <r>
      <t>EF</t>
    </r>
    <r>
      <rPr>
        <vertAlign val="subscript"/>
        <sz val="11"/>
        <rFont val="Times New Roman"/>
        <family val="1"/>
      </rPr>
      <t>elec</t>
    </r>
  </si>
  <si>
    <r>
      <t>EF</t>
    </r>
    <r>
      <rPr>
        <vertAlign val="subscript"/>
        <sz val="11"/>
        <rFont val="Times New Roman"/>
        <family val="1"/>
      </rPr>
      <t>CO2,Coal</t>
    </r>
  </si>
  <si>
    <r>
      <t>Eff</t>
    </r>
    <r>
      <rPr>
        <vertAlign val="subscript"/>
        <sz val="11"/>
        <color indexed="8"/>
        <rFont val="Times New Roman"/>
        <family val="1"/>
      </rPr>
      <t>hea</t>
    </r>
    <r>
      <rPr>
        <vertAlign val="subscript"/>
        <sz val="10"/>
        <rFont val="Arial"/>
        <family val="2"/>
      </rPr>
      <t>t</t>
    </r>
  </si>
  <si>
    <t>turquoise</t>
  </si>
  <si>
    <t>P3/4</t>
  </si>
  <si>
    <t>Extension since Version 3</t>
  </si>
  <si>
    <t>methane amount destroyed by Flare 3</t>
  </si>
  <si>
    <t>methane amount destroyed by Flare 4</t>
  </si>
  <si>
    <t>methane amount sent to Flare 3</t>
  </si>
  <si>
    <t>methane amount sent to Flare 4</t>
  </si>
  <si>
    <t>methane amount sent to Boiler 1</t>
  </si>
  <si>
    <t>methane amount sent to Boiler 2</t>
  </si>
  <si>
    <t>methane concen-tration (flare 3)</t>
  </si>
  <si>
    <t>Emission Reductions - KD from 2010-11-01 to 2011-06-30</t>
  </si>
  <si>
    <t>KD-F3_Measuring_Data_2010-11-01 to 2011-06-30.V2.xls</t>
  </si>
  <si>
    <t>KD-F4_Measuring_Data_2010-11-01 to 2011-06-30.V1.xls</t>
  </si>
  <si>
    <t>KD-B1+2_Measuring_Data_2010-11-01 to 2011-06-30.V1.xls</t>
  </si>
  <si>
    <t>kWh</t>
  </si>
  <si>
    <t>Additional electricity consump-tion by project</t>
  </si>
  <si>
    <t>Carbon emission factor for combusted non methane hydro-carbons (various)</t>
  </si>
  <si>
    <t>Concentration of methane in extrac-ted gas</t>
  </si>
  <si>
    <t>NMHC concen-tration in coal mine gas</t>
  </si>
  <si>
    <t>Additional electricity consump-tion by flare 3</t>
  </si>
  <si>
    <t>Additional electricity consump-tion by flare 4</t>
  </si>
  <si>
    <t>Baseline emissions from release of methane into the atmosphere that is avoided by the project activity (heat)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</si>
</sst>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mmm\-yyyy"/>
    <numFmt numFmtId="177" formatCode="[$-809]dd\ mmmm\ yyyy"/>
    <numFmt numFmtId="178" formatCode="d\.m\.yy\ h:mm;@"/>
    <numFmt numFmtId="179" formatCode="0.00000"/>
    <numFmt numFmtId="180" formatCode="0.0000"/>
    <numFmt numFmtId="181" formatCode="0.000"/>
    <numFmt numFmtId="182" formatCode="0.0"/>
    <numFmt numFmtId="183" formatCode="d/m/yy\ h:mm;@"/>
    <numFmt numFmtId="184" formatCode="yyyy\-mm\-dd;@"/>
    <numFmt numFmtId="185" formatCode="0.0%"/>
    <numFmt numFmtId="186" formatCode="0.000%"/>
    <numFmt numFmtId="187" formatCode="0.0000000"/>
    <numFmt numFmtId="188" formatCode="0.000000"/>
    <numFmt numFmtId="189" formatCode="mmmm\-yyyy"/>
    <numFmt numFmtId="190" formatCode="#,##0.0"/>
    <numFmt numFmtId="191" formatCode="#,##0.000"/>
    <numFmt numFmtId="192" formatCode="mmm\ yyyy"/>
    <numFmt numFmtId="193" formatCode="[$-409]mmmm\-yy;@"/>
    <numFmt numFmtId="194" formatCode="#,##0.0000"/>
  </numFmts>
  <fonts count="24">
    <font>
      <sz val="10"/>
      <name val="Arial"/>
      <family val="0"/>
    </font>
    <font>
      <b/>
      <sz val="14"/>
      <name val="Arial"/>
      <family val="2"/>
    </font>
    <font>
      <b/>
      <sz val="10"/>
      <name val="Arial"/>
      <family val="2"/>
    </font>
    <font>
      <b/>
      <sz val="11"/>
      <color indexed="8"/>
      <name val="Times New Roman"/>
      <family val="1"/>
    </font>
    <font>
      <sz val="8"/>
      <name val="Tahoma"/>
      <family val="0"/>
    </font>
    <font>
      <b/>
      <sz val="8"/>
      <name val="Tahoma"/>
      <family val="0"/>
    </font>
    <font>
      <u val="single"/>
      <sz val="10"/>
      <color indexed="12"/>
      <name val="Arial"/>
      <family val="0"/>
    </font>
    <font>
      <u val="single"/>
      <sz val="10"/>
      <color indexed="36"/>
      <name val="Arial"/>
      <family val="0"/>
    </font>
    <font>
      <sz val="10"/>
      <name val="Tahoma"/>
      <family val="0"/>
    </font>
    <font>
      <b/>
      <sz val="10"/>
      <name val="Tahoma"/>
      <family val="0"/>
    </font>
    <font>
      <sz val="7"/>
      <name val="Tahoma"/>
      <family val="2"/>
    </font>
    <font>
      <sz val="10"/>
      <color indexed="8"/>
      <name val="Arial"/>
      <family val="0"/>
    </font>
    <font>
      <b/>
      <sz val="11"/>
      <name val="Arial"/>
      <family val="0"/>
    </font>
    <font>
      <sz val="10"/>
      <color indexed="10"/>
      <name val="Arial"/>
      <family val="0"/>
    </font>
    <font>
      <b/>
      <sz val="11"/>
      <name val="Times New Roman"/>
      <family val="1"/>
    </font>
    <font>
      <sz val="8"/>
      <name val="Arial"/>
      <family val="2"/>
    </font>
    <font>
      <sz val="11"/>
      <color indexed="8"/>
      <name val="Times New Roman"/>
      <family val="1"/>
    </font>
    <font>
      <vertAlign val="subscript"/>
      <sz val="11"/>
      <name val="Times New Roman"/>
      <family val="1"/>
    </font>
    <font>
      <sz val="11"/>
      <name val="Times New Roman"/>
      <family val="1"/>
    </font>
    <font>
      <vertAlign val="subscript"/>
      <sz val="11"/>
      <color indexed="8"/>
      <name val="Times New Roman"/>
      <family val="1"/>
    </font>
    <font>
      <vertAlign val="subscript"/>
      <sz val="10"/>
      <name val="Times New Roman"/>
      <family val="1"/>
    </font>
    <font>
      <vertAlign val="subscript"/>
      <sz val="10"/>
      <name val="Arial"/>
      <family val="2"/>
    </font>
    <font>
      <b/>
      <sz val="10"/>
      <color indexed="8"/>
      <name val="Arial"/>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41"/>
        <bgColor indexed="64"/>
      </patternFill>
    </fill>
    <fill>
      <patternFill patternType="solid">
        <fgColor indexed="15"/>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xf>
    <xf numFmtId="0" fontId="0" fillId="0" borderId="1" xfId="0" applyBorder="1" applyAlignment="1">
      <alignment/>
    </xf>
    <xf numFmtId="184"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9" fontId="0" fillId="0" borderId="0" xfId="19" applyAlignment="1">
      <alignment/>
    </xf>
    <xf numFmtId="0" fontId="0" fillId="0" borderId="0" xfId="0" applyFill="1" applyAlignment="1">
      <alignment/>
    </xf>
    <xf numFmtId="0" fontId="0" fillId="0" borderId="0" xfId="0" applyNumberFormat="1" applyFill="1" applyAlignment="1">
      <alignment/>
    </xf>
    <xf numFmtId="185" fontId="0" fillId="0" borderId="0" xfId="0" applyNumberFormat="1" applyFill="1" applyAlignment="1">
      <alignment/>
    </xf>
    <xf numFmtId="0" fontId="0" fillId="0" borderId="0" xfId="0" applyFill="1" applyAlignment="1" quotePrefix="1">
      <alignment horizontal="center"/>
    </xf>
    <xf numFmtId="185" fontId="0" fillId="0" borderId="0" xfId="0" applyNumberFormat="1" applyFill="1" applyAlignment="1" quotePrefix="1">
      <alignment horizontal="center"/>
    </xf>
    <xf numFmtId="189" fontId="2" fillId="0" borderId="2" xfId="0" applyNumberFormat="1" applyFont="1" applyBorder="1" applyAlignment="1">
      <alignment horizontal="right"/>
    </xf>
    <xf numFmtId="3" fontId="2" fillId="0" borderId="2" xfId="0" applyNumberFormat="1" applyFont="1" applyBorder="1" applyAlignment="1">
      <alignment/>
    </xf>
    <xf numFmtId="3" fontId="0" fillId="0" borderId="0" xfId="0" applyNumberFormat="1" applyFill="1" applyAlignment="1">
      <alignment/>
    </xf>
    <xf numFmtId="0" fontId="0" fillId="2" borderId="0" xfId="0" applyFill="1" applyAlignment="1">
      <alignment/>
    </xf>
    <xf numFmtId="0" fontId="0" fillId="0" borderId="0" xfId="0" applyAlignment="1">
      <alignment horizontal="right" vertical="center"/>
    </xf>
    <xf numFmtId="184" fontId="2" fillId="0" borderId="2" xfId="0" applyNumberFormat="1" applyFont="1" applyBorder="1" applyAlignment="1">
      <alignment horizontal="right" vertical="center" wrapText="1"/>
    </xf>
    <xf numFmtId="3" fontId="2" fillId="0" borderId="2" xfId="0" applyNumberFormat="1" applyFont="1" applyBorder="1" applyAlignment="1">
      <alignment horizontal="right" vertical="center"/>
    </xf>
    <xf numFmtId="0" fontId="0" fillId="0" borderId="0" xfId="0" applyFill="1" applyBorder="1" applyAlignment="1">
      <alignment/>
    </xf>
    <xf numFmtId="0" fontId="3" fillId="0" borderId="0" xfId="0" applyFont="1" applyFill="1" applyBorder="1" applyAlignment="1">
      <alignment/>
    </xf>
    <xf numFmtId="1" fontId="0" fillId="0" borderId="0" xfId="0" applyNumberFormat="1" applyFill="1" applyAlignment="1">
      <alignment/>
    </xf>
    <xf numFmtId="185" fontId="0" fillId="0" borderId="0" xfId="0" applyNumberFormat="1" applyFill="1" applyAlignment="1" quotePrefix="1">
      <alignment horizontal="right"/>
    </xf>
    <xf numFmtId="185" fontId="0" fillId="0" borderId="0" xfId="19" applyNumberFormat="1" applyAlignment="1">
      <alignment/>
    </xf>
    <xf numFmtId="0" fontId="0" fillId="0" borderId="0" xfId="0"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xf>
    <xf numFmtId="3" fontId="0" fillId="0" borderId="0" xfId="0" applyNumberFormat="1" applyFont="1" applyAlignment="1">
      <alignment/>
    </xf>
    <xf numFmtId="0" fontId="0" fillId="3" borderId="0" xfId="0" applyFill="1" applyAlignment="1">
      <alignment/>
    </xf>
    <xf numFmtId="0" fontId="2" fillId="0" borderId="1" xfId="0" applyFont="1" applyBorder="1" applyAlignment="1">
      <alignment/>
    </xf>
    <xf numFmtId="3" fontId="0" fillId="0" borderId="0" xfId="0" applyNumberFormat="1" applyFont="1" applyFill="1" applyAlignment="1">
      <alignment/>
    </xf>
    <xf numFmtId="9" fontId="0" fillId="0" borderId="0" xfId="0" applyNumberFormat="1" applyFill="1" applyAlignment="1">
      <alignment/>
    </xf>
    <xf numFmtId="1" fontId="2" fillId="4" borderId="1" xfId="0" applyNumberFormat="1" applyFont="1" applyFill="1" applyBorder="1" applyAlignment="1">
      <alignment/>
    </xf>
    <xf numFmtId="1" fontId="0" fillId="4" borderId="0" xfId="0" applyNumberFormat="1" applyFill="1" applyAlignment="1">
      <alignment/>
    </xf>
    <xf numFmtId="181" fontId="0" fillId="0" borderId="0" xfId="0" applyNumberFormat="1" applyFill="1" applyAlignment="1">
      <alignment/>
    </xf>
    <xf numFmtId="3" fontId="0" fillId="0" borderId="0" xfId="0" applyNumberFormat="1" applyAlignment="1">
      <alignment/>
    </xf>
    <xf numFmtId="0" fontId="0" fillId="5" borderId="0" xfId="0" applyFill="1" applyAlignment="1">
      <alignment/>
    </xf>
    <xf numFmtId="3" fontId="0" fillId="0" borderId="0" xfId="0" applyNumberFormat="1" applyFill="1" applyBorder="1" applyAlignment="1">
      <alignment/>
    </xf>
    <xf numFmtId="1" fontId="0" fillId="0" borderId="0" xfId="0" applyNumberFormat="1" applyFill="1" applyBorder="1" applyAlignment="1">
      <alignment/>
    </xf>
    <xf numFmtId="190" fontId="0" fillId="0" borderId="0" xfId="0" applyNumberFormat="1" applyFill="1" applyBorder="1" applyAlignment="1">
      <alignment/>
    </xf>
    <xf numFmtId="190" fontId="11" fillId="0" borderId="0" xfId="0" applyNumberFormat="1" applyFont="1" applyFill="1" applyBorder="1" applyAlignment="1">
      <alignment/>
    </xf>
    <xf numFmtId="182" fontId="0" fillId="0" borderId="0" xfId="0" applyNumberFormat="1" applyFill="1" applyBorder="1" applyAlignment="1">
      <alignment/>
    </xf>
    <xf numFmtId="3" fontId="2" fillId="5" borderId="2" xfId="0" applyNumberFormat="1" applyFont="1" applyFill="1" applyBorder="1" applyAlignment="1">
      <alignment horizontal="right" vertical="center"/>
    </xf>
    <xf numFmtId="3" fontId="2" fillId="0" borderId="2" xfId="0" applyNumberFormat="1" applyFont="1" applyFill="1" applyBorder="1" applyAlignment="1">
      <alignment/>
    </xf>
    <xf numFmtId="3" fontId="2" fillId="0" borderId="2" xfId="0" applyNumberFormat="1" applyFont="1" applyFill="1" applyBorder="1" applyAlignment="1">
      <alignment horizontal="right" vertical="center"/>
    </xf>
    <xf numFmtId="0" fontId="0" fillId="0" borderId="3" xfId="0" applyBorder="1" applyAlignment="1">
      <alignment/>
    </xf>
    <xf numFmtId="3" fontId="0" fillId="0" borderId="3" xfId="0" applyNumberFormat="1" applyFill="1" applyBorder="1" applyAlignment="1">
      <alignment/>
    </xf>
    <xf numFmtId="3" fontId="2" fillId="0" borderId="4" xfId="0" applyNumberFormat="1" applyFont="1" applyBorder="1" applyAlignment="1">
      <alignment/>
    </xf>
    <xf numFmtId="182" fontId="0" fillId="0" borderId="0" xfId="0" applyNumberFormat="1" applyBorder="1" applyAlignment="1">
      <alignment/>
    </xf>
    <xf numFmtId="190" fontId="0" fillId="0" borderId="0" xfId="0" applyNumberFormat="1" applyAlignment="1">
      <alignment/>
    </xf>
    <xf numFmtId="190" fontId="0" fillId="0" borderId="0" xfId="0" applyNumberFormat="1" applyBorder="1" applyAlignment="1">
      <alignment/>
    </xf>
    <xf numFmtId="3" fontId="0" fillId="0" borderId="0" xfId="0" applyNumberFormat="1" applyBorder="1" applyAlignment="1">
      <alignment/>
    </xf>
    <xf numFmtId="3" fontId="13" fillId="0" borderId="0" xfId="0" applyNumberFormat="1" applyFont="1" applyBorder="1" applyAlignment="1">
      <alignment/>
    </xf>
    <xf numFmtId="3" fontId="12" fillId="0" borderId="0" xfId="0" applyNumberFormat="1" applyFont="1" applyBorder="1" applyAlignment="1">
      <alignment/>
    </xf>
    <xf numFmtId="185" fontId="0" fillId="0" borderId="0" xfId="0" applyNumberFormat="1" applyFont="1" applyFill="1" applyBorder="1" applyAlignment="1">
      <alignment horizontal="center"/>
    </xf>
    <xf numFmtId="189" fontId="0" fillId="0" borderId="0" xfId="0" applyNumberFormat="1" applyBorder="1" applyAlignment="1">
      <alignment/>
    </xf>
    <xf numFmtId="190" fontId="0" fillId="0" borderId="0" xfId="0" applyNumberFormat="1" applyBorder="1" applyAlignment="1">
      <alignment/>
    </xf>
    <xf numFmtId="189" fontId="2" fillId="0" borderId="0" xfId="0" applyNumberFormat="1" applyFont="1" applyBorder="1" applyAlignment="1">
      <alignment horizontal="right"/>
    </xf>
    <xf numFmtId="185" fontId="0" fillId="0" borderId="0" xfId="0" applyNumberFormat="1" applyFill="1" applyBorder="1" applyAlignment="1" quotePrefix="1">
      <alignment horizontal="center"/>
    </xf>
    <xf numFmtId="3" fontId="2" fillId="5" borderId="2" xfId="0" applyNumberFormat="1" applyFont="1" applyFill="1" applyBorder="1" applyAlignment="1">
      <alignment/>
    </xf>
    <xf numFmtId="3" fontId="2" fillId="0" borderId="4" xfId="0" applyNumberFormat="1" applyFont="1" applyFill="1" applyBorder="1" applyAlignment="1">
      <alignment horizontal="right" vertical="center"/>
    </xf>
    <xf numFmtId="193" fontId="0" fillId="0" borderId="0" xfId="0" applyNumberFormat="1" applyAlignment="1">
      <alignment/>
    </xf>
    <xf numFmtId="190" fontId="0" fillId="3" borderId="0" xfId="0" applyNumberFormat="1" applyFill="1" applyAlignment="1">
      <alignment/>
    </xf>
    <xf numFmtId="190" fontId="0" fillId="2" borderId="0" xfId="0" applyNumberFormat="1" applyFill="1" applyAlignment="1">
      <alignment/>
    </xf>
    <xf numFmtId="190" fontId="2" fillId="0" borderId="2" xfId="0" applyNumberFormat="1" applyFont="1" applyBorder="1" applyAlignment="1">
      <alignment/>
    </xf>
    <xf numFmtId="190" fontId="2" fillId="0" borderId="2" xfId="0" applyNumberFormat="1" applyFont="1" applyBorder="1" applyAlignment="1">
      <alignment horizontal="right" vertical="center"/>
    </xf>
    <xf numFmtId="190" fontId="2" fillId="0" borderId="2" xfId="0" applyNumberFormat="1" applyFont="1" applyFill="1" applyBorder="1" applyAlignment="1">
      <alignment horizontal="right" vertical="center"/>
    </xf>
    <xf numFmtId="190" fontId="0" fillId="0" borderId="0" xfId="0" applyNumberFormat="1" applyFill="1" applyAlignment="1">
      <alignment/>
    </xf>
    <xf numFmtId="0" fontId="3" fillId="0" borderId="0" xfId="0" applyFont="1" applyFill="1" applyAlignment="1">
      <alignment/>
    </xf>
    <xf numFmtId="0" fontId="0" fillId="0" borderId="0" xfId="0" applyFont="1" applyAlignment="1">
      <alignment/>
    </xf>
    <xf numFmtId="0" fontId="14" fillId="0" borderId="0" xfId="0" applyFont="1" applyAlignment="1">
      <alignment/>
    </xf>
    <xf numFmtId="1" fontId="0" fillId="0" borderId="0" xfId="0" applyNumberFormat="1" applyFont="1" applyAlignment="1">
      <alignment/>
    </xf>
    <xf numFmtId="2" fontId="0" fillId="0" borderId="0" xfId="0" applyNumberFormat="1"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horizontal="left" wrapText="1"/>
    </xf>
    <xf numFmtId="0" fontId="0" fillId="0" borderId="0" xfId="0" applyFont="1" applyBorder="1" applyAlignment="1">
      <alignment wrapText="1"/>
    </xf>
    <xf numFmtId="0" fontId="0" fillId="0" borderId="3" xfId="0" applyFont="1" applyBorder="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Fill="1" applyAlignment="1">
      <alignment wrapText="1"/>
    </xf>
    <xf numFmtId="0" fontId="0" fillId="0" borderId="0" xfId="0" applyFont="1" applyAlignment="1">
      <alignment/>
    </xf>
    <xf numFmtId="0" fontId="0" fillId="0" borderId="5" xfId="0" applyFont="1" applyBorder="1" applyAlignment="1">
      <alignment horizontal="right"/>
    </xf>
    <xf numFmtId="190" fontId="0" fillId="0" borderId="5" xfId="0" applyNumberFormat="1" applyFont="1" applyFill="1" applyBorder="1" applyAlignment="1">
      <alignment horizontal="right" wrapText="1"/>
    </xf>
    <xf numFmtId="190" fontId="0" fillId="0" borderId="6" xfId="0" applyNumberFormat="1" applyFont="1" applyFill="1" applyBorder="1" applyAlignment="1">
      <alignment horizontal="right" wrapText="1"/>
    </xf>
    <xf numFmtId="0" fontId="0" fillId="0" borderId="5" xfId="0" applyFont="1" applyFill="1" applyBorder="1" applyAlignment="1">
      <alignment horizontal="right"/>
    </xf>
    <xf numFmtId="0" fontId="0" fillId="0" borderId="5" xfId="0" applyFont="1" applyBorder="1" applyAlignment="1">
      <alignment horizontal="right" wrapText="1"/>
    </xf>
    <xf numFmtId="0" fontId="0" fillId="0" borderId="5" xfId="0" applyFont="1" applyFill="1" applyBorder="1" applyAlignment="1">
      <alignment horizontal="right" wrapText="1"/>
    </xf>
    <xf numFmtId="0" fontId="0" fillId="0" borderId="0" xfId="0" applyFont="1" applyAlignment="1">
      <alignment horizontal="right"/>
    </xf>
    <xf numFmtId="0" fontId="0" fillId="0" borderId="1" xfId="0" applyFont="1" applyBorder="1" applyAlignment="1">
      <alignment wrapText="1"/>
    </xf>
    <xf numFmtId="0" fontId="0" fillId="0" borderId="7" xfId="0" applyFont="1" applyBorder="1" applyAlignment="1">
      <alignment wrapText="1"/>
    </xf>
    <xf numFmtId="0" fontId="16" fillId="0" borderId="1" xfId="0" applyFont="1" applyBorder="1" applyAlignment="1">
      <alignment wrapText="1"/>
    </xf>
    <xf numFmtId="0" fontId="16" fillId="0" borderId="1" xfId="0" applyFont="1" applyBorder="1" applyAlignment="1">
      <alignment/>
    </xf>
    <xf numFmtId="0" fontId="18" fillId="0" borderId="1" xfId="0" applyFont="1" applyBorder="1" applyAlignment="1">
      <alignment wrapText="1"/>
    </xf>
    <xf numFmtId="0" fontId="16" fillId="0" borderId="1" xfId="0" applyFont="1" applyFill="1" applyBorder="1" applyAlignment="1">
      <alignment wrapText="1"/>
    </xf>
    <xf numFmtId="0" fontId="0" fillId="0" borderId="0" xfId="0" applyFont="1" applyAlignment="1">
      <alignment wrapText="1"/>
    </xf>
    <xf numFmtId="0" fontId="0" fillId="6" borderId="0" xfId="0" applyFill="1" applyAlignment="1">
      <alignment/>
    </xf>
    <xf numFmtId="0" fontId="3" fillId="6" borderId="0" xfId="0" applyFont="1" applyFill="1" applyAlignment="1">
      <alignment/>
    </xf>
    <xf numFmtId="0" fontId="16" fillId="6" borderId="1" xfId="0" applyFont="1" applyFill="1" applyBorder="1" applyAlignment="1">
      <alignment wrapText="1"/>
    </xf>
    <xf numFmtId="0" fontId="6" fillId="0" borderId="0" xfId="18" applyAlignment="1">
      <alignment/>
    </xf>
    <xf numFmtId="0" fontId="0" fillId="0" borderId="8" xfId="0" applyFont="1" applyBorder="1" applyAlignment="1">
      <alignment wrapText="1"/>
    </xf>
    <xf numFmtId="3" fontId="0" fillId="3" borderId="0" xfId="0" applyNumberFormat="1" applyFill="1" applyAlignment="1">
      <alignment/>
    </xf>
    <xf numFmtId="182" fontId="0" fillId="3" borderId="8" xfId="0" applyNumberFormat="1" applyFont="1" applyFill="1" applyBorder="1" applyAlignment="1">
      <alignment/>
    </xf>
    <xf numFmtId="190" fontId="2" fillId="0" borderId="9" xfId="0" applyNumberFormat="1" applyFont="1" applyBorder="1" applyAlignment="1">
      <alignment/>
    </xf>
    <xf numFmtId="190" fontId="2" fillId="0" borderId="9" xfId="0" applyNumberFormat="1" applyFont="1" applyFill="1" applyBorder="1" applyAlignment="1">
      <alignment horizontal="right" vertical="center"/>
    </xf>
    <xf numFmtId="182" fontId="0" fillId="0" borderId="0" xfId="0" applyNumberFormat="1" applyFont="1" applyFill="1" applyBorder="1" applyAlignment="1">
      <alignment/>
    </xf>
    <xf numFmtId="182" fontId="11" fillId="3" borderId="8" xfId="0" applyNumberFormat="1" applyFont="1" applyFill="1" applyBorder="1" applyAlignment="1">
      <alignment/>
    </xf>
    <xf numFmtId="0" fontId="2" fillId="0" borderId="2" xfId="0" applyFont="1" applyFill="1" applyBorder="1" applyAlignment="1">
      <alignment horizontal="right"/>
    </xf>
    <xf numFmtId="3" fontId="0" fillId="3" borderId="5" xfId="0" applyNumberFormat="1" applyFill="1" applyBorder="1" applyAlignment="1">
      <alignment/>
    </xf>
    <xf numFmtId="3" fontId="0" fillId="3" borderId="0" xfId="0" applyNumberFormat="1" applyFill="1" applyBorder="1" applyAlignment="1">
      <alignment/>
    </xf>
    <xf numFmtId="3" fontId="2" fillId="0" borderId="5" xfId="0" applyNumberFormat="1" applyFont="1" applyFill="1" applyBorder="1" applyAlignment="1">
      <alignment/>
    </xf>
    <xf numFmtId="191" fontId="2" fillId="0" borderId="2" xfId="0" applyNumberFormat="1" applyFont="1" applyBorder="1" applyAlignment="1">
      <alignment/>
    </xf>
    <xf numFmtId="191" fontId="2" fillId="0" borderId="2" xfId="0" applyNumberFormat="1" applyFont="1" applyBorder="1" applyAlignment="1">
      <alignment horizontal="right" vertical="center"/>
    </xf>
    <xf numFmtId="185" fontId="2" fillId="0" borderId="2" xfId="19" applyNumberFormat="1" applyFont="1" applyFill="1" applyBorder="1" applyAlignment="1">
      <alignment/>
    </xf>
    <xf numFmtId="185" fontId="2" fillId="0" borderId="2" xfId="19" applyNumberFormat="1" applyFont="1" applyFill="1" applyBorder="1" applyAlignment="1">
      <alignment horizontal="right" vertical="center"/>
    </xf>
    <xf numFmtId="185" fontId="2" fillId="0" borderId="2" xfId="19" applyNumberFormat="1" applyFont="1" applyFill="1" applyBorder="1" applyAlignment="1">
      <alignment horizontal="right"/>
    </xf>
    <xf numFmtId="0" fontId="11" fillId="0" borderId="0" xfId="0" applyFont="1" applyAlignment="1">
      <alignment/>
    </xf>
    <xf numFmtId="181" fontId="22" fillId="0" borderId="2" xfId="0" applyNumberFormat="1" applyFont="1" applyFill="1" applyBorder="1" applyAlignment="1">
      <alignment horizontal="right"/>
    </xf>
    <xf numFmtId="181" fontId="11" fillId="0" borderId="0" xfId="0" applyNumberFormat="1" applyFont="1" applyAlignment="1">
      <alignment/>
    </xf>
    <xf numFmtId="3" fontId="22" fillId="0" borderId="2" xfId="0" applyNumberFormat="1" applyFon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35"/>
  <sheetViews>
    <sheetView tabSelected="1" workbookViewId="0" topLeftCell="A1">
      <pane xSplit="1" ySplit="5" topLeftCell="B6" activePane="bottomRight" state="frozen"/>
      <selection pane="topLeft" activeCell="K6" sqref="K6"/>
      <selection pane="topRight" activeCell="A1" sqref="A1"/>
      <selection pane="bottomLeft" activeCell="A7" sqref="A7"/>
      <selection pane="bottomRight" activeCell="N9" sqref="N9"/>
    </sheetView>
  </sheetViews>
  <sheetFormatPr defaultColWidth="11.421875" defaultRowHeight="12.75"/>
  <cols>
    <col min="1" max="1" width="15.8515625" style="3" customWidth="1"/>
    <col min="2" max="3" width="9.00390625" style="0" customWidth="1"/>
    <col min="4" max="4" width="8.140625" style="0" customWidth="1"/>
    <col min="5" max="5" width="8.28125" style="0" customWidth="1"/>
    <col min="6" max="6" width="8.00390625" style="0" customWidth="1"/>
    <col min="7" max="8" width="8.140625" style="0" customWidth="1"/>
    <col min="9" max="9" width="7.7109375" style="0" customWidth="1"/>
    <col min="10" max="10" width="7.8515625" style="0" customWidth="1"/>
    <col min="11" max="11" width="9.140625" style="0" bestFit="1" customWidth="1"/>
    <col min="12" max="13" width="9.28125" style="0" customWidth="1"/>
    <col min="14" max="14" width="9.00390625" style="0" customWidth="1"/>
    <col min="15" max="17" width="9.57421875" style="0" bestFit="1" customWidth="1"/>
    <col min="18" max="18" width="8.8515625" style="76" customWidth="1"/>
    <col min="19" max="19" width="7.7109375" style="76" customWidth="1"/>
    <col min="20" max="20" width="9.8515625" style="0" customWidth="1"/>
    <col min="21" max="21" width="7.8515625" style="0" customWidth="1"/>
    <col min="22" max="22" width="8.8515625" style="0" customWidth="1"/>
    <col min="23" max="23" width="7.140625" style="9" customWidth="1"/>
    <col min="24" max="24" width="10.8515625" style="9" bestFit="1" customWidth="1"/>
    <col min="25" max="25" width="9.421875" style="0" customWidth="1"/>
    <col min="26" max="26" width="7.7109375" style="0" customWidth="1"/>
    <col min="27" max="27" width="10.00390625" style="0" bestFit="1" customWidth="1"/>
    <col min="28" max="28" width="9.28125" style="0" customWidth="1"/>
    <col min="29" max="29" width="9.421875" style="0" customWidth="1"/>
    <col min="30" max="30" width="8.140625" style="0" bestFit="1" customWidth="1"/>
    <col min="31" max="31" width="9.7109375" style="0" customWidth="1"/>
    <col min="32" max="32" width="9.7109375" style="0" bestFit="1" customWidth="1"/>
    <col min="33" max="33" width="8.28125" style="0" customWidth="1"/>
    <col min="34" max="34" width="8.00390625" style="0" customWidth="1"/>
    <col min="35" max="35" width="9.140625" style="0" customWidth="1"/>
    <col min="36" max="36" width="9.57421875" style="9" customWidth="1"/>
    <col min="37" max="37" width="9.28125" style="0" customWidth="1"/>
    <col min="38" max="38" width="11.8515625" style="0" bestFit="1" customWidth="1"/>
    <col min="39" max="39" width="12.8515625" style="0" bestFit="1" customWidth="1"/>
    <col min="40" max="40" width="12.00390625" style="0" bestFit="1" customWidth="1"/>
    <col min="41" max="41" width="12.7109375" style="0" bestFit="1" customWidth="1"/>
    <col min="42" max="42" width="9.00390625" style="0" customWidth="1"/>
    <col min="43" max="43" width="9.57421875" style="0" customWidth="1"/>
    <col min="44" max="44" width="9.8515625" style="0" customWidth="1"/>
    <col min="45" max="46" width="9.7109375" style="0" customWidth="1"/>
    <col min="47" max="47" width="7.8515625" style="0" customWidth="1"/>
    <col min="48" max="48" width="9.8515625" style="0" bestFit="1" customWidth="1"/>
    <col min="49" max="49" width="9.28125" style="0" customWidth="1"/>
    <col min="50" max="50" width="8.7109375" style="0" customWidth="1"/>
    <col min="51" max="51" width="9.57421875" style="0" customWidth="1"/>
  </cols>
  <sheetData>
    <row r="1" spans="1:19" ht="18">
      <c r="A1" s="1" t="s">
        <v>133</v>
      </c>
      <c r="R1" s="71"/>
      <c r="S1" s="71"/>
    </row>
    <row r="2" spans="1:49" ht="18">
      <c r="A2" s="1"/>
      <c r="I2" s="5"/>
      <c r="J2" s="47"/>
      <c r="M2" s="6" t="s">
        <v>35</v>
      </c>
      <c r="N2" s="6" t="s">
        <v>2</v>
      </c>
      <c r="O2" s="100" t="s">
        <v>124</v>
      </c>
      <c r="P2" s="100" t="s">
        <v>124</v>
      </c>
      <c r="Q2" s="100" t="s">
        <v>124</v>
      </c>
      <c r="R2" s="6" t="s">
        <v>3</v>
      </c>
      <c r="S2" s="72" t="s">
        <v>4</v>
      </c>
      <c r="T2" s="6" t="s">
        <v>5</v>
      </c>
      <c r="U2" s="6" t="s">
        <v>6</v>
      </c>
      <c r="V2" s="6" t="s">
        <v>36</v>
      </c>
      <c r="W2" s="22" t="s">
        <v>37</v>
      </c>
      <c r="X2" s="6" t="s">
        <v>38</v>
      </c>
      <c r="Y2" s="7" t="s">
        <v>39</v>
      </c>
      <c r="Z2" s="7" t="s">
        <v>40</v>
      </c>
      <c r="AA2" s="7" t="s">
        <v>41</v>
      </c>
      <c r="AB2" s="6" t="s">
        <v>7</v>
      </c>
      <c r="AC2" s="6" t="s">
        <v>8</v>
      </c>
      <c r="AD2" s="6" t="s">
        <v>9</v>
      </c>
      <c r="AE2" s="6" t="s">
        <v>10</v>
      </c>
      <c r="AF2" s="6" t="s">
        <v>11</v>
      </c>
      <c r="AG2" s="6" t="s">
        <v>12</v>
      </c>
      <c r="AH2" s="6" t="s">
        <v>13</v>
      </c>
      <c r="AI2" s="6" t="s">
        <v>14</v>
      </c>
      <c r="AJ2" s="70" t="s">
        <v>16</v>
      </c>
      <c r="AK2" s="6" t="s">
        <v>17</v>
      </c>
      <c r="AL2" s="100" t="s">
        <v>18</v>
      </c>
      <c r="AM2" s="100" t="s">
        <v>18</v>
      </c>
      <c r="AN2" s="100" t="s">
        <v>19</v>
      </c>
      <c r="AO2" s="100" t="s">
        <v>19</v>
      </c>
      <c r="AP2" s="6" t="s">
        <v>20</v>
      </c>
      <c r="AQ2" s="6" t="s">
        <v>21</v>
      </c>
      <c r="AR2" s="6" t="s">
        <v>22</v>
      </c>
      <c r="AS2" s="6" t="s">
        <v>23</v>
      </c>
      <c r="AT2" s="6" t="s">
        <v>24</v>
      </c>
      <c r="AU2" s="6" t="s">
        <v>25</v>
      </c>
      <c r="AV2" s="6" t="s">
        <v>26</v>
      </c>
      <c r="AW2" s="6" t="s">
        <v>27</v>
      </c>
    </row>
    <row r="3" spans="1:51" s="98" customFormat="1" ht="49.5">
      <c r="A3" s="92"/>
      <c r="B3" s="92"/>
      <c r="C3" s="92"/>
      <c r="D3" s="92"/>
      <c r="E3" s="92"/>
      <c r="F3" s="92"/>
      <c r="G3" s="92"/>
      <c r="H3" s="92"/>
      <c r="I3" s="92"/>
      <c r="J3" s="93"/>
      <c r="K3" s="92"/>
      <c r="L3" s="94" t="s">
        <v>58</v>
      </c>
      <c r="M3" s="94" t="s">
        <v>74</v>
      </c>
      <c r="N3" s="94" t="s">
        <v>98</v>
      </c>
      <c r="O3" s="101" t="s">
        <v>99</v>
      </c>
      <c r="P3" s="101" t="s">
        <v>99</v>
      </c>
      <c r="Q3" s="101" t="s">
        <v>99</v>
      </c>
      <c r="R3" s="95" t="s">
        <v>99</v>
      </c>
      <c r="S3" s="96" t="s">
        <v>100</v>
      </c>
      <c r="T3" s="94" t="s">
        <v>101</v>
      </c>
      <c r="U3" s="94" t="s">
        <v>102</v>
      </c>
      <c r="V3" s="94" t="s">
        <v>103</v>
      </c>
      <c r="W3" s="94" t="s">
        <v>104</v>
      </c>
      <c r="X3" s="94" t="s">
        <v>105</v>
      </c>
      <c r="Y3" s="94" t="s">
        <v>106</v>
      </c>
      <c r="Z3" s="94" t="s">
        <v>107</v>
      </c>
      <c r="AA3" s="94" t="s">
        <v>108</v>
      </c>
      <c r="AB3" s="94" t="s">
        <v>109</v>
      </c>
      <c r="AC3" s="94" t="s">
        <v>110</v>
      </c>
      <c r="AD3" s="94" t="s">
        <v>111</v>
      </c>
      <c r="AE3" s="94" t="s">
        <v>112</v>
      </c>
      <c r="AF3" s="94" t="s">
        <v>113</v>
      </c>
      <c r="AG3" s="94" t="s">
        <v>114</v>
      </c>
      <c r="AH3" s="94" t="s">
        <v>115</v>
      </c>
      <c r="AI3" s="94" t="s">
        <v>15</v>
      </c>
      <c r="AJ3" s="97" t="s">
        <v>116</v>
      </c>
      <c r="AK3" s="94" t="s">
        <v>73</v>
      </c>
      <c r="AL3" s="101" t="s">
        <v>117</v>
      </c>
      <c r="AM3" s="101" t="s">
        <v>117</v>
      </c>
      <c r="AN3" s="101" t="s">
        <v>118</v>
      </c>
      <c r="AO3" s="101" t="s">
        <v>118</v>
      </c>
      <c r="AP3" s="94" t="s">
        <v>119</v>
      </c>
      <c r="AQ3" s="94" t="s">
        <v>116</v>
      </c>
      <c r="AR3" s="94" t="s">
        <v>112</v>
      </c>
      <c r="AS3" s="94" t="s">
        <v>72</v>
      </c>
      <c r="AT3" s="94" t="s">
        <v>71</v>
      </c>
      <c r="AU3" s="94" t="s">
        <v>120</v>
      </c>
      <c r="AV3" s="94" t="s">
        <v>121</v>
      </c>
      <c r="AW3" s="94" t="s">
        <v>122</v>
      </c>
      <c r="AX3" s="94"/>
      <c r="AY3" s="94"/>
    </row>
    <row r="4" spans="1:51" s="84" customFormat="1" ht="153">
      <c r="A4" s="77" t="s">
        <v>0</v>
      </c>
      <c r="B4" s="79" t="s">
        <v>126</v>
      </c>
      <c r="C4" s="79" t="s">
        <v>127</v>
      </c>
      <c r="D4" s="79" t="s">
        <v>128</v>
      </c>
      <c r="E4" s="79" t="s">
        <v>129</v>
      </c>
      <c r="F4" s="78" t="s">
        <v>82</v>
      </c>
      <c r="G4" s="79" t="s">
        <v>130</v>
      </c>
      <c r="H4" s="79" t="s">
        <v>131</v>
      </c>
      <c r="I4" s="103" t="s">
        <v>132</v>
      </c>
      <c r="J4" s="80" t="s">
        <v>80</v>
      </c>
      <c r="K4" s="81" t="s">
        <v>80</v>
      </c>
      <c r="L4" s="82" t="s">
        <v>59</v>
      </c>
      <c r="M4" s="82" t="s">
        <v>68</v>
      </c>
      <c r="N4" s="82" t="s">
        <v>42</v>
      </c>
      <c r="O4" s="82" t="s">
        <v>87</v>
      </c>
      <c r="P4" s="82" t="s">
        <v>86</v>
      </c>
      <c r="Q4" s="82" t="s">
        <v>88</v>
      </c>
      <c r="R4" s="82" t="s">
        <v>90</v>
      </c>
      <c r="S4" s="82" t="s">
        <v>91</v>
      </c>
      <c r="T4" s="83" t="s">
        <v>138</v>
      </c>
      <c r="U4" s="82" t="s">
        <v>92</v>
      </c>
      <c r="V4" s="82" t="s">
        <v>43</v>
      </c>
      <c r="W4" s="83" t="s">
        <v>44</v>
      </c>
      <c r="X4" s="83" t="s">
        <v>83</v>
      </c>
      <c r="Y4" s="82" t="s">
        <v>45</v>
      </c>
      <c r="Z4" s="82" t="s">
        <v>46</v>
      </c>
      <c r="AA4" s="82" t="s">
        <v>47</v>
      </c>
      <c r="AB4" s="82" t="s">
        <v>48</v>
      </c>
      <c r="AC4" s="82" t="s">
        <v>49</v>
      </c>
      <c r="AD4" s="82" t="s">
        <v>50</v>
      </c>
      <c r="AE4" s="82" t="s">
        <v>29</v>
      </c>
      <c r="AF4" s="82" t="s">
        <v>139</v>
      </c>
      <c r="AG4" s="82" t="s">
        <v>140</v>
      </c>
      <c r="AH4" s="82" t="s">
        <v>141</v>
      </c>
      <c r="AI4" s="82" t="s">
        <v>51</v>
      </c>
      <c r="AJ4" s="83" t="s">
        <v>28</v>
      </c>
      <c r="AK4" s="82" t="s">
        <v>69</v>
      </c>
      <c r="AL4" s="82" t="s">
        <v>84</v>
      </c>
      <c r="AM4" s="82" t="s">
        <v>144</v>
      </c>
      <c r="AN4" s="82" t="s">
        <v>85</v>
      </c>
      <c r="AO4" s="82" t="s">
        <v>89</v>
      </c>
      <c r="AP4" s="82" t="s">
        <v>70</v>
      </c>
      <c r="AQ4" s="82" t="s">
        <v>28</v>
      </c>
      <c r="AR4" s="82" t="s">
        <v>29</v>
      </c>
      <c r="AS4" s="82" t="s">
        <v>30</v>
      </c>
      <c r="AT4" s="82" t="s">
        <v>31</v>
      </c>
      <c r="AU4" s="82" t="s">
        <v>32</v>
      </c>
      <c r="AV4" s="82" t="s">
        <v>33</v>
      </c>
      <c r="AW4" s="82" t="s">
        <v>34</v>
      </c>
      <c r="AX4" s="82" t="s">
        <v>142</v>
      </c>
      <c r="AY4" s="82" t="s">
        <v>143</v>
      </c>
    </row>
    <row r="5" spans="1:51" s="91" customFormat="1" ht="39" thickBot="1">
      <c r="A5" s="85"/>
      <c r="B5" s="86" t="s">
        <v>54</v>
      </c>
      <c r="C5" s="86" t="s">
        <v>54</v>
      </c>
      <c r="D5" s="86" t="s">
        <v>54</v>
      </c>
      <c r="E5" s="86" t="s">
        <v>54</v>
      </c>
      <c r="F5" s="86" t="s">
        <v>54</v>
      </c>
      <c r="G5" s="86" t="s">
        <v>54</v>
      </c>
      <c r="H5" s="86" t="s">
        <v>54</v>
      </c>
      <c r="I5" s="85" t="s">
        <v>1</v>
      </c>
      <c r="J5" s="87" t="s">
        <v>54</v>
      </c>
      <c r="K5" s="88" t="s">
        <v>81</v>
      </c>
      <c r="L5" s="89" t="s">
        <v>93</v>
      </c>
      <c r="M5" s="89" t="s">
        <v>93</v>
      </c>
      <c r="N5" s="89" t="s">
        <v>93</v>
      </c>
      <c r="O5" s="89" t="s">
        <v>93</v>
      </c>
      <c r="P5" s="89" t="s">
        <v>93</v>
      </c>
      <c r="Q5" s="89" t="s">
        <v>93</v>
      </c>
      <c r="R5" s="89" t="s">
        <v>93</v>
      </c>
      <c r="S5" s="89" t="s">
        <v>93</v>
      </c>
      <c r="T5" s="89" t="s">
        <v>53</v>
      </c>
      <c r="U5" s="89" t="s">
        <v>93</v>
      </c>
      <c r="V5" s="89" t="s">
        <v>94</v>
      </c>
      <c r="W5" s="89" t="s">
        <v>95</v>
      </c>
      <c r="X5" s="90" t="s">
        <v>1</v>
      </c>
      <c r="Y5" s="89" t="s">
        <v>95</v>
      </c>
      <c r="Z5" s="89" t="s">
        <v>95</v>
      </c>
      <c r="AA5" s="89" t="s">
        <v>1</v>
      </c>
      <c r="AB5" s="89" t="s">
        <v>95</v>
      </c>
      <c r="AC5" s="89" t="s">
        <v>95</v>
      </c>
      <c r="AD5" s="89" t="s">
        <v>1</v>
      </c>
      <c r="AE5" s="89" t="s">
        <v>96</v>
      </c>
      <c r="AF5" s="89" t="s">
        <v>97</v>
      </c>
      <c r="AG5" s="89" t="s">
        <v>1</v>
      </c>
      <c r="AH5" s="89" t="s">
        <v>1</v>
      </c>
      <c r="AI5" s="89" t="s">
        <v>55</v>
      </c>
      <c r="AJ5" s="90" t="s">
        <v>57</v>
      </c>
      <c r="AK5" s="89" t="s">
        <v>52</v>
      </c>
      <c r="AL5" s="89" t="s">
        <v>52</v>
      </c>
      <c r="AM5" s="89" t="s">
        <v>52</v>
      </c>
      <c r="AN5" s="89" t="s">
        <v>52</v>
      </c>
      <c r="AO5" s="89" t="s">
        <v>52</v>
      </c>
      <c r="AP5" s="89" t="s">
        <v>54</v>
      </c>
      <c r="AQ5" s="89" t="s">
        <v>57</v>
      </c>
      <c r="AR5" s="89" t="s">
        <v>57</v>
      </c>
      <c r="AS5" s="89" t="s">
        <v>53</v>
      </c>
      <c r="AT5" s="89" t="s">
        <v>53</v>
      </c>
      <c r="AU5" s="89" t="s">
        <v>56</v>
      </c>
      <c r="AV5" s="89" t="s">
        <v>56</v>
      </c>
      <c r="AW5" s="89" t="s">
        <v>1</v>
      </c>
      <c r="AX5" s="89" t="s">
        <v>137</v>
      </c>
      <c r="AY5" s="89" t="s">
        <v>137</v>
      </c>
    </row>
    <row r="6" spans="1:51" ht="12.75">
      <c r="A6" s="63">
        <v>40512</v>
      </c>
      <c r="B6" s="69">
        <v>251.9946149999992</v>
      </c>
      <c r="C6" s="69">
        <v>238.88117000000003</v>
      </c>
      <c r="D6" s="69">
        <v>253.69</v>
      </c>
      <c r="E6" s="69">
        <v>240.316</v>
      </c>
      <c r="F6" s="65"/>
      <c r="G6" s="64">
        <v>44.882325800000174</v>
      </c>
      <c r="H6" s="64">
        <v>72.9146522000001</v>
      </c>
      <c r="I6" s="105">
        <v>39.210462260869136</v>
      </c>
      <c r="J6" s="48">
        <f>SUM(D6:H6)</f>
        <v>611.8029780000003</v>
      </c>
      <c r="K6" s="16">
        <f>J6/0.717*1000</f>
        <v>853281.6987447704</v>
      </c>
      <c r="L6" s="29">
        <f>AK6-M6</f>
        <v>11446.460950743494</v>
      </c>
      <c r="M6" s="29">
        <f>N6+R6+S6</f>
        <v>1765.6793074925145</v>
      </c>
      <c r="N6" s="32">
        <f>T6*U6</f>
        <v>15.345719999999998</v>
      </c>
      <c r="O6" s="29">
        <f>(V6)*(AE$6+AF6*AI6)+(AJ$6*(W6-V6))</f>
        <v>1415.6429237500138</v>
      </c>
      <c r="P6" s="29">
        <f>(AB6)*(AE$6+AF6*AI6)+(AJ$6*AC6*(1-AD$6))</f>
        <v>334.69066374250076</v>
      </c>
      <c r="Q6" s="29">
        <f>(Y6)*(AE$6+AF6*AI6)+(AJ$6*Z6*(1-AA$6))</f>
        <v>0</v>
      </c>
      <c r="R6" s="29">
        <f>(V6+Y6+AB6)*(AE$6+AF6*AI6)</f>
        <v>1672.2303898024984</v>
      </c>
      <c r="S6" s="73">
        <f>AJ$6*((W6-V6)+Z6*(1-AA$6)+AC6*(1-AD$6))</f>
        <v>78.10319769001599</v>
      </c>
      <c r="T6" s="36">
        <f>(AX6+AY6)/1000</f>
        <v>14.04</v>
      </c>
      <c r="U6" s="119">
        <v>1.093</v>
      </c>
      <c r="V6" s="16">
        <f>B6+C6</f>
        <v>490.8757849999992</v>
      </c>
      <c r="W6" s="16">
        <f>D6+E6</f>
        <v>494.006</v>
      </c>
      <c r="X6" s="24">
        <f>V6/W6</f>
        <v>0.9936636093488728</v>
      </c>
      <c r="Y6" s="9">
        <f>Z6*AA6</f>
        <v>0</v>
      </c>
      <c r="Z6" s="16">
        <f>F6</f>
        <v>0</v>
      </c>
      <c r="AA6" s="24">
        <v>0.995</v>
      </c>
      <c r="AB6" s="23">
        <f>AC6*AD6</f>
        <v>117.20799311000027</v>
      </c>
      <c r="AC6" s="16">
        <f>G6+H6</f>
        <v>117.79697800000028</v>
      </c>
      <c r="AD6" s="11">
        <v>0.995</v>
      </c>
      <c r="AE6" s="10">
        <v>2.75</v>
      </c>
      <c r="AF6">
        <v>0</v>
      </c>
      <c r="AG6" s="25">
        <f>I6/100</f>
        <v>0.39210462260869133</v>
      </c>
      <c r="AH6" s="9">
        <v>0</v>
      </c>
      <c r="AI6">
        <f>IF(AG6,AH6/AG6,0)</f>
        <v>0</v>
      </c>
      <c r="AJ6" s="10">
        <v>21</v>
      </c>
      <c r="AK6" s="29">
        <f>AL6+AM6+AN6+AO6</f>
        <v>13212.140258236008</v>
      </c>
      <c r="AL6" s="29">
        <f>W6*$AQ$6</f>
        <v>10374.126</v>
      </c>
      <c r="AM6" s="29">
        <f>AC6*$AQ$6</f>
        <v>2473.736538000006</v>
      </c>
      <c r="AN6" s="29">
        <f>AT6*AV$6/AW$6</f>
        <v>364.2777202360004</v>
      </c>
      <c r="AO6" s="29">
        <f>AS6*AU$6</f>
        <v>0</v>
      </c>
      <c r="AP6" s="29">
        <f>(W6+Z6+AC6)</f>
        <v>611.8029780000003</v>
      </c>
      <c r="AQ6" s="27">
        <v>21</v>
      </c>
      <c r="AR6" s="27">
        <v>2.75</v>
      </c>
      <c r="AS6" s="17">
        <v>0</v>
      </c>
      <c r="AT6" s="104">
        <v>973.2610846000009</v>
      </c>
      <c r="AU6" s="119">
        <v>1.067</v>
      </c>
      <c r="AV6" s="26">
        <v>0.3406</v>
      </c>
      <c r="AW6" s="11">
        <v>0.91</v>
      </c>
      <c r="AX6" s="112">
        <v>6900</v>
      </c>
      <c r="AY6" s="104">
        <v>7140</v>
      </c>
    </row>
    <row r="7" spans="1:51" ht="13.5" thickBot="1">
      <c r="A7" s="63">
        <v>40513</v>
      </c>
      <c r="B7" s="64">
        <v>199.77678</v>
      </c>
      <c r="C7" s="64">
        <v>184.3230000000007</v>
      </c>
      <c r="D7" s="64">
        <v>201.692</v>
      </c>
      <c r="E7" s="64">
        <v>185.609</v>
      </c>
      <c r="F7" s="65"/>
      <c r="G7" s="64">
        <v>55.7031566</v>
      </c>
      <c r="H7" s="64">
        <v>225.53019580000188</v>
      </c>
      <c r="I7" s="105">
        <v>36.03224276472586</v>
      </c>
      <c r="J7" s="48">
        <f>SUM(D7:H7)</f>
        <v>668.5343524000019</v>
      </c>
      <c r="K7" s="16">
        <f aca="true" t="shared" si="0" ref="K7:K14">J7/0.717*1000</f>
        <v>932404.9545327782</v>
      </c>
      <c r="L7" s="29">
        <f>AK7-M7</f>
        <v>13000.136516421262</v>
      </c>
      <c r="M7" s="29">
        <f>N7+R7+S7</f>
        <v>1932.7847575064936</v>
      </c>
      <c r="N7" s="32">
        <f>T7*U7</f>
        <v>10.230479999999998</v>
      </c>
      <c r="O7" s="29">
        <f>(V7)*(AE$6+AF7*AI7)+(AJ$6*(W7-V7))</f>
        <v>1123.5000149999883</v>
      </c>
      <c r="P7" s="29">
        <f>(AB7)*(AE$6+AF7*AI7)+(AJ$6*AC7*(1-AD$6))</f>
        <v>799.0542625065053</v>
      </c>
      <c r="Q7" s="29">
        <f>(Y7)*(AE$6+AF7*AI7)+(AJ$6*Z7*(1-AA$6))</f>
        <v>0</v>
      </c>
      <c r="R7" s="29">
        <f>(V7+Y7+AB7)*(AE$6+AF7*AI7)</f>
        <v>1825.799155504507</v>
      </c>
      <c r="S7" s="73">
        <f>AJ$6*((W7-V7)+Z7*(1-AA$6)+AC7*(1-AD$6))</f>
        <v>96.75512200198662</v>
      </c>
      <c r="T7" s="36">
        <f>(AX7+AY7)/1000</f>
        <v>9.36</v>
      </c>
      <c r="U7" s="119">
        <v>1.093</v>
      </c>
      <c r="V7" s="16">
        <f>B7+C7</f>
        <v>384.0997800000007</v>
      </c>
      <c r="W7" s="16">
        <f>D7+E7</f>
        <v>387.30100000000004</v>
      </c>
      <c r="X7" s="24">
        <f>V7/W7</f>
        <v>0.9917345423843488</v>
      </c>
      <c r="Y7" s="9">
        <f>Z7*AA7</f>
        <v>0</v>
      </c>
      <c r="Z7" s="16">
        <f>F7</f>
        <v>0</v>
      </c>
      <c r="AA7" s="24">
        <v>0.995</v>
      </c>
      <c r="AB7" s="23">
        <f>AC7*AD7</f>
        <v>279.8271856380019</v>
      </c>
      <c r="AC7" s="16">
        <f>G7+H7</f>
        <v>281.2333524000019</v>
      </c>
      <c r="AD7" s="11">
        <v>0.995</v>
      </c>
      <c r="AE7" s="10"/>
      <c r="AF7">
        <v>0</v>
      </c>
      <c r="AG7" s="25">
        <f>I7/100</f>
        <v>0.3603224276472586</v>
      </c>
      <c r="AH7" s="9">
        <v>0</v>
      </c>
      <c r="AI7">
        <f>IF(AG7,AH7/AG7,0)</f>
        <v>0</v>
      </c>
      <c r="AJ7" s="10"/>
      <c r="AK7" s="29">
        <f>AL7+AM7+AN7+AO7</f>
        <v>14932.921273927755</v>
      </c>
      <c r="AL7" s="29">
        <f>W7*$AQ$6</f>
        <v>8133.321000000001</v>
      </c>
      <c r="AM7" s="29">
        <f>AC7*$AQ$6</f>
        <v>5905.90040040004</v>
      </c>
      <c r="AN7" s="29">
        <f>AT7*AV$6/AW$6</f>
        <v>893.6998735277136</v>
      </c>
      <c r="AO7" s="29">
        <f>AS7*AU$6</f>
        <v>0</v>
      </c>
      <c r="AP7" s="29">
        <f>(W7+Z7+AC7)</f>
        <v>668.5343524000019</v>
      </c>
      <c r="AQ7" s="28"/>
      <c r="AR7" s="28"/>
      <c r="AS7" s="17"/>
      <c r="AT7" s="111">
        <v>2387.747753699998</v>
      </c>
      <c r="AU7" s="119">
        <v>1.067</v>
      </c>
      <c r="AV7" s="26"/>
      <c r="AW7" s="33"/>
      <c r="AX7" s="111">
        <v>4800</v>
      </c>
      <c r="AY7" s="111">
        <v>4560</v>
      </c>
    </row>
    <row r="8" spans="1:51" ht="13.5" thickBot="1">
      <c r="A8" s="14" t="s">
        <v>76</v>
      </c>
      <c r="B8" s="66">
        <f>SUM(B6:B7)</f>
        <v>451.7713949999992</v>
      </c>
      <c r="C8" s="66">
        <f>SUM(C6:C7)</f>
        <v>423.2041700000007</v>
      </c>
      <c r="D8" s="66">
        <f>SUM(D6:D7)</f>
        <v>455.382</v>
      </c>
      <c r="E8" s="66">
        <f>SUM(E6:E7)</f>
        <v>425.925</v>
      </c>
      <c r="F8" s="66"/>
      <c r="G8" s="66">
        <f>SUM(G6:G7)</f>
        <v>100.58548240000017</v>
      </c>
      <c r="H8" s="66">
        <f>SUM(H6:H7)</f>
        <v>298.44484800000197</v>
      </c>
      <c r="I8" s="106">
        <f>AVERAGE(I6:I7)</f>
        <v>37.6213525127975</v>
      </c>
      <c r="J8" s="49">
        <f aca="true" t="shared" si="1" ref="J8:T8">SUM(J6:J7)</f>
        <v>1280.3373304000022</v>
      </c>
      <c r="K8" s="61">
        <f t="shared" si="1"/>
        <v>1785686.6532775485</v>
      </c>
      <c r="L8" s="61">
        <f t="shared" si="1"/>
        <v>24446.597467164756</v>
      </c>
      <c r="M8" s="61">
        <f t="shared" si="1"/>
        <v>3698.464064999008</v>
      </c>
      <c r="N8" s="15">
        <f>ROUNDDOWN(SUM(N6:N7),0)</f>
        <v>25</v>
      </c>
      <c r="O8" s="61">
        <f t="shared" si="1"/>
        <v>2539.142938750002</v>
      </c>
      <c r="P8" s="61">
        <f t="shared" si="1"/>
        <v>1133.744926249006</v>
      </c>
      <c r="Q8" s="61">
        <f t="shared" si="1"/>
        <v>0</v>
      </c>
      <c r="R8" s="15">
        <f t="shared" si="1"/>
        <v>3498.0295453070057</v>
      </c>
      <c r="S8" s="15">
        <f t="shared" si="1"/>
        <v>174.85831969200262</v>
      </c>
      <c r="T8" s="114">
        <f t="shared" si="1"/>
        <v>23.4</v>
      </c>
      <c r="U8" s="120"/>
      <c r="V8" s="15">
        <f>SUM(V6:V7)</f>
        <v>874.975565</v>
      </c>
      <c r="W8" s="61">
        <f>SUM(W6:W7)</f>
        <v>881.307</v>
      </c>
      <c r="X8" s="118">
        <f>AVERAGE(X6:X7)</f>
        <v>0.9926990758666108</v>
      </c>
      <c r="Y8" s="15">
        <f>SUM(Y6:Y7)</f>
        <v>0</v>
      </c>
      <c r="Z8" s="15">
        <f>SUM(Z6:Z7)</f>
        <v>0</v>
      </c>
      <c r="AA8" s="45"/>
      <c r="AB8" s="15">
        <f>SUM(AB6:AB7)</f>
        <v>397.0351787480022</v>
      </c>
      <c r="AC8" s="61">
        <f>SUM(AC6:AC7)</f>
        <v>399.0303304000022</v>
      </c>
      <c r="AD8" s="15"/>
      <c r="AE8" s="15"/>
      <c r="AF8" s="15">
        <f>SUM(AF6:AF7)</f>
        <v>0</v>
      </c>
      <c r="AG8" s="15"/>
      <c r="AH8" s="15">
        <f>SUM(AH6:AH7)</f>
        <v>0</v>
      </c>
      <c r="AI8" s="15">
        <f>SUM(AI6:AI7)</f>
        <v>0</v>
      </c>
      <c r="AJ8" s="45"/>
      <c r="AK8" s="61">
        <f aca="true" t="shared" si="2" ref="AK8:AP8">SUM(AK6:AK7)</f>
        <v>28145.061532163763</v>
      </c>
      <c r="AL8" s="61">
        <f t="shared" si="2"/>
        <v>18507.447</v>
      </c>
      <c r="AM8" s="61">
        <f t="shared" si="2"/>
        <v>8379.636938400046</v>
      </c>
      <c r="AN8" s="61">
        <f t="shared" si="2"/>
        <v>1257.9775937637141</v>
      </c>
      <c r="AO8" s="61">
        <f t="shared" si="2"/>
        <v>0</v>
      </c>
      <c r="AP8" s="15">
        <f t="shared" si="2"/>
        <v>1280.3373304000022</v>
      </c>
      <c r="AQ8" s="15"/>
      <c r="AR8" s="15"/>
      <c r="AS8" s="15"/>
      <c r="AT8" s="61">
        <f>SUM(AT6:AT7)</f>
        <v>3361.0088382999993</v>
      </c>
      <c r="AU8" s="122"/>
      <c r="AV8" s="15"/>
      <c r="AW8" s="15"/>
      <c r="AX8" s="113">
        <f>SUM(AX6:AX7)</f>
        <v>11700</v>
      </c>
      <c r="AY8" s="113">
        <f>SUM(AY6:AY7)</f>
        <v>11700</v>
      </c>
    </row>
    <row r="9" spans="1:51" ht="12.75">
      <c r="A9" s="63">
        <v>40544</v>
      </c>
      <c r="B9" s="64">
        <v>28.478824999999933</v>
      </c>
      <c r="C9" s="64">
        <v>82.48592999999988</v>
      </c>
      <c r="D9" s="64">
        <v>29.048</v>
      </c>
      <c r="E9" s="64">
        <v>83.031</v>
      </c>
      <c r="F9" s="65"/>
      <c r="G9" s="64">
        <v>177.86615340000222</v>
      </c>
      <c r="H9" s="64">
        <v>186.5313710000031</v>
      </c>
      <c r="I9" s="105">
        <v>30.045796097934314</v>
      </c>
      <c r="J9" s="48">
        <f aca="true" t="shared" si="3" ref="J9:J14">SUM(D9:H9)</f>
        <v>476.47652440000536</v>
      </c>
      <c r="K9" s="16">
        <f t="shared" si="0"/>
        <v>664541.875034875</v>
      </c>
      <c r="L9" s="29">
        <f aca="true" t="shared" si="4" ref="L9:L14">AK9-M9</f>
        <v>9360.076132899449</v>
      </c>
      <c r="M9" s="29">
        <f aca="true" t="shared" si="5" ref="M9:M14">N9+R9+S9</f>
        <v>1370.6328874515186</v>
      </c>
      <c r="N9" s="32">
        <f aca="true" t="shared" si="6" ref="N9:N14">T9*U9</f>
        <v>6.7362</v>
      </c>
      <c r="O9" s="29">
        <f aca="true" t="shared" si="7" ref="O9:O14">(V9)*(AE$6+AF9*AI9)+(AJ$6*(W9-V9))</f>
        <v>328.5522212500036</v>
      </c>
      <c r="P9" s="29">
        <f aca="true" t="shared" si="8" ref="P9:P14">(AB9)*(AE$6+AF9*AI9)+(AJ$6*AC9*(1-AD$6))</f>
        <v>1035.344466201515</v>
      </c>
      <c r="Q9" s="29">
        <f aca="true" t="shared" si="9" ref="Q9:Q14">(Y9)*(AE$6+AF9*AI9)+(AJ$6*Z9*(1-AA$6))</f>
        <v>0</v>
      </c>
      <c r="R9" s="29">
        <f aca="true" t="shared" si="10" ref="R9:R14">(V9+Y9+AB9)*(AE$6+AF9*AI9)</f>
        <v>1302.2358023895138</v>
      </c>
      <c r="S9" s="73">
        <f aca="true" t="shared" si="11" ref="S9:S14">AJ$6*((W9-V9)+Z9*(1-AA$6)+AC9*(1-AD$6))</f>
        <v>61.66088506200471</v>
      </c>
      <c r="T9" s="36">
        <f aca="true" t="shared" si="12" ref="T9:T14">(AX9+AY9)/1000</f>
        <v>6.18</v>
      </c>
      <c r="U9" s="121">
        <v>1.09</v>
      </c>
      <c r="V9" s="16">
        <f aca="true" t="shared" si="13" ref="V9:V14">B9+C9</f>
        <v>110.96475499999981</v>
      </c>
      <c r="W9" s="16">
        <f aca="true" t="shared" si="14" ref="W9:W14">D9+E9</f>
        <v>112.07900000000001</v>
      </c>
      <c r="X9" s="24">
        <f aca="true" t="shared" si="15" ref="X9:X14">V9/W9</f>
        <v>0.990058396309744</v>
      </c>
      <c r="Y9" s="9">
        <f aca="true" t="shared" si="16" ref="Y9:Y14">Z9*AA9</f>
        <v>0</v>
      </c>
      <c r="Z9" s="16">
        <f aca="true" t="shared" si="17" ref="Z9:Z14">F9</f>
        <v>0</v>
      </c>
      <c r="AA9" s="24">
        <v>0.995</v>
      </c>
      <c r="AB9" s="23">
        <f aca="true" t="shared" si="18" ref="AB9:AB14">AC9*AD9</f>
        <v>362.57553677800524</v>
      </c>
      <c r="AC9" s="16">
        <f aca="true" t="shared" si="19" ref="AC9:AC14">G9+H9</f>
        <v>364.3975244000053</v>
      </c>
      <c r="AD9" s="11">
        <v>0.995</v>
      </c>
      <c r="AE9" s="10"/>
      <c r="AF9">
        <v>0</v>
      </c>
      <c r="AG9" s="25">
        <f aca="true" t="shared" si="20" ref="AG9:AG14">I9/100</f>
        <v>0.30045796097934313</v>
      </c>
      <c r="AH9" s="9">
        <v>0</v>
      </c>
      <c r="AI9">
        <f aca="true" t="shared" si="21" ref="AI9:AI14">IF(AG9,AH9/AG9,0)</f>
        <v>0</v>
      </c>
      <c r="AJ9" s="10"/>
      <c r="AK9" s="29">
        <f aca="true" t="shared" si="22" ref="AK9:AK14">AL9+AM9+AN9+AO9</f>
        <v>10730.709020350967</v>
      </c>
      <c r="AL9" s="29">
        <f aca="true" t="shared" si="23" ref="AL9:AL14">W9*$AQ$6</f>
        <v>2353.659</v>
      </c>
      <c r="AM9" s="29">
        <f aca="true" t="shared" si="24" ref="AM9:AM14">AC9*$AQ$6</f>
        <v>7652.348012400111</v>
      </c>
      <c r="AN9" s="29">
        <f aca="true" t="shared" si="25" ref="AN9:AN14">AT9*AV$6/AW$6</f>
        <v>724.7020079508573</v>
      </c>
      <c r="AO9" s="29">
        <f aca="true" t="shared" si="26" ref="AO9:AO14">AS9*AU$6</f>
        <v>0</v>
      </c>
      <c r="AP9" s="29">
        <f aca="true" t="shared" si="27" ref="AP9:AP14">(W9+Z9+AC9)</f>
        <v>476.4765244000053</v>
      </c>
      <c r="AQ9" s="28"/>
      <c r="AR9" s="28"/>
      <c r="AS9" s="17"/>
      <c r="AT9" s="104">
        <v>1936.2267388000002</v>
      </c>
      <c r="AU9" s="121">
        <v>1.063</v>
      </c>
      <c r="AV9" s="26"/>
      <c r="AW9" s="33"/>
      <c r="AX9" s="104">
        <v>3420</v>
      </c>
      <c r="AY9" s="104">
        <v>2760</v>
      </c>
    </row>
    <row r="10" spans="1:51" ht="12.75">
      <c r="A10" s="63">
        <v>40576</v>
      </c>
      <c r="B10" s="64">
        <v>197.6398249999998</v>
      </c>
      <c r="C10" s="64">
        <v>200.60008500000006</v>
      </c>
      <c r="D10" s="64">
        <v>201.048</v>
      </c>
      <c r="E10" s="64">
        <v>202.304</v>
      </c>
      <c r="F10" s="65"/>
      <c r="G10" s="64">
        <v>156.94013399999727</v>
      </c>
      <c r="H10" s="64">
        <v>296.6113072000052</v>
      </c>
      <c r="I10" s="105">
        <v>44.27734242890066</v>
      </c>
      <c r="J10" s="48">
        <f t="shared" si="3"/>
        <v>856.9034412000025</v>
      </c>
      <c r="K10" s="16">
        <f t="shared" si="0"/>
        <v>1195123.3489539784</v>
      </c>
      <c r="L10" s="29">
        <f t="shared" si="4"/>
        <v>16919.998728236256</v>
      </c>
      <c r="M10" s="29">
        <f t="shared" si="5"/>
        <v>2498.6222748095083</v>
      </c>
      <c r="N10" s="32">
        <f t="shared" si="6"/>
        <v>7.4556000000000004</v>
      </c>
      <c r="O10" s="29">
        <f t="shared" si="7"/>
        <v>1202.5136425000014</v>
      </c>
      <c r="P10" s="29">
        <f t="shared" si="8"/>
        <v>1288.6530323095071</v>
      </c>
      <c r="Q10" s="29">
        <f t="shared" si="9"/>
        <v>0</v>
      </c>
      <c r="R10" s="29">
        <f t="shared" si="10"/>
        <v>2336.1898834835065</v>
      </c>
      <c r="S10" s="73">
        <f t="shared" si="11"/>
        <v>154.976791326002</v>
      </c>
      <c r="T10" s="36">
        <f t="shared" si="12"/>
        <v>6.84</v>
      </c>
      <c r="U10" s="121">
        <v>1.09</v>
      </c>
      <c r="V10" s="16">
        <f t="shared" si="13"/>
        <v>398.2399099999999</v>
      </c>
      <c r="W10" s="16">
        <f t="shared" si="14"/>
        <v>403.352</v>
      </c>
      <c r="X10" s="24">
        <f t="shared" si="15"/>
        <v>0.9873259832602787</v>
      </c>
      <c r="Y10" s="9">
        <f t="shared" si="16"/>
        <v>0</v>
      </c>
      <c r="Z10" s="16">
        <f t="shared" si="17"/>
        <v>0</v>
      </c>
      <c r="AA10" s="24">
        <v>0.995</v>
      </c>
      <c r="AB10" s="23">
        <f t="shared" si="18"/>
        <v>451.28368399400244</v>
      </c>
      <c r="AC10" s="16">
        <f t="shared" si="19"/>
        <v>453.55144120000244</v>
      </c>
      <c r="AD10" s="11">
        <v>0.995</v>
      </c>
      <c r="AE10" s="10"/>
      <c r="AF10">
        <v>0</v>
      </c>
      <c r="AG10" s="25">
        <f t="shared" si="20"/>
        <v>0.4427734242890066</v>
      </c>
      <c r="AH10" s="9">
        <v>0</v>
      </c>
      <c r="AI10">
        <f t="shared" si="21"/>
        <v>0</v>
      </c>
      <c r="AJ10" s="10"/>
      <c r="AK10" s="29">
        <f t="shared" si="22"/>
        <v>19418.621003045766</v>
      </c>
      <c r="AL10" s="29">
        <f t="shared" si="23"/>
        <v>8470.392</v>
      </c>
      <c r="AM10" s="29">
        <f t="shared" si="24"/>
        <v>9524.580265200051</v>
      </c>
      <c r="AN10" s="29">
        <f t="shared" si="25"/>
        <v>1423.648737845716</v>
      </c>
      <c r="AO10" s="29">
        <f t="shared" si="26"/>
        <v>0</v>
      </c>
      <c r="AP10" s="29">
        <f t="shared" si="27"/>
        <v>856.9034412000024</v>
      </c>
      <c r="AQ10" s="28"/>
      <c r="AR10" s="28"/>
      <c r="AS10" s="17"/>
      <c r="AT10" s="104">
        <v>3803.641666000004</v>
      </c>
      <c r="AU10" s="121">
        <v>1.063</v>
      </c>
      <c r="AV10" s="26"/>
      <c r="AW10" s="33"/>
      <c r="AX10" s="104">
        <v>3660</v>
      </c>
      <c r="AY10" s="104">
        <v>3180</v>
      </c>
    </row>
    <row r="11" spans="1:51" ht="12.75">
      <c r="A11" s="63">
        <v>40608</v>
      </c>
      <c r="B11" s="64">
        <v>291.68694000000164</v>
      </c>
      <c r="C11" s="64">
        <v>193.34730000000127</v>
      </c>
      <c r="D11" s="64">
        <v>294.186</v>
      </c>
      <c r="E11" s="64">
        <v>195.253</v>
      </c>
      <c r="F11" s="65"/>
      <c r="G11" s="64">
        <v>24.99669379999996</v>
      </c>
      <c r="H11" s="64">
        <v>383.9096326000047</v>
      </c>
      <c r="I11" s="105">
        <v>48.08557152753755</v>
      </c>
      <c r="J11" s="48">
        <f t="shared" si="3"/>
        <v>898.3453264000048</v>
      </c>
      <c r="K11" s="16">
        <f t="shared" si="0"/>
        <v>1252922.3520223217</v>
      </c>
      <c r="L11" s="29">
        <f t="shared" si="4"/>
        <v>17674.218109005855</v>
      </c>
      <c r="M11" s="29">
        <f t="shared" si="5"/>
        <v>2599.0710198839593</v>
      </c>
      <c r="N11" s="32">
        <f t="shared" si="6"/>
        <v>10.921800000000001</v>
      </c>
      <c r="O11" s="29">
        <f t="shared" si="7"/>
        <v>1426.344119999946</v>
      </c>
      <c r="P11" s="29">
        <f t="shared" si="8"/>
        <v>1161.8050998840133</v>
      </c>
      <c r="Q11" s="29">
        <f t="shared" si="9"/>
        <v>0</v>
      </c>
      <c r="R11" s="29">
        <f t="shared" si="10"/>
        <v>2452.7140956120206</v>
      </c>
      <c r="S11" s="73">
        <f t="shared" si="11"/>
        <v>135.43512427193866</v>
      </c>
      <c r="T11" s="36">
        <f t="shared" si="12"/>
        <v>10.02</v>
      </c>
      <c r="U11" s="121">
        <v>1.09</v>
      </c>
      <c r="V11" s="16">
        <f t="shared" si="13"/>
        <v>485.0342400000029</v>
      </c>
      <c r="W11" s="16">
        <f t="shared" si="14"/>
        <v>489.43899999999996</v>
      </c>
      <c r="X11" s="24">
        <f t="shared" si="15"/>
        <v>0.9910003902427125</v>
      </c>
      <c r="Y11" s="9">
        <f t="shared" si="16"/>
        <v>0</v>
      </c>
      <c r="Z11" s="16">
        <f t="shared" si="17"/>
        <v>0</v>
      </c>
      <c r="AA11" s="24">
        <v>0.995</v>
      </c>
      <c r="AB11" s="23">
        <f t="shared" si="18"/>
        <v>406.86179476800464</v>
      </c>
      <c r="AC11" s="16">
        <f t="shared" si="19"/>
        <v>408.9063264000047</v>
      </c>
      <c r="AD11" s="11">
        <v>0.995</v>
      </c>
      <c r="AE11" s="10"/>
      <c r="AF11">
        <v>0</v>
      </c>
      <c r="AG11" s="25">
        <f t="shared" si="20"/>
        <v>0.4808557152753755</v>
      </c>
      <c r="AH11" s="9">
        <v>0</v>
      </c>
      <c r="AI11">
        <f t="shared" si="21"/>
        <v>0</v>
      </c>
      <c r="AJ11" s="10"/>
      <c r="AK11" s="29">
        <f t="shared" si="22"/>
        <v>20273.289128889814</v>
      </c>
      <c r="AL11" s="29">
        <f t="shared" si="23"/>
        <v>10278.219</v>
      </c>
      <c r="AM11" s="29">
        <f t="shared" si="24"/>
        <v>8587.032854400099</v>
      </c>
      <c r="AN11" s="29">
        <f t="shared" si="25"/>
        <v>1408.0372744897156</v>
      </c>
      <c r="AO11" s="29">
        <f t="shared" si="26"/>
        <v>0</v>
      </c>
      <c r="AP11" s="29">
        <f t="shared" si="27"/>
        <v>898.3453264000046</v>
      </c>
      <c r="AQ11" s="28"/>
      <c r="AR11" s="28"/>
      <c r="AS11" s="17"/>
      <c r="AT11" s="104">
        <v>3761.9316494000036</v>
      </c>
      <c r="AU11" s="121">
        <v>1.063</v>
      </c>
      <c r="AV11" s="26"/>
      <c r="AW11" s="33"/>
      <c r="AX11" s="104">
        <v>5700</v>
      </c>
      <c r="AY11" s="104">
        <v>4320</v>
      </c>
    </row>
    <row r="12" spans="1:51" ht="12.75">
      <c r="A12" s="63">
        <v>40640</v>
      </c>
      <c r="B12" s="64">
        <v>316.15545500000246</v>
      </c>
      <c r="C12" s="64">
        <v>305.9650500000011</v>
      </c>
      <c r="D12" s="64">
        <v>318.558</v>
      </c>
      <c r="E12" s="64">
        <v>308.127</v>
      </c>
      <c r="F12" s="65"/>
      <c r="G12" s="64">
        <v>11.344699600000004</v>
      </c>
      <c r="H12" s="64">
        <v>102.88743139999919</v>
      </c>
      <c r="I12" s="105">
        <v>50.27124869746444</v>
      </c>
      <c r="J12" s="48">
        <f t="shared" si="3"/>
        <v>740.9171309999991</v>
      </c>
      <c r="K12" s="16">
        <f t="shared" si="0"/>
        <v>1033357.2259414213</v>
      </c>
      <c r="L12" s="29">
        <f t="shared" si="4"/>
        <v>13805.627572316014</v>
      </c>
      <c r="M12" s="29">
        <f t="shared" si="5"/>
        <v>2144.3278259536823</v>
      </c>
      <c r="N12" s="32">
        <f t="shared" si="6"/>
        <v>13.080000000000002</v>
      </c>
      <c r="O12" s="29">
        <f t="shared" si="7"/>
        <v>1806.685783749935</v>
      </c>
      <c r="P12" s="29">
        <f t="shared" si="8"/>
        <v>324.5620422037477</v>
      </c>
      <c r="Q12" s="29">
        <f t="shared" si="9"/>
        <v>0</v>
      </c>
      <c r="R12" s="29">
        <f t="shared" si="10"/>
        <v>2023.3990571987574</v>
      </c>
      <c r="S12" s="73">
        <f t="shared" si="11"/>
        <v>107.84876875492519</v>
      </c>
      <c r="T12" s="36">
        <f t="shared" si="12"/>
        <v>12</v>
      </c>
      <c r="U12" s="121">
        <v>1.09</v>
      </c>
      <c r="V12" s="16">
        <f t="shared" si="13"/>
        <v>622.1205050000035</v>
      </c>
      <c r="W12" s="16">
        <f t="shared" si="14"/>
        <v>626.685</v>
      </c>
      <c r="X12" s="24">
        <f t="shared" si="15"/>
        <v>0.992716444465726</v>
      </c>
      <c r="Y12" s="9">
        <f t="shared" si="16"/>
        <v>0</v>
      </c>
      <c r="Z12" s="16">
        <f t="shared" si="17"/>
        <v>0</v>
      </c>
      <c r="AA12" s="24">
        <v>0.995</v>
      </c>
      <c r="AB12" s="23">
        <f t="shared" si="18"/>
        <v>113.66097034499919</v>
      </c>
      <c r="AC12" s="16">
        <f t="shared" si="19"/>
        <v>114.23213099999919</v>
      </c>
      <c r="AD12" s="11">
        <v>0.995</v>
      </c>
      <c r="AE12" s="10"/>
      <c r="AF12">
        <v>0</v>
      </c>
      <c r="AG12" s="25">
        <f t="shared" si="20"/>
        <v>0.5027124869746444</v>
      </c>
      <c r="AH12" s="9">
        <v>0</v>
      </c>
      <c r="AI12">
        <f t="shared" si="21"/>
        <v>0</v>
      </c>
      <c r="AJ12" s="10"/>
      <c r="AK12" s="29">
        <f t="shared" si="22"/>
        <v>15949.955398269696</v>
      </c>
      <c r="AL12" s="29">
        <f t="shared" si="23"/>
        <v>13160.384999999998</v>
      </c>
      <c r="AM12" s="29">
        <f t="shared" si="24"/>
        <v>2398.874750999983</v>
      </c>
      <c r="AN12" s="29">
        <f t="shared" si="25"/>
        <v>390.6956472697141</v>
      </c>
      <c r="AO12" s="29">
        <f t="shared" si="26"/>
        <v>0</v>
      </c>
      <c r="AP12" s="29">
        <f t="shared" si="27"/>
        <v>740.9171309999991</v>
      </c>
      <c r="AQ12" s="28"/>
      <c r="AR12" s="28"/>
      <c r="AS12" s="17"/>
      <c r="AT12" s="104">
        <v>1043.8433323999996</v>
      </c>
      <c r="AU12" s="121">
        <v>1.063</v>
      </c>
      <c r="AV12" s="26"/>
      <c r="AW12" s="33"/>
      <c r="AX12" s="104">
        <v>6180</v>
      </c>
      <c r="AY12" s="104">
        <v>5820</v>
      </c>
    </row>
    <row r="13" spans="1:51" ht="12.75">
      <c r="A13" s="63">
        <v>40672</v>
      </c>
      <c r="B13" s="64">
        <v>263.4725099999987</v>
      </c>
      <c r="C13" s="64">
        <v>271.1304749999988</v>
      </c>
      <c r="D13" s="64">
        <v>265.477</v>
      </c>
      <c r="E13" s="64">
        <v>272.938</v>
      </c>
      <c r="F13" s="65"/>
      <c r="G13" s="64">
        <v>18.47372539999996</v>
      </c>
      <c r="H13" s="64">
        <v>0</v>
      </c>
      <c r="I13" s="105">
        <v>41.99607970280326</v>
      </c>
      <c r="J13" s="48">
        <f t="shared" si="3"/>
        <v>556.8887253999999</v>
      </c>
      <c r="K13" s="16">
        <f t="shared" si="0"/>
        <v>776692.7829846581</v>
      </c>
      <c r="L13" s="29">
        <f t="shared" si="4"/>
        <v>10123.439615431489</v>
      </c>
      <c r="M13" s="29">
        <f t="shared" si="5"/>
        <v>1616.694596042795</v>
      </c>
      <c r="N13" s="32">
        <f t="shared" si="6"/>
        <v>13.995600000000001</v>
      </c>
      <c r="O13" s="29">
        <f t="shared" si="7"/>
        <v>1550.210523750045</v>
      </c>
      <c r="P13" s="29">
        <f t="shared" si="8"/>
        <v>52.48847229274989</v>
      </c>
      <c r="Q13" s="29">
        <f t="shared" si="9"/>
        <v>0</v>
      </c>
      <c r="R13" s="29">
        <f t="shared" si="10"/>
        <v>1520.706939875743</v>
      </c>
      <c r="S13" s="73">
        <f t="shared" si="11"/>
        <v>81.99205616705197</v>
      </c>
      <c r="T13" s="36">
        <f t="shared" si="12"/>
        <v>12.84</v>
      </c>
      <c r="U13" s="121">
        <v>1.09</v>
      </c>
      <c r="V13" s="16">
        <f t="shared" si="13"/>
        <v>534.6029849999975</v>
      </c>
      <c r="W13" s="16">
        <f t="shared" si="14"/>
        <v>538.415</v>
      </c>
      <c r="X13" s="24">
        <f t="shared" si="15"/>
        <v>0.9929199316512309</v>
      </c>
      <c r="Y13" s="9">
        <f t="shared" si="16"/>
        <v>0</v>
      </c>
      <c r="Z13" s="16">
        <f t="shared" si="17"/>
        <v>0</v>
      </c>
      <c r="AA13" s="24">
        <v>0.995</v>
      </c>
      <c r="AB13" s="23">
        <f t="shared" si="18"/>
        <v>18.38135677299996</v>
      </c>
      <c r="AC13" s="16">
        <f t="shared" si="19"/>
        <v>18.47372539999996</v>
      </c>
      <c r="AD13" s="11">
        <v>0.995</v>
      </c>
      <c r="AE13" s="10"/>
      <c r="AF13">
        <v>0</v>
      </c>
      <c r="AG13" s="25">
        <f t="shared" si="20"/>
        <v>0.4199607970280326</v>
      </c>
      <c r="AH13" s="9">
        <v>0</v>
      </c>
      <c r="AI13">
        <f t="shared" si="21"/>
        <v>0</v>
      </c>
      <c r="AJ13" s="10"/>
      <c r="AK13" s="29">
        <f t="shared" si="22"/>
        <v>11740.134211474284</v>
      </c>
      <c r="AL13" s="29">
        <f t="shared" si="23"/>
        <v>11306.715</v>
      </c>
      <c r="AM13" s="29">
        <f t="shared" si="24"/>
        <v>387.94823339999914</v>
      </c>
      <c r="AN13" s="29">
        <f t="shared" si="25"/>
        <v>45.47097807428571</v>
      </c>
      <c r="AO13" s="29">
        <f t="shared" si="26"/>
        <v>0</v>
      </c>
      <c r="AP13" s="29">
        <f t="shared" si="27"/>
        <v>556.8887253999999</v>
      </c>
      <c r="AQ13" s="28"/>
      <c r="AR13" s="28"/>
      <c r="AS13" s="17"/>
      <c r="AT13" s="104">
        <v>121.48734599999999</v>
      </c>
      <c r="AU13" s="121">
        <v>1.063</v>
      </c>
      <c r="AV13" s="26"/>
      <c r="AW13" s="33"/>
      <c r="AX13" s="104">
        <v>6300</v>
      </c>
      <c r="AY13" s="104">
        <v>6540</v>
      </c>
    </row>
    <row r="14" spans="1:51" ht="13.5" thickBot="1">
      <c r="A14" s="63">
        <v>40704</v>
      </c>
      <c r="B14" s="64">
        <v>236.4564049999992</v>
      </c>
      <c r="C14" s="64">
        <v>185.20988000000096</v>
      </c>
      <c r="D14" s="64">
        <v>238.275</v>
      </c>
      <c r="E14" s="64">
        <v>187.485</v>
      </c>
      <c r="F14" s="65"/>
      <c r="G14" s="64">
        <v>2.4917178</v>
      </c>
      <c r="H14" s="64">
        <v>0</v>
      </c>
      <c r="I14" s="109">
        <v>44.20804735479085</v>
      </c>
      <c r="J14" s="48">
        <f t="shared" si="3"/>
        <v>428.2517178</v>
      </c>
      <c r="K14" s="16">
        <f t="shared" si="0"/>
        <v>597282.7305439331</v>
      </c>
      <c r="L14" s="29">
        <f t="shared" si="4"/>
        <v>7729.799781850753</v>
      </c>
      <c r="M14" s="29">
        <f t="shared" si="5"/>
        <v>1263.4862919492473</v>
      </c>
      <c r="N14" s="32">
        <f t="shared" si="6"/>
        <v>10.856400000000002</v>
      </c>
      <c r="O14" s="29">
        <f t="shared" si="7"/>
        <v>1245.5502987499976</v>
      </c>
      <c r="P14" s="29">
        <f t="shared" si="8"/>
        <v>7.0795931992500005</v>
      </c>
      <c r="Q14" s="29">
        <f t="shared" si="9"/>
        <v>0</v>
      </c>
      <c r="R14" s="29">
        <f t="shared" si="10"/>
        <v>1166.4002465802503</v>
      </c>
      <c r="S14" s="73">
        <f t="shared" si="11"/>
        <v>86.22964536899708</v>
      </c>
      <c r="T14" s="36">
        <f t="shared" si="12"/>
        <v>9.96</v>
      </c>
      <c r="U14" s="121">
        <v>1.09</v>
      </c>
      <c r="V14" s="16">
        <f t="shared" si="13"/>
        <v>421.66628500000013</v>
      </c>
      <c r="W14" s="16">
        <f t="shared" si="14"/>
        <v>425.76</v>
      </c>
      <c r="X14" s="24">
        <f t="shared" si="15"/>
        <v>0.9903849234310413</v>
      </c>
      <c r="Y14" s="9">
        <f t="shared" si="16"/>
        <v>0</v>
      </c>
      <c r="Z14" s="16">
        <f t="shared" si="17"/>
        <v>0</v>
      </c>
      <c r="AA14" s="24">
        <v>0.995</v>
      </c>
      <c r="AB14" s="23">
        <f t="shared" si="18"/>
        <v>2.479259211</v>
      </c>
      <c r="AC14" s="16">
        <f t="shared" si="19"/>
        <v>2.4917178</v>
      </c>
      <c r="AD14" s="11">
        <v>0.995</v>
      </c>
      <c r="AE14" s="10"/>
      <c r="AF14">
        <v>0</v>
      </c>
      <c r="AG14" s="25">
        <f t="shared" si="20"/>
        <v>0.44208047354790847</v>
      </c>
      <c r="AH14" s="9">
        <v>0</v>
      </c>
      <c r="AI14">
        <f t="shared" si="21"/>
        <v>0</v>
      </c>
      <c r="AJ14" s="10"/>
      <c r="AK14" s="29">
        <f t="shared" si="22"/>
        <v>8993.2860738</v>
      </c>
      <c r="AL14" s="29">
        <f t="shared" si="23"/>
        <v>8940.96</v>
      </c>
      <c r="AM14" s="29">
        <f t="shared" si="24"/>
        <v>52.3260738</v>
      </c>
      <c r="AN14" s="29">
        <f t="shared" si="25"/>
        <v>0</v>
      </c>
      <c r="AO14" s="29">
        <f t="shared" si="26"/>
        <v>0</v>
      </c>
      <c r="AP14" s="29">
        <f t="shared" si="27"/>
        <v>428.2517178</v>
      </c>
      <c r="AQ14" s="28"/>
      <c r="AR14" s="28"/>
      <c r="AS14" s="17"/>
      <c r="AT14" s="104">
        <v>0</v>
      </c>
      <c r="AU14" s="121">
        <v>1.063</v>
      </c>
      <c r="AV14" s="26"/>
      <c r="AW14" s="33"/>
      <c r="AX14" s="111">
        <v>5460</v>
      </c>
      <c r="AY14" s="111">
        <v>4500</v>
      </c>
    </row>
    <row r="15" spans="1:51" ht="13.5" thickBot="1">
      <c r="A15" s="14" t="s">
        <v>79</v>
      </c>
      <c r="B15" s="66">
        <f>SUM(B9:B14)</f>
        <v>1333.8899600000018</v>
      </c>
      <c r="C15" s="66">
        <f>SUM(C9:C14)</f>
        <v>1238.738720000002</v>
      </c>
      <c r="D15" s="66">
        <f>SUM(D9:D14)</f>
        <v>1346.592</v>
      </c>
      <c r="E15" s="66">
        <f>SUM(E9:E14)</f>
        <v>1249.138</v>
      </c>
      <c r="F15" s="66"/>
      <c r="G15" s="66">
        <f>SUM(G9:G14)</f>
        <v>392.11312399999946</v>
      </c>
      <c r="H15" s="66">
        <f>SUM(H9:H14)</f>
        <v>969.9397422000121</v>
      </c>
      <c r="I15" s="106">
        <f>AVERAGE(I9:I14)</f>
        <v>43.14734763490518</v>
      </c>
      <c r="J15" s="49">
        <f aca="true" t="shared" si="28" ref="J15:T15">SUM(J9:J14)</f>
        <v>3957.782866200012</v>
      </c>
      <c r="K15" s="61">
        <f t="shared" si="28"/>
        <v>5519920.315481188</v>
      </c>
      <c r="L15" s="61">
        <f t="shared" si="28"/>
        <v>75613.15993973981</v>
      </c>
      <c r="M15" s="61">
        <f t="shared" si="28"/>
        <v>11492.834896090711</v>
      </c>
      <c r="N15" s="15">
        <f t="shared" si="28"/>
        <v>63.04560000000001</v>
      </c>
      <c r="O15" s="61">
        <f t="shared" si="28"/>
        <v>7559.856589999929</v>
      </c>
      <c r="P15" s="61">
        <f t="shared" si="28"/>
        <v>3869.9327060907835</v>
      </c>
      <c r="Q15" s="61">
        <f t="shared" si="28"/>
        <v>0</v>
      </c>
      <c r="R15" s="15">
        <f t="shared" si="28"/>
        <v>10801.646025139791</v>
      </c>
      <c r="S15" s="15">
        <f t="shared" si="28"/>
        <v>628.1432709509196</v>
      </c>
      <c r="T15" s="114">
        <f t="shared" si="28"/>
        <v>57.839999999999996</v>
      </c>
      <c r="U15" s="110"/>
      <c r="V15" s="15">
        <f>SUM(V9:V14)</f>
        <v>2572.628680000004</v>
      </c>
      <c r="W15" s="61">
        <f>SUM(W9:W14)</f>
        <v>2595.7299999999996</v>
      </c>
      <c r="X15" s="116">
        <f>AVERAGE(X9:X14)</f>
        <v>0.9907343448934557</v>
      </c>
      <c r="Y15" s="15">
        <f>SUM(Y9:Y14)</f>
        <v>0</v>
      </c>
      <c r="Z15" s="15">
        <f>SUM(Z9:Z14)</f>
        <v>0</v>
      </c>
      <c r="AA15" s="15"/>
      <c r="AB15" s="15">
        <f>SUM(AB9:AB14)</f>
        <v>1355.2426018690114</v>
      </c>
      <c r="AC15" s="61">
        <f>SUM(AC9:AC14)</f>
        <v>1362.0528662000117</v>
      </c>
      <c r="AD15" s="15"/>
      <c r="AE15" s="15"/>
      <c r="AF15" s="15">
        <f>SUM(AF9:AF14)</f>
        <v>0</v>
      </c>
      <c r="AG15" s="15"/>
      <c r="AH15" s="15">
        <f>SUM(AH9:AH14)</f>
        <v>0</v>
      </c>
      <c r="AI15" s="15">
        <f>SUM(AI9:AI14)</f>
        <v>0</v>
      </c>
      <c r="AJ15" s="45"/>
      <c r="AK15" s="61">
        <f aca="true" t="shared" si="29" ref="AK15:AP15">SUM(AK9:AK14)</f>
        <v>87105.99483583053</v>
      </c>
      <c r="AL15" s="61">
        <f t="shared" si="29"/>
        <v>54510.329999999994</v>
      </c>
      <c r="AM15" s="61">
        <f>SUM(AM9:AM14)</f>
        <v>28603.110190200245</v>
      </c>
      <c r="AN15" s="61">
        <f t="shared" si="29"/>
        <v>3992.5546456302886</v>
      </c>
      <c r="AO15" s="61">
        <f t="shared" si="29"/>
        <v>0</v>
      </c>
      <c r="AP15" s="15">
        <f t="shared" si="29"/>
        <v>3957.782866200011</v>
      </c>
      <c r="AQ15" s="15"/>
      <c r="AR15" s="15"/>
      <c r="AS15" s="15"/>
      <c r="AT15" s="61">
        <f>SUM(AT9:AT14)</f>
        <v>10667.130732600008</v>
      </c>
      <c r="AU15" s="15"/>
      <c r="AV15" s="15"/>
      <c r="AW15" s="15"/>
      <c r="AX15" s="113">
        <f>SUM(AX9:AX14)</f>
        <v>30720</v>
      </c>
      <c r="AY15" s="113">
        <f>SUM(AY9:AY14)</f>
        <v>27120</v>
      </c>
    </row>
    <row r="16" spans="1:51" s="18" customFormat="1" ht="39" thickBot="1">
      <c r="A16" s="19" t="s">
        <v>60</v>
      </c>
      <c r="B16" s="67">
        <f>B8+B15</f>
        <v>1785.661355000001</v>
      </c>
      <c r="C16" s="68">
        <f>C8+C15</f>
        <v>1661.9428900000028</v>
      </c>
      <c r="D16" s="68">
        <f>D8+D15</f>
        <v>1801.9740000000002</v>
      </c>
      <c r="E16" s="68">
        <f>E8+E15</f>
        <v>1675.0629999999999</v>
      </c>
      <c r="F16" s="68"/>
      <c r="G16" s="68">
        <f>G8+G15</f>
        <v>492.6986063999996</v>
      </c>
      <c r="H16" s="68">
        <f>H8+H15</f>
        <v>1268.3845902000141</v>
      </c>
      <c r="I16" s="107">
        <f>AVERAGE(I6:I7,I9:I14)</f>
        <v>41.765848854378255</v>
      </c>
      <c r="J16" s="62">
        <f aca="true" t="shared" si="30" ref="J16:T16">J8+J15</f>
        <v>5238.120196600014</v>
      </c>
      <c r="K16" s="44">
        <f t="shared" si="30"/>
        <v>7305606.968758736</v>
      </c>
      <c r="L16" s="44">
        <f t="shared" si="30"/>
        <v>100059.75740690457</v>
      </c>
      <c r="M16" s="44">
        <f t="shared" si="30"/>
        <v>15191.29896108972</v>
      </c>
      <c r="N16" s="20">
        <f t="shared" si="30"/>
        <v>88.04560000000001</v>
      </c>
      <c r="O16" s="44">
        <f t="shared" si="30"/>
        <v>10098.999528749931</v>
      </c>
      <c r="P16" s="44">
        <f t="shared" si="30"/>
        <v>5003.67763233979</v>
      </c>
      <c r="Q16" s="44">
        <f t="shared" si="30"/>
        <v>0</v>
      </c>
      <c r="R16" s="20">
        <f t="shared" si="30"/>
        <v>14299.675570446798</v>
      </c>
      <c r="S16" s="20">
        <f t="shared" si="30"/>
        <v>803.0015906429222</v>
      </c>
      <c r="T16" s="115">
        <f t="shared" si="30"/>
        <v>81.24</v>
      </c>
      <c r="U16" s="20"/>
      <c r="V16" s="20">
        <f>V8+V15</f>
        <v>3447.604245000004</v>
      </c>
      <c r="W16" s="44">
        <f>W8+W15</f>
        <v>3477.0369999999994</v>
      </c>
      <c r="X16" s="117">
        <f>AVERAGE(X6:X7,X9:X14)</f>
        <v>0.9912255276367444</v>
      </c>
      <c r="Y16" s="20">
        <f>Y8+Y15</f>
        <v>0</v>
      </c>
      <c r="Z16" s="20">
        <f>Z8+Z15</f>
        <v>0</v>
      </c>
      <c r="AA16" s="20"/>
      <c r="AB16" s="20">
        <f>AB8+AB15</f>
        <v>1752.2777806170136</v>
      </c>
      <c r="AC16" s="44">
        <f>AC8+AC15</f>
        <v>1761.083196600014</v>
      </c>
      <c r="AD16" s="20"/>
      <c r="AE16" s="20"/>
      <c r="AF16" s="20">
        <f>AF8+AF15</f>
        <v>0</v>
      </c>
      <c r="AG16" s="20"/>
      <c r="AH16" s="20">
        <f>AH8+AH15</f>
        <v>0</v>
      </c>
      <c r="AI16" s="20">
        <f>AI8+AI15</f>
        <v>0</v>
      </c>
      <c r="AJ16" s="46"/>
      <c r="AK16" s="44">
        <f aca="true" t="shared" si="31" ref="AK16:AP16">AK8+AK15</f>
        <v>115251.05636799429</v>
      </c>
      <c r="AL16" s="44">
        <f>ROUNDDOWN(AL8+AL15,0)</f>
        <v>73017</v>
      </c>
      <c r="AM16" s="44">
        <f t="shared" si="31"/>
        <v>36982.74712860029</v>
      </c>
      <c r="AN16" s="44">
        <f t="shared" si="31"/>
        <v>5250.532239394002</v>
      </c>
      <c r="AO16" s="44">
        <f t="shared" si="31"/>
        <v>0</v>
      </c>
      <c r="AP16" s="20">
        <f t="shared" si="31"/>
        <v>5238.1201966000135</v>
      </c>
      <c r="AQ16" s="20"/>
      <c r="AR16" s="20"/>
      <c r="AS16" s="20"/>
      <c r="AT16" s="44">
        <f>AT8+AT15</f>
        <v>14028.139570900006</v>
      </c>
      <c r="AU16" s="20"/>
      <c r="AV16" s="20"/>
      <c r="AW16" s="20"/>
      <c r="AX16" s="20">
        <f>AX8+AX15</f>
        <v>42420</v>
      </c>
      <c r="AY16" s="20">
        <f>AY8+AY15</f>
        <v>38820</v>
      </c>
    </row>
    <row r="17" spans="9:46" ht="12.75">
      <c r="I17" s="4"/>
      <c r="L17" s="4"/>
      <c r="M17" s="4"/>
      <c r="O17" s="4"/>
      <c r="P17" s="4"/>
      <c r="Q17" s="4"/>
      <c r="R17" s="4"/>
      <c r="S17" s="74"/>
      <c r="T17" s="9"/>
      <c r="U17" s="12"/>
      <c r="V17" s="9"/>
      <c r="X17" s="13"/>
      <c r="Y17" s="9"/>
      <c r="Z17" s="9"/>
      <c r="AA17" s="13"/>
      <c r="AB17" s="4"/>
      <c r="AC17" s="4"/>
      <c r="AD17" s="11"/>
      <c r="AE17" s="10"/>
      <c r="AG17" s="8"/>
      <c r="AH17" s="9"/>
      <c r="AJ17" s="10"/>
      <c r="AK17" s="4"/>
      <c r="AL17" s="4"/>
      <c r="AM17" s="4"/>
      <c r="AN17" s="4"/>
      <c r="AO17" s="4"/>
      <c r="AP17" s="4"/>
      <c r="AT17" s="4"/>
    </row>
    <row r="18" spans="1:46" ht="12.75">
      <c r="A18" s="31" t="s">
        <v>61</v>
      </c>
      <c r="B18" s="2"/>
      <c r="C18" s="2"/>
      <c r="D18" s="2"/>
      <c r="E18" s="5"/>
      <c r="F18" s="5"/>
      <c r="G18" s="5"/>
      <c r="H18" s="5"/>
      <c r="J18" s="5"/>
      <c r="K18" s="5"/>
      <c r="L18" s="39"/>
      <c r="M18" s="40"/>
      <c r="N18" s="21"/>
      <c r="O18" s="21"/>
      <c r="P18" s="21"/>
      <c r="Q18" s="21"/>
      <c r="R18" s="21"/>
      <c r="S18" s="75"/>
      <c r="T18" s="21"/>
      <c r="V18" s="9"/>
      <c r="X18" s="21"/>
      <c r="Y18" s="5"/>
      <c r="Z18" s="5"/>
      <c r="AA18" s="13"/>
      <c r="AB18" s="4"/>
      <c r="AC18" s="4"/>
      <c r="AD18" s="11"/>
      <c r="AE18" s="10"/>
      <c r="AG18" s="8"/>
      <c r="AH18" s="9"/>
      <c r="AJ18" s="10"/>
      <c r="AK18" s="4"/>
      <c r="AL18" s="4"/>
      <c r="AM18" s="4"/>
      <c r="AN18" s="4"/>
      <c r="AO18" s="4"/>
      <c r="AP18" s="4"/>
      <c r="AT18" s="4"/>
    </row>
    <row r="19" spans="1:46" ht="12.75">
      <c r="A19" s="30" t="s">
        <v>62</v>
      </c>
      <c r="B19" t="s">
        <v>64</v>
      </c>
      <c r="K19" s="51"/>
      <c r="L19" s="41"/>
      <c r="M19" s="40"/>
      <c r="N19" s="21"/>
      <c r="O19" s="21"/>
      <c r="P19" s="21"/>
      <c r="Q19" s="21"/>
      <c r="R19" s="75"/>
      <c r="S19" s="75"/>
      <c r="T19" s="21"/>
      <c r="V19" s="9"/>
      <c r="X19" s="56"/>
      <c r="Y19" s="21"/>
      <c r="Z19" s="21"/>
      <c r="AA19" s="13"/>
      <c r="AB19" s="4"/>
      <c r="AC19" s="4"/>
      <c r="AD19" s="11"/>
      <c r="AE19" s="10"/>
      <c r="AG19" s="8"/>
      <c r="AH19" s="9"/>
      <c r="AJ19" s="10"/>
      <c r="AK19" s="4"/>
      <c r="AL19" s="4"/>
      <c r="AM19" s="4"/>
      <c r="AN19" s="4"/>
      <c r="AO19" s="4"/>
      <c r="AP19" s="4"/>
      <c r="AR19" s="53"/>
      <c r="AS19" s="53"/>
      <c r="AT19" s="4"/>
    </row>
    <row r="20" spans="1:46" ht="12.75">
      <c r="A20" s="17" t="s">
        <v>63</v>
      </c>
      <c r="B20" t="s">
        <v>65</v>
      </c>
      <c r="K20" s="5"/>
      <c r="L20" s="39"/>
      <c r="M20" s="40"/>
      <c r="N20" s="21"/>
      <c r="O20" s="21"/>
      <c r="P20" s="21"/>
      <c r="Q20" s="21"/>
      <c r="R20" s="21"/>
      <c r="S20" s="75"/>
      <c r="T20" s="108"/>
      <c r="U20" s="108"/>
      <c r="V20" s="108"/>
      <c r="W20" s="108"/>
      <c r="X20" s="108"/>
      <c r="Y20" s="108"/>
      <c r="Z20" s="21"/>
      <c r="AA20" s="52"/>
      <c r="AB20" s="4"/>
      <c r="AC20" s="4"/>
      <c r="AD20" s="11"/>
      <c r="AE20" s="10"/>
      <c r="AG20" s="8"/>
      <c r="AH20" s="9"/>
      <c r="AJ20" s="10"/>
      <c r="AK20" s="4"/>
      <c r="AL20" s="4"/>
      <c r="AM20" s="4"/>
      <c r="AN20" s="4"/>
      <c r="AO20" s="4"/>
      <c r="AP20" s="4"/>
      <c r="AR20" s="53"/>
      <c r="AS20" s="53"/>
      <c r="AT20" s="4"/>
    </row>
    <row r="21" spans="1:46" ht="12.75">
      <c r="A21" t="s">
        <v>66</v>
      </c>
      <c r="B21" t="s">
        <v>67</v>
      </c>
      <c r="K21" s="51"/>
      <c r="L21" s="41"/>
      <c r="M21" s="40"/>
      <c r="N21" s="21"/>
      <c r="O21" s="21"/>
      <c r="P21" s="21"/>
      <c r="Q21" s="21"/>
      <c r="R21" s="75"/>
      <c r="S21" s="75"/>
      <c r="T21" s="108"/>
      <c r="U21" s="108"/>
      <c r="V21" s="108"/>
      <c r="W21" s="108"/>
      <c r="X21" s="108"/>
      <c r="Y21" s="108"/>
      <c r="Z21" s="21"/>
      <c r="AA21" s="52"/>
      <c r="AB21" s="4"/>
      <c r="AC21" s="4"/>
      <c r="AD21" s="11"/>
      <c r="AE21" s="10"/>
      <c r="AG21" s="8"/>
      <c r="AH21" s="9"/>
      <c r="AJ21" s="10"/>
      <c r="AK21" s="4"/>
      <c r="AL21" s="4"/>
      <c r="AM21" s="4"/>
      <c r="AN21" s="4"/>
      <c r="AO21" s="4"/>
      <c r="AP21" s="4"/>
      <c r="AR21" s="54"/>
      <c r="AS21" s="53"/>
      <c r="AT21" s="4"/>
    </row>
    <row r="22" spans="1:46" ht="12.75">
      <c r="A22" s="38" t="s">
        <v>78</v>
      </c>
      <c r="B22" t="s">
        <v>77</v>
      </c>
      <c r="D22" s="21"/>
      <c r="E22" s="21"/>
      <c r="F22" s="21"/>
      <c r="G22" s="21"/>
      <c r="H22" s="21"/>
      <c r="I22" s="21"/>
      <c r="J22" s="21"/>
      <c r="K22" s="5"/>
      <c r="L22" s="39"/>
      <c r="M22" s="40"/>
      <c r="N22" s="21"/>
      <c r="O22" s="21"/>
      <c r="P22" s="21"/>
      <c r="Q22" s="21"/>
      <c r="R22" s="21"/>
      <c r="S22" s="75"/>
      <c r="T22" s="9"/>
      <c r="U22" s="12"/>
      <c r="V22" s="9"/>
      <c r="X22" s="57"/>
      <c r="Y22" s="43"/>
      <c r="Z22" s="21"/>
      <c r="AA22" s="52"/>
      <c r="AB22" s="4"/>
      <c r="AC22" s="4"/>
      <c r="AD22" s="11"/>
      <c r="AE22" s="10"/>
      <c r="AG22" s="8"/>
      <c r="AH22" s="9"/>
      <c r="AJ22" s="10"/>
      <c r="AK22" s="4"/>
      <c r="AL22" s="4"/>
      <c r="AM22" s="4"/>
      <c r="AN22" s="4"/>
      <c r="AO22" s="4"/>
      <c r="AP22" s="4"/>
      <c r="AR22" s="53"/>
      <c r="AS22" s="53"/>
      <c r="AT22" s="4"/>
    </row>
    <row r="23" spans="1:46" ht="12.75">
      <c r="A23" s="99" t="s">
        <v>123</v>
      </c>
      <c r="B23" s="37" t="s">
        <v>125</v>
      </c>
      <c r="C23" s="37"/>
      <c r="D23" s="21"/>
      <c r="E23" s="21"/>
      <c r="F23" s="21"/>
      <c r="G23" s="21"/>
      <c r="H23" s="21"/>
      <c r="I23" s="41"/>
      <c r="J23" s="21"/>
      <c r="K23" s="51"/>
      <c r="L23" s="41"/>
      <c r="M23" s="40"/>
      <c r="N23" s="21"/>
      <c r="O23" s="21"/>
      <c r="P23" s="21"/>
      <c r="Q23" s="21"/>
      <c r="R23" s="75"/>
      <c r="S23" s="75"/>
      <c r="T23" s="108"/>
      <c r="U23" s="108"/>
      <c r="V23" s="108"/>
      <c r="W23" s="108"/>
      <c r="X23" s="108"/>
      <c r="Y23" s="43"/>
      <c r="Z23" s="21"/>
      <c r="AA23" s="52"/>
      <c r="AB23" s="4"/>
      <c r="AC23" s="4"/>
      <c r="AD23" s="11"/>
      <c r="AE23" s="10"/>
      <c r="AG23" s="8"/>
      <c r="AH23" s="9"/>
      <c r="AJ23" s="102"/>
      <c r="AK23" s="4"/>
      <c r="AL23" s="4"/>
      <c r="AM23" s="4"/>
      <c r="AN23" s="4"/>
      <c r="AO23" s="4"/>
      <c r="AP23" s="4"/>
      <c r="AR23" s="53"/>
      <c r="AS23" s="53"/>
      <c r="AT23" s="4"/>
    </row>
    <row r="24" spans="1:45" ht="12.75">
      <c r="A24" s="34" t="s">
        <v>75</v>
      </c>
      <c r="B24" s="2"/>
      <c r="C24" s="2"/>
      <c r="D24" s="2"/>
      <c r="E24" s="5"/>
      <c r="F24" s="5"/>
      <c r="G24" s="5"/>
      <c r="H24" s="5"/>
      <c r="I24" s="41"/>
      <c r="J24" s="5"/>
      <c r="K24" s="5"/>
      <c r="L24" s="39"/>
      <c r="M24" s="40"/>
      <c r="N24" s="21"/>
      <c r="O24" s="21"/>
      <c r="P24" s="21"/>
      <c r="Q24" s="21"/>
      <c r="R24" s="21"/>
      <c r="S24" s="75"/>
      <c r="T24" s="108"/>
      <c r="U24" s="108"/>
      <c r="V24" s="108"/>
      <c r="W24" s="108"/>
      <c r="X24" s="108"/>
      <c r="Y24" s="43"/>
      <c r="Z24" s="21"/>
      <c r="AA24" s="52"/>
      <c r="AR24" s="53"/>
      <c r="AS24" s="53"/>
    </row>
    <row r="25" spans="1:46" ht="12.75">
      <c r="A25" s="35" t="s">
        <v>134</v>
      </c>
      <c r="B25" s="37"/>
      <c r="C25" s="37"/>
      <c r="D25" s="21"/>
      <c r="E25" s="21"/>
      <c r="F25" s="21"/>
      <c r="G25" s="21"/>
      <c r="H25" s="21"/>
      <c r="I25" s="42"/>
      <c r="J25" s="21"/>
      <c r="K25" s="51"/>
      <c r="L25" s="41"/>
      <c r="M25" s="40"/>
      <c r="N25" s="21"/>
      <c r="O25" s="21"/>
      <c r="P25" s="21"/>
      <c r="Q25" s="21"/>
      <c r="R25" s="75"/>
      <c r="S25" s="75"/>
      <c r="T25" s="108"/>
      <c r="U25" s="108"/>
      <c r="V25" s="108"/>
      <c r="W25" s="108"/>
      <c r="X25" s="108"/>
      <c r="Y25" s="50"/>
      <c r="Z25" s="5"/>
      <c r="AA25" s="52"/>
      <c r="AB25" s="4"/>
      <c r="AC25" s="4"/>
      <c r="AD25" s="11"/>
      <c r="AE25" s="10"/>
      <c r="AG25" s="8"/>
      <c r="AH25" s="9"/>
      <c r="AJ25" s="10"/>
      <c r="AK25" s="4"/>
      <c r="AL25" s="4"/>
      <c r="AM25" s="4"/>
      <c r="AN25" s="4"/>
      <c r="AO25" s="4"/>
      <c r="AP25" s="4"/>
      <c r="AR25" s="53"/>
      <c r="AS25" s="53"/>
      <c r="AT25" s="4"/>
    </row>
    <row r="26" spans="1:46" ht="12.75">
      <c r="A26" s="35" t="s">
        <v>135</v>
      </c>
      <c r="B26" s="37"/>
      <c r="C26" s="37"/>
      <c r="D26" s="21"/>
      <c r="E26" s="21"/>
      <c r="F26" s="21"/>
      <c r="G26" s="21"/>
      <c r="H26" s="21"/>
      <c r="I26" s="41"/>
      <c r="J26" s="21"/>
      <c r="K26" s="5"/>
      <c r="L26" s="39"/>
      <c r="M26" s="40"/>
      <c r="N26" s="21"/>
      <c r="O26" s="21"/>
      <c r="P26" s="21"/>
      <c r="Q26" s="21"/>
      <c r="R26" s="21"/>
      <c r="S26" s="75"/>
      <c r="T26" s="108"/>
      <c r="U26" s="108"/>
      <c r="V26" s="108"/>
      <c r="W26" s="108"/>
      <c r="X26" s="108"/>
      <c r="Y26" s="43"/>
      <c r="Z26" s="41"/>
      <c r="AA26" s="52"/>
      <c r="AB26" s="4"/>
      <c r="AC26" s="4"/>
      <c r="AD26" s="11"/>
      <c r="AE26" s="10"/>
      <c r="AG26" s="8"/>
      <c r="AH26" s="9"/>
      <c r="AJ26" s="10"/>
      <c r="AK26" s="4"/>
      <c r="AL26" s="4"/>
      <c r="AM26" s="4"/>
      <c r="AN26" s="4"/>
      <c r="AO26" s="4"/>
      <c r="AP26" s="4"/>
      <c r="AR26" s="53"/>
      <c r="AS26" s="53"/>
      <c r="AT26" s="4"/>
    </row>
    <row r="27" spans="1:46" ht="12.75">
      <c r="A27" s="35" t="s">
        <v>136</v>
      </c>
      <c r="B27" s="37"/>
      <c r="C27" s="37"/>
      <c r="D27" s="21"/>
      <c r="E27" s="21"/>
      <c r="F27" s="21"/>
      <c r="G27" s="21"/>
      <c r="H27" s="21"/>
      <c r="I27" s="41"/>
      <c r="J27" s="21"/>
      <c r="K27" s="51"/>
      <c r="L27" s="41"/>
      <c r="M27" s="40"/>
      <c r="N27" s="21"/>
      <c r="O27" s="21"/>
      <c r="P27" s="21"/>
      <c r="Q27" s="21"/>
      <c r="R27" s="75"/>
      <c r="S27" s="75"/>
      <c r="T27" s="108"/>
      <c r="U27" s="108"/>
      <c r="V27" s="108"/>
      <c r="W27" s="108"/>
      <c r="X27" s="108"/>
      <c r="Y27" s="43"/>
      <c r="Z27" s="58"/>
      <c r="AA27" s="52"/>
      <c r="AB27" s="4"/>
      <c r="AC27" s="4"/>
      <c r="AD27" s="11"/>
      <c r="AE27" s="10"/>
      <c r="AG27" s="8"/>
      <c r="AH27" s="9"/>
      <c r="AJ27" s="10"/>
      <c r="AK27" s="4"/>
      <c r="AL27" s="4"/>
      <c r="AM27" s="4"/>
      <c r="AN27" s="4"/>
      <c r="AO27" s="4"/>
      <c r="AP27" s="4"/>
      <c r="AR27" s="53"/>
      <c r="AS27" s="53"/>
      <c r="AT27" s="4"/>
    </row>
    <row r="28" spans="1:46" ht="12.75">
      <c r="A28"/>
      <c r="B28" s="37"/>
      <c r="C28" s="37"/>
      <c r="D28" s="21"/>
      <c r="E28" s="21"/>
      <c r="F28" s="21"/>
      <c r="G28" s="21"/>
      <c r="H28" s="21"/>
      <c r="I28" s="41"/>
      <c r="J28" s="21"/>
      <c r="K28" s="5"/>
      <c r="L28" s="39"/>
      <c r="M28" s="40"/>
      <c r="N28" s="21"/>
      <c r="O28" s="21"/>
      <c r="P28" s="21"/>
      <c r="Q28" s="21"/>
      <c r="R28" s="21"/>
      <c r="S28" s="75"/>
      <c r="T28" s="108"/>
      <c r="U28" s="108"/>
      <c r="V28" s="108"/>
      <c r="W28" s="108"/>
      <c r="X28" s="108"/>
      <c r="Y28" s="43"/>
      <c r="Z28" s="58"/>
      <c r="AA28" s="52"/>
      <c r="AB28" s="4"/>
      <c r="AC28" s="4"/>
      <c r="AD28" s="11"/>
      <c r="AE28" s="10"/>
      <c r="AG28" s="8"/>
      <c r="AH28" s="9"/>
      <c r="AJ28" s="10"/>
      <c r="AK28" s="4"/>
      <c r="AL28" s="4"/>
      <c r="AM28" s="4"/>
      <c r="AN28" s="4"/>
      <c r="AO28" s="4"/>
      <c r="AP28" s="4"/>
      <c r="AR28" s="53"/>
      <c r="AS28" s="53"/>
      <c r="AT28" s="4"/>
    </row>
    <row r="29" spans="1:46" ht="13.5">
      <c r="A29"/>
      <c r="B29" s="37"/>
      <c r="C29" s="37"/>
      <c r="D29" s="21"/>
      <c r="E29" s="21"/>
      <c r="F29" s="21"/>
      <c r="G29" s="21"/>
      <c r="H29" s="21"/>
      <c r="I29" s="41"/>
      <c r="J29" s="21"/>
      <c r="K29" s="51"/>
      <c r="L29" s="41"/>
      <c r="M29" s="40"/>
      <c r="N29" s="21"/>
      <c r="O29" s="21"/>
      <c r="P29" s="21"/>
      <c r="Q29" s="21"/>
      <c r="R29" s="75"/>
      <c r="S29" s="75"/>
      <c r="T29" s="9"/>
      <c r="U29" s="12"/>
      <c r="V29" s="9"/>
      <c r="X29" s="59"/>
      <c r="Y29" s="43"/>
      <c r="Z29" s="43"/>
      <c r="AA29" s="52"/>
      <c r="AB29" s="4"/>
      <c r="AC29" s="4"/>
      <c r="AD29" s="11"/>
      <c r="AE29" s="10"/>
      <c r="AG29" s="8"/>
      <c r="AH29" s="9"/>
      <c r="AJ29" s="10"/>
      <c r="AK29" s="4"/>
      <c r="AL29" s="4"/>
      <c r="AM29" s="4"/>
      <c r="AN29" s="4"/>
      <c r="AO29" s="4"/>
      <c r="AP29" s="4"/>
      <c r="AR29" s="55"/>
      <c r="AS29" s="55"/>
      <c r="AT29" s="4"/>
    </row>
    <row r="30" spans="1:46" ht="12.75">
      <c r="A30"/>
      <c r="B30" s="37"/>
      <c r="C30" s="37"/>
      <c r="D30" s="21"/>
      <c r="E30" s="21"/>
      <c r="F30" s="21"/>
      <c r="G30" s="21"/>
      <c r="H30" s="21"/>
      <c r="I30" s="41"/>
      <c r="J30" s="21"/>
      <c r="K30" s="5"/>
      <c r="L30" s="39"/>
      <c r="M30" s="40"/>
      <c r="N30" s="21"/>
      <c r="O30" s="21"/>
      <c r="P30" s="21"/>
      <c r="Q30" s="21"/>
      <c r="R30" s="21"/>
      <c r="S30" s="75"/>
      <c r="T30" s="9"/>
      <c r="U30" s="12"/>
      <c r="V30" s="9"/>
      <c r="X30" s="57"/>
      <c r="Y30" s="52"/>
      <c r="Z30" s="58"/>
      <c r="AA30" s="52"/>
      <c r="AB30" s="4"/>
      <c r="AC30" s="4"/>
      <c r="AD30" s="11"/>
      <c r="AE30" s="10"/>
      <c r="AG30" s="8"/>
      <c r="AH30" s="9"/>
      <c r="AJ30" s="10"/>
      <c r="AK30" s="4"/>
      <c r="AL30" s="4"/>
      <c r="AM30" s="4"/>
      <c r="AN30" s="4"/>
      <c r="AO30" s="4"/>
      <c r="AP30" s="4"/>
      <c r="AR30" s="53"/>
      <c r="AS30" s="53"/>
      <c r="AT30" s="4"/>
    </row>
    <row r="31" spans="1:46" ht="12.75">
      <c r="A31"/>
      <c r="B31" s="37"/>
      <c r="C31" s="37"/>
      <c r="D31" s="21"/>
      <c r="E31" s="21"/>
      <c r="F31" s="21"/>
      <c r="G31" s="21"/>
      <c r="H31" s="21"/>
      <c r="I31" s="41"/>
      <c r="J31" s="21"/>
      <c r="K31" s="51"/>
      <c r="L31" s="41"/>
      <c r="M31" s="40"/>
      <c r="N31" s="21"/>
      <c r="O31" s="21"/>
      <c r="P31" s="21"/>
      <c r="Q31" s="21"/>
      <c r="R31" s="75"/>
      <c r="S31" s="75"/>
      <c r="T31" s="9"/>
      <c r="U31" s="12"/>
      <c r="V31" s="9"/>
      <c r="X31" s="57"/>
      <c r="Y31" s="52"/>
      <c r="Z31" s="43"/>
      <c r="AA31" s="52"/>
      <c r="AB31" s="4"/>
      <c r="AC31" s="4"/>
      <c r="AD31" s="11"/>
      <c r="AE31" s="10"/>
      <c r="AG31" s="8"/>
      <c r="AH31" s="9"/>
      <c r="AJ31" s="10"/>
      <c r="AK31" s="4"/>
      <c r="AL31" s="4"/>
      <c r="AM31" s="4"/>
      <c r="AN31" s="4"/>
      <c r="AO31" s="4"/>
      <c r="AP31" s="4"/>
      <c r="AR31" s="53"/>
      <c r="AS31" s="53"/>
      <c r="AT31" s="4"/>
    </row>
    <row r="32" spans="1:46" ht="12.75">
      <c r="A32"/>
      <c r="B32" s="37"/>
      <c r="C32" s="37"/>
      <c r="D32" s="21"/>
      <c r="E32" s="21"/>
      <c r="F32" s="21"/>
      <c r="G32" s="21"/>
      <c r="H32" s="21"/>
      <c r="I32" s="41"/>
      <c r="J32" s="21"/>
      <c r="K32" s="5"/>
      <c r="L32" s="39"/>
      <c r="M32" s="40"/>
      <c r="N32" s="21"/>
      <c r="O32" s="21"/>
      <c r="P32" s="21"/>
      <c r="Q32" s="21"/>
      <c r="R32" s="21"/>
      <c r="S32" s="75"/>
      <c r="T32" s="9"/>
      <c r="U32" s="12"/>
      <c r="V32" s="9"/>
      <c r="X32" s="60"/>
      <c r="Y32" s="21"/>
      <c r="Z32" s="21"/>
      <c r="AA32" s="52"/>
      <c r="AB32" s="4"/>
      <c r="AC32" s="4"/>
      <c r="AD32" s="11"/>
      <c r="AE32" s="10"/>
      <c r="AG32" s="8"/>
      <c r="AH32" s="9"/>
      <c r="AJ32" s="10"/>
      <c r="AK32" s="4"/>
      <c r="AL32" s="4"/>
      <c r="AM32" s="4"/>
      <c r="AN32" s="4"/>
      <c r="AO32" s="4"/>
      <c r="AP32" s="4"/>
      <c r="AT32" s="4"/>
    </row>
    <row r="33" spans="2:46" ht="12.75">
      <c r="B33" s="37"/>
      <c r="C33" s="37"/>
      <c r="D33" s="21"/>
      <c r="E33" s="21"/>
      <c r="F33" s="21"/>
      <c r="G33" s="21"/>
      <c r="H33" s="21"/>
      <c r="I33" s="41"/>
      <c r="J33" s="21"/>
      <c r="K33" s="21"/>
      <c r="L33" s="41"/>
      <c r="M33" s="4"/>
      <c r="O33" s="4"/>
      <c r="P33" s="4"/>
      <c r="Q33" s="4"/>
      <c r="R33" s="74"/>
      <c r="S33" s="74"/>
      <c r="T33" s="9"/>
      <c r="U33" s="12"/>
      <c r="V33" s="9"/>
      <c r="X33" s="13"/>
      <c r="Y33" s="9"/>
      <c r="Z33" s="9"/>
      <c r="AA33" s="13"/>
      <c r="AB33" s="4"/>
      <c r="AC33" s="4"/>
      <c r="AD33" s="11"/>
      <c r="AE33" s="10"/>
      <c r="AG33" s="8"/>
      <c r="AH33" s="9"/>
      <c r="AJ33" s="10"/>
      <c r="AK33" s="4"/>
      <c r="AL33" s="4"/>
      <c r="AM33" s="4"/>
      <c r="AN33" s="4"/>
      <c r="AO33" s="4"/>
      <c r="AP33" s="4"/>
      <c r="AT33" s="4"/>
    </row>
    <row r="34" spans="2:46" ht="12.75">
      <c r="B34" s="37"/>
      <c r="C34" s="37"/>
      <c r="D34" s="39"/>
      <c r="E34" s="39"/>
      <c r="F34" s="39"/>
      <c r="G34" s="39"/>
      <c r="H34" s="39"/>
      <c r="I34" s="43"/>
      <c r="J34" s="39"/>
      <c r="K34" s="39"/>
      <c r="L34" s="43"/>
      <c r="M34" s="4"/>
      <c r="O34" s="4"/>
      <c r="P34" s="4"/>
      <c r="Q34" s="4"/>
      <c r="R34" s="74"/>
      <c r="S34" s="74"/>
      <c r="T34" s="9"/>
      <c r="U34" s="12"/>
      <c r="V34" s="9"/>
      <c r="X34" s="13"/>
      <c r="Y34" s="9"/>
      <c r="Z34" s="9"/>
      <c r="AA34" s="13"/>
      <c r="AB34" s="4"/>
      <c r="AC34" s="4"/>
      <c r="AD34" s="11"/>
      <c r="AE34" s="10"/>
      <c r="AG34" s="8"/>
      <c r="AH34" s="9"/>
      <c r="AJ34" s="10"/>
      <c r="AK34" s="4"/>
      <c r="AL34" s="4"/>
      <c r="AM34" s="4"/>
      <c r="AN34" s="4"/>
      <c r="AO34" s="4"/>
      <c r="AP34" s="4"/>
      <c r="AT34" s="4"/>
    </row>
    <row r="35" spans="4:12" ht="12.75">
      <c r="D35" s="21"/>
      <c r="E35" s="21"/>
      <c r="F35" s="21"/>
      <c r="G35" s="21"/>
      <c r="H35" s="21"/>
      <c r="I35" s="21"/>
      <c r="J35" s="21"/>
      <c r="K35" s="21"/>
      <c r="L35" s="21"/>
    </row>
  </sheetData>
  <printOptions horizontalCentered="1"/>
  <pageMargins left="0.2" right="0.17" top="0.61" bottom="0.61" header="0.5118110236220472" footer="0.3"/>
  <pageSetup fitToHeight="1" fitToWidth="1" horizontalDpi="600" verticalDpi="600" orientation="landscape" paperSize="9" scale="37" r:id="rId3"/>
  <headerFooter alignWithMargins="0">
    <oddFooter>&amp;C&amp;F&amp;R&amp;D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Emissions-Trader ET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Hadulla</dc:creator>
  <cp:keywords/>
  <dc:description/>
  <cp:lastModifiedBy>A-TEC</cp:lastModifiedBy>
  <cp:lastPrinted>2011-04-20T08:21:19Z</cp:lastPrinted>
  <dcterms:created xsi:type="dcterms:W3CDTF">2008-12-06T07:55:45Z</dcterms:created>
  <dcterms:modified xsi:type="dcterms:W3CDTF">2011-08-04T14:58:05Z</dcterms:modified>
  <cp:category/>
  <cp:version/>
  <cp:contentType/>
  <cp:contentStatus/>
</cp:coreProperties>
</file>