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18960" windowHeight="8070" tabRatio="816" activeTab="4"/>
  </bookViews>
  <sheets>
    <sheet name="Title" sheetId="1" r:id="rId1"/>
    <sheet name="Default Data" sheetId="2" r:id="rId2"/>
    <sheet name="Furnaces (SP1)" sheetId="3" r:id="rId3"/>
    <sheet name="Vacuumator  (SP2)" sheetId="4" r:id="rId4"/>
    <sheet name="Ladle Furnace (SP3)" sheetId="5" r:id="rId5"/>
    <sheet name="Press (SP4) " sheetId="6" r:id="rId6"/>
    <sheet name="ER 1Q2010" sheetId="7" r:id="rId7"/>
  </sheets>
  <definedNames>
    <definedName name="OLE_LINK1" localSheetId="2">'Furnaces (SP1)'!#REF!</definedName>
  </definedNames>
  <calcPr fullCalcOnLoad="1"/>
</workbook>
</file>

<file path=xl/sharedStrings.xml><?xml version="1.0" encoding="utf-8"?>
<sst xmlns="http://schemas.openxmlformats.org/spreadsheetml/2006/main" count="291" uniqueCount="106">
  <si>
    <t xml:space="preserve"> </t>
  </si>
  <si>
    <t>tCO2/GJ</t>
  </si>
  <si>
    <t>tCO2/MWh</t>
  </si>
  <si>
    <t>Natural gas LCV (GJ/1000Nm3)</t>
  </si>
  <si>
    <t>Transformers conversion factors</t>
  </si>
  <si>
    <t>EAF 50</t>
  </si>
  <si>
    <t>current transformer factor</t>
  </si>
  <si>
    <t>voltage transformer factor</t>
  </si>
  <si>
    <t>overall conversion factor</t>
  </si>
  <si>
    <t>EAF 100 #3</t>
  </si>
  <si>
    <t>EAF 100 #5</t>
  </si>
  <si>
    <t>LF</t>
  </si>
  <si>
    <t>Emission factors</t>
  </si>
  <si>
    <t>Natural gas</t>
  </si>
  <si>
    <t>electricity</t>
  </si>
  <si>
    <t>thermal #9,TS</t>
  </si>
  <si>
    <t>thermal #10, TS</t>
  </si>
  <si>
    <t>thermal #1, TS</t>
  </si>
  <si>
    <t>thermal #2, TS</t>
  </si>
  <si>
    <t>heating #10, FPS</t>
  </si>
  <si>
    <t>heating #9, FPS</t>
  </si>
  <si>
    <t>heating #8, FPS</t>
  </si>
  <si>
    <t>heating #7, FPS</t>
  </si>
  <si>
    <t>thermal #30, FPS</t>
  </si>
  <si>
    <t>thermal #18, FPS</t>
  </si>
  <si>
    <t>tonnes</t>
  </si>
  <si>
    <t>Nm3</t>
  </si>
  <si>
    <t>Project emissions</t>
  </si>
  <si>
    <t>tCO2</t>
  </si>
  <si>
    <t>Natural Gas consumpton and semi-products production</t>
  </si>
  <si>
    <t>Grand Total</t>
  </si>
  <si>
    <t>Furnace</t>
  </si>
  <si>
    <t>m3/t</t>
  </si>
  <si>
    <t>Baseline emissions</t>
  </si>
  <si>
    <t>Emission reductions</t>
  </si>
  <si>
    <t>Emission Reductions</t>
  </si>
  <si>
    <t>Month</t>
  </si>
  <si>
    <t xml:space="preserve">Vacuumed steel </t>
  </si>
  <si>
    <t>Baseline heat</t>
  </si>
  <si>
    <t>Baseline electricity</t>
  </si>
  <si>
    <t>Project Electricity consumption</t>
  </si>
  <si>
    <t>[t]</t>
  </si>
  <si>
    <t>MWh</t>
  </si>
  <si>
    <t>Total</t>
  </si>
  <si>
    <t>[tCO2]</t>
  </si>
  <si>
    <t>Baseline specific NG consumption for the SP1, [m3/t ]steel]</t>
  </si>
  <si>
    <t>Baseline factors for the SP2</t>
  </si>
  <si>
    <t>efficiency of the coal boilers</t>
  </si>
  <si>
    <t>%</t>
  </si>
  <si>
    <t>coal</t>
  </si>
  <si>
    <t>GJ/t</t>
  </si>
  <si>
    <t>specific electricity consumption</t>
  </si>
  <si>
    <t>specific heat consumption</t>
  </si>
  <si>
    <t>MWh/t</t>
  </si>
  <si>
    <t>Baseline factors for the SP3</t>
  </si>
  <si>
    <t>conversion factor kcal to MJ</t>
  </si>
  <si>
    <t>Baseline emissions, [tCO2]</t>
  </si>
  <si>
    <t>Project emissions, [tCO2]</t>
  </si>
  <si>
    <t>ER, [tCO2]</t>
  </si>
  <si>
    <t>working hours, [h]</t>
  </si>
  <si>
    <t>Electricity consumption, [MWh]</t>
  </si>
  <si>
    <t>installed capacity of the press’ serving motors before reconstruction</t>
  </si>
  <si>
    <t>MW</t>
  </si>
  <si>
    <t>Baseline factors for the SP4</t>
  </si>
  <si>
    <t>SP1</t>
  </si>
  <si>
    <t>SP2</t>
  </si>
  <si>
    <t>SP3</t>
  </si>
  <si>
    <t>SP4</t>
  </si>
  <si>
    <t xml:space="preserve">Project emissions </t>
  </si>
  <si>
    <t>thermal #19, FPS</t>
  </si>
  <si>
    <t>thermal #20, FPS</t>
  </si>
  <si>
    <t>Electricity consumption at EAFs, [MWh]</t>
  </si>
  <si>
    <t>Electricity consumption at LF,     [MWh]</t>
  </si>
  <si>
    <t>Baseline emissions,       [tCO2]</t>
  </si>
  <si>
    <t>Project emissions,       [tCO2]</t>
  </si>
  <si>
    <t>Electrosteel,       [tonnes]</t>
  </si>
  <si>
    <t>#</t>
  </si>
  <si>
    <t>thermal    #19, FPS</t>
  </si>
  <si>
    <t>thermal    #20, FPS</t>
  </si>
  <si>
    <t>thermal #32, FPS</t>
  </si>
  <si>
    <t>thermal #31, FPS</t>
  </si>
  <si>
    <t>thermal #37, FPS</t>
  </si>
  <si>
    <t>heating  #33, FPS</t>
  </si>
  <si>
    <t>thermal  #30, FPS</t>
  </si>
  <si>
    <t>thermal  #18, FPS</t>
  </si>
  <si>
    <t>thermal  #19, FPS</t>
  </si>
  <si>
    <t>thermal  #20, FPS</t>
  </si>
  <si>
    <t>thermal  #32, FPS</t>
  </si>
  <si>
    <t>thermal  #37, FPS</t>
  </si>
  <si>
    <t>heating    #33, FPS</t>
  </si>
  <si>
    <t>heating #33, FPS</t>
  </si>
  <si>
    <t>thermal    #32, FPS</t>
  </si>
  <si>
    <t>thermal    #37, FPS</t>
  </si>
  <si>
    <t>thermal    #21, FPS</t>
  </si>
  <si>
    <t>thermal  #21, FPS</t>
  </si>
  <si>
    <t>thermal #21, FPS</t>
  </si>
  <si>
    <t>Jan</t>
  </si>
  <si>
    <t>Feb</t>
  </si>
  <si>
    <t>Mar</t>
  </si>
  <si>
    <t>thermal #4, TS</t>
  </si>
  <si>
    <t>heating #34, FPS</t>
  </si>
  <si>
    <t>heating #35, FPS</t>
  </si>
  <si>
    <t>Total 1Q2010           (3months)</t>
  </si>
  <si>
    <t xml:space="preserve">Total           </t>
  </si>
  <si>
    <t>heating #36, FPS</t>
  </si>
  <si>
    <t>Total 1Q2010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</si>
</sst>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;@"/>
    <numFmt numFmtId="165" formatCode="0.0"/>
    <numFmt numFmtId="166" formatCode="#,##0.000"/>
    <numFmt numFmtId="167" formatCode="0.000"/>
    <numFmt numFmtId="168" formatCode="0.0000"/>
    <numFmt numFmtId="169" formatCode="0.0000000"/>
    <numFmt numFmtId="170" formatCode="[$-FC19]d\ mmmm\ yyyy\ &quot;г.&quot;"/>
    <numFmt numFmtId="171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62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164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5">
    <xf numFmtId="164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2" fillId="0" borderId="15" xfId="0" applyFont="1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2" fillId="0" borderId="18" xfId="0" applyFont="1" applyBorder="1" applyAlignment="1">
      <alignment/>
    </xf>
    <xf numFmtId="164" fontId="2" fillId="0" borderId="19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20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64" fontId="2" fillId="0" borderId="21" xfId="0" applyFont="1" applyBorder="1" applyAlignment="1">
      <alignment horizontal="justify" vertical="justify" wrapText="1"/>
    </xf>
    <xf numFmtId="164" fontId="2" fillId="0" borderId="21" xfId="0" applyFont="1" applyFill="1" applyBorder="1" applyAlignment="1">
      <alignment horizontal="justify" vertical="justify" wrapText="1"/>
    </xf>
    <xf numFmtId="3" fontId="0" fillId="0" borderId="23" xfId="0" applyNumberFormat="1" applyBorder="1" applyAlignment="1">
      <alignment/>
    </xf>
    <xf numFmtId="164" fontId="2" fillId="33" borderId="24" xfId="0" applyFont="1" applyFill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164" fontId="0" fillId="0" borderId="0" xfId="0" applyFill="1" applyAlignment="1">
      <alignment/>
    </xf>
    <xf numFmtId="164" fontId="2" fillId="0" borderId="11" xfId="0" applyFont="1" applyBorder="1" applyAlignment="1">
      <alignment horizontal="center"/>
    </xf>
    <xf numFmtId="164" fontId="4" fillId="0" borderId="0" xfId="55" applyFill="1">
      <alignment/>
      <protection/>
    </xf>
    <xf numFmtId="164" fontId="5" fillId="0" borderId="0" xfId="55" applyFont="1" applyFill="1">
      <alignment/>
      <protection/>
    </xf>
    <xf numFmtId="164" fontId="6" fillId="0" borderId="0" xfId="55" applyFont="1" applyFill="1" applyBorder="1">
      <alignment/>
      <protection/>
    </xf>
    <xf numFmtId="164" fontId="6" fillId="0" borderId="27" xfId="55" applyFont="1" applyFill="1" applyBorder="1">
      <alignment/>
      <protection/>
    </xf>
    <xf numFmtId="1" fontId="6" fillId="0" borderId="0" xfId="55" applyNumberFormat="1" applyFont="1" applyFill="1" applyBorder="1">
      <alignment/>
      <protection/>
    </xf>
    <xf numFmtId="1" fontId="7" fillId="0" borderId="0" xfId="55" applyNumberFormat="1" applyFont="1" applyFill="1" applyBorder="1">
      <alignment/>
      <protection/>
    </xf>
    <xf numFmtId="1" fontId="7" fillId="0" borderId="0" xfId="55" applyNumberFormat="1" applyFont="1" applyFill="1">
      <alignment/>
      <protection/>
    </xf>
    <xf numFmtId="164" fontId="0" fillId="0" borderId="28" xfId="0" applyBorder="1" applyAlignment="1">
      <alignment/>
    </xf>
    <xf numFmtId="10" fontId="0" fillId="0" borderId="13" xfId="0" applyNumberFormat="1" applyBorder="1" applyAlignment="1">
      <alignment/>
    </xf>
    <xf numFmtId="164" fontId="0" fillId="0" borderId="29" xfId="0" applyBorder="1" applyAlignment="1">
      <alignment/>
    </xf>
    <xf numFmtId="164" fontId="6" fillId="0" borderId="10" xfId="55" applyFont="1" applyFill="1" applyBorder="1">
      <alignment/>
      <protection/>
    </xf>
    <xf numFmtId="164" fontId="7" fillId="0" borderId="19" xfId="55" applyFont="1" applyFill="1" applyBorder="1" applyAlignment="1">
      <alignment horizontal="right"/>
      <protection/>
    </xf>
    <xf numFmtId="164" fontId="2" fillId="0" borderId="30" xfId="0" applyFont="1" applyBorder="1" applyAlignment="1">
      <alignment horizontal="center"/>
    </xf>
    <xf numFmtId="164" fontId="2" fillId="0" borderId="31" xfId="0" applyFont="1" applyBorder="1" applyAlignment="1">
      <alignment horizontal="center"/>
    </xf>
    <xf numFmtId="164" fontId="2" fillId="0" borderId="32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18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0" xfId="0" applyFill="1" applyBorder="1" applyAlignment="1">
      <alignment/>
    </xf>
    <xf numFmtId="164" fontId="2" fillId="0" borderId="18" xfId="0" applyFont="1" applyBorder="1" applyAlignment="1">
      <alignment horizontal="center" vertical="center"/>
    </xf>
    <xf numFmtId="164" fontId="2" fillId="0" borderId="19" xfId="0" applyFont="1" applyBorder="1" applyAlignment="1">
      <alignment horizontal="center" vertical="center"/>
    </xf>
    <xf numFmtId="164" fontId="2" fillId="0" borderId="26" xfId="0" applyFont="1" applyBorder="1" applyAlignment="1">
      <alignment horizontal="center" vertical="center"/>
    </xf>
    <xf numFmtId="164" fontId="0" fillId="0" borderId="0" xfId="0" applyAlignment="1">
      <alignment horizontal="right" vertical="center"/>
    </xf>
    <xf numFmtId="164" fontId="0" fillId="0" borderId="33" xfId="0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0" borderId="27" xfId="0" applyNumberFormat="1" applyBorder="1" applyAlignment="1">
      <alignment/>
    </xf>
    <xf numFmtId="164" fontId="2" fillId="0" borderId="33" xfId="0" applyFont="1" applyBorder="1" applyAlignment="1">
      <alignment/>
    </xf>
    <xf numFmtId="3" fontId="0" fillId="0" borderId="12" xfId="0" applyNumberFormat="1" applyBorder="1" applyAlignment="1">
      <alignment/>
    </xf>
    <xf numFmtId="164" fontId="2" fillId="0" borderId="34" xfId="0" applyFont="1" applyBorder="1" applyAlignment="1">
      <alignment horizontal="justify" vertical="justify" wrapText="1"/>
    </xf>
    <xf numFmtId="3" fontId="39" fillId="33" borderId="35" xfId="0" applyNumberFormat="1" applyFont="1" applyFill="1" applyBorder="1" applyAlignment="1">
      <alignment/>
    </xf>
    <xf numFmtId="3" fontId="39" fillId="33" borderId="36" xfId="0" applyNumberFormat="1" applyFont="1" applyFill="1" applyBorder="1" applyAlignment="1">
      <alignment/>
    </xf>
    <xf numFmtId="164" fontId="2" fillId="0" borderId="34" xfId="0" applyFont="1" applyBorder="1" applyAlignment="1">
      <alignment horizontal="center" vertical="center"/>
    </xf>
    <xf numFmtId="164" fontId="0" fillId="34" borderId="13" xfId="0" applyFill="1" applyBorder="1" applyAlignment="1">
      <alignment/>
    </xf>
    <xf numFmtId="3" fontId="0" fillId="34" borderId="23" xfId="0" applyNumberFormat="1" applyFill="1" applyBorder="1" applyAlignment="1">
      <alignment/>
    </xf>
    <xf numFmtId="3" fontId="0" fillId="34" borderId="37" xfId="0" applyNumberFormat="1" applyFill="1" applyBorder="1" applyAlignment="1">
      <alignment/>
    </xf>
    <xf numFmtId="3" fontId="2" fillId="34" borderId="26" xfId="0" applyNumberFormat="1" applyFont="1" applyFill="1" applyBorder="1" applyAlignment="1">
      <alignment/>
    </xf>
    <xf numFmtId="164" fontId="0" fillId="0" borderId="0" xfId="0" applyBorder="1" applyAlignment="1">
      <alignment/>
    </xf>
    <xf numFmtId="164" fontId="2" fillId="0" borderId="12" xfId="0" applyFont="1" applyBorder="1" applyAlignment="1">
      <alignment horizontal="justify" vertical="justify" wrapText="1"/>
    </xf>
    <xf numFmtId="164" fontId="2" fillId="0" borderId="17" xfId="0" applyFont="1" applyBorder="1" applyAlignment="1">
      <alignment/>
    </xf>
    <xf numFmtId="3" fontId="2" fillId="0" borderId="19" xfId="0" applyNumberFormat="1" applyFont="1" applyBorder="1" applyAlignment="1">
      <alignment/>
    </xf>
    <xf numFmtId="4" fontId="0" fillId="0" borderId="30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39" xfId="0" applyNumberFormat="1" applyBorder="1" applyAlignment="1">
      <alignment/>
    </xf>
    <xf numFmtId="164" fontId="0" fillId="0" borderId="15" xfId="0" applyBorder="1" applyAlignment="1">
      <alignment horizontal="left" vertical="center"/>
    </xf>
    <xf numFmtId="164" fontId="0" fillId="0" borderId="33" xfId="0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0" fillId="0" borderId="12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4" fontId="0" fillId="0" borderId="40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41" xfId="0" applyNumberFormat="1" applyBorder="1" applyAlignment="1">
      <alignment/>
    </xf>
    <xf numFmtId="164" fontId="2" fillId="0" borderId="42" xfId="0" applyFont="1" applyBorder="1" applyAlignment="1">
      <alignment horizontal="justify" vertical="justify" wrapText="1"/>
    </xf>
    <xf numFmtId="2" fontId="0" fillId="0" borderId="0" xfId="0" applyNumberFormat="1" applyAlignment="1">
      <alignment/>
    </xf>
    <xf numFmtId="2" fontId="0" fillId="0" borderId="43" xfId="0" applyNumberFormat="1" applyFill="1" applyBorder="1" applyAlignment="1">
      <alignment/>
    </xf>
    <xf numFmtId="2" fontId="0" fillId="0" borderId="38" xfId="0" applyNumberFormat="1" applyFill="1" applyBorder="1" applyAlignment="1">
      <alignment/>
    </xf>
    <xf numFmtId="2" fontId="0" fillId="0" borderId="39" xfId="0" applyNumberFormat="1" applyFill="1" applyBorder="1" applyAlignment="1">
      <alignment/>
    </xf>
    <xf numFmtId="164" fontId="0" fillId="0" borderId="14" xfId="0" applyFill="1" applyBorder="1" applyAlignment="1">
      <alignment vertical="justify" wrapText="1"/>
    </xf>
    <xf numFmtId="164" fontId="0" fillId="0" borderId="15" xfId="0" applyFill="1" applyBorder="1" applyAlignment="1">
      <alignment vertical="justify" wrapText="1"/>
    </xf>
    <xf numFmtId="164" fontId="0" fillId="0" borderId="44" xfId="0" applyFill="1" applyBorder="1" applyAlignment="1">
      <alignment/>
    </xf>
    <xf numFmtId="164" fontId="0" fillId="0" borderId="45" xfId="0" applyFill="1" applyBorder="1" applyAlignment="1">
      <alignment/>
    </xf>
    <xf numFmtId="164" fontId="0" fillId="0" borderId="15" xfId="0" applyFill="1" applyBorder="1" applyAlignment="1">
      <alignment horizontal="center" vertical="center"/>
    </xf>
    <xf numFmtId="164" fontId="0" fillId="0" borderId="46" xfId="0" applyFill="1" applyBorder="1" applyAlignment="1">
      <alignment horizontal="center" vertical="center"/>
    </xf>
    <xf numFmtId="164" fontId="0" fillId="0" borderId="17" xfId="0" applyFill="1" applyBorder="1" applyAlignment="1">
      <alignment horizontal="center" vertical="center"/>
    </xf>
    <xf numFmtId="164" fontId="0" fillId="0" borderId="47" xfId="0" applyFill="1" applyBorder="1" applyAlignment="1">
      <alignment horizontal="center" vertical="center"/>
    </xf>
    <xf numFmtId="164" fontId="0" fillId="0" borderId="16" xfId="0" applyFill="1" applyBorder="1" applyAlignment="1">
      <alignment horizontal="center" vertical="center"/>
    </xf>
    <xf numFmtId="164" fontId="0" fillId="0" borderId="37" xfId="0" applyFill="1" applyBorder="1" applyAlignment="1">
      <alignment horizontal="center" vertical="center"/>
    </xf>
    <xf numFmtId="164" fontId="0" fillId="0" borderId="48" xfId="0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165" fontId="0" fillId="0" borderId="44" xfId="0" applyNumberFormat="1" applyFill="1" applyBorder="1" applyAlignment="1">
      <alignment/>
    </xf>
    <xf numFmtId="165" fontId="0" fillId="0" borderId="46" xfId="0" applyNumberFormat="1" applyFill="1" applyBorder="1" applyAlignment="1">
      <alignment/>
    </xf>
    <xf numFmtId="164" fontId="0" fillId="0" borderId="49" xfId="0" applyFill="1" applyBorder="1" applyAlignment="1">
      <alignment/>
    </xf>
    <xf numFmtId="165" fontId="0" fillId="0" borderId="23" xfId="0" applyNumberFormat="1" applyFill="1" applyBorder="1" applyAlignment="1">
      <alignment/>
    </xf>
    <xf numFmtId="165" fontId="0" fillId="0" borderId="49" xfId="0" applyNumberFormat="1" applyFill="1" applyBorder="1" applyAlignment="1">
      <alignment/>
    </xf>
    <xf numFmtId="164" fontId="2" fillId="0" borderId="24" xfId="0" applyFont="1" applyFill="1" applyBorder="1" applyAlignment="1">
      <alignment wrapText="1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2" fontId="2" fillId="0" borderId="50" xfId="0" applyNumberFormat="1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2" fontId="2" fillId="0" borderId="51" xfId="0" applyNumberFormat="1" applyFont="1" applyFill="1" applyBorder="1" applyAlignment="1">
      <alignment horizontal="center" vertical="center"/>
    </xf>
    <xf numFmtId="164" fontId="2" fillId="0" borderId="0" xfId="0" applyFont="1" applyFill="1" applyAlignment="1">
      <alignment/>
    </xf>
    <xf numFmtId="2" fontId="0" fillId="0" borderId="26" xfId="0" applyNumberFormat="1" applyBorder="1" applyAlignment="1">
      <alignment/>
    </xf>
    <xf numFmtId="1" fontId="0" fillId="0" borderId="26" xfId="0" applyNumberFormat="1" applyBorder="1" applyAlignment="1">
      <alignment/>
    </xf>
    <xf numFmtId="168" fontId="0" fillId="0" borderId="26" xfId="0" applyNumberFormat="1" applyBorder="1" applyAlignment="1">
      <alignment/>
    </xf>
    <xf numFmtId="167" fontId="0" fillId="0" borderId="26" xfId="0" applyNumberFormat="1" applyBorder="1" applyAlignment="1">
      <alignment/>
    </xf>
    <xf numFmtId="169" fontId="0" fillId="0" borderId="26" xfId="0" applyNumberFormat="1" applyBorder="1" applyAlignment="1">
      <alignment/>
    </xf>
    <xf numFmtId="0" fontId="0" fillId="0" borderId="0" xfId="0" applyNumberFormat="1" applyAlignment="1">
      <alignment horizontal="right" vertical="center"/>
    </xf>
    <xf numFmtId="164" fontId="0" fillId="0" borderId="0" xfId="0" applyFill="1" applyBorder="1" applyAlignment="1">
      <alignment vertical="justify" wrapText="1"/>
    </xf>
    <xf numFmtId="165" fontId="0" fillId="0" borderId="0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46" xfId="0" applyNumberFormat="1" applyBorder="1" applyAlignment="1">
      <alignment/>
    </xf>
    <xf numFmtId="164" fontId="0" fillId="0" borderId="52" xfId="0" applyFill="1" applyBorder="1" applyAlignment="1">
      <alignment vertical="justify" wrapText="1"/>
    </xf>
    <xf numFmtId="165" fontId="0" fillId="0" borderId="53" xfId="0" applyNumberFormat="1" applyBorder="1" applyAlignment="1">
      <alignment/>
    </xf>
    <xf numFmtId="164" fontId="2" fillId="0" borderId="18" xfId="0" applyFont="1" applyBorder="1" applyAlignment="1">
      <alignment horizontal="center"/>
    </xf>
    <xf numFmtId="164" fontId="2" fillId="0" borderId="26" xfId="0" applyFont="1" applyBorder="1" applyAlignment="1">
      <alignment horizontal="center"/>
    </xf>
    <xf numFmtId="165" fontId="0" fillId="0" borderId="21" xfId="0" applyNumberFormat="1" applyFill="1" applyBorder="1" applyAlignment="1">
      <alignment/>
    </xf>
    <xf numFmtId="165" fontId="0" fillId="0" borderId="22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164" fontId="2" fillId="0" borderId="18" xfId="0" applyFont="1" applyBorder="1" applyAlignment="1">
      <alignment horizontal="justify" vertical="justify" wrapText="1"/>
    </xf>
    <xf numFmtId="164" fontId="2" fillId="0" borderId="19" xfId="0" applyFont="1" applyFill="1" applyBorder="1" applyAlignment="1">
      <alignment horizontal="justify" vertical="justify" wrapText="1"/>
    </xf>
    <xf numFmtId="164" fontId="2" fillId="0" borderId="26" xfId="0" applyFont="1" applyFill="1" applyBorder="1" applyAlignment="1">
      <alignment horizontal="justify" vertical="justify" wrapText="1"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164" fontId="2" fillId="0" borderId="18" xfId="0" applyFont="1" applyBorder="1" applyAlignment="1">
      <alignment/>
    </xf>
    <xf numFmtId="164" fontId="2" fillId="0" borderId="19" xfId="0" applyFont="1" applyBorder="1" applyAlignment="1">
      <alignment/>
    </xf>
    <xf numFmtId="164" fontId="2" fillId="0" borderId="26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2" fillId="0" borderId="18" xfId="0" applyNumberFormat="1" applyFont="1" applyBorder="1" applyAlignment="1">
      <alignment/>
    </xf>
    <xf numFmtId="164" fontId="2" fillId="0" borderId="47" xfId="0" applyFont="1" applyBorder="1" applyAlignment="1">
      <alignment/>
    </xf>
    <xf numFmtId="4" fontId="0" fillId="0" borderId="44" xfId="0" applyNumberFormat="1" applyBorder="1" applyAlignment="1">
      <alignment/>
    </xf>
    <xf numFmtId="4" fontId="0" fillId="0" borderId="49" xfId="0" applyNumberFormat="1" applyBorder="1" applyAlignment="1">
      <alignment/>
    </xf>
    <xf numFmtId="4" fontId="0" fillId="0" borderId="45" xfId="0" applyNumberFormat="1" applyBorder="1" applyAlignment="1">
      <alignment/>
    </xf>
    <xf numFmtId="164" fontId="2" fillId="0" borderId="54" xfId="0" applyFont="1" applyBorder="1" applyAlignment="1">
      <alignment horizontal="center" vertical="center"/>
    </xf>
    <xf numFmtId="164" fontId="2" fillId="0" borderId="55" xfId="0" applyFont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 wrapText="1"/>
    </xf>
    <xf numFmtId="164" fontId="2" fillId="0" borderId="56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18" xfId="0" applyBorder="1" applyAlignment="1">
      <alignment horizontal="left" vertical="center"/>
    </xf>
    <xf numFmtId="164" fontId="0" fillId="0" borderId="19" xfId="0" applyBorder="1" applyAlignment="1">
      <alignment horizontal="left" vertical="center"/>
    </xf>
    <xf numFmtId="164" fontId="0" fillId="0" borderId="11" xfId="0" applyBorder="1" applyAlignment="1">
      <alignment horizontal="left" vertical="center" wrapText="1"/>
    </xf>
    <xf numFmtId="164" fontId="0" fillId="0" borderId="12" xfId="0" applyBorder="1" applyAlignment="1">
      <alignment horizontal="left" vertical="center" wrapText="1"/>
    </xf>
    <xf numFmtId="164" fontId="0" fillId="0" borderId="15" xfId="0" applyBorder="1" applyAlignment="1">
      <alignment horizontal="left" vertical="center" wrapText="1"/>
    </xf>
    <xf numFmtId="164" fontId="0" fillId="0" borderId="33" xfId="0" applyBorder="1" applyAlignment="1">
      <alignment horizontal="left" vertical="center" wrapText="1"/>
    </xf>
    <xf numFmtId="164" fontId="0" fillId="0" borderId="57" xfId="0" applyBorder="1" applyAlignment="1">
      <alignment horizontal="center" vertical="center"/>
    </xf>
    <xf numFmtId="164" fontId="0" fillId="0" borderId="29" xfId="0" applyBorder="1" applyAlignment="1">
      <alignment horizontal="center" vertical="center"/>
    </xf>
    <xf numFmtId="2" fontId="0" fillId="0" borderId="58" xfId="0" applyNumberFormat="1" applyBorder="1" applyAlignment="1">
      <alignment horizontal="right"/>
    </xf>
    <xf numFmtId="2" fontId="0" fillId="0" borderId="51" xfId="0" applyNumberFormat="1" applyBorder="1" applyAlignment="1">
      <alignment horizontal="right"/>
    </xf>
    <xf numFmtId="164" fontId="0" fillId="0" borderId="11" xfId="0" applyBorder="1" applyAlignment="1">
      <alignment horizontal="left" vertical="center"/>
    </xf>
    <xf numFmtId="164" fontId="0" fillId="0" borderId="12" xfId="0" applyBorder="1" applyAlignment="1">
      <alignment horizontal="left" vertical="center"/>
    </xf>
    <xf numFmtId="164" fontId="0" fillId="0" borderId="14" xfId="0" applyBorder="1" applyAlignment="1">
      <alignment horizontal="left" vertical="center"/>
    </xf>
    <xf numFmtId="164" fontId="0" fillId="0" borderId="10" xfId="0" applyBorder="1" applyAlignment="1">
      <alignment horizontal="left" vertical="center"/>
    </xf>
    <xf numFmtId="164" fontId="39" fillId="0" borderId="11" xfId="0" applyFont="1" applyFill="1" applyBorder="1" applyAlignment="1">
      <alignment horizontal="center"/>
    </xf>
    <xf numFmtId="164" fontId="39" fillId="0" borderId="13" xfId="0" applyFont="1" applyFill="1" applyBorder="1" applyAlignment="1">
      <alignment horizontal="center"/>
    </xf>
    <xf numFmtId="3" fontId="2" fillId="33" borderId="24" xfId="0" applyNumberFormat="1" applyFont="1" applyFill="1" applyBorder="1" applyAlignment="1">
      <alignment horizontal="right"/>
    </xf>
    <xf numFmtId="3" fontId="2" fillId="33" borderId="59" xfId="0" applyNumberFormat="1" applyFont="1" applyFill="1" applyBorder="1" applyAlignment="1">
      <alignment horizontal="right"/>
    </xf>
    <xf numFmtId="3" fontId="2" fillId="33" borderId="60" xfId="0" applyNumberFormat="1" applyFont="1" applyFill="1" applyBorder="1" applyAlignment="1">
      <alignment horizontal="right"/>
    </xf>
    <xf numFmtId="164" fontId="2" fillId="33" borderId="24" xfId="0" applyFont="1" applyFill="1" applyBorder="1" applyAlignment="1">
      <alignment horizontal="center"/>
    </xf>
    <xf numFmtId="164" fontId="2" fillId="33" borderId="60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9" fillId="0" borderId="44" xfId="0" applyFont="1" applyFill="1" applyBorder="1" applyAlignment="1">
      <alignment horizontal="center"/>
    </xf>
    <xf numFmtId="164" fontId="39" fillId="0" borderId="40" xfId="0" applyFont="1" applyFill="1" applyBorder="1" applyAlignment="1">
      <alignment horizontal="center"/>
    </xf>
    <xf numFmtId="164" fontId="39" fillId="0" borderId="44" xfId="0" applyFont="1" applyFill="1" applyBorder="1" applyAlignment="1">
      <alignment horizontal="center" vertical="justify"/>
    </xf>
    <xf numFmtId="164" fontId="39" fillId="0" borderId="40" xfId="0" applyFont="1" applyFill="1" applyBorder="1" applyAlignment="1">
      <alignment horizontal="center" vertical="justify"/>
    </xf>
    <xf numFmtId="164" fontId="3" fillId="0" borderId="56" xfId="0" applyFont="1" applyFill="1" applyBorder="1" applyAlignment="1">
      <alignment horizontal="center"/>
    </xf>
    <xf numFmtId="164" fontId="39" fillId="0" borderId="61" xfId="0" applyFont="1" applyFill="1" applyBorder="1" applyAlignment="1">
      <alignment horizontal="center"/>
    </xf>
    <xf numFmtId="164" fontId="0" fillId="0" borderId="15" xfId="0" applyFill="1" applyBorder="1" applyAlignment="1">
      <alignment/>
    </xf>
    <xf numFmtId="164" fontId="0" fillId="0" borderId="20" xfId="0" applyFill="1" applyBorder="1" applyAlignment="1">
      <alignment horizontal="center" vertical="center"/>
    </xf>
    <xf numFmtId="165" fontId="0" fillId="0" borderId="62" xfId="0" applyNumberFormat="1" applyFill="1" applyBorder="1" applyAlignment="1">
      <alignment/>
    </xf>
    <xf numFmtId="164" fontId="0" fillId="0" borderId="30" xfId="0" applyFill="1" applyBorder="1" applyAlignment="1">
      <alignment/>
    </xf>
    <xf numFmtId="164" fontId="0" fillId="0" borderId="38" xfId="0" applyFill="1" applyBorder="1" applyAlignment="1">
      <alignment/>
    </xf>
    <xf numFmtId="164" fontId="0" fillId="0" borderId="39" xfId="0" applyFill="1" applyBorder="1" applyAlignment="1">
      <alignment/>
    </xf>
    <xf numFmtId="2" fontId="2" fillId="0" borderId="63" xfId="0" applyNumberFormat="1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/>
    </xf>
    <xf numFmtId="165" fontId="0" fillId="0" borderId="64" xfId="0" applyNumberFormat="1" applyFill="1" applyBorder="1" applyAlignment="1">
      <alignment/>
    </xf>
    <xf numFmtId="165" fontId="0" fillId="0" borderId="45" xfId="0" applyNumberFormat="1" applyFill="1" applyBorder="1" applyAlignment="1">
      <alignment/>
    </xf>
    <xf numFmtId="165" fontId="0" fillId="0" borderId="20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0" fontId="0" fillId="0" borderId="65" xfId="0" applyNumberFormat="1" applyFill="1" applyBorder="1" applyAlignment="1">
      <alignment/>
    </xf>
    <xf numFmtId="0" fontId="0" fillId="0" borderId="46" xfId="0" applyNumberFormat="1" applyFill="1" applyBorder="1" applyAlignment="1">
      <alignment/>
    </xf>
    <xf numFmtId="166" fontId="0" fillId="0" borderId="27" xfId="0" applyNumberFormat="1" applyFont="1" applyBorder="1" applyAlignment="1">
      <alignment/>
    </xf>
    <xf numFmtId="167" fontId="24" fillId="0" borderId="30" xfId="0" applyNumberFormat="1" applyFont="1" applyFill="1" applyBorder="1" applyAlignment="1">
      <alignment/>
    </xf>
    <xf numFmtId="167" fontId="24" fillId="0" borderId="27" xfId="0" applyNumberFormat="1" applyFont="1" applyFill="1" applyBorder="1" applyAlignment="1">
      <alignment/>
    </xf>
    <xf numFmtId="2" fontId="24" fillId="0" borderId="43" xfId="0" applyNumberFormat="1" applyFont="1" applyFill="1" applyBorder="1" applyAlignment="1">
      <alignment/>
    </xf>
    <xf numFmtId="3" fontId="39" fillId="33" borderId="53" xfId="0" applyNumberFormat="1" applyFont="1" applyFill="1" applyBorder="1" applyAlignment="1">
      <alignment/>
    </xf>
    <xf numFmtId="3" fontId="39" fillId="33" borderId="23" xfId="0" applyNumberFormat="1" applyFont="1" applyFill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39" xfId="0" applyNumberFormat="1" applyBorder="1" applyAlignment="1">
      <alignment/>
    </xf>
    <xf numFmtId="2" fontId="39" fillId="0" borderId="34" xfId="0" applyNumberFormat="1" applyFont="1" applyBorder="1" applyAlignment="1">
      <alignment/>
    </xf>
    <xf numFmtId="164" fontId="39" fillId="0" borderId="24" xfId="0" applyFont="1" applyBorder="1" applyAlignment="1">
      <alignment wrapText="1"/>
    </xf>
    <xf numFmtId="4" fontId="39" fillId="0" borderId="34" xfId="0" applyNumberFormat="1" applyFont="1" applyBorder="1" applyAlignment="1">
      <alignment/>
    </xf>
    <xf numFmtId="4" fontId="39" fillId="0" borderId="34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39" fillId="33" borderId="35" xfId="0" applyNumberFormat="1" applyFont="1" applyFill="1" applyBorder="1" applyAlignment="1">
      <alignment/>
    </xf>
    <xf numFmtId="3" fontId="39" fillId="33" borderId="36" xfId="0" applyNumberFormat="1" applyFont="1" applyFill="1" applyBorder="1" applyAlignment="1">
      <alignment/>
    </xf>
    <xf numFmtId="3" fontId="39" fillId="0" borderId="34" xfId="0" applyNumberFormat="1" applyFont="1" applyBorder="1" applyAlignment="1">
      <alignment/>
    </xf>
    <xf numFmtId="3" fontId="39" fillId="33" borderId="60" xfId="0" applyNumberFormat="1" applyFont="1" applyFill="1" applyBorder="1" applyAlignment="1">
      <alignment/>
    </xf>
    <xf numFmtId="164" fontId="39" fillId="0" borderId="24" xfId="0" applyFont="1" applyBorder="1" applyAlignment="1">
      <alignment/>
    </xf>
    <xf numFmtId="3" fontId="39" fillId="0" borderId="34" xfId="0" applyNumberFormat="1" applyFont="1" applyBorder="1" applyAlignment="1">
      <alignment/>
    </xf>
    <xf numFmtId="3" fontId="39" fillId="33" borderId="60" xfId="0" applyNumberFormat="1" applyFont="1" applyFill="1" applyBorder="1" applyAlignment="1">
      <alignment/>
    </xf>
    <xf numFmtId="164" fontId="7" fillId="0" borderId="25" xfId="55" applyFont="1" applyFill="1" applyBorder="1">
      <alignment/>
      <protection/>
    </xf>
    <xf numFmtId="3" fontId="2" fillId="0" borderId="34" xfId="0" applyNumberFormat="1" applyFont="1" applyBorder="1" applyAlignment="1">
      <alignment/>
    </xf>
    <xf numFmtId="166" fontId="2" fillId="0" borderId="34" xfId="0" applyNumberFormat="1" applyFont="1" applyBorder="1" applyAlignment="1">
      <alignment/>
    </xf>
    <xf numFmtId="3" fontId="2" fillId="33" borderId="6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emf" /><Relationship Id="rId3" Type="http://schemas.openxmlformats.org/officeDocument/2006/relationships/image" Target="../media/image16.emf" /><Relationship Id="rId4" Type="http://schemas.openxmlformats.org/officeDocument/2006/relationships/image" Target="../media/image1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4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vmlDrawing" Target="../drawings/vmlDrawing5.vml" /><Relationship Id="rId6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L23"/>
  <sheetViews>
    <sheetView zoomScalePageLayoutView="0" workbookViewId="0" topLeftCell="A1">
      <selection activeCell="Q18" sqref="Q18"/>
    </sheetView>
  </sheetViews>
  <sheetFormatPr defaultColWidth="9.140625" defaultRowHeight="15"/>
  <sheetData>
    <row r="6" spans="3:12" ht="15"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3:12" ht="15"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3:12" ht="15"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3:12" ht="15"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3:12" ht="15"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3:12" ht="15"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3:12" ht="15"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3:12" ht="15"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3:12" ht="15"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3:12" ht="15"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3:12" ht="15"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3:12" ht="15"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3:12" ht="15"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3:12" ht="15"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3:12" ht="15"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3:12" ht="15"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3:12" ht="15"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3:12" ht="15">
      <c r="C23" s="40"/>
      <c r="D23" s="40"/>
      <c r="E23" s="40"/>
      <c r="F23" s="40"/>
      <c r="G23" s="40"/>
      <c r="H23" s="40"/>
      <c r="I23" s="40"/>
      <c r="J23" s="40"/>
      <c r="K23" s="40"/>
      <c r="L23" s="40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8" shapeId="933446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G63"/>
  <sheetViews>
    <sheetView zoomScalePageLayoutView="0" workbookViewId="0" topLeftCell="A1">
      <selection activeCell="I12" sqref="I12"/>
    </sheetView>
  </sheetViews>
  <sheetFormatPr defaultColWidth="9.140625" defaultRowHeight="15"/>
  <cols>
    <col min="2" max="2" width="16.28125" style="0" customWidth="1"/>
    <col min="3" max="3" width="24.421875" style="0" bestFit="1" customWidth="1"/>
    <col min="4" max="4" width="24.7109375" style="0" bestFit="1" customWidth="1"/>
    <col min="5" max="5" width="23.28125" style="0" bestFit="1" customWidth="1"/>
    <col min="9" max="9" width="13.57421875" style="0" customWidth="1"/>
    <col min="10" max="11" width="12.00390625" style="0" bestFit="1" customWidth="1"/>
  </cols>
  <sheetData>
    <row r="3" spans="2:5" ht="15.75" thickBot="1">
      <c r="B3" s="145"/>
      <c r="C3" s="146"/>
      <c r="D3" s="146"/>
      <c r="E3" s="146"/>
    </row>
    <row r="4" spans="2:5" ht="30.75" thickBot="1">
      <c r="B4" s="53" t="s">
        <v>3</v>
      </c>
      <c r="C4" s="61"/>
      <c r="D4" s="61"/>
      <c r="E4" s="61"/>
    </row>
    <row r="5" spans="1:7" ht="15.75" thickBot="1">
      <c r="A5" s="1" t="s">
        <v>96</v>
      </c>
      <c r="B5" s="79">
        <f>(7998+8021+8065)/3/G5</f>
        <v>33.61161585289266</v>
      </c>
      <c r="D5" s="41" t="s">
        <v>55</v>
      </c>
      <c r="E5" s="42"/>
      <c r="F5" s="42"/>
      <c r="G5" s="108">
        <v>238.846</v>
      </c>
    </row>
    <row r="6" spans="1:2" ht="15">
      <c r="A6" s="1" t="s">
        <v>97</v>
      </c>
      <c r="B6" s="80">
        <f>(8060+8048+8033)/3/G5</f>
        <v>33.69116501846378</v>
      </c>
    </row>
    <row r="7" spans="1:2" ht="15.75" thickBot="1">
      <c r="A7" s="1" t="s">
        <v>98</v>
      </c>
      <c r="B7" s="81">
        <f>(8082+8123+8080+8074)/4/G5</f>
        <v>33.8701506409988</v>
      </c>
    </row>
    <row r="8" ht="15">
      <c r="A8" s="1"/>
    </row>
    <row r="9" spans="2:5" ht="15.75" thickBot="1">
      <c r="B9" s="147" t="s">
        <v>4</v>
      </c>
      <c r="C9" s="147"/>
      <c r="D9" s="147"/>
      <c r="E9" s="147"/>
    </row>
    <row r="10" spans="2:5" ht="15.75" thickBot="1">
      <c r="B10" s="3"/>
      <c r="C10" s="4" t="s">
        <v>6</v>
      </c>
      <c r="D10" s="4" t="s">
        <v>7</v>
      </c>
      <c r="E10" s="5" t="s">
        <v>8</v>
      </c>
    </row>
    <row r="11" spans="2:5" ht="15.75" thickBot="1">
      <c r="B11" s="6" t="s">
        <v>5</v>
      </c>
      <c r="C11" s="109">
        <f>600/5</f>
        <v>120</v>
      </c>
      <c r="D11" s="109">
        <f>35000/100</f>
        <v>350</v>
      </c>
      <c r="E11" s="109">
        <f>C11*D11</f>
        <v>42000</v>
      </c>
    </row>
    <row r="12" spans="2:5" ht="15.75" thickBot="1">
      <c r="B12" s="6" t="s">
        <v>9</v>
      </c>
      <c r="C12" s="109">
        <f>600/5</f>
        <v>120</v>
      </c>
      <c r="D12" s="109">
        <f>35000/100</f>
        <v>350</v>
      </c>
      <c r="E12" s="109">
        <f>C12*D12</f>
        <v>42000</v>
      </c>
    </row>
    <row r="13" spans="2:5" ht="15.75" thickBot="1">
      <c r="B13" s="6" t="s">
        <v>10</v>
      </c>
      <c r="C13" s="109">
        <f>1000/5</f>
        <v>200</v>
      </c>
      <c r="D13" s="109">
        <f>35000/100</f>
        <v>350</v>
      </c>
      <c r="E13" s="109">
        <f>C13*D13</f>
        <v>70000</v>
      </c>
    </row>
    <row r="14" spans="2:5" ht="15.75" thickBot="1">
      <c r="B14" s="7" t="s">
        <v>11</v>
      </c>
      <c r="C14" s="109">
        <f>500/5</f>
        <v>100</v>
      </c>
      <c r="D14" s="109">
        <f>35000/100</f>
        <v>350</v>
      </c>
      <c r="E14" s="109">
        <f>C14*D14</f>
        <v>35000</v>
      </c>
    </row>
    <row r="16" spans="2:4" ht="15">
      <c r="B16" s="147" t="s">
        <v>12</v>
      </c>
      <c r="C16" s="147"/>
      <c r="D16" s="147"/>
    </row>
    <row r="17" ht="15.75" thickBot="1"/>
    <row r="18" spans="2:4" ht="15.75" thickBot="1">
      <c r="B18" s="3" t="s">
        <v>13</v>
      </c>
      <c r="C18" s="4" t="s">
        <v>1</v>
      </c>
      <c r="D18" s="110">
        <v>0.0561</v>
      </c>
    </row>
    <row r="19" spans="2:4" ht="15.75" thickBot="1">
      <c r="B19" s="32" t="s">
        <v>49</v>
      </c>
      <c r="C19" s="2" t="s">
        <v>1</v>
      </c>
      <c r="D19" s="110">
        <v>0.0983</v>
      </c>
    </row>
    <row r="20" spans="2:4" ht="15.75" thickBot="1">
      <c r="B20" s="7" t="s">
        <v>14</v>
      </c>
      <c r="C20" s="34" t="s">
        <v>2</v>
      </c>
      <c r="D20" s="110">
        <v>0.896</v>
      </c>
    </row>
    <row r="23" spans="2:4" ht="15">
      <c r="B23" s="144" t="s">
        <v>45</v>
      </c>
      <c r="C23" s="144"/>
      <c r="D23" s="144"/>
    </row>
    <row r="24" ht="15.75" thickBot="1"/>
    <row r="25" spans="1:3" ht="15.75" thickBot="1">
      <c r="A25" s="47" t="s">
        <v>76</v>
      </c>
      <c r="B25" s="120" t="s">
        <v>31</v>
      </c>
      <c r="C25" s="121" t="s">
        <v>32</v>
      </c>
    </row>
    <row r="26" spans="1:3" ht="15">
      <c r="A26" s="113">
        <v>1</v>
      </c>
      <c r="B26" s="118" t="s">
        <v>15</v>
      </c>
      <c r="C26" s="119">
        <v>388.7</v>
      </c>
    </row>
    <row r="27" spans="1:3" ht="15">
      <c r="A27" s="113">
        <v>2</v>
      </c>
      <c r="B27" s="82" t="s">
        <v>16</v>
      </c>
      <c r="C27" s="116">
        <v>388.7</v>
      </c>
    </row>
    <row r="28" spans="1:3" ht="15">
      <c r="A28" s="113">
        <v>3</v>
      </c>
      <c r="B28" s="82" t="s">
        <v>17</v>
      </c>
      <c r="C28" s="116">
        <v>373</v>
      </c>
    </row>
    <row r="29" spans="1:3" ht="15">
      <c r="A29" s="113">
        <v>4</v>
      </c>
      <c r="B29" s="82" t="s">
        <v>18</v>
      </c>
      <c r="C29" s="116">
        <v>373</v>
      </c>
    </row>
    <row r="30" spans="1:3" ht="15.75" customHeight="1">
      <c r="A30" s="113">
        <v>5</v>
      </c>
      <c r="B30" s="82" t="s">
        <v>19</v>
      </c>
      <c r="C30" s="116">
        <v>931.4</v>
      </c>
    </row>
    <row r="31" spans="1:3" ht="15">
      <c r="A31" s="113">
        <v>6</v>
      </c>
      <c r="B31" s="82" t="s">
        <v>20</v>
      </c>
      <c r="C31" s="116">
        <v>861.5</v>
      </c>
    </row>
    <row r="32" spans="1:3" ht="15">
      <c r="A32" s="113">
        <v>7</v>
      </c>
      <c r="B32" s="82" t="s">
        <v>21</v>
      </c>
      <c r="C32" s="116">
        <v>861.5</v>
      </c>
    </row>
    <row r="33" spans="1:3" ht="15">
      <c r="A33" s="113">
        <v>8</v>
      </c>
      <c r="B33" s="82" t="s">
        <v>22</v>
      </c>
      <c r="C33" s="116">
        <v>1005.3</v>
      </c>
    </row>
    <row r="34" spans="1:3" ht="15">
      <c r="A34" s="113">
        <v>9</v>
      </c>
      <c r="B34" s="82" t="s">
        <v>23</v>
      </c>
      <c r="C34" s="116">
        <v>694.4</v>
      </c>
    </row>
    <row r="35" spans="1:3" ht="15">
      <c r="A35" s="113">
        <v>10</v>
      </c>
      <c r="B35" s="82" t="s">
        <v>24</v>
      </c>
      <c r="C35" s="116">
        <v>381.4</v>
      </c>
    </row>
    <row r="36" spans="1:3" ht="15">
      <c r="A36" s="113">
        <v>11</v>
      </c>
      <c r="B36" s="82" t="s">
        <v>69</v>
      </c>
      <c r="C36" s="116">
        <v>381.4</v>
      </c>
    </row>
    <row r="37" spans="1:3" ht="15">
      <c r="A37" s="113">
        <v>12</v>
      </c>
      <c r="B37" s="82" t="s">
        <v>70</v>
      </c>
      <c r="C37" s="116">
        <v>381.4</v>
      </c>
    </row>
    <row r="38" spans="1:3" ht="15">
      <c r="A38" s="113">
        <v>13</v>
      </c>
      <c r="B38" s="82" t="s">
        <v>95</v>
      </c>
      <c r="C38" s="116">
        <v>694.4</v>
      </c>
    </row>
    <row r="39" spans="1:3" ht="15">
      <c r="A39" s="113">
        <v>14</v>
      </c>
      <c r="B39" s="82" t="s">
        <v>79</v>
      </c>
      <c r="C39" s="116">
        <v>381.4</v>
      </c>
    </row>
    <row r="40" spans="1:3" ht="15">
      <c r="A40" s="113">
        <v>15</v>
      </c>
      <c r="B40" s="82" t="s">
        <v>90</v>
      </c>
      <c r="C40" s="116">
        <v>682</v>
      </c>
    </row>
    <row r="41" spans="1:3" ht="15">
      <c r="A41" s="113">
        <v>16</v>
      </c>
      <c r="B41" s="82" t="s">
        <v>81</v>
      </c>
      <c r="C41" s="116">
        <v>240</v>
      </c>
    </row>
    <row r="42" spans="1:3" ht="15">
      <c r="A42" s="113">
        <v>17</v>
      </c>
      <c r="B42" s="82" t="s">
        <v>99</v>
      </c>
      <c r="C42" s="116">
        <v>373</v>
      </c>
    </row>
    <row r="43" spans="1:3" ht="15">
      <c r="A43" s="113">
        <v>18</v>
      </c>
      <c r="B43" s="82" t="s">
        <v>100</v>
      </c>
      <c r="C43" s="116">
        <v>682</v>
      </c>
    </row>
    <row r="44" spans="1:3" ht="15.75" thickBot="1">
      <c r="A44" s="113">
        <v>19</v>
      </c>
      <c r="B44" s="83" t="s">
        <v>101</v>
      </c>
      <c r="C44" s="117">
        <v>682</v>
      </c>
    </row>
    <row r="45" spans="1:3" ht="15.75" thickBot="1">
      <c r="A45" s="113">
        <v>20</v>
      </c>
      <c r="B45" s="83" t="s">
        <v>101</v>
      </c>
      <c r="C45" s="117">
        <v>682</v>
      </c>
    </row>
    <row r="46" spans="1:3" ht="15">
      <c r="A46" s="113"/>
      <c r="B46" s="114"/>
      <c r="C46" s="115"/>
    </row>
    <row r="47" spans="1:3" ht="15">
      <c r="A47" s="113"/>
      <c r="B47" s="114"/>
      <c r="C47" s="115"/>
    </row>
    <row r="49" spans="2:4" ht="15">
      <c r="B49" s="144" t="s">
        <v>46</v>
      </c>
      <c r="C49" s="144"/>
      <c r="D49" s="144"/>
    </row>
    <row r="50" ht="15.75" thickBot="1"/>
    <row r="51" spans="2:5" ht="15.75" thickBot="1">
      <c r="B51" s="158" t="s">
        <v>47</v>
      </c>
      <c r="C51" s="159"/>
      <c r="D51" s="71" t="s">
        <v>48</v>
      </c>
      <c r="E51" s="33">
        <v>0.834</v>
      </c>
    </row>
    <row r="52" spans="2:5" ht="15.75" thickBot="1">
      <c r="B52" s="160" t="s">
        <v>52</v>
      </c>
      <c r="C52" s="161"/>
      <c r="D52" s="72" t="s">
        <v>50</v>
      </c>
      <c r="E52" s="111">
        <v>4.176</v>
      </c>
    </row>
    <row r="53" spans="2:5" ht="15.75" thickBot="1">
      <c r="B53" s="68" t="s">
        <v>51</v>
      </c>
      <c r="C53" s="69"/>
      <c r="D53" s="48" t="s">
        <v>53</v>
      </c>
      <c r="E53" s="112">
        <v>2.8E-05</v>
      </c>
    </row>
    <row r="54" spans="2:4" ht="15">
      <c r="B54" s="70"/>
      <c r="C54" s="70"/>
      <c r="D54" s="70"/>
    </row>
    <row r="55" spans="2:4" ht="15">
      <c r="B55" s="70"/>
      <c r="C55" s="70"/>
      <c r="D55" s="70"/>
    </row>
    <row r="56" spans="2:5" ht="15" customHeight="1">
      <c r="B56" s="144" t="s">
        <v>54</v>
      </c>
      <c r="C56" s="144"/>
      <c r="D56" s="144"/>
      <c r="E56" s="23"/>
    </row>
    <row r="57" spans="2:4" ht="15.75" thickBot="1">
      <c r="B57" s="70"/>
      <c r="C57" s="70"/>
      <c r="D57" s="70"/>
    </row>
    <row r="58" spans="2:5" ht="15.75" thickBot="1">
      <c r="B58" s="148" t="s">
        <v>51</v>
      </c>
      <c r="C58" s="149"/>
      <c r="D58" s="73" t="s">
        <v>53</v>
      </c>
      <c r="E58" s="111">
        <f>1.03</f>
        <v>1.03</v>
      </c>
    </row>
    <row r="59" spans="2:4" ht="15">
      <c r="B59" s="70"/>
      <c r="C59" s="70"/>
      <c r="D59" s="70"/>
    </row>
    <row r="60" spans="2:4" ht="15">
      <c r="B60" s="144" t="s">
        <v>63</v>
      </c>
      <c r="C60" s="144"/>
      <c r="D60" s="144"/>
    </row>
    <row r="61" spans="2:4" ht="15.75" thickBot="1">
      <c r="B61" s="70"/>
      <c r="C61" s="70"/>
      <c r="D61" s="70"/>
    </row>
    <row r="62" spans="2:5" ht="15">
      <c r="B62" s="150" t="s">
        <v>61</v>
      </c>
      <c r="C62" s="151"/>
      <c r="D62" s="154" t="s">
        <v>62</v>
      </c>
      <c r="E62" s="156">
        <v>12</v>
      </c>
    </row>
    <row r="63" spans="2:5" ht="15" customHeight="1" thickBot="1">
      <c r="B63" s="152"/>
      <c r="C63" s="153"/>
      <c r="D63" s="155"/>
      <c r="E63" s="157"/>
    </row>
    <row r="67" ht="15" customHeight="1"/>
  </sheetData>
  <sheetProtection/>
  <mergeCells count="13">
    <mergeCell ref="B62:C63"/>
    <mergeCell ref="D62:D63"/>
    <mergeCell ref="E62:E63"/>
    <mergeCell ref="B9:E9"/>
    <mergeCell ref="B51:C51"/>
    <mergeCell ref="B52:C52"/>
    <mergeCell ref="B60:D60"/>
    <mergeCell ref="B56:D56"/>
    <mergeCell ref="B49:D49"/>
    <mergeCell ref="B3:E3"/>
    <mergeCell ref="B16:D16"/>
    <mergeCell ref="B23:D23"/>
    <mergeCell ref="B58:C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0"/>
  <sheetViews>
    <sheetView zoomScale="110" zoomScaleNormal="110" zoomScalePageLayoutView="0" workbookViewId="0" topLeftCell="A13">
      <selection activeCell="B27" sqref="B27"/>
    </sheetView>
  </sheetViews>
  <sheetFormatPr defaultColWidth="9.140625" defaultRowHeight="15"/>
  <cols>
    <col min="1" max="1" width="14.7109375" style="0" customWidth="1"/>
    <col min="2" max="2" width="12.140625" style="0" customWidth="1"/>
    <col min="3" max="3" width="9.00390625" style="0" customWidth="1"/>
    <col min="4" max="5" width="9.57421875" style="0" bestFit="1" customWidth="1"/>
    <col min="6" max="6" width="9.421875" style="0" bestFit="1" customWidth="1"/>
    <col min="7" max="8" width="9.57421875" style="0" bestFit="1" customWidth="1"/>
    <col min="9" max="9" width="9.28125" style="0" customWidth="1"/>
    <col min="10" max="11" width="9.57421875" style="0" bestFit="1" customWidth="1"/>
    <col min="12" max="12" width="9.421875" style="0" bestFit="1" customWidth="1"/>
    <col min="13" max="13" width="9.57421875" style="0" bestFit="1" customWidth="1"/>
    <col min="14" max="14" width="10.57421875" style="0" bestFit="1" customWidth="1"/>
    <col min="15" max="15" width="9.421875" style="0" bestFit="1" customWidth="1"/>
    <col min="16" max="17" width="10.57421875" style="0" bestFit="1" customWidth="1"/>
    <col min="18" max="18" width="9.421875" style="0" bestFit="1" customWidth="1"/>
    <col min="19" max="20" width="10.57421875" style="0" bestFit="1" customWidth="1"/>
    <col min="21" max="21" width="9.421875" style="0" bestFit="1" customWidth="1"/>
    <col min="22" max="23" width="10.57421875" style="0" bestFit="1" customWidth="1"/>
    <col min="24" max="24" width="9.421875" style="0" bestFit="1" customWidth="1"/>
    <col min="25" max="26" width="10.57421875" style="0" bestFit="1" customWidth="1"/>
    <col min="27" max="27" width="9.421875" style="0" bestFit="1" customWidth="1"/>
    <col min="28" max="29" width="9.57421875" style="0" bestFit="1" customWidth="1"/>
    <col min="30" max="30" width="9.421875" style="0" bestFit="1" customWidth="1"/>
    <col min="31" max="32" width="9.57421875" style="0" bestFit="1" customWidth="1"/>
    <col min="33" max="33" width="9.421875" style="0" bestFit="1" customWidth="1"/>
    <col min="34" max="35" width="9.57421875" style="0" bestFit="1" customWidth="1"/>
    <col min="36" max="36" width="9.421875" style="0" bestFit="1" customWidth="1"/>
    <col min="37" max="38" width="9.57421875" style="0" bestFit="1" customWidth="1"/>
    <col min="39" max="39" width="8.57421875" style="0" customWidth="1"/>
    <col min="40" max="41" width="9.57421875" style="0" bestFit="1" customWidth="1"/>
    <col min="42" max="50" width="9.421875" style="0" bestFit="1" customWidth="1"/>
  </cols>
  <sheetData>
    <row r="1" ht="15">
      <c r="A1" t="s">
        <v>0</v>
      </c>
    </row>
    <row r="2" spans="2:7" s="23" customFormat="1" ht="15.75" thickBot="1">
      <c r="B2" s="174" t="s">
        <v>29</v>
      </c>
      <c r="C2" s="174"/>
      <c r="D2" s="174"/>
      <c r="E2" s="174"/>
      <c r="F2" s="174"/>
      <c r="G2" s="174"/>
    </row>
    <row r="3" spans="2:42" s="23" customFormat="1" ht="15" customHeight="1">
      <c r="B3" s="84"/>
      <c r="C3" s="170" t="s">
        <v>15</v>
      </c>
      <c r="D3" s="171"/>
      <c r="E3" s="170" t="s">
        <v>16</v>
      </c>
      <c r="F3" s="171"/>
      <c r="G3" s="170" t="s">
        <v>17</v>
      </c>
      <c r="H3" s="171"/>
      <c r="I3" s="170" t="s">
        <v>18</v>
      </c>
      <c r="J3" s="171"/>
      <c r="K3" s="170" t="s">
        <v>19</v>
      </c>
      <c r="L3" s="171"/>
      <c r="M3" s="170" t="s">
        <v>20</v>
      </c>
      <c r="N3" s="171"/>
      <c r="O3" s="172" t="s">
        <v>21</v>
      </c>
      <c r="P3" s="173"/>
      <c r="Q3" s="170" t="s">
        <v>22</v>
      </c>
      <c r="R3" s="171"/>
      <c r="S3" s="170" t="s">
        <v>83</v>
      </c>
      <c r="T3" s="171"/>
      <c r="U3" s="170" t="s">
        <v>84</v>
      </c>
      <c r="V3" s="171"/>
      <c r="W3" s="170" t="s">
        <v>85</v>
      </c>
      <c r="X3" s="171"/>
      <c r="Y3" s="170" t="s">
        <v>86</v>
      </c>
      <c r="Z3" s="171"/>
      <c r="AA3" s="170" t="s">
        <v>87</v>
      </c>
      <c r="AB3" s="171"/>
      <c r="AC3" s="170" t="s">
        <v>94</v>
      </c>
      <c r="AD3" s="171"/>
      <c r="AE3" s="170" t="s">
        <v>82</v>
      </c>
      <c r="AF3" s="175"/>
      <c r="AG3" s="170" t="s">
        <v>88</v>
      </c>
      <c r="AH3" s="175"/>
      <c r="AI3" s="162" t="s">
        <v>99</v>
      </c>
      <c r="AJ3" s="163"/>
      <c r="AK3" s="162" t="s">
        <v>100</v>
      </c>
      <c r="AL3" s="163"/>
      <c r="AM3" s="162" t="s">
        <v>101</v>
      </c>
      <c r="AN3" s="163"/>
      <c r="AO3" s="162" t="s">
        <v>104</v>
      </c>
      <c r="AP3" s="163"/>
    </row>
    <row r="4" spans="2:42" s="23" customFormat="1" ht="15.75" thickBot="1">
      <c r="B4" s="85"/>
      <c r="C4" s="86" t="s">
        <v>25</v>
      </c>
      <c r="D4" s="87" t="s">
        <v>26</v>
      </c>
      <c r="E4" s="86" t="s">
        <v>25</v>
      </c>
      <c r="F4" s="87" t="s">
        <v>26</v>
      </c>
      <c r="G4" s="86" t="s">
        <v>25</v>
      </c>
      <c r="H4" s="87" t="s">
        <v>26</v>
      </c>
      <c r="I4" s="86" t="s">
        <v>25</v>
      </c>
      <c r="J4" s="87" t="s">
        <v>26</v>
      </c>
      <c r="K4" s="86" t="s">
        <v>25</v>
      </c>
      <c r="L4" s="87" t="s">
        <v>26</v>
      </c>
      <c r="M4" s="86" t="s">
        <v>25</v>
      </c>
      <c r="N4" s="87" t="s">
        <v>26</v>
      </c>
      <c r="O4" s="86" t="s">
        <v>25</v>
      </c>
      <c r="P4" s="87" t="s">
        <v>26</v>
      </c>
      <c r="Q4" s="86" t="s">
        <v>25</v>
      </c>
      <c r="R4" s="87" t="s">
        <v>26</v>
      </c>
      <c r="S4" s="86" t="s">
        <v>25</v>
      </c>
      <c r="T4" s="87" t="s">
        <v>26</v>
      </c>
      <c r="U4" s="86" t="s">
        <v>25</v>
      </c>
      <c r="V4" s="87" t="s">
        <v>26</v>
      </c>
      <c r="W4" s="88" t="s">
        <v>25</v>
      </c>
      <c r="X4" s="89" t="s">
        <v>26</v>
      </c>
      <c r="Y4" s="90" t="s">
        <v>25</v>
      </c>
      <c r="Z4" s="91" t="s">
        <v>26</v>
      </c>
      <c r="AA4" s="90" t="s">
        <v>25</v>
      </c>
      <c r="AB4" s="91" t="s">
        <v>26</v>
      </c>
      <c r="AC4" s="90" t="s">
        <v>25</v>
      </c>
      <c r="AD4" s="91" t="s">
        <v>26</v>
      </c>
      <c r="AE4" s="86" t="s">
        <v>25</v>
      </c>
      <c r="AF4" s="177" t="s">
        <v>26</v>
      </c>
      <c r="AG4" s="90" t="s">
        <v>25</v>
      </c>
      <c r="AH4" s="89" t="s">
        <v>26</v>
      </c>
      <c r="AI4" s="176" t="s">
        <v>25</v>
      </c>
      <c r="AJ4" s="87" t="s">
        <v>26</v>
      </c>
      <c r="AK4" s="86" t="s">
        <v>25</v>
      </c>
      <c r="AL4" s="87" t="s">
        <v>26</v>
      </c>
      <c r="AM4" s="86" t="s">
        <v>25</v>
      </c>
      <c r="AN4" s="87" t="s">
        <v>26</v>
      </c>
      <c r="AO4" s="86" t="s">
        <v>25</v>
      </c>
      <c r="AP4" s="87" t="s">
        <v>26</v>
      </c>
    </row>
    <row r="5" spans="2:42" s="23" customFormat="1" ht="15">
      <c r="B5" s="179" t="s">
        <v>96</v>
      </c>
      <c r="C5" s="178">
        <v>244.92</v>
      </c>
      <c r="D5" s="94">
        <v>30048</v>
      </c>
      <c r="E5" s="93">
        <v>304.21</v>
      </c>
      <c r="F5" s="94">
        <v>27290</v>
      </c>
      <c r="G5" s="93">
        <v>179.97</v>
      </c>
      <c r="H5" s="94">
        <v>50059</v>
      </c>
      <c r="I5" s="93">
        <v>166.32</v>
      </c>
      <c r="J5" s="94">
        <v>48003</v>
      </c>
      <c r="K5" s="93">
        <v>1537.34</v>
      </c>
      <c r="L5" s="94">
        <v>268718</v>
      </c>
      <c r="M5" s="93">
        <v>1668.4</v>
      </c>
      <c r="N5" s="94">
        <v>264804</v>
      </c>
      <c r="O5" s="93">
        <v>1393.7</v>
      </c>
      <c r="P5" s="94">
        <v>180183</v>
      </c>
      <c r="Q5" s="93">
        <v>1399.9</v>
      </c>
      <c r="R5" s="94">
        <v>211246</v>
      </c>
      <c r="S5" s="93">
        <v>480.7</v>
      </c>
      <c r="T5" s="94">
        <v>90993</v>
      </c>
      <c r="U5" s="93">
        <v>396.95</v>
      </c>
      <c r="V5" s="94">
        <v>68205</v>
      </c>
      <c r="W5" s="95">
        <v>439.2</v>
      </c>
      <c r="X5" s="94">
        <v>60790</v>
      </c>
      <c r="Y5" s="95">
        <v>481.7</v>
      </c>
      <c r="Z5" s="94">
        <v>79727</v>
      </c>
      <c r="AA5" s="95">
        <v>525.63</v>
      </c>
      <c r="AB5" s="94">
        <v>76179</v>
      </c>
      <c r="AC5" s="95">
        <v>400.5</v>
      </c>
      <c r="AD5" s="94">
        <v>72928</v>
      </c>
      <c r="AE5" s="95">
        <v>566.4</v>
      </c>
      <c r="AF5" s="122">
        <v>59954</v>
      </c>
      <c r="AG5" s="95">
        <v>174.06</v>
      </c>
      <c r="AH5" s="122">
        <v>25603</v>
      </c>
      <c r="AI5" s="183">
        <v>313.54</v>
      </c>
      <c r="AJ5" s="94">
        <v>86220</v>
      </c>
      <c r="AK5" s="183">
        <v>409.26</v>
      </c>
      <c r="AL5" s="94">
        <v>53611</v>
      </c>
      <c r="AM5" s="183">
        <v>390.7</v>
      </c>
      <c r="AN5" s="94">
        <v>37294</v>
      </c>
      <c r="AO5" s="184"/>
      <c r="AP5" s="94"/>
    </row>
    <row r="6" spans="2:42" s="23" customFormat="1" ht="15">
      <c r="B6" s="180" t="s">
        <v>97</v>
      </c>
      <c r="C6" s="178">
        <v>436.49</v>
      </c>
      <c r="D6" s="98">
        <v>34293</v>
      </c>
      <c r="E6" s="93">
        <v>228.75</v>
      </c>
      <c r="F6" s="98">
        <v>26562</v>
      </c>
      <c r="G6" s="93">
        <v>819.92</v>
      </c>
      <c r="H6" s="98">
        <v>66195</v>
      </c>
      <c r="I6" s="93">
        <v>654.58</v>
      </c>
      <c r="J6" s="98">
        <v>55634</v>
      </c>
      <c r="K6" s="93">
        <v>1405.3</v>
      </c>
      <c r="L6" s="98">
        <v>196753</v>
      </c>
      <c r="M6" s="93">
        <v>1396.2</v>
      </c>
      <c r="N6" s="98">
        <v>143526</v>
      </c>
      <c r="O6" s="93">
        <v>1556.1</v>
      </c>
      <c r="P6" s="98">
        <v>211724</v>
      </c>
      <c r="Q6" s="93">
        <v>1312.5</v>
      </c>
      <c r="R6" s="98">
        <v>114110</v>
      </c>
      <c r="S6" s="93">
        <v>397.2</v>
      </c>
      <c r="T6" s="98">
        <v>101063</v>
      </c>
      <c r="U6" s="93">
        <v>309.92</v>
      </c>
      <c r="V6" s="98">
        <v>54391</v>
      </c>
      <c r="W6" s="99">
        <v>421.75</v>
      </c>
      <c r="X6" s="98">
        <v>60580</v>
      </c>
      <c r="Y6" s="99">
        <v>443.25</v>
      </c>
      <c r="Z6" s="98">
        <v>73226</v>
      </c>
      <c r="AA6" s="99">
        <v>408.9</v>
      </c>
      <c r="AB6" s="98">
        <v>66057</v>
      </c>
      <c r="AC6" s="99">
        <v>438.1</v>
      </c>
      <c r="AD6" s="98">
        <v>50884</v>
      </c>
      <c r="AE6" s="99">
        <v>653.74</v>
      </c>
      <c r="AF6" s="123">
        <v>54949</v>
      </c>
      <c r="AG6" s="99">
        <v>153.06</v>
      </c>
      <c r="AH6" s="123">
        <v>21226</v>
      </c>
      <c r="AI6" s="124">
        <v>275.17</v>
      </c>
      <c r="AJ6" s="98">
        <v>38718</v>
      </c>
      <c r="AK6" s="124">
        <v>618.1</v>
      </c>
      <c r="AL6" s="98">
        <v>69185</v>
      </c>
      <c r="AM6" s="124">
        <v>481.87</v>
      </c>
      <c r="AN6" s="98">
        <v>63838</v>
      </c>
      <c r="AO6" s="178"/>
      <c r="AP6" s="98"/>
    </row>
    <row r="7" spans="2:42" s="23" customFormat="1" ht="15.75" thickBot="1">
      <c r="B7" s="181" t="s">
        <v>98</v>
      </c>
      <c r="C7" s="178">
        <v>330.89</v>
      </c>
      <c r="D7" s="98">
        <v>45314</v>
      </c>
      <c r="E7" s="93">
        <v>429</v>
      </c>
      <c r="F7" s="98">
        <v>28776</v>
      </c>
      <c r="G7" s="93">
        <v>547.51</v>
      </c>
      <c r="H7" s="98">
        <v>96795</v>
      </c>
      <c r="I7" s="93">
        <v>521</v>
      </c>
      <c r="J7" s="98">
        <v>53400</v>
      </c>
      <c r="K7" s="93">
        <v>1638.1</v>
      </c>
      <c r="L7" s="98">
        <v>159699</v>
      </c>
      <c r="M7" s="93">
        <v>1893.7</v>
      </c>
      <c r="N7" s="98">
        <v>152204</v>
      </c>
      <c r="O7" s="93">
        <v>2042.4</v>
      </c>
      <c r="P7" s="98">
        <v>188631</v>
      </c>
      <c r="Q7" s="93">
        <v>1461.2</v>
      </c>
      <c r="R7" s="98">
        <v>129976</v>
      </c>
      <c r="S7" s="93">
        <v>330.3</v>
      </c>
      <c r="T7" s="98">
        <v>92245</v>
      </c>
      <c r="U7" s="93">
        <v>466.21</v>
      </c>
      <c r="V7" s="98">
        <v>61482</v>
      </c>
      <c r="W7" s="185">
        <v>371.1</v>
      </c>
      <c r="X7" s="96">
        <v>59368</v>
      </c>
      <c r="Y7" s="185">
        <v>487.7</v>
      </c>
      <c r="Z7" s="96">
        <v>84675</v>
      </c>
      <c r="AA7" s="185">
        <v>382.4</v>
      </c>
      <c r="AB7" s="96">
        <v>73074</v>
      </c>
      <c r="AC7" s="185">
        <v>283.4</v>
      </c>
      <c r="AD7" s="96">
        <v>65297</v>
      </c>
      <c r="AE7" s="185">
        <v>1099.51</v>
      </c>
      <c r="AF7" s="186">
        <v>72711</v>
      </c>
      <c r="AG7" s="185">
        <v>126.91</v>
      </c>
      <c r="AH7" s="186">
        <v>13659</v>
      </c>
      <c r="AI7" s="187">
        <v>237.5</v>
      </c>
      <c r="AJ7" s="96">
        <v>58578</v>
      </c>
      <c r="AK7" s="187">
        <v>398.3</v>
      </c>
      <c r="AL7" s="96">
        <v>31414</v>
      </c>
      <c r="AM7" s="187">
        <v>910.75</v>
      </c>
      <c r="AN7" s="96">
        <v>79568</v>
      </c>
      <c r="AO7" s="188">
        <v>727.6</v>
      </c>
      <c r="AP7" s="189">
        <v>60373</v>
      </c>
    </row>
    <row r="8" spans="2:42" s="107" customFormat="1" ht="45.75" thickBot="1">
      <c r="B8" s="100" t="s">
        <v>102</v>
      </c>
      <c r="C8" s="101">
        <f aca="true" t="shared" si="0" ref="C8:AN8">SUM(C5:C7)</f>
        <v>1012.3</v>
      </c>
      <c r="D8" s="102">
        <f t="shared" si="0"/>
        <v>109655</v>
      </c>
      <c r="E8" s="101">
        <f t="shared" si="0"/>
        <v>961.96</v>
      </c>
      <c r="F8" s="102">
        <f t="shared" si="0"/>
        <v>82628</v>
      </c>
      <c r="G8" s="101">
        <f t="shared" si="0"/>
        <v>1547.4</v>
      </c>
      <c r="H8" s="102">
        <f t="shared" si="0"/>
        <v>213049</v>
      </c>
      <c r="I8" s="101">
        <f t="shared" si="0"/>
        <v>1341.9</v>
      </c>
      <c r="J8" s="102">
        <f t="shared" si="0"/>
        <v>157037</v>
      </c>
      <c r="K8" s="101">
        <f t="shared" si="0"/>
        <v>4580.74</v>
      </c>
      <c r="L8" s="102">
        <f t="shared" si="0"/>
        <v>625170</v>
      </c>
      <c r="M8" s="101">
        <f t="shared" si="0"/>
        <v>4958.3</v>
      </c>
      <c r="N8" s="102">
        <f t="shared" si="0"/>
        <v>560534</v>
      </c>
      <c r="O8" s="101">
        <f t="shared" si="0"/>
        <v>4992.200000000001</v>
      </c>
      <c r="P8" s="102">
        <f t="shared" si="0"/>
        <v>580538</v>
      </c>
      <c r="Q8" s="101">
        <f t="shared" si="0"/>
        <v>4173.6</v>
      </c>
      <c r="R8" s="102">
        <f t="shared" si="0"/>
        <v>455332</v>
      </c>
      <c r="S8" s="101">
        <f t="shared" si="0"/>
        <v>1208.2</v>
      </c>
      <c r="T8" s="102">
        <f t="shared" si="0"/>
        <v>284301</v>
      </c>
      <c r="U8" s="101">
        <f t="shared" si="0"/>
        <v>1173.08</v>
      </c>
      <c r="V8" s="102">
        <f t="shared" si="0"/>
        <v>184078</v>
      </c>
      <c r="W8" s="103">
        <f t="shared" si="0"/>
        <v>1232.0500000000002</v>
      </c>
      <c r="X8" s="104">
        <f t="shared" si="0"/>
        <v>180738</v>
      </c>
      <c r="Y8" s="105">
        <f t="shared" si="0"/>
        <v>1412.65</v>
      </c>
      <c r="Z8" s="106">
        <f t="shared" si="0"/>
        <v>237628</v>
      </c>
      <c r="AA8" s="105">
        <f t="shared" si="0"/>
        <v>1316.9299999999998</v>
      </c>
      <c r="AB8" s="106">
        <f t="shared" si="0"/>
        <v>215310</v>
      </c>
      <c r="AC8" s="105">
        <f t="shared" si="0"/>
        <v>1122</v>
      </c>
      <c r="AD8" s="106">
        <f t="shared" si="0"/>
        <v>189109</v>
      </c>
      <c r="AE8" s="105">
        <f t="shared" si="0"/>
        <v>2319.6499999999996</v>
      </c>
      <c r="AF8" s="104">
        <f t="shared" si="0"/>
        <v>187614</v>
      </c>
      <c r="AG8" s="105">
        <f t="shared" si="0"/>
        <v>454.03</v>
      </c>
      <c r="AH8" s="104">
        <f t="shared" si="0"/>
        <v>60488</v>
      </c>
      <c r="AI8" s="105">
        <f t="shared" si="0"/>
        <v>826.21</v>
      </c>
      <c r="AJ8" s="106">
        <f t="shared" si="0"/>
        <v>183516</v>
      </c>
      <c r="AK8" s="105">
        <f t="shared" si="0"/>
        <v>1425.66</v>
      </c>
      <c r="AL8" s="106">
        <f t="shared" si="0"/>
        <v>154210</v>
      </c>
      <c r="AM8" s="105">
        <f t="shared" si="0"/>
        <v>1783.32</v>
      </c>
      <c r="AN8" s="106">
        <f t="shared" si="0"/>
        <v>180700</v>
      </c>
      <c r="AO8" s="182">
        <f>SUM(AO5:AO7)</f>
        <v>727.6</v>
      </c>
      <c r="AP8" s="106">
        <f>SUM(AP5:AP7)</f>
        <v>60373</v>
      </c>
    </row>
    <row r="10" spans="2:7" ht="15" customHeight="1">
      <c r="B10" s="23"/>
      <c r="C10" s="23"/>
      <c r="D10" s="23"/>
      <c r="E10" s="23"/>
      <c r="F10" s="23"/>
      <c r="G10" s="23"/>
    </row>
    <row r="11" spans="2:51" ht="15.75" thickBot="1">
      <c r="B11" s="169" t="s">
        <v>68</v>
      </c>
      <c r="C11" s="169"/>
      <c r="D11" s="169"/>
      <c r="E11" s="169"/>
      <c r="F11" s="169"/>
      <c r="G11" s="169"/>
      <c r="AG11" s="43"/>
      <c r="AY11" s="78"/>
    </row>
    <row r="12" spans="2:22" ht="30.75" thickBot="1">
      <c r="B12" s="13"/>
      <c r="C12" s="17" t="s">
        <v>15</v>
      </c>
      <c r="D12" s="17" t="s">
        <v>16</v>
      </c>
      <c r="E12" s="17" t="s">
        <v>17</v>
      </c>
      <c r="F12" s="17" t="s">
        <v>18</v>
      </c>
      <c r="G12" s="17" t="s">
        <v>19</v>
      </c>
      <c r="H12" s="17" t="s">
        <v>20</v>
      </c>
      <c r="I12" s="18" t="s">
        <v>21</v>
      </c>
      <c r="J12" s="17" t="s">
        <v>22</v>
      </c>
      <c r="K12" s="17" t="s">
        <v>23</v>
      </c>
      <c r="L12" s="17" t="s">
        <v>24</v>
      </c>
      <c r="M12" s="17" t="s">
        <v>77</v>
      </c>
      <c r="N12" s="17" t="s">
        <v>78</v>
      </c>
      <c r="O12" s="62" t="s">
        <v>93</v>
      </c>
      <c r="P12" s="62" t="s">
        <v>91</v>
      </c>
      <c r="Q12" s="62" t="s">
        <v>89</v>
      </c>
      <c r="R12" s="17" t="s">
        <v>92</v>
      </c>
      <c r="S12" s="126" t="s">
        <v>99</v>
      </c>
      <c r="T12" s="127" t="s">
        <v>100</v>
      </c>
      <c r="U12" s="128" t="s">
        <v>101</v>
      </c>
      <c r="V12" s="128" t="s">
        <v>104</v>
      </c>
    </row>
    <row r="13" spans="2:22" ht="15.75" thickBot="1">
      <c r="B13" s="8"/>
      <c r="C13" s="14" t="s">
        <v>28</v>
      </c>
      <c r="D13" s="14" t="s">
        <v>28</v>
      </c>
      <c r="E13" s="14" t="s">
        <v>28</v>
      </c>
      <c r="F13" s="14" t="s">
        <v>28</v>
      </c>
      <c r="G13" s="14" t="s">
        <v>28</v>
      </c>
      <c r="H13" s="14" t="s">
        <v>28</v>
      </c>
      <c r="I13" s="14" t="s">
        <v>28</v>
      </c>
      <c r="J13" s="14" t="s">
        <v>28</v>
      </c>
      <c r="K13" s="14" t="s">
        <v>28</v>
      </c>
      <c r="L13" s="14" t="s">
        <v>28</v>
      </c>
      <c r="M13" s="51" t="s">
        <v>28</v>
      </c>
      <c r="N13" s="14" t="s">
        <v>28</v>
      </c>
      <c r="O13" s="63" t="s">
        <v>28</v>
      </c>
      <c r="P13" s="63" t="s">
        <v>28</v>
      </c>
      <c r="Q13" s="63" t="s">
        <v>28</v>
      </c>
      <c r="R13" s="138" t="s">
        <v>28</v>
      </c>
      <c r="S13" s="131" t="s">
        <v>28</v>
      </c>
      <c r="T13" s="132" t="s">
        <v>28</v>
      </c>
      <c r="U13" s="133" t="s">
        <v>28</v>
      </c>
      <c r="V13" s="133" t="s">
        <v>28</v>
      </c>
    </row>
    <row r="14" spans="2:22" ht="15">
      <c r="B14" s="92" t="s">
        <v>96</v>
      </c>
      <c r="C14" s="15">
        <f>D5*'Default Data'!$B5*'Default Data'!$D$18/1000</f>
        <v>56.65885883958702</v>
      </c>
      <c r="D14" s="15">
        <f>F5*'Default Data'!$B5*'Default Data'!$D$18/1000</f>
        <v>51.458341910687224</v>
      </c>
      <c r="E14" s="15">
        <f>H5*'Default Data'!$B5*'Default Data'!$D$18/1000</f>
        <v>94.3918335546754</v>
      </c>
      <c r="F14" s="15">
        <f>J5*'Default Data'!$B5*'Default Data'!$D$18/1000</f>
        <v>90.5150160036174</v>
      </c>
      <c r="G14" s="15">
        <f>L5*'Default Data'!$B5*'Default Data'!$D$18/1000</f>
        <v>506.6977911893019</v>
      </c>
      <c r="H14" s="15">
        <f>N5*'Default Data'!$B5*'Default Data'!$D$18/1000</f>
        <v>499.3175071937566</v>
      </c>
      <c r="I14" s="15">
        <f>P5*'Default Data'!$B5*'Default Data'!$D$18/1000</f>
        <v>339.7551638143406</v>
      </c>
      <c r="J14" s="15">
        <f>R5*'Default Data'!$B5*'Default Data'!$D$18/1000</f>
        <v>398.3279184780152</v>
      </c>
      <c r="K14" s="15">
        <f>T5*'Default Data'!$B5*'Default Data'!$D$18/1000</f>
        <v>171.57746080905687</v>
      </c>
      <c r="L14" s="15">
        <f>V5*'Default Data'!$B5*'Default Data'!$D$18/1000</f>
        <v>128.6081425437311</v>
      </c>
      <c r="M14" s="50">
        <f>X5*'Default Data'!$B5*'Default Data'!$D$18/1000</f>
        <v>114.62633216382105</v>
      </c>
      <c r="N14" s="16">
        <f>Z5*'Default Data'!$B5*'Default Data'!$D$18/1000</f>
        <v>150.33415996751043</v>
      </c>
      <c r="O14" s="52">
        <f>AD5*'Default Data'!$B5*'Default Data'!$D$18/1000</f>
        <v>137.51388636359832</v>
      </c>
      <c r="P14" s="52">
        <f>AB5*'Default Data'!$B5*'Default Data'!$D$18/1000</f>
        <v>143.64400983562632</v>
      </c>
      <c r="Q14" s="15">
        <f>AF5*'Default Data'!$B5*'Default Data'!$D$18/1000</f>
        <v>113.04996082496672</v>
      </c>
      <c r="R14" s="15">
        <f>AH5*'Default Data'!$B5*'Default Data'!$D$18/1000</f>
        <v>48.277315058238365</v>
      </c>
      <c r="S14" s="129">
        <f>AJ5*'Default Data'!$B5*'Default Data'!$D$18/1000</f>
        <v>162.5774364067223</v>
      </c>
      <c r="T14" s="50">
        <f>AL5*'Default Data'!$B5*'Default Data'!$D$18/1000</f>
        <v>101.08952613315694</v>
      </c>
      <c r="U14" s="130">
        <f>AN5*'Default Data'!$B5*'Default Data'!$D$18/1000</f>
        <v>70.32200085075739</v>
      </c>
      <c r="V14" s="130">
        <f>AO5*'Default Data'!$B5*'Default Data'!$D$18/1000</f>
        <v>0</v>
      </c>
    </row>
    <row r="15" spans="2:22" ht="15">
      <c r="B15" s="97" t="s">
        <v>97</v>
      </c>
      <c r="C15" s="16">
        <f>D6*'Default Data'!$B6*'Default Data'!$D$18/1000</f>
        <v>64.81631994297581</v>
      </c>
      <c r="D15" s="16">
        <f>F6*'Default Data'!$B6*'Default Data'!$D$18/1000</f>
        <v>50.20415508486639</v>
      </c>
      <c r="E15" s="16">
        <f>H6*'Default Data'!$B6*'Default Data'!$D$18/1000</f>
        <v>125.11347209708345</v>
      </c>
      <c r="F15" s="16">
        <f>J6*'Default Data'!$B6*'Default Data'!$D$18/1000</f>
        <v>105.1523968071477</v>
      </c>
      <c r="G15" s="16">
        <f>L6*'Default Data'!$B6*'Default Data'!$D$18/1000</f>
        <v>371.87780006824477</v>
      </c>
      <c r="H15" s="16">
        <f>N6*'Default Data'!$B6*'Default Data'!$D$18/1000</f>
        <v>271.2748122396858</v>
      </c>
      <c r="I15" s="16">
        <f>P6*'Default Data'!$B6*'Default Data'!$D$18/1000</f>
        <v>400.1741032749135</v>
      </c>
      <c r="J15" s="16">
        <f>R6*'Default Data'!$B6*'Default Data'!$D$18/1000</f>
        <v>215.6763849384122</v>
      </c>
      <c r="K15" s="16">
        <f>T6*'Default Data'!$B6*'Default Data'!$D$18/1000</f>
        <v>191.0165847956424</v>
      </c>
      <c r="L15" s="16">
        <f>V6*'Default Data'!$B6*'Default Data'!$D$18/1000</f>
        <v>102.80303438073067</v>
      </c>
      <c r="M15" s="50">
        <f>X6*'Default Data'!$B6*'Default Data'!$D$18/1000</f>
        <v>114.50070457951985</v>
      </c>
      <c r="N15" s="16">
        <f>Z6*'Default Data'!$B6*'Default Data'!$D$18/1000</f>
        <v>138.40258490491777</v>
      </c>
      <c r="O15" s="49">
        <f>AD6*'Default Data'!$B6*'Default Data'!$D$18/1000</f>
        <v>96.17454360885256</v>
      </c>
      <c r="P15" s="49">
        <f>AB6*'Default Data'!$B6*'Default Data'!$D$18/1000</f>
        <v>124.85264183574351</v>
      </c>
      <c r="Q15" s="16">
        <f>AF6*'Default Data'!$B6*'Default Data'!$D$18/1000</f>
        <v>103.85769587223565</v>
      </c>
      <c r="R15" s="16">
        <f>AH6*'Default Data'!$B6*'Default Data'!$D$18/1000</f>
        <v>40.11871831305527</v>
      </c>
      <c r="S15" s="125">
        <f>AJ6*'Default Data'!$B6*'Default Data'!$D$18/1000</f>
        <v>73.17989897507181</v>
      </c>
      <c r="T15" s="49">
        <f>AL6*'Default Data'!$B6*'Default Data'!$D$18/1000</f>
        <v>130.76479442611557</v>
      </c>
      <c r="U15" s="19">
        <f>AN6*'Default Data'!$B6*'Default Data'!$D$18/1000</f>
        <v>120.65856683637152</v>
      </c>
      <c r="V15" s="19">
        <f>AO6*'Default Data'!$B6*'Default Data'!$D$18/1000</f>
        <v>0</v>
      </c>
    </row>
    <row r="16" spans="2:22" ht="15.75" thickBot="1">
      <c r="B16" s="97" t="s">
        <v>98</v>
      </c>
      <c r="C16" s="16">
        <f>D7*'Default Data'!$B7*'Default Data'!$D$18/1000</f>
        <v>86.10183154480293</v>
      </c>
      <c r="D16" s="16">
        <f>F7*'Default Data'!$B7*'Default Data'!$D$18/1000</f>
        <v>54.677722216825906</v>
      </c>
      <c r="E16" s="16">
        <f>H7*'Default Data'!$B7*'Default Data'!$D$18/1000</f>
        <v>183.92167507567635</v>
      </c>
      <c r="F16" s="16">
        <f>J7*'Default Data'!$B7*'Default Data'!$D$18/1000</f>
        <v>101.46616508126574</v>
      </c>
      <c r="G16" s="16">
        <f>L7*'Default Data'!$B7*'Default Data'!$D$18/1000</f>
        <v>303.4465374028662</v>
      </c>
      <c r="H16" s="16">
        <f>N7*'Default Data'!$B7*'Default Data'!$D$18/1000</f>
        <v>289.20517209792087</v>
      </c>
      <c r="I16" s="16">
        <f>P7*'Default Data'!$B7*'Default Data'!$D$18/1000</f>
        <v>358.4206776300419</v>
      </c>
      <c r="J16" s="16">
        <f>R7*'Default Data'!$B7*'Default Data'!$D$18/1000</f>
        <v>246.96940585398121</v>
      </c>
      <c r="K16" s="16">
        <f>T7*'Default Data'!$B7*'Default Data'!$D$18/1000</f>
        <v>175.27614977380819</v>
      </c>
      <c r="L16" s="16">
        <f>V7*'Default Data'!$B7*'Default Data'!$D$18/1000</f>
        <v>116.82289815592473</v>
      </c>
      <c r="M16" s="50">
        <f>X7*'Default Data'!$B7*'Default Data'!$D$18/1000</f>
        <v>112.8060540925952</v>
      </c>
      <c r="N16" s="16">
        <f>Z7*'Default Data'!$B7*'Default Data'!$D$18/1000</f>
        <v>160.89227581004076</v>
      </c>
      <c r="O16" s="49">
        <f>AD7*'Default Data'!$B7*'Default Data'!$D$18/1000</f>
        <v>124.07183860133725</v>
      </c>
      <c r="P16" s="49">
        <f>AB7*'Default Data'!$B7*'Default Data'!$D$18/1000</f>
        <v>138.84903646345342</v>
      </c>
      <c r="Q16" s="16">
        <f>AF7*'Default Data'!$B7*'Default Data'!$D$18/1000</f>
        <v>138.15929455475495</v>
      </c>
      <c r="R16" s="16">
        <f>AH7*'Default Data'!$B7*'Default Data'!$D$18/1000</f>
        <v>25.953676944663087</v>
      </c>
      <c r="S16" s="134">
        <f>AJ7*'Default Data'!$B7*'Default Data'!$D$18/1000</f>
        <v>111.3049628863368</v>
      </c>
      <c r="T16" s="135">
        <f>AL7*'Default Data'!$B7*'Default Data'!$D$18/1000</f>
        <v>59.690226776458466</v>
      </c>
      <c r="U16" s="136">
        <f>AN7*'Default Data'!$B7*'Default Data'!$D$18/1000</f>
        <v>151.1883862019879</v>
      </c>
      <c r="V16" s="136">
        <f>AP7*'Default Data'!$B7*'Default Data'!$D$18/1000</f>
        <v>114.71567012081005</v>
      </c>
    </row>
    <row r="17" spans="2:22" ht="15.75" thickBot="1">
      <c r="B17" s="11" t="s">
        <v>105</v>
      </c>
      <c r="C17" s="21">
        <f aca="true" t="shared" si="1" ref="C17:R17">SUM(C14:C16)</f>
        <v>207.57701032736577</v>
      </c>
      <c r="D17" s="21">
        <f t="shared" si="1"/>
        <v>156.34021921237954</v>
      </c>
      <c r="E17" s="21">
        <f t="shared" si="1"/>
        <v>403.4269807274352</v>
      </c>
      <c r="F17" s="21">
        <f t="shared" si="1"/>
        <v>297.1335778920308</v>
      </c>
      <c r="G17" s="21">
        <f t="shared" si="1"/>
        <v>1182.0221286604128</v>
      </c>
      <c r="H17" s="21">
        <f t="shared" si="1"/>
        <v>1059.7974915313632</v>
      </c>
      <c r="I17" s="21">
        <f t="shared" si="1"/>
        <v>1098.349944719296</v>
      </c>
      <c r="J17" s="21">
        <f t="shared" si="1"/>
        <v>860.9737092704087</v>
      </c>
      <c r="K17" s="21">
        <f t="shared" si="1"/>
        <v>537.8701953785074</v>
      </c>
      <c r="L17" s="21">
        <f t="shared" si="1"/>
        <v>348.2340750803865</v>
      </c>
      <c r="M17" s="21">
        <f t="shared" si="1"/>
        <v>341.9330908359361</v>
      </c>
      <c r="N17" s="21">
        <f t="shared" si="1"/>
        <v>449.62902068246893</v>
      </c>
      <c r="O17" s="64">
        <f t="shared" si="1"/>
        <v>357.76026857378815</v>
      </c>
      <c r="P17" s="64">
        <f t="shared" si="1"/>
        <v>407.34568813482326</v>
      </c>
      <c r="Q17" s="64">
        <f t="shared" si="1"/>
        <v>355.06695125195733</v>
      </c>
      <c r="R17" s="21">
        <f t="shared" si="1"/>
        <v>114.34971031595673</v>
      </c>
      <c r="S17" s="137">
        <f>SUM(S14:S16)</f>
        <v>347.0622982681309</v>
      </c>
      <c r="T17" s="64">
        <f>SUM(T14:T16)</f>
        <v>291.54454733573095</v>
      </c>
      <c r="U17" s="22">
        <f>SUM(U14:U16)</f>
        <v>342.1689538891168</v>
      </c>
      <c r="V17" s="22">
        <f>SUM(V14:V16)</f>
        <v>114.71567012081005</v>
      </c>
    </row>
    <row r="18" spans="2:22" ht="15.75" thickBot="1">
      <c r="B18" s="20" t="s">
        <v>30</v>
      </c>
      <c r="C18" s="164">
        <f>SUM(C17:V17)</f>
        <v>9273.301532208305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6"/>
    </row>
    <row r="21" spans="2:7" ht="15.75" thickBot="1">
      <c r="B21" s="169" t="s">
        <v>33</v>
      </c>
      <c r="C21" s="169"/>
      <c r="D21" s="169"/>
      <c r="E21" s="169"/>
      <c r="F21" s="169"/>
      <c r="G21" s="169"/>
    </row>
    <row r="22" spans="2:22" ht="45.75" thickBot="1">
      <c r="B22" s="13"/>
      <c r="C22" s="17" t="s">
        <v>15</v>
      </c>
      <c r="D22" s="17" t="s">
        <v>16</v>
      </c>
      <c r="E22" s="17" t="s">
        <v>17</v>
      </c>
      <c r="F22" s="17" t="s">
        <v>18</v>
      </c>
      <c r="G22" s="17" t="s">
        <v>19</v>
      </c>
      <c r="H22" s="17" t="s">
        <v>20</v>
      </c>
      <c r="I22" s="18" t="s">
        <v>21</v>
      </c>
      <c r="J22" s="17" t="s">
        <v>22</v>
      </c>
      <c r="K22" s="17" t="s">
        <v>23</v>
      </c>
      <c r="L22" s="17" t="s">
        <v>24</v>
      </c>
      <c r="M22" s="62" t="s">
        <v>69</v>
      </c>
      <c r="N22" s="17" t="s">
        <v>70</v>
      </c>
      <c r="O22" s="17" t="s">
        <v>80</v>
      </c>
      <c r="P22" s="17" t="s">
        <v>79</v>
      </c>
      <c r="Q22" s="17" t="s">
        <v>90</v>
      </c>
      <c r="R22" s="17" t="s">
        <v>81</v>
      </c>
      <c r="S22" s="126" t="s">
        <v>99</v>
      </c>
      <c r="T22" s="127" t="s">
        <v>100</v>
      </c>
      <c r="U22" s="128" t="s">
        <v>101</v>
      </c>
      <c r="V22" s="128" t="s">
        <v>104</v>
      </c>
    </row>
    <row r="23" spans="2:22" ht="15.75" thickBot="1">
      <c r="B23" s="8"/>
      <c r="C23" s="14" t="s">
        <v>28</v>
      </c>
      <c r="D23" s="14" t="s">
        <v>28</v>
      </c>
      <c r="E23" s="14" t="s">
        <v>28</v>
      </c>
      <c r="F23" s="14" t="s">
        <v>28</v>
      </c>
      <c r="G23" s="14" t="s">
        <v>28</v>
      </c>
      <c r="H23" s="14" t="s">
        <v>28</v>
      </c>
      <c r="I23" s="14" t="s">
        <v>28</v>
      </c>
      <c r="J23" s="14" t="s">
        <v>28</v>
      </c>
      <c r="K23" s="14" t="s">
        <v>28</v>
      </c>
      <c r="L23" s="14" t="s">
        <v>28</v>
      </c>
      <c r="M23" s="51" t="s">
        <v>28</v>
      </c>
      <c r="N23" s="14" t="s">
        <v>28</v>
      </c>
      <c r="O23" s="14" t="s">
        <v>28</v>
      </c>
      <c r="P23" s="14" t="s">
        <v>28</v>
      </c>
      <c r="Q23" s="14" t="s">
        <v>28</v>
      </c>
      <c r="R23" s="14" t="s">
        <v>28</v>
      </c>
      <c r="S23" s="131" t="s">
        <v>28</v>
      </c>
      <c r="T23" s="132" t="s">
        <v>28</v>
      </c>
      <c r="U23" s="133" t="s">
        <v>28</v>
      </c>
      <c r="V23" s="133" t="s">
        <v>28</v>
      </c>
    </row>
    <row r="24" spans="2:22" ht="15">
      <c r="B24" s="92" t="s">
        <v>96</v>
      </c>
      <c r="C24" s="52">
        <f>C5*'Default Data'!$C$26*'Default Data'!$B5*'Default Data'!$D$18/1000</f>
        <v>179.5109908049672</v>
      </c>
      <c r="D24" s="52">
        <f>E5*'Default Data'!$C$27*'Default Data'!$B5*'Default Data'!$D$18/1000</f>
        <v>222.9668402448925</v>
      </c>
      <c r="E24" s="52">
        <f>G5*'Default Data'!$C$28*'Default Data'!$B5*'Default Data'!$D$18/1000</f>
        <v>126.57886614282005</v>
      </c>
      <c r="F24" s="52">
        <f>I5*'Default Data'!$C$29*'Default Data'!$B5*'Default Data'!$D$18/1000</f>
        <v>116.97836871075086</v>
      </c>
      <c r="G24" s="52">
        <f>K5*'Default Data'!$C$30*'Default Data'!$B5*'Default Data'!$D$18/1000</f>
        <v>2699.966734795227</v>
      </c>
      <c r="H24" s="52">
        <f>M5*'Default Data'!$C$31*'Default Data'!$B5*'Default Data'!$D$18/1000</f>
        <v>2710.239780876716</v>
      </c>
      <c r="I24" s="52">
        <f>O5*'Default Data'!$C$32*'Default Data'!$B5*'Default Data'!$D$18/1000</f>
        <v>2264.0021473315023</v>
      </c>
      <c r="J24" s="52">
        <f>Q5*'Default Data'!$C$33*'Default Data'!$B5*'Default Data'!$D$18/1000</f>
        <v>2653.657986985237</v>
      </c>
      <c r="K24" s="52">
        <f>S5*'Default Data'!$C$34*'Default Data'!$B5*'Default Data'!$D$18/1000</f>
        <v>629.4135481777546</v>
      </c>
      <c r="L24" s="52">
        <f>U5*'Default Data'!$C$35*'Default Data'!$B5*'Default Data'!$D$18/1000</f>
        <v>285.47543776108455</v>
      </c>
      <c r="M24" s="52">
        <f>W5*'Default Data'!$C$36*'Default Data'!$B5*'Default Data'!$D$18/1000</f>
        <v>315.86046672041397</v>
      </c>
      <c r="N24" s="52">
        <f>Y5*'Default Data'!$C$37*'Default Data'!$B5*'Default Data'!$D$18/1000</f>
        <v>346.4252887505087</v>
      </c>
      <c r="O24" s="52">
        <f>AC5*'Default Data'!$C$38*'Default Data'!$B5*'Default Data'!$D$18/1000</f>
        <v>524.4021760873535</v>
      </c>
      <c r="P24" s="52">
        <f>AA5*'Default Data'!$C$39*'Default Data'!$B5*'Default Data'!$D$18/1000</f>
        <v>378.0185271453807</v>
      </c>
      <c r="Q24" s="52">
        <f>AE5*'Default Data'!$C$40*'Default Data'!$B5*'Default Data'!$D$18/1000</f>
        <v>728.3831188457835</v>
      </c>
      <c r="R24" s="15">
        <f>AG5*'Default Data'!$C$41*'Default Data'!$B5*'Default Data'!$D$18/1000</f>
        <v>78.77029528449295</v>
      </c>
      <c r="S24" s="129">
        <f>AI5*'Default Data'!$C$42*'Default Data'!$B5*'Default Data'!$D$18/1000</f>
        <v>220.52307434805695</v>
      </c>
      <c r="T24" s="50">
        <f>AK5*'Default Data'!$C$43*'Default Data'!$B5*'Default Data'!$D$18/1000</f>
        <v>526.3030989032934</v>
      </c>
      <c r="U24" s="130">
        <f>AM5*'Default Data'!$C$44*'Default Data'!$B5*'Default Data'!$D$18/1000</f>
        <v>502.43517749478735</v>
      </c>
      <c r="V24" s="130"/>
    </row>
    <row r="25" spans="2:22" ht="15">
      <c r="B25" s="97" t="s">
        <v>97</v>
      </c>
      <c r="C25" s="49">
        <f>C6*'Default Data'!$C$26*'Default Data'!$B6*'Default Data'!$D$18/1000</f>
        <v>320.6769388418985</v>
      </c>
      <c r="D25" s="49">
        <f>E6*'Default Data'!$C$27*'Default Data'!$B6*'Default Data'!$D$18/1000</f>
        <v>168.05619775959195</v>
      </c>
      <c r="E25" s="49">
        <f>G6*'Default Data'!$C$28*'Default Data'!$B6*'Default Data'!$D$18/1000</f>
        <v>578.0417431770762</v>
      </c>
      <c r="F25" s="49">
        <f>I6*'Default Data'!$C$29*'Default Data'!$B6*'Default Data'!$D$18/1000</f>
        <v>461.4774176125118</v>
      </c>
      <c r="G25" s="49">
        <f>K6*'Default Data'!$C$30*'Default Data'!$B6*'Default Data'!$D$18/1000</f>
        <v>2473.9115601124317</v>
      </c>
      <c r="H25" s="49">
        <f>M6*'Default Data'!$C$31*'Default Data'!$B6*'Default Data'!$D$18/1000</f>
        <v>2273.431146199685</v>
      </c>
      <c r="I25" s="49">
        <f>O6*'Default Data'!$C$32*'Default Data'!$B6*'Default Data'!$D$18/1000</f>
        <v>2533.7961657365204</v>
      </c>
      <c r="J25" s="49">
        <f>Q6*'Default Data'!$C$33*'Default Data'!$B6*'Default Data'!$D$18/1000</f>
        <v>2493.8704240153693</v>
      </c>
      <c r="K25" s="49">
        <f>S6*'Default Data'!$C$34*'Default Data'!$B6*'Default Data'!$D$18/1000</f>
        <v>521.3121441743046</v>
      </c>
      <c r="L25" s="49">
        <f>U6*'Default Data'!$C$35*'Default Data'!$B6*'Default Data'!$D$18/1000</f>
        <v>223.41338164009272</v>
      </c>
      <c r="M25" s="49">
        <f>W6*'Default Data'!$C$36*'Default Data'!$B6*'Default Data'!$D$18/1000</f>
        <v>304.02876131488483</v>
      </c>
      <c r="N25" s="49">
        <f>Y6*'Default Data'!$C$37*'Default Data'!$B6*'Default Data'!$D$18/1000</f>
        <v>319.5275600541143</v>
      </c>
      <c r="O25" s="49">
        <f>AC6*'Default Data'!$C$38*'Default Data'!$B6*'Default Data'!$D$18/1000</f>
        <v>574.9920703997052</v>
      </c>
      <c r="P25" s="49">
        <f>AA6*'Default Data'!$C$39*'Default Data'!$B6*'Default Data'!$D$18/1000</f>
        <v>294.76552578934536</v>
      </c>
      <c r="Q25" s="49">
        <f>AE6*'Default Data'!$C$40*'Default Data'!$B6*'Default Data'!$D$18/1000</f>
        <v>842.6909375579075</v>
      </c>
      <c r="R25" s="16">
        <f>AG6*'Default Data'!$C$41*'Default Data'!$B6*'Default Data'!$D$18/1000</f>
        <v>69.43074747946375</v>
      </c>
      <c r="S25" s="125">
        <f>AI6*'Default Data'!$C$42*'Default Data'!$B6*'Default Data'!$D$18/1000</f>
        <v>193.9942268392479</v>
      </c>
      <c r="T25" s="49">
        <f>AK6*'Default Data'!$C$43*'Default Data'!$B6*'Default Data'!$D$18/1000</f>
        <v>796.7498829879504</v>
      </c>
      <c r="U25" s="19">
        <f>AM6*'Default Data'!$C$44*'Default Data'!$B6*'Default Data'!$D$18/1000</f>
        <v>621.145229114065</v>
      </c>
      <c r="V25" s="19"/>
    </row>
    <row r="26" spans="2:22" ht="15.75" thickBot="1">
      <c r="B26" s="97" t="s">
        <v>98</v>
      </c>
      <c r="C26" s="49">
        <f>C7*'Default Data'!$C$26*'Default Data'!$B7*'Default Data'!$D$18/1000</f>
        <v>244.3870406495458</v>
      </c>
      <c r="D26" s="49">
        <f>E7*'Default Data'!$C$27*'Default Data'!$B7*'Default Data'!$D$18/1000</f>
        <v>316.84862171312267</v>
      </c>
      <c r="E26" s="49">
        <f>G7*'Default Data'!$C$28*'Default Data'!$B7*'Default Data'!$D$18/1000</f>
        <v>388.04391453706256</v>
      </c>
      <c r="F26" s="49">
        <f>I7*'Default Data'!$C$29*'Default Data'!$B7*'Default Data'!$D$18/1000</f>
        <v>369.2551359314161</v>
      </c>
      <c r="G26" s="49">
        <f>K7*'Default Data'!$C$30*'Default Data'!$B7*'Default Data'!$D$18/1000</f>
        <v>2899.0561925706997</v>
      </c>
      <c r="H26" s="49">
        <f>M7*'Default Data'!$C$31*'Default Data'!$B7*'Default Data'!$D$18/1000</f>
        <v>3099.8911942996165</v>
      </c>
      <c r="I26" s="49">
        <f>O7*'Default Data'!$C$32*'Default Data'!$B7*'Default Data'!$D$18/1000</f>
        <v>3343.305579150624</v>
      </c>
      <c r="J26" s="49">
        <f>Q7*'Default Data'!$C$33*'Default Data'!$B7*'Default Data'!$D$18/1000</f>
        <v>2791.1638750365964</v>
      </c>
      <c r="K26" s="49">
        <f>S7*'Default Data'!$C$34*'Default Data'!$B7*'Default Data'!$D$18/1000</f>
        <v>435.8110878691374</v>
      </c>
      <c r="L26" s="49">
        <f>U7*'Default Data'!$C$35*'Default Data'!$B7*'Default Data'!$D$18/1000</f>
        <v>337.8642672231381</v>
      </c>
      <c r="M26" s="49">
        <f>W7*'Default Data'!$C$36*'Default Data'!$B7*'Default Data'!$D$18/1000</f>
        <v>268.9376666448737</v>
      </c>
      <c r="N26" s="49">
        <f>Y7*'Default Data'!$C$37*'Default Data'!$B7*'Default Data'!$D$18/1000</f>
        <v>353.4381568922255</v>
      </c>
      <c r="O26" s="49">
        <f>AC7*'Default Data'!$C$38*'Default Data'!$B7*'Default Data'!$D$18/1000</f>
        <v>373.9293439361596</v>
      </c>
      <c r="P26" s="49">
        <f>AA7*'Default Data'!$C$39*'Default Data'!$B7*'Default Data'!$D$18/1000</f>
        <v>277.12682221773014</v>
      </c>
      <c r="Q26" s="49">
        <f>AE7*'Default Data'!$C$40*'Default Data'!$B7*'Default Data'!$D$18/1000</f>
        <v>1424.8316307288146</v>
      </c>
      <c r="R26" s="16">
        <f>AG7*'Default Data'!$C$41*'Default Data'!$B7*'Default Data'!$D$18/1000</f>
        <v>57.874476451521055</v>
      </c>
      <c r="S26" s="134">
        <f>AI7*'Default Data'!$C$42*'Default Data'!$B7*'Default Data'!$D$18/1000</f>
        <v>168.3264775119219</v>
      </c>
      <c r="T26" s="135">
        <f>AK7*'Default Data'!$C$43*'Default Data'!$B7*'Default Data'!$D$18/1000</f>
        <v>516.1485011680539</v>
      </c>
      <c r="U26" s="136">
        <f>AM7*'Default Data'!$C$44*'Default Data'!$B7*'Default Data'!$D$18/1000</f>
        <v>1180.2215602279816</v>
      </c>
      <c r="V26" s="136">
        <f>AO7*'Default Data'!$C$45*'Default Data'!$B7*'Default Data'!$D$18/1000</f>
        <v>942.8813694448305</v>
      </c>
    </row>
    <row r="27" spans="2:22" ht="15.75" thickBot="1">
      <c r="B27" s="11" t="s">
        <v>105</v>
      </c>
      <c r="C27" s="64">
        <f aca="true" t="shared" si="2" ref="C27:U27">SUM(C24:C26)</f>
        <v>744.5749702964115</v>
      </c>
      <c r="D27" s="64">
        <f t="shared" si="2"/>
        <v>707.8716597176071</v>
      </c>
      <c r="E27" s="64">
        <f t="shared" si="2"/>
        <v>1092.6645238569588</v>
      </c>
      <c r="F27" s="64">
        <f t="shared" si="2"/>
        <v>947.7109222546787</v>
      </c>
      <c r="G27" s="64">
        <f t="shared" si="2"/>
        <v>8072.934487478358</v>
      </c>
      <c r="H27" s="64">
        <f t="shared" si="2"/>
        <v>8083.562121376017</v>
      </c>
      <c r="I27" s="64">
        <f t="shared" si="2"/>
        <v>8141.103892218646</v>
      </c>
      <c r="J27" s="64">
        <f t="shared" si="2"/>
        <v>7938.692286037203</v>
      </c>
      <c r="K27" s="64">
        <f t="shared" si="2"/>
        <v>1586.5367802211968</v>
      </c>
      <c r="L27" s="64">
        <f t="shared" si="2"/>
        <v>846.7530866243153</v>
      </c>
      <c r="M27" s="64">
        <f t="shared" si="2"/>
        <v>888.8268946801725</v>
      </c>
      <c r="N27" s="64">
        <f t="shared" si="2"/>
        <v>1019.3910056968485</v>
      </c>
      <c r="O27" s="64">
        <f t="shared" si="2"/>
        <v>1473.3235904232183</v>
      </c>
      <c r="P27" s="64">
        <f t="shared" si="2"/>
        <v>949.9108751524562</v>
      </c>
      <c r="Q27" s="64">
        <f t="shared" si="2"/>
        <v>2995.9056871325056</v>
      </c>
      <c r="R27" s="21">
        <f t="shared" si="2"/>
        <v>206.07551921547775</v>
      </c>
      <c r="S27" s="137">
        <f t="shared" si="2"/>
        <v>582.8437786992267</v>
      </c>
      <c r="T27" s="64">
        <f t="shared" si="2"/>
        <v>1839.2014830592975</v>
      </c>
      <c r="U27" s="22">
        <f t="shared" si="2"/>
        <v>2303.8019668368343</v>
      </c>
      <c r="V27" s="22">
        <f>SUM(V24:V26)</f>
        <v>942.8813694448305</v>
      </c>
    </row>
    <row r="28" spans="2:22" ht="15.75" thickBot="1">
      <c r="B28" s="20" t="s">
        <v>30</v>
      </c>
      <c r="C28" s="164">
        <f>SUM(C27:V27)</f>
        <v>51364.566900422265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6"/>
    </row>
    <row r="29" ht="15.75" thickBot="1"/>
    <row r="30" spans="2:22" ht="15.75" thickBot="1">
      <c r="B30" s="167" t="s">
        <v>35</v>
      </c>
      <c r="C30" s="168"/>
      <c r="D30" s="164">
        <f>C28-C18</f>
        <v>42091.265368213964</v>
      </c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6"/>
    </row>
  </sheetData>
  <sheetProtection/>
  <mergeCells count="27">
    <mergeCell ref="S3:T3"/>
    <mergeCell ref="AE3:AF3"/>
    <mergeCell ref="AG3:AH3"/>
    <mergeCell ref="U3:V3"/>
    <mergeCell ref="W3:X3"/>
    <mergeCell ref="Y3:Z3"/>
    <mergeCell ref="AA3:AB3"/>
    <mergeCell ref="AC3:AD3"/>
    <mergeCell ref="K3:L3"/>
    <mergeCell ref="M3:N3"/>
    <mergeCell ref="O3:P3"/>
    <mergeCell ref="Q3:R3"/>
    <mergeCell ref="B2:G2"/>
    <mergeCell ref="B11:G11"/>
    <mergeCell ref="C3:D3"/>
    <mergeCell ref="E3:F3"/>
    <mergeCell ref="G3:H3"/>
    <mergeCell ref="AO3:AP3"/>
    <mergeCell ref="C18:V18"/>
    <mergeCell ref="C28:V28"/>
    <mergeCell ref="D30:V30"/>
    <mergeCell ref="AI3:AJ3"/>
    <mergeCell ref="AK3:AL3"/>
    <mergeCell ref="AM3:AN3"/>
    <mergeCell ref="B30:C30"/>
    <mergeCell ref="B21:G21"/>
    <mergeCell ref="I3:J3"/>
  </mergeCells>
  <printOptions/>
  <pageMargins left="0.7" right="0.7" top="0.75" bottom="0.75" header="0.3" footer="0.3"/>
  <pageSetup horizontalDpi="600" verticalDpi="600" orientation="portrait" paperSize="9" r:id="rId6"/>
  <legacyDrawing r:id="rId5"/>
  <oleObjects>
    <oleObject progId="Equation.3" shapeId="9334466" r:id="rId1"/>
    <oleObject progId="Equation.3" shapeId="9334465" r:id="rId2"/>
    <oleObject progId="Word.Document.8" shapeId="9334464" r:id="rId3"/>
    <oleObject progId="Word.Document.8" shapeId="9334463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23:S32"/>
  <sheetViews>
    <sheetView zoomScalePageLayoutView="0" workbookViewId="0" topLeftCell="A16">
      <selection activeCell="J31" sqref="J31"/>
    </sheetView>
  </sheetViews>
  <sheetFormatPr defaultColWidth="9.140625" defaultRowHeight="15"/>
  <cols>
    <col min="1" max="1" width="3.00390625" style="25" customWidth="1"/>
    <col min="2" max="2" width="7.28125" style="25" bestFit="1" customWidth="1"/>
    <col min="3" max="3" width="7.7109375" style="25" hidden="1" customWidth="1"/>
    <col min="4" max="4" width="19.7109375" style="25" hidden="1" customWidth="1"/>
    <col min="5" max="5" width="16.00390625" style="25" bestFit="1" customWidth="1"/>
    <col min="6" max="6" width="13.8515625" style="25" bestFit="1" customWidth="1"/>
    <col min="7" max="7" width="19.28125" style="25" bestFit="1" customWidth="1"/>
    <col min="8" max="8" width="29.00390625" style="25" bestFit="1" customWidth="1"/>
    <col min="9" max="9" width="19.28125" style="25" bestFit="1" customWidth="1"/>
    <col min="10" max="10" width="17.8515625" style="25" bestFit="1" customWidth="1"/>
    <col min="11" max="11" width="21.00390625" style="25" bestFit="1" customWidth="1"/>
    <col min="12" max="16384" width="9.140625" style="25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spans="2:17" ht="14.2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2:17" ht="14.2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2:17" ht="15" thickBo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2:19" ht="15">
      <c r="B26" s="24" t="s">
        <v>36</v>
      </c>
      <c r="C26" s="24" t="s">
        <v>36</v>
      </c>
      <c r="D26" s="24"/>
      <c r="E26" s="24" t="s">
        <v>37</v>
      </c>
      <c r="F26" s="24" t="s">
        <v>38</v>
      </c>
      <c r="G26" s="24" t="s">
        <v>39</v>
      </c>
      <c r="H26" s="24" t="s">
        <v>40</v>
      </c>
      <c r="I26" s="24" t="s">
        <v>33</v>
      </c>
      <c r="J26" s="24" t="s">
        <v>27</v>
      </c>
      <c r="K26" s="37" t="s">
        <v>35</v>
      </c>
      <c r="L26" s="27"/>
      <c r="M26" s="27"/>
      <c r="N26" s="26"/>
      <c r="O26" s="26"/>
      <c r="P26" s="26"/>
      <c r="Q26" s="26"/>
      <c r="R26" s="26"/>
      <c r="S26" s="26"/>
    </row>
    <row r="27" spans="2:19" ht="15.75" thickBot="1">
      <c r="B27" s="38"/>
      <c r="C27" s="38"/>
      <c r="D27" s="38"/>
      <c r="E27" s="38" t="s">
        <v>41</v>
      </c>
      <c r="F27" s="38" t="s">
        <v>44</v>
      </c>
      <c r="G27" s="38" t="s">
        <v>44</v>
      </c>
      <c r="H27" s="38" t="s">
        <v>42</v>
      </c>
      <c r="I27" s="38" t="s">
        <v>44</v>
      </c>
      <c r="J27" s="38" t="s">
        <v>44</v>
      </c>
      <c r="K27" s="39" t="s">
        <v>44</v>
      </c>
      <c r="L27" s="27"/>
      <c r="M27" s="27"/>
      <c r="N27" s="26"/>
      <c r="O27" s="26"/>
      <c r="P27" s="26"/>
      <c r="Q27" s="26"/>
      <c r="R27" s="26"/>
      <c r="S27" s="26"/>
    </row>
    <row r="28" spans="2:19" ht="15">
      <c r="B28" s="92" t="s">
        <v>96</v>
      </c>
      <c r="C28" s="28">
        <v>1</v>
      </c>
      <c r="D28" s="28"/>
      <c r="E28" s="191">
        <v>8567.34</v>
      </c>
      <c r="F28" s="196">
        <f>E28*'Default Data'!$E$52/'Default Data'!$E$51*'Default Data'!$D$19</f>
        <v>4216.906383539569</v>
      </c>
      <c r="G28" s="190">
        <f>E28*'Default Data'!$E$53*0.896</f>
        <v>0.21493742592</v>
      </c>
      <c r="H28" s="192">
        <v>22.081</v>
      </c>
      <c r="I28" s="196">
        <f>F28+G28</f>
        <v>4217.121320965489</v>
      </c>
      <c r="J28" s="196">
        <f>H28*'Default Data'!$D$20</f>
        <v>19.784576</v>
      </c>
      <c r="K28" s="194">
        <f>I28-J28</f>
        <v>4197.336744965489</v>
      </c>
      <c r="L28" s="29"/>
      <c r="M28" s="29"/>
      <c r="N28" s="26"/>
      <c r="O28" s="26"/>
      <c r="P28" s="26"/>
      <c r="Q28" s="26"/>
      <c r="R28" s="26"/>
      <c r="S28" s="26"/>
    </row>
    <row r="29" spans="2:19" ht="15">
      <c r="B29" s="97" t="s">
        <v>97</v>
      </c>
      <c r="C29" s="35">
        <v>8</v>
      </c>
      <c r="D29" s="35"/>
      <c r="E29" s="193">
        <v>8329.68</v>
      </c>
      <c r="F29" s="197">
        <f>E29*'Default Data'!$E$52/'Default Data'!$E$51*'Default Data'!$D$19</f>
        <v>4099.928421755396</v>
      </c>
      <c r="G29" s="190">
        <f>E29*'Default Data'!$E$53*0.896</f>
        <v>0.20897501184</v>
      </c>
      <c r="H29" s="192">
        <v>18.081</v>
      </c>
      <c r="I29" s="197">
        <f>F29+G29</f>
        <v>4100.137396767236</v>
      </c>
      <c r="J29" s="197">
        <f>H29*'Default Data'!$D$20</f>
        <v>16.200576</v>
      </c>
      <c r="K29" s="195">
        <f>I29-J29</f>
        <v>4083.936820767236</v>
      </c>
      <c r="L29" s="29"/>
      <c r="M29" s="29"/>
      <c r="N29" s="26"/>
      <c r="O29" s="26"/>
      <c r="P29" s="26"/>
      <c r="Q29" s="26"/>
      <c r="R29" s="26"/>
      <c r="S29" s="26"/>
    </row>
    <row r="30" spans="2:19" ht="15.75" thickBot="1">
      <c r="B30" s="97" t="s">
        <v>98</v>
      </c>
      <c r="C30" s="35">
        <v>9</v>
      </c>
      <c r="D30" s="35"/>
      <c r="E30" s="193">
        <v>10207.16</v>
      </c>
      <c r="F30" s="197">
        <f>E30*'Default Data'!$E$52/'Default Data'!$E$51*'Default Data'!$D$19</f>
        <v>5024.037584805756</v>
      </c>
      <c r="G30" s="190">
        <f>E30*'Default Data'!$E$53*0.896</f>
        <v>0.25607723008</v>
      </c>
      <c r="H30" s="192">
        <v>23.607</v>
      </c>
      <c r="I30" s="197">
        <f>F30+G30</f>
        <v>5024.293662035836</v>
      </c>
      <c r="J30" s="197">
        <f>H30*'Default Data'!$D$20</f>
        <v>21.151872</v>
      </c>
      <c r="K30" s="195">
        <f>I30-J30</f>
        <v>5003.141790035836</v>
      </c>
      <c r="L30" s="29"/>
      <c r="M30" s="29"/>
      <c r="N30" s="26"/>
      <c r="O30" s="26"/>
      <c r="P30" s="26"/>
      <c r="Q30" s="26"/>
      <c r="R30" s="26"/>
      <c r="S30" s="26"/>
    </row>
    <row r="31" spans="2:19" ht="15.75" thickBot="1">
      <c r="B31" s="11" t="s">
        <v>43</v>
      </c>
      <c r="C31" s="36" t="s">
        <v>43</v>
      </c>
      <c r="D31" s="221"/>
      <c r="E31" s="222">
        <f>SUM(E28:E30)</f>
        <v>27104.18</v>
      </c>
      <c r="F31" s="222">
        <f>SUM(F28:F30)</f>
        <v>13340.872390100722</v>
      </c>
      <c r="G31" s="223">
        <f>SUM(G28:G30)</f>
        <v>0.6799896678399999</v>
      </c>
      <c r="H31" s="223">
        <f>SUM(H28:H30)</f>
        <v>63.769</v>
      </c>
      <c r="I31" s="222">
        <f>SUM(I28:I30)</f>
        <v>13341.552379768562</v>
      </c>
      <c r="J31" s="222">
        <f>SUM(J28:J30)</f>
        <v>57.137024</v>
      </c>
      <c r="K31" s="224">
        <f>I31-J31</f>
        <v>13284.415355768562</v>
      </c>
      <c r="L31" s="30"/>
      <c r="M31" s="30"/>
      <c r="N31" s="26"/>
      <c r="O31" s="26"/>
      <c r="P31" s="26"/>
      <c r="Q31" s="26"/>
      <c r="R31" s="26"/>
      <c r="S31" s="26"/>
    </row>
    <row r="32" spans="2:17" ht="14.25">
      <c r="B32" s="26"/>
      <c r="C32" s="26"/>
      <c r="D32" s="26"/>
      <c r="E32" s="26"/>
      <c r="F32" s="31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</sheetData>
  <sheetProtection/>
  <printOptions/>
  <pageMargins left="0.75" right="0.75" top="1" bottom="1" header="0.5" footer="0.5"/>
  <pageSetup horizontalDpi="600" verticalDpi="600" orientation="landscape" paperSize="9" r:id="rId6"/>
  <legacyDrawing r:id="rId5"/>
  <oleObjects>
    <oleObject progId="Equation.3" shapeId="9334462" r:id="rId1"/>
    <oleObject progId="Word.Document.8" shapeId="9334461" r:id="rId2"/>
    <oleObject progId="Equation.3" shapeId="9334460" r:id="rId3"/>
    <oleObject progId="Word.Document.8" shapeId="9334459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9:H23"/>
  <sheetViews>
    <sheetView tabSelected="1" zoomScalePageLayoutView="0" workbookViewId="0" topLeftCell="A8">
      <selection activeCell="G14" sqref="G14"/>
    </sheetView>
  </sheetViews>
  <sheetFormatPr defaultColWidth="9.140625" defaultRowHeight="15"/>
  <cols>
    <col min="2" max="2" width="11.421875" style="0" customWidth="1"/>
    <col min="3" max="3" width="15.28125" style="0" customWidth="1"/>
    <col min="4" max="4" width="29.7109375" style="0" bestFit="1" customWidth="1"/>
    <col min="5" max="5" width="27.28125" style="0" bestFit="1" customWidth="1"/>
    <col min="6" max="6" width="18.7109375" style="0" bestFit="1" customWidth="1"/>
    <col min="7" max="7" width="17.421875" style="0" bestFit="1" customWidth="1"/>
    <col min="8" max="8" width="10.421875" style="0" customWidth="1"/>
  </cols>
  <sheetData>
    <row r="18" ht="15.75" thickBot="1"/>
    <row r="19" spans="2:8" ht="30.75" thickBot="1">
      <c r="B19" s="56" t="s">
        <v>36</v>
      </c>
      <c r="C19" s="77" t="s">
        <v>75</v>
      </c>
      <c r="D19" s="77" t="s">
        <v>71</v>
      </c>
      <c r="E19" s="77" t="s">
        <v>72</v>
      </c>
      <c r="F19" s="53" t="s">
        <v>73</v>
      </c>
      <c r="G19" s="53" t="s">
        <v>74</v>
      </c>
      <c r="H19" s="53" t="s">
        <v>58</v>
      </c>
    </row>
    <row r="20" spans="2:8" ht="15">
      <c r="B20" s="92" t="s">
        <v>96</v>
      </c>
      <c r="C20" s="139">
        <v>9061.573</v>
      </c>
      <c r="D20" s="65">
        <v>6804.868</v>
      </c>
      <c r="E20" s="74">
        <v>1307.545</v>
      </c>
      <c r="F20" s="198">
        <f>C20*'Default Data'!$E$58*'Default Data'!$D$20</f>
        <v>8362.74449024</v>
      </c>
      <c r="G20" s="199">
        <f>(D20+E20)*'Default Data'!$D$20</f>
        <v>7268.7220480000005</v>
      </c>
      <c r="H20" s="54">
        <f>F20-G20</f>
        <v>1094.0224422399997</v>
      </c>
    </row>
    <row r="21" spans="2:8" ht="15">
      <c r="B21" s="97" t="s">
        <v>97</v>
      </c>
      <c r="C21" s="140">
        <v>8822.93</v>
      </c>
      <c r="D21" s="66">
        <v>6517.832</v>
      </c>
      <c r="E21" s="75">
        <v>1222.745</v>
      </c>
      <c r="F21" s="200">
        <f>C21*'Default Data'!$E$58*'Default Data'!$D$20</f>
        <v>8142.505638400001</v>
      </c>
      <c r="G21" s="201">
        <f>(D21+E21)*'Default Data'!$D$20</f>
        <v>6935.556992000001</v>
      </c>
      <c r="H21" s="55">
        <f>F21-G21</f>
        <v>1206.9486464000001</v>
      </c>
    </row>
    <row r="22" spans="2:8" ht="15.75" thickBot="1">
      <c r="B22" s="97" t="s">
        <v>98</v>
      </c>
      <c r="C22" s="141">
        <v>10834.21</v>
      </c>
      <c r="D22" s="67">
        <v>7904.473</v>
      </c>
      <c r="E22" s="76">
        <v>1583.108</v>
      </c>
      <c r="F22" s="202">
        <f>C22*'Default Data'!$E$58*'Default Data'!$D$20</f>
        <v>9998.6757248</v>
      </c>
      <c r="G22" s="203">
        <f>(D22+E22)*'Default Data'!$D$20</f>
        <v>8500.872576</v>
      </c>
      <c r="H22" s="55">
        <f>F22-G22</f>
        <v>1497.8031487999997</v>
      </c>
    </row>
    <row r="23" spans="2:8" ht="15.75" thickBot="1">
      <c r="B23" s="218" t="s">
        <v>43</v>
      </c>
      <c r="C23" s="206">
        <f aca="true" t="shared" si="0" ref="C23:H23">SUM(C20:C22)</f>
        <v>28718.713</v>
      </c>
      <c r="D23" s="206">
        <f t="shared" si="0"/>
        <v>21227.173000000003</v>
      </c>
      <c r="E23" s="206">
        <f t="shared" si="0"/>
        <v>4113.398</v>
      </c>
      <c r="F23" s="219">
        <f t="shared" si="0"/>
        <v>26503.92585344</v>
      </c>
      <c r="G23" s="219">
        <f t="shared" si="0"/>
        <v>22705.151616000003</v>
      </c>
      <c r="H23" s="220">
        <f t="shared" si="0"/>
        <v>3798.7742374399995</v>
      </c>
    </row>
  </sheetData>
  <sheetProtection/>
  <printOptions/>
  <pageMargins left="0.7" right="0.7" top="0.75" bottom="0.75" header="0.3" footer="0.3"/>
  <pageSetup horizontalDpi="600" verticalDpi="600" orientation="portrait" r:id="rId6"/>
  <legacyDrawing r:id="rId5"/>
  <oleObjects>
    <oleObject progId="Equation.3" shapeId="9334458" r:id="rId1"/>
    <oleObject progId="Word.Document.8" shapeId="9334457" r:id="rId2"/>
    <oleObject progId="Equation.3" shapeId="9334456" r:id="rId3"/>
    <oleObject progId="Word.Document.8" shapeId="9334455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19:G23"/>
  <sheetViews>
    <sheetView zoomScalePageLayoutView="0" workbookViewId="0" topLeftCell="A7">
      <selection activeCell="E26" sqref="E26"/>
    </sheetView>
  </sheetViews>
  <sheetFormatPr defaultColWidth="9.140625" defaultRowHeight="15"/>
  <cols>
    <col min="2" max="2" width="12.57421875" style="0" customWidth="1"/>
    <col min="3" max="3" width="17.421875" style="0" bestFit="1" customWidth="1"/>
    <col min="4" max="4" width="29.421875" style="0" bestFit="1" customWidth="1"/>
    <col min="5" max="5" width="25.00390625" style="0" bestFit="1" customWidth="1"/>
    <col min="6" max="6" width="23.7109375" style="0" bestFit="1" customWidth="1"/>
    <col min="7" max="7" width="11.7109375" style="0" customWidth="1"/>
  </cols>
  <sheetData>
    <row r="18" ht="15.75" thickBot="1"/>
    <row r="19" spans="2:7" ht="15.75" thickBot="1">
      <c r="B19" s="44" t="s">
        <v>36</v>
      </c>
      <c r="C19" s="142" t="s">
        <v>59</v>
      </c>
      <c r="D19" s="56" t="s">
        <v>60</v>
      </c>
      <c r="E19" s="143" t="s">
        <v>56</v>
      </c>
      <c r="F19" s="45" t="s">
        <v>57</v>
      </c>
      <c r="G19" s="46" t="s">
        <v>58</v>
      </c>
    </row>
    <row r="20" spans="2:7" ht="15">
      <c r="B20" s="92" t="s">
        <v>96</v>
      </c>
      <c r="C20" s="208">
        <v>440.67</v>
      </c>
      <c r="D20" s="208">
        <v>254.79</v>
      </c>
      <c r="E20" s="211">
        <f>C20*'Default Data'!$E$62*'Default Data'!$D$20</f>
        <v>4738.08384</v>
      </c>
      <c r="F20" s="211">
        <f>D20*'Default Data'!$D$20</f>
        <v>228.29184</v>
      </c>
      <c r="G20" s="214">
        <f>E20-F20</f>
        <v>4509.792</v>
      </c>
    </row>
    <row r="21" spans="2:7" ht="15">
      <c r="B21" s="97" t="s">
        <v>97</v>
      </c>
      <c r="C21" s="209">
        <v>359.42</v>
      </c>
      <c r="D21" s="209">
        <v>197.098</v>
      </c>
      <c r="E21" s="212">
        <f>C21*'Default Data'!$E$62*'Default Data'!$D$20</f>
        <v>3864.48384</v>
      </c>
      <c r="F21" s="212">
        <f>D21*'Default Data'!$D$20</f>
        <v>176.59980800000002</v>
      </c>
      <c r="G21" s="215">
        <f>E21-F21</f>
        <v>3687.884032</v>
      </c>
    </row>
    <row r="22" spans="2:7" ht="15.75" thickBot="1">
      <c r="B22" s="97" t="s">
        <v>98</v>
      </c>
      <c r="C22" s="210">
        <v>424.17</v>
      </c>
      <c r="D22" s="210">
        <v>252.242</v>
      </c>
      <c r="E22" s="213">
        <f>C22*'Default Data'!$E$62*'Default Data'!$D$20</f>
        <v>4560.67584</v>
      </c>
      <c r="F22" s="213">
        <f>D22*'Default Data'!$D$20</f>
        <v>226.00883199999998</v>
      </c>
      <c r="G22" s="215">
        <f>E22-F22</f>
        <v>4334.667008</v>
      </c>
    </row>
    <row r="23" spans="2:7" ht="15.75" thickBot="1">
      <c r="B23" s="205" t="s">
        <v>103</v>
      </c>
      <c r="C23" s="207">
        <f>SUM(C20:C22)</f>
        <v>1224.26</v>
      </c>
      <c r="D23" s="204">
        <f>SUM(D20:D22)</f>
        <v>704.13</v>
      </c>
      <c r="E23" s="216">
        <f>SUM(E20:E22)</f>
        <v>13163.24352</v>
      </c>
      <c r="F23" s="216">
        <f>SUM(F20:F22)</f>
        <v>630.90048</v>
      </c>
      <c r="G23" s="217">
        <f>SUM(G20:G22)</f>
        <v>12532.34304</v>
      </c>
    </row>
  </sheetData>
  <sheetProtection/>
  <printOptions/>
  <pageMargins left="0.7" right="0.7" top="0.75" bottom="0.75" header="0.3" footer="0.3"/>
  <pageSetup horizontalDpi="600" verticalDpi="600" orientation="portrait" r:id="rId6"/>
  <legacyDrawing r:id="rId5"/>
  <oleObjects>
    <oleObject progId="Equation.3" shapeId="9334454" r:id="rId1"/>
    <oleObject progId="Word.Document.8" shapeId="9334453" r:id="rId2"/>
    <oleObject progId="Equation.3" shapeId="9334452" r:id="rId3"/>
    <oleObject progId="Word.Document.8" shapeId="9334451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3:D22"/>
  <sheetViews>
    <sheetView zoomScalePageLayoutView="0" workbookViewId="0" topLeftCell="A1">
      <selection activeCell="J21" sqref="J21"/>
    </sheetView>
  </sheetViews>
  <sheetFormatPr defaultColWidth="9.140625" defaultRowHeight="15"/>
  <cols>
    <col min="2" max="2" width="18.140625" style="0" bestFit="1" customWidth="1"/>
  </cols>
  <sheetData>
    <row r="2" ht="15.75" thickBot="1"/>
    <row r="3" spans="2:4" ht="15">
      <c r="B3" s="13" t="s">
        <v>33</v>
      </c>
      <c r="C3" s="4"/>
      <c r="D3" s="57"/>
    </row>
    <row r="4" spans="2:4" ht="15">
      <c r="B4" s="6" t="s">
        <v>64</v>
      </c>
      <c r="C4" s="2" t="s">
        <v>28</v>
      </c>
      <c r="D4" s="58">
        <f>'Furnaces (SP1)'!C28</f>
        <v>51364.566900422265</v>
      </c>
    </row>
    <row r="5" spans="2:4" ht="15">
      <c r="B5" s="6" t="s">
        <v>65</v>
      </c>
      <c r="C5" s="2" t="s">
        <v>28</v>
      </c>
      <c r="D5" s="58">
        <f>'Vacuumator  (SP2)'!I31</f>
        <v>13341.552379768562</v>
      </c>
    </row>
    <row r="6" spans="2:4" ht="15">
      <c r="B6" s="6" t="s">
        <v>66</v>
      </c>
      <c r="C6" s="2" t="s">
        <v>28</v>
      </c>
      <c r="D6" s="58">
        <f>'Ladle Furnace (SP3)'!F23</f>
        <v>26503.92585344</v>
      </c>
    </row>
    <row r="7" spans="2:4" ht="15.75" thickBot="1">
      <c r="B7" s="9" t="s">
        <v>67</v>
      </c>
      <c r="C7" s="10" t="s">
        <v>28</v>
      </c>
      <c r="D7" s="59">
        <f>'Press (SP4) '!E23</f>
        <v>13163.24352</v>
      </c>
    </row>
    <row r="8" spans="2:4" ht="15.75" thickBot="1">
      <c r="B8" s="11" t="s">
        <v>43</v>
      </c>
      <c r="C8" s="12" t="s">
        <v>28</v>
      </c>
      <c r="D8" s="60">
        <f>SUM(D4:D7)</f>
        <v>104373.28865363084</v>
      </c>
    </row>
    <row r="9" ht="15.75" thickBot="1"/>
    <row r="10" spans="2:4" ht="15">
      <c r="B10" s="13" t="s">
        <v>27</v>
      </c>
      <c r="C10" s="4"/>
      <c r="D10" s="57"/>
    </row>
    <row r="11" spans="2:4" ht="15">
      <c r="B11" s="6" t="s">
        <v>64</v>
      </c>
      <c r="C11" s="2" t="s">
        <v>28</v>
      </c>
      <c r="D11" s="58">
        <f>'Furnaces (SP1)'!C18</f>
        <v>9273.301532208305</v>
      </c>
    </row>
    <row r="12" spans="2:4" ht="15">
      <c r="B12" s="6" t="s">
        <v>65</v>
      </c>
      <c r="C12" s="2" t="s">
        <v>28</v>
      </c>
      <c r="D12" s="58">
        <f>'Vacuumator  (SP2)'!J31</f>
        <v>57.137024</v>
      </c>
    </row>
    <row r="13" spans="2:4" ht="15">
      <c r="B13" s="6" t="s">
        <v>66</v>
      </c>
      <c r="C13" s="2" t="s">
        <v>28</v>
      </c>
      <c r="D13" s="58">
        <f>'Ladle Furnace (SP3)'!G23</f>
        <v>22705.151616000003</v>
      </c>
    </row>
    <row r="14" spans="2:4" ht="15.75" thickBot="1">
      <c r="B14" s="9" t="s">
        <v>67</v>
      </c>
      <c r="C14" s="10" t="s">
        <v>28</v>
      </c>
      <c r="D14" s="59">
        <f>'Press (SP4) '!F23</f>
        <v>630.90048</v>
      </c>
    </row>
    <row r="15" spans="2:4" ht="15.75" thickBot="1">
      <c r="B15" s="11" t="s">
        <v>43</v>
      </c>
      <c r="C15" s="12" t="s">
        <v>28</v>
      </c>
      <c r="D15" s="60">
        <f>SUM(D11:D14)</f>
        <v>32666.490652208307</v>
      </c>
    </row>
    <row r="16" ht="15.75" thickBot="1"/>
    <row r="17" spans="2:4" ht="15">
      <c r="B17" s="13" t="s">
        <v>34</v>
      </c>
      <c r="C17" s="4"/>
      <c r="D17" s="57"/>
    </row>
    <row r="18" spans="2:4" ht="15">
      <c r="B18" s="6" t="s">
        <v>64</v>
      </c>
      <c r="C18" s="2" t="s">
        <v>28</v>
      </c>
      <c r="D18" s="58">
        <f>D4-D11</f>
        <v>42091.265368213964</v>
      </c>
    </row>
    <row r="19" spans="2:4" ht="15">
      <c r="B19" s="6" t="s">
        <v>65</v>
      </c>
      <c r="C19" s="2" t="s">
        <v>28</v>
      </c>
      <c r="D19" s="58">
        <f>D5-D12</f>
        <v>13284.415355768562</v>
      </c>
    </row>
    <row r="20" spans="2:4" ht="15">
      <c r="B20" s="6" t="s">
        <v>66</v>
      </c>
      <c r="C20" s="2" t="s">
        <v>28</v>
      </c>
      <c r="D20" s="58">
        <f>D6-D13</f>
        <v>3798.774237439997</v>
      </c>
    </row>
    <row r="21" spans="2:4" ht="15.75" thickBot="1">
      <c r="B21" s="9" t="s">
        <v>67</v>
      </c>
      <c r="C21" s="10" t="s">
        <v>28</v>
      </c>
      <c r="D21" s="58">
        <f>D7-D14</f>
        <v>12532.34304</v>
      </c>
    </row>
    <row r="22" spans="2:4" ht="15.75" thickBot="1">
      <c r="B22" s="11" t="s">
        <v>43</v>
      </c>
      <c r="C22" s="12" t="s">
        <v>28</v>
      </c>
      <c r="D22" s="60">
        <f>SUM(D18:D21)</f>
        <v>71706.79800142252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2009-12-22T12:12:40Z</cp:lastPrinted>
  <dcterms:created xsi:type="dcterms:W3CDTF">2009-04-14T07:18:06Z</dcterms:created>
  <dcterms:modified xsi:type="dcterms:W3CDTF">2010-05-13T13:47:58Z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