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25170" windowHeight="6330" tabRatio="157" activeTab="0"/>
  </bookViews>
  <sheets>
    <sheet name="Tabelle1" sheetId="1" r:id="rId1"/>
  </sheets>
  <definedNames>
    <definedName name="_xlnm.Print_Area" localSheetId="0">'Tabelle1'!$A$1:$L$37,'Tabelle1'!$V$1:$X$37</definedName>
    <definedName name="OLE_LINK10" localSheetId="0">'Tabelle1'!$AO$3</definedName>
    <definedName name="OLE_LINK11" localSheetId="0">'Tabelle1'!$AO$4</definedName>
    <definedName name="OLE_LINK12" localSheetId="0">'Tabelle1'!$AS$4</definedName>
    <definedName name="OLE_LINK3" localSheetId="0">'Tabelle1'!$AD$4</definedName>
    <definedName name="OLE_LINK4" localSheetId="0">'Tabelle1'!$AJ$3</definedName>
    <definedName name="OLE_LINK5" localSheetId="0">'Tabelle1'!$AJ$4</definedName>
    <definedName name="OLE_LINK7" localSheetId="0">'Tabelle1'!$AN$3</definedName>
    <definedName name="OLE_LINK8" localSheetId="0">'Tabelle1'!$AN$4</definedName>
  </definedNames>
  <calcPr fullCalcOnLoad="1"/>
</workbook>
</file>

<file path=xl/comments1.xml><?xml version="1.0" encoding="utf-8"?>
<comments xmlns="http://schemas.openxmlformats.org/spreadsheetml/2006/main">
  <authors>
    <author>Adam Hadulla</author>
    <author>A-TEC</author>
  </authors>
  <commentList>
    <comment ref="AG6" authorId="0">
      <text>
        <r>
          <rPr>
            <b/>
            <sz val="8"/>
            <rFont val="Tahoma"/>
            <family val="0"/>
          </rPr>
          <t xml:space="preserve">Adam Hadulla:
</t>
        </r>
        <r>
          <rPr>
            <sz val="8"/>
            <rFont val="Tahoma"/>
            <family val="0"/>
          </rPr>
          <t xml:space="preserve">
99.5%  for T</t>
        </r>
        <r>
          <rPr>
            <sz val="6"/>
            <rFont val="Tahoma"/>
            <family val="2"/>
          </rPr>
          <t>FLAME</t>
        </r>
        <r>
          <rPr>
            <sz val="8"/>
            <rFont val="Tahoma"/>
            <family val="0"/>
          </rPr>
          <t xml:space="preserve"> &gt; 850°C
90.0%  for 500°C &lt; T</t>
        </r>
        <r>
          <rPr>
            <sz val="6"/>
            <rFont val="Tahoma"/>
            <family val="2"/>
          </rPr>
          <t xml:space="preserve">FLAME </t>
        </r>
        <r>
          <rPr>
            <sz val="8"/>
            <rFont val="Tahoma"/>
            <family val="0"/>
          </rPr>
          <t>&lt; 850°C
  0.0 %  for T</t>
        </r>
        <r>
          <rPr>
            <sz val="6"/>
            <rFont val="Tahoma"/>
            <family val="2"/>
          </rPr>
          <t xml:space="preserve">FLAME </t>
        </r>
        <r>
          <rPr>
            <sz val="8"/>
            <rFont val="Tahoma"/>
            <family val="0"/>
          </rPr>
          <t>&lt; 500°C
The calculation is carried out in 15 min cycle in the main data sheet</t>
        </r>
      </text>
    </comment>
    <comment ref="AM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N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S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X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BH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 
constant
IPCC 2006</t>
        </r>
      </text>
    </comment>
    <comment ref="BI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 
constant
manufacturer date
boiler pass</t>
        </r>
      </text>
    </comment>
    <comment ref="AY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B6" authorId="0">
      <text>
        <r>
          <rPr>
            <b/>
            <sz val="10"/>
            <rFont val="Tahoma"/>
            <family val="0"/>
          </rPr>
          <t>Adam Hadulla:</t>
        </r>
        <r>
          <rPr>
            <sz val="10"/>
            <rFont val="Tahoma"/>
            <family val="0"/>
          </rPr>
          <t xml:space="preserve">
Formula modified, uncombusted methane from flaring 
= MM</t>
        </r>
        <r>
          <rPr>
            <sz val="7"/>
            <rFont val="Tahoma"/>
            <family val="2"/>
          </rPr>
          <t>FL</t>
        </r>
        <r>
          <rPr>
            <sz val="10"/>
            <rFont val="Tahoma"/>
            <family val="0"/>
          </rPr>
          <t>-MD</t>
        </r>
        <r>
          <rPr>
            <sz val="7"/>
            <rFont val="Tahoma"/>
            <family val="2"/>
          </rPr>
          <t>FL</t>
        </r>
      </text>
    </comment>
    <comment ref="BA6" authorId="1">
      <text>
        <r>
          <rPr>
            <b/>
            <sz val="8"/>
            <rFont val="Tahoma"/>
            <family val="0"/>
          </rPr>
          <t xml:space="preserve">Adam Hadulla:
</t>
        </r>
        <r>
          <rPr>
            <sz val="8"/>
            <rFont val="Tahoma"/>
            <family val="2"/>
          </rPr>
          <t>The power amount has not been measured but calculated using:
- the utilised methane amount
- the heating value of methane
    9.965 kWh/m³
- a power generation efficiency of 
   36%</t>
        </r>
        <r>
          <rPr>
            <sz val="8"/>
            <rFont val="Tahoma"/>
            <family val="0"/>
          </rPr>
          <t xml:space="preserve">
</t>
        </r>
      </text>
    </comment>
    <comment ref="BD6" authorId="1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The heat has not been measured but calculated using the utilised methane amount, the heating value of methane 9.965 kWh/m³ and the boiler efficiency</t>
        </r>
      </text>
    </comment>
    <comment ref="BF6" authorId="1">
      <text>
        <r>
          <rPr>
            <b/>
            <sz val="8"/>
            <rFont val="Tahoma"/>
            <family val="0"/>
          </rPr>
          <t xml:space="preserve">Adam Hadulla:
</t>
        </r>
        <r>
          <rPr>
            <sz val="8"/>
            <rFont val="Tahoma"/>
            <family val="2"/>
          </rPr>
          <t>The heat has not been measured but calculated using the utilised methane amount, the heating value of methane 9.965 kWh/m³ and the boiler efficiency</t>
        </r>
      </text>
    </comment>
    <comment ref="BE6" authorId="1">
      <text>
        <r>
          <rPr>
            <b/>
            <sz val="8"/>
            <rFont val="Tahoma"/>
            <family val="2"/>
          </rPr>
          <t>Adam Hadulla:</t>
        </r>
        <r>
          <rPr>
            <sz val="8"/>
            <rFont val="Tahoma"/>
            <family val="0"/>
          </rPr>
          <t xml:space="preserve">
The heat has not been measured but calculated using the utilised methane amount, the heating value of methane 9.965 kWh/m³ and the boiler efficiency</t>
        </r>
      </text>
    </comment>
    <comment ref="AC6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The own consumption of the cogeneration unit has been set to 3.5%, see PDD, Annex 2, pg. 61</t>
        </r>
      </text>
    </comment>
    <comment ref="R19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</t>
        </r>
      </text>
    </comment>
    <comment ref="R30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2</t>
        </r>
      </text>
    </comment>
    <comment ref="R29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 until 12/11/2009
uncertainty for disc 2 since 13/11/2009</t>
        </r>
      </text>
    </comment>
    <comment ref="S19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</t>
        </r>
      </text>
    </comment>
    <comment ref="S29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 until 12/11/2009
uncertainty for disc 2 since 13/11/2009</t>
        </r>
      </text>
    </comment>
    <comment ref="S30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2</t>
        </r>
      </text>
    </comment>
    <comment ref="AB19" authorId="0">
      <text>
        <r>
          <rPr>
            <b/>
            <sz val="10"/>
            <rFont val="Tahoma"/>
            <family val="0"/>
          </rPr>
          <t>Adam Hadulla:</t>
        </r>
        <r>
          <rPr>
            <sz val="10"/>
            <rFont val="Tahoma"/>
            <family val="0"/>
          </rPr>
          <t xml:space="preserve">
Formula modified, uncombusted methane from flaring 
= MM</t>
        </r>
        <r>
          <rPr>
            <sz val="7"/>
            <rFont val="Tahoma"/>
            <family val="2"/>
          </rPr>
          <t>FL</t>
        </r>
        <r>
          <rPr>
            <sz val="10"/>
            <rFont val="Tahoma"/>
            <family val="0"/>
          </rPr>
          <t>-MD</t>
        </r>
        <r>
          <rPr>
            <sz val="7"/>
            <rFont val="Tahoma"/>
            <family val="2"/>
          </rPr>
          <t>FL</t>
        </r>
      </text>
    </comment>
    <comment ref="BF19" authorId="1">
      <text>
        <r>
          <rPr>
            <b/>
            <sz val="8"/>
            <rFont val="Tahoma"/>
            <family val="0"/>
          </rPr>
          <t xml:space="preserve">Adam Hadulla:
</t>
        </r>
        <r>
          <rPr>
            <sz val="8"/>
            <rFont val="Tahoma"/>
            <family val="2"/>
          </rPr>
          <t>The heat has not been measured but calculated using the utilised methane amount, the heating value of methane 9.965 kWh/m³ and the boiler efficiency</t>
        </r>
      </text>
    </comment>
    <comment ref="BE19" authorId="1">
      <text>
        <r>
          <rPr>
            <b/>
            <sz val="8"/>
            <rFont val="Tahoma"/>
            <family val="2"/>
          </rPr>
          <t>Adam Hadulla:</t>
        </r>
        <r>
          <rPr>
            <sz val="8"/>
            <rFont val="Tahoma"/>
            <family val="0"/>
          </rPr>
          <t xml:space="preserve">
The heat has not been measured but calculated using the utilised methane amount, the heating value of methane 9.965 kWh/m³ and the boiler efficiency</t>
        </r>
      </text>
    </comment>
    <comment ref="BD19" authorId="1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The heat has not been measured but calculated using the utilised methane amount, the heating value of methane 9.965 kWh/m³ and the boiler efficiency</t>
        </r>
      </text>
    </comment>
    <comment ref="BA19" authorId="1">
      <text>
        <r>
          <rPr>
            <b/>
            <sz val="8"/>
            <rFont val="Tahoma"/>
            <family val="0"/>
          </rPr>
          <t xml:space="preserve">Adam Hadulla:
</t>
        </r>
        <r>
          <rPr>
            <sz val="8"/>
            <rFont val="Tahoma"/>
            <family val="2"/>
          </rPr>
          <t>The power amount has not been measured but calculated using:
- the utilised methane amount
- the heating value of methane
    9.965 kWh/m³
- a power generation efficiency of 
   36%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<sst xmlns="http://schemas.openxmlformats.org/spreadsheetml/2006/main" count="224" uniqueCount="151">
  <si>
    <t>Date</t>
  </si>
  <si>
    <t>%</t>
  </si>
  <si>
    <t>m³</t>
  </si>
  <si>
    <t>P2</t>
  </si>
  <si>
    <t>P3</t>
  </si>
  <si>
    <t>P4</t>
  </si>
  <si>
    <t>P5</t>
  </si>
  <si>
    <t>P8</t>
  </si>
  <si>
    <t>P17</t>
  </si>
  <si>
    <t>P18</t>
  </si>
  <si>
    <t>P19</t>
  </si>
  <si>
    <t>P23</t>
  </si>
  <si>
    <t>P24</t>
  </si>
  <si>
    <t>P25</t>
  </si>
  <si>
    <t>P26</t>
  </si>
  <si>
    <t>P27</t>
  </si>
  <si>
    <t>r</t>
  </si>
  <si>
    <t>P28</t>
  </si>
  <si>
    <t>B1</t>
  </si>
  <si>
    <t>B3</t>
  </si>
  <si>
    <t>B4</t>
  </si>
  <si>
    <t>B14</t>
  </si>
  <si>
    <t>B18</t>
  </si>
  <si>
    <t>B19</t>
  </si>
  <si>
    <t>B46</t>
  </si>
  <si>
    <t>B47</t>
  </si>
  <si>
    <t>B49</t>
  </si>
  <si>
    <t>B55</t>
  </si>
  <si>
    <t>B57</t>
  </si>
  <si>
    <t>Baseline emissions in year y</t>
  </si>
  <si>
    <t>Baseline emissions from release of methane into the atmosphere in year y that is avoided by the project activity</t>
  </si>
  <si>
    <t>Baseline emissions from the production of power, heat or supply to gas grid replaced by the project activity in year y</t>
  </si>
  <si>
    <t>Global warming potential of methane</t>
  </si>
  <si>
    <t>Carbon emission factor for combusted methane</t>
  </si>
  <si>
    <t>Electricity generation by project</t>
  </si>
  <si>
    <t>Heat generation by project</t>
  </si>
  <si>
    <t>CO2 emission factor of the grid</t>
  </si>
  <si>
    <t>CO2 emission factor of fuel used for captive power or heat</t>
  </si>
  <si>
    <t>P1</t>
  </si>
  <si>
    <t>P11</t>
  </si>
  <si>
    <t>P12</t>
  </si>
  <si>
    <t>P13</t>
  </si>
  <si>
    <t>P14</t>
  </si>
  <si>
    <t>P15</t>
  </si>
  <si>
    <t>P16</t>
  </si>
  <si>
    <t>Project emissions in year y</t>
  </si>
  <si>
    <t>Project emissions from energy use to capture and use methane</t>
  </si>
  <si>
    <t>Project emissions from methane destroyed</t>
  </si>
  <si>
    <t>Project emissions from uncombusted methane</t>
  </si>
  <si>
    <t>Additional electricity consumption by project</t>
  </si>
  <si>
    <t>Methane destroyed by flare</t>
  </si>
  <si>
    <t>Methane sent to flare</t>
  </si>
  <si>
    <t>Flare/combustion efficiency, determined by the operation hours and the methane content in the exhaust gas</t>
  </si>
  <si>
    <t>Methane destroyed by power generation</t>
  </si>
  <si>
    <t>Methane sent to power plant</t>
  </si>
  <si>
    <t>Efficiency of methane destruction / oxidation in power plant</t>
  </si>
  <si>
    <t>Methane destroyed by heat generation</t>
  </si>
  <si>
    <t>Efficiency of methane destruction / oxidation in heat plant</t>
  </si>
  <si>
    <t>Carbon emission factor for combusted non methane hydrocarbons (various)</t>
  </si>
  <si>
    <t>Concentration of methane in extracted gas</t>
  </si>
  <si>
    <t>Relative proportion of NMHC compared to methane</t>
  </si>
  <si>
    <t>NMHC concentration in coal mine gas</t>
  </si>
  <si>
    <r>
      <t>PE</t>
    </r>
    <r>
      <rPr>
        <b/>
        <vertAlign val="subscript"/>
        <sz val="11"/>
        <color indexed="8"/>
        <rFont val="Times New Roman"/>
        <family val="1"/>
      </rPr>
      <t>y</t>
    </r>
  </si>
  <si>
    <r>
      <t>PE</t>
    </r>
    <r>
      <rPr>
        <b/>
        <vertAlign val="subscript"/>
        <sz val="11"/>
        <rFont val="Times New Roman"/>
        <family val="1"/>
      </rPr>
      <t>ME</t>
    </r>
  </si>
  <si>
    <r>
      <t>PE</t>
    </r>
    <r>
      <rPr>
        <b/>
        <vertAlign val="subscript"/>
        <sz val="11"/>
        <rFont val="Times New Roman"/>
        <family val="1"/>
      </rPr>
      <t>MD</t>
    </r>
  </si>
  <si>
    <r>
      <t>PE</t>
    </r>
    <r>
      <rPr>
        <b/>
        <vertAlign val="subscript"/>
        <sz val="11"/>
        <rFont val="Times New Roman"/>
        <family val="1"/>
      </rPr>
      <t>UM</t>
    </r>
  </si>
  <si>
    <r>
      <t>CONS</t>
    </r>
    <r>
      <rPr>
        <b/>
        <vertAlign val="subscript"/>
        <sz val="11"/>
        <rFont val="Times New Roman"/>
        <family val="1"/>
      </rPr>
      <t>ELEC,PJ</t>
    </r>
  </si>
  <si>
    <r>
      <t>CEF</t>
    </r>
    <r>
      <rPr>
        <b/>
        <vertAlign val="subscript"/>
        <sz val="11"/>
        <color indexed="8"/>
        <rFont val="Times New Roman"/>
        <family val="1"/>
      </rPr>
      <t>E</t>
    </r>
    <r>
      <rPr>
        <b/>
        <vertAlign val="subscript"/>
        <sz val="11"/>
        <rFont val="Times New Roman"/>
        <family val="1"/>
      </rPr>
      <t>LEC,PJ</t>
    </r>
  </si>
  <si>
    <r>
      <t>MD</t>
    </r>
    <r>
      <rPr>
        <b/>
        <vertAlign val="subscript"/>
        <sz val="11"/>
        <rFont val="Times New Roman"/>
        <family val="1"/>
      </rPr>
      <t>FL</t>
    </r>
  </si>
  <si>
    <r>
      <t>MM</t>
    </r>
    <r>
      <rPr>
        <b/>
        <vertAlign val="subscript"/>
        <sz val="11"/>
        <rFont val="Times New Roman"/>
        <family val="1"/>
      </rPr>
      <t>FL</t>
    </r>
  </si>
  <si>
    <r>
      <t>Eff</t>
    </r>
    <r>
      <rPr>
        <b/>
        <vertAlign val="subscript"/>
        <sz val="11"/>
        <rFont val="Times New Roman"/>
        <family val="1"/>
      </rPr>
      <t>FL</t>
    </r>
  </si>
  <si>
    <r>
      <t>MD</t>
    </r>
    <r>
      <rPr>
        <b/>
        <vertAlign val="subscript"/>
        <sz val="11"/>
        <rFont val="Times New Roman"/>
        <family val="1"/>
      </rPr>
      <t>ELEC</t>
    </r>
  </si>
  <si>
    <r>
      <t>MM</t>
    </r>
    <r>
      <rPr>
        <b/>
        <vertAlign val="subscript"/>
        <sz val="11"/>
        <rFont val="Times New Roman"/>
        <family val="1"/>
      </rPr>
      <t>ELEC</t>
    </r>
  </si>
  <si>
    <r>
      <t>Eff</t>
    </r>
    <r>
      <rPr>
        <b/>
        <vertAlign val="subscript"/>
        <sz val="11"/>
        <rFont val="Times New Roman"/>
        <family val="1"/>
      </rPr>
      <t>ELEC</t>
    </r>
  </si>
  <si>
    <r>
      <t>MD</t>
    </r>
    <r>
      <rPr>
        <b/>
        <vertAlign val="subscript"/>
        <sz val="11"/>
        <rFont val="Times New Roman"/>
        <family val="1"/>
      </rPr>
      <t>HEAT</t>
    </r>
  </si>
  <si>
    <r>
      <t>MM</t>
    </r>
    <r>
      <rPr>
        <b/>
        <vertAlign val="subscript"/>
        <sz val="11"/>
        <rFont val="Times New Roman"/>
        <family val="1"/>
      </rPr>
      <t>HEAT</t>
    </r>
  </si>
  <si>
    <r>
      <t>Eff</t>
    </r>
    <r>
      <rPr>
        <b/>
        <vertAlign val="subscript"/>
        <sz val="11"/>
        <rFont val="Times New Roman"/>
        <family val="1"/>
      </rPr>
      <t>HEAT</t>
    </r>
  </si>
  <si>
    <r>
      <t>CEF</t>
    </r>
    <r>
      <rPr>
        <b/>
        <vertAlign val="subscript"/>
        <sz val="11"/>
        <rFont val="Times New Roman"/>
        <family val="1"/>
      </rPr>
      <t>CH4</t>
    </r>
  </si>
  <si>
    <r>
      <t>CEF</t>
    </r>
    <r>
      <rPr>
        <b/>
        <vertAlign val="subscript"/>
        <sz val="11"/>
        <rFont val="Times New Roman"/>
        <family val="1"/>
      </rPr>
      <t>NMHC</t>
    </r>
  </si>
  <si>
    <r>
      <t>PC</t>
    </r>
    <r>
      <rPr>
        <b/>
        <vertAlign val="subscript"/>
        <sz val="10"/>
        <rFont val="Times New Roman"/>
        <family val="1"/>
      </rPr>
      <t>CH4</t>
    </r>
  </si>
  <si>
    <r>
      <t>PC</t>
    </r>
    <r>
      <rPr>
        <b/>
        <vertAlign val="subscript"/>
        <sz val="10"/>
        <rFont val="Times New Roman"/>
        <family val="1"/>
      </rPr>
      <t>NMHC</t>
    </r>
  </si>
  <si>
    <r>
      <t>GWP</t>
    </r>
    <r>
      <rPr>
        <b/>
        <vertAlign val="subscript"/>
        <sz val="11"/>
        <rFont val="Times New Roman"/>
        <family val="1"/>
      </rPr>
      <t>CH4</t>
    </r>
  </si>
  <si>
    <r>
      <t>BE</t>
    </r>
    <r>
      <rPr>
        <b/>
        <vertAlign val="subscript"/>
        <sz val="11"/>
        <color indexed="8"/>
        <rFont val="Times New Roman"/>
        <family val="1"/>
      </rPr>
      <t>y</t>
    </r>
  </si>
  <si>
    <r>
      <t>BE</t>
    </r>
    <r>
      <rPr>
        <b/>
        <vertAlign val="subscript"/>
        <sz val="11"/>
        <rFont val="Times New Roman"/>
        <family val="1"/>
      </rPr>
      <t>MR,y</t>
    </r>
  </si>
  <si>
    <r>
      <t>BE</t>
    </r>
    <r>
      <rPr>
        <b/>
        <vertAlign val="subscript"/>
        <sz val="11"/>
        <rFont val="Times New Roman"/>
        <family val="1"/>
      </rPr>
      <t>Use,y</t>
    </r>
  </si>
  <si>
    <r>
      <t>CMM</t>
    </r>
    <r>
      <rPr>
        <b/>
        <vertAlign val="subscript"/>
        <sz val="11"/>
        <color indexed="8"/>
        <rFont val="Times New Roman"/>
        <family val="1"/>
      </rPr>
      <t>PJ,y</t>
    </r>
  </si>
  <si>
    <r>
      <t>GEN</t>
    </r>
    <r>
      <rPr>
        <b/>
        <vertAlign val="subscript"/>
        <sz val="11"/>
        <rFont val="Times New Roman"/>
        <family val="1"/>
      </rPr>
      <t>y</t>
    </r>
  </si>
  <si>
    <r>
      <t>HEAT</t>
    </r>
    <r>
      <rPr>
        <b/>
        <vertAlign val="subscript"/>
        <sz val="11"/>
        <rFont val="Times New Roman"/>
        <family val="1"/>
      </rPr>
      <t>y</t>
    </r>
  </si>
  <si>
    <r>
      <t>EF</t>
    </r>
    <r>
      <rPr>
        <b/>
        <vertAlign val="subscript"/>
        <sz val="11"/>
        <rFont val="Times New Roman"/>
        <family val="1"/>
      </rPr>
      <t>elec</t>
    </r>
  </si>
  <si>
    <r>
      <t>EF</t>
    </r>
    <r>
      <rPr>
        <b/>
        <vertAlign val="subscript"/>
        <sz val="11"/>
        <rFont val="Times New Roman"/>
        <family val="1"/>
      </rPr>
      <t>CO2,Coal</t>
    </r>
  </si>
  <si>
    <r>
      <t>Carbon emission factor of CONS</t>
    </r>
    <r>
      <rPr>
        <b/>
        <sz val="8"/>
        <rFont val="Arial"/>
        <family val="2"/>
      </rPr>
      <t>ELEC,PJ</t>
    </r>
  </si>
  <si>
    <t>t CO2eq</t>
  </si>
  <si>
    <t>MWh</t>
  </si>
  <si>
    <t>t CH4</t>
  </si>
  <si>
    <t>-</t>
  </si>
  <si>
    <t>t CO2 / MWh</t>
  </si>
  <si>
    <t>t CO2eq / 
t CH4</t>
  </si>
  <si>
    <t>t CO2eq / 
t NMHC</t>
  </si>
  <si>
    <t>t</t>
  </si>
  <si>
    <t>tCO2/MWh</t>
  </si>
  <si>
    <t>Total MP</t>
  </si>
  <si>
    <t>ER</t>
  </si>
  <si>
    <t>Emission reductions</t>
  </si>
  <si>
    <t>total methane amount</t>
  </si>
  <si>
    <r>
      <t>Eff</t>
    </r>
    <r>
      <rPr>
        <b/>
        <vertAlign val="subscript"/>
        <sz val="11"/>
        <color indexed="8"/>
        <rFont val="Times New Roman"/>
        <family val="1"/>
      </rPr>
      <t>hea</t>
    </r>
    <r>
      <rPr>
        <b/>
        <vertAlign val="subscript"/>
        <sz val="10"/>
        <rFont val="Times New Roman"/>
        <family val="1"/>
      </rPr>
      <t>t,VAH</t>
    </r>
  </si>
  <si>
    <r>
      <t>Eff</t>
    </r>
    <r>
      <rPr>
        <b/>
        <vertAlign val="subscript"/>
        <sz val="11"/>
        <color indexed="8"/>
        <rFont val="Times New Roman"/>
        <family val="1"/>
      </rPr>
      <t>hea</t>
    </r>
    <r>
      <rPr>
        <b/>
        <vertAlign val="subscript"/>
        <sz val="10"/>
        <rFont val="Times New Roman"/>
        <family val="1"/>
      </rPr>
      <t>t,coal</t>
    </r>
  </si>
  <si>
    <t>Energy efficiency of VAH</t>
  </si>
  <si>
    <t>Method 1</t>
  </si>
  <si>
    <t>Method 2</t>
  </si>
  <si>
    <t>Total 2008</t>
  </si>
  <si>
    <t>Total 2009</t>
  </si>
  <si>
    <t>Total 2010</t>
  </si>
  <si>
    <t>Total for monitoring period 2008-01-01 to 2010-03-31</t>
  </si>
  <si>
    <t>Emission Reductions -  from 2008-01-01 to 2010-03-31</t>
  </si>
  <si>
    <t>n.a.</t>
  </si>
  <si>
    <t>methane sent to cogene-ration unit</t>
  </si>
  <si>
    <t>Methane sent to heat generation</t>
  </si>
  <si>
    <t>Electricity generation by Emergency Power Generator</t>
  </si>
  <si>
    <t>Electricity generation by Cogenera-tion Unit</t>
  </si>
  <si>
    <t>Heat generation by Winter Boilers</t>
  </si>
  <si>
    <t>Heat generation by Summer Boilers</t>
  </si>
  <si>
    <t>Heat generation by VAH</t>
  </si>
  <si>
    <t>CMM captured in the project activity in year y</t>
  </si>
  <si>
    <t>methane amount sent to
winter boilers</t>
  </si>
  <si>
    <t>methane amount sent to
summer boilers</t>
  </si>
  <si>
    <t>methane amount sent to VAH</t>
  </si>
  <si>
    <t>methane amount sent to emergency power generator</t>
  </si>
  <si>
    <t>Energy efficiency of winter boilers</t>
  </si>
  <si>
    <t>Energy efficiency of summer boilers</t>
  </si>
  <si>
    <t>Uncertainties</t>
  </si>
  <si>
    <t>Monitoring Method</t>
  </si>
  <si>
    <t>Period</t>
  </si>
  <si>
    <t>01/01/2008 to 19/02/2010</t>
  </si>
  <si>
    <t xml:space="preserve">Flare 1 </t>
  </si>
  <si>
    <t>since 27/05/2009</t>
  </si>
  <si>
    <t>Flare 1a</t>
  </si>
  <si>
    <t>since 13/11/2009</t>
  </si>
  <si>
    <t>CHP 1</t>
  </si>
  <si>
    <t>since 30/10/2009</t>
  </si>
  <si>
    <t>Winter boilers</t>
  </si>
  <si>
    <t>since 24/02/2010</t>
  </si>
  <si>
    <t>VAH</t>
  </si>
  <si>
    <t>Uncertainty</t>
  </si>
  <si>
    <t>The monitoring method for the boilers and VAH has been changed  from method 1 to method 2 beginning with 24/02/2010</t>
  </si>
  <si>
    <t>The newer method is more accurate, so a lower uncertainty results.</t>
  </si>
  <si>
    <t>uncertainty weighted values</t>
  </si>
  <si>
    <t>Power production</t>
  </si>
  <si>
    <t>measured values</t>
  </si>
  <si>
    <t>total methane amount utilised</t>
  </si>
  <si>
    <t>Deduction on boiler efficiency</t>
  </si>
  <si>
    <t>The diaphragm for CMM flow measurement in flare 1 has been changed at 13/11/2009, a slightly higher uncertainty results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</si>
</sst>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-yyyy"/>
    <numFmt numFmtId="183" formatCode="[$-809]dd\ mmmm\ yyyy"/>
    <numFmt numFmtId="184" formatCode="d\.m\.yy\ h:mm;@"/>
    <numFmt numFmtId="185" formatCode="0.00000"/>
    <numFmt numFmtId="186" formatCode="0.0000"/>
    <numFmt numFmtId="187" formatCode="0.000"/>
    <numFmt numFmtId="188" formatCode="0.0"/>
    <numFmt numFmtId="189" formatCode="d/m/yy\ h:mm;@"/>
    <numFmt numFmtId="190" formatCode="yyyy\-mm\-dd;@"/>
    <numFmt numFmtId="191" formatCode="0.0%"/>
    <numFmt numFmtId="192" formatCode="0.000%"/>
    <numFmt numFmtId="193" formatCode="0.0000000"/>
    <numFmt numFmtId="194" formatCode="0.000000"/>
    <numFmt numFmtId="195" formatCode="mmmm\-yy"/>
    <numFmt numFmtId="196" formatCode="mmmm\-yyyy"/>
    <numFmt numFmtId="197" formatCode="#,##0.0"/>
    <numFmt numFmtId="198" formatCode="mmm\ yyyy"/>
    <numFmt numFmtId="199" formatCode="[$-407]dddd\,\ d\.\ mmmm\ yyyy"/>
    <numFmt numFmtId="200" formatCode="[$-407]mmm/\ yy;@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bscript"/>
      <sz val="11"/>
      <name val="Times New Roman"/>
      <family val="1"/>
    </font>
    <font>
      <b/>
      <vertAlign val="subscript"/>
      <sz val="10"/>
      <name val="Times New Roman"/>
      <family val="1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7"/>
      <name val="Tahoma"/>
      <family val="2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9" fontId="0" fillId="0" borderId="0" xfId="19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91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"/>
    </xf>
    <xf numFmtId="191" fontId="0" fillId="0" borderId="0" xfId="0" applyNumberFormat="1" applyFill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 quotePrefix="1">
      <alignment horizontal="center"/>
    </xf>
    <xf numFmtId="191" fontId="0" fillId="0" borderId="2" xfId="0" applyNumberFormat="1" applyFill="1" applyBorder="1" applyAlignment="1" quotePrefix="1">
      <alignment horizontal="center"/>
    </xf>
    <xf numFmtId="191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19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90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90" fontId="2" fillId="2" borderId="6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97" fontId="2" fillId="2" borderId="2" xfId="0" applyNumberFormat="1" applyFont="1" applyFill="1" applyBorder="1" applyAlignment="1">
      <alignment/>
    </xf>
    <xf numFmtId="9" fontId="2" fillId="2" borderId="2" xfId="19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right"/>
    </xf>
    <xf numFmtId="3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190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97" fontId="2" fillId="0" borderId="3" xfId="0" applyNumberFormat="1" applyFont="1" applyBorder="1" applyAlignment="1">
      <alignment/>
    </xf>
    <xf numFmtId="0" fontId="0" fillId="0" borderId="3" xfId="0" applyFill="1" applyBorder="1" applyAlignment="1" quotePrefix="1">
      <alignment horizontal="center"/>
    </xf>
    <xf numFmtId="191" fontId="0" fillId="0" borderId="3" xfId="0" applyNumberFormat="1" applyFill="1" applyBorder="1" applyAlignment="1" quotePrefix="1">
      <alignment horizontal="center"/>
    </xf>
    <xf numFmtId="191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9" fontId="2" fillId="0" borderId="3" xfId="19" applyFont="1" applyBorder="1" applyAlignment="1">
      <alignment/>
    </xf>
    <xf numFmtId="3" fontId="0" fillId="0" borderId="3" xfId="0" applyNumberFormat="1" applyBorder="1" applyAlignment="1">
      <alignment/>
    </xf>
    <xf numFmtId="200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2" xfId="0" applyNumberFormat="1" applyFill="1" applyBorder="1" applyAlignment="1" quotePrefix="1">
      <alignment/>
    </xf>
    <xf numFmtId="3" fontId="0" fillId="3" borderId="0" xfId="0" applyNumberFormat="1" applyFill="1" applyBorder="1" applyAlignment="1" quotePrefix="1">
      <alignment/>
    </xf>
    <xf numFmtId="197" fontId="0" fillId="0" borderId="0" xfId="0" applyNumberFormat="1" applyAlignment="1">
      <alignment/>
    </xf>
    <xf numFmtId="197" fontId="3" fillId="0" borderId="0" xfId="0" applyNumberFormat="1" applyFont="1" applyBorder="1" applyAlignment="1">
      <alignment/>
    </xf>
    <xf numFmtId="197" fontId="3" fillId="0" borderId="1" xfId="0" applyNumberFormat="1" applyFont="1" applyBorder="1" applyAlignment="1">
      <alignment vertical="top" wrapText="1"/>
    </xf>
    <xf numFmtId="197" fontId="3" fillId="0" borderId="1" xfId="0" applyNumberFormat="1" applyFont="1" applyBorder="1" applyAlignment="1">
      <alignment/>
    </xf>
    <xf numFmtId="197" fontId="2" fillId="0" borderId="0" xfId="0" applyNumberFormat="1" applyFont="1" applyAlignment="1">
      <alignment wrapText="1"/>
    </xf>
    <xf numFmtId="197" fontId="2" fillId="0" borderId="2" xfId="0" applyNumberFormat="1" applyFont="1" applyBorder="1" applyAlignment="1">
      <alignment horizontal="right" wrapText="1"/>
    </xf>
    <xf numFmtId="188" fontId="0" fillId="0" borderId="0" xfId="0" applyNumberFormat="1" applyFill="1" applyAlignment="1" quotePrefix="1">
      <alignment horizontal="center"/>
    </xf>
    <xf numFmtId="187" fontId="0" fillId="0" borderId="0" xfId="0" applyNumberFormat="1" applyFill="1" applyAlignment="1" quotePrefix="1">
      <alignment horizontal="center"/>
    </xf>
    <xf numFmtId="0" fontId="2" fillId="2" borderId="2" xfId="0" applyFont="1" applyFill="1" applyBorder="1" applyAlignment="1">
      <alignment horizontal="center"/>
    </xf>
    <xf numFmtId="187" fontId="0" fillId="0" borderId="2" xfId="0" applyNumberFormat="1" applyFill="1" applyBorder="1" applyAlignment="1" quotePrefix="1">
      <alignment horizontal="center"/>
    </xf>
    <xf numFmtId="187" fontId="0" fillId="0" borderId="3" xfId="0" applyNumberFormat="1" applyFill="1" applyBorder="1" applyAlignment="1" quotePrefix="1">
      <alignment horizontal="center"/>
    </xf>
    <xf numFmtId="197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9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left" wrapText="1"/>
    </xf>
    <xf numFmtId="1" fontId="0" fillId="0" borderId="0" xfId="0" applyNumberForma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7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3" borderId="2" xfId="0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0" fontId="2" fillId="4" borderId="2" xfId="0" applyFont="1" applyFill="1" applyBorder="1" applyAlignment="1">
      <alignment horizontal="right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10" fontId="16" fillId="0" borderId="0" xfId="19" applyNumberFormat="1" applyFont="1" applyFill="1" applyAlignment="1">
      <alignment/>
    </xf>
    <xf numFmtId="197" fontId="3" fillId="3" borderId="1" xfId="0" applyNumberFormat="1" applyFont="1" applyFill="1" applyBorder="1" applyAlignment="1">
      <alignment/>
    </xf>
    <xf numFmtId="197" fontId="3" fillId="3" borderId="1" xfId="0" applyNumberFormat="1" applyFont="1" applyFill="1" applyBorder="1" applyAlignment="1">
      <alignment vertical="top" wrapText="1"/>
    </xf>
    <xf numFmtId="197" fontId="2" fillId="3" borderId="0" xfId="0" applyNumberFormat="1" applyFont="1" applyFill="1" applyAlignment="1">
      <alignment wrapText="1"/>
    </xf>
    <xf numFmtId="197" fontId="2" fillId="3" borderId="2" xfId="0" applyNumberFormat="1" applyFont="1" applyFill="1" applyBorder="1" applyAlignment="1">
      <alignment horizontal="right" wrapText="1"/>
    </xf>
    <xf numFmtId="197" fontId="3" fillId="4" borderId="1" xfId="0" applyNumberFormat="1" applyFont="1" applyFill="1" applyBorder="1" applyAlignment="1">
      <alignment/>
    </xf>
    <xf numFmtId="197" fontId="3" fillId="4" borderId="1" xfId="0" applyNumberFormat="1" applyFont="1" applyFill="1" applyBorder="1" applyAlignment="1">
      <alignment vertical="top" wrapText="1"/>
    </xf>
    <xf numFmtId="197" fontId="2" fillId="4" borderId="0" xfId="0" applyNumberFormat="1" applyFont="1" applyFill="1" applyAlignment="1">
      <alignment wrapText="1"/>
    </xf>
    <xf numFmtId="197" fontId="2" fillId="4" borderId="2" xfId="0" applyNumberFormat="1" applyFont="1" applyFill="1" applyBorder="1" applyAlignment="1">
      <alignment horizontal="right" wrapText="1"/>
    </xf>
    <xf numFmtId="3" fontId="0" fillId="3" borderId="2" xfId="0" applyNumberFormat="1" applyFill="1" applyBorder="1" applyAlignment="1">
      <alignment/>
    </xf>
    <xf numFmtId="0" fontId="2" fillId="4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8"/>
  <sheetViews>
    <sheetView tabSelected="1" workbookViewId="0" topLeftCell="A1">
      <selection activeCell="U31" sqref="U31"/>
    </sheetView>
  </sheetViews>
  <sheetFormatPr defaultColWidth="11.421875" defaultRowHeight="12.75"/>
  <cols>
    <col min="1" max="1" width="21.8515625" style="5" customWidth="1"/>
    <col min="2" max="4" width="10.7109375" style="0" customWidth="1"/>
    <col min="5" max="5" width="10.57421875" style="0" bestFit="1" customWidth="1"/>
    <col min="6" max="6" width="10.140625" style="0" customWidth="1"/>
    <col min="7" max="7" width="8.28125" style="65" customWidth="1"/>
    <col min="8" max="8" width="9.7109375" style="65" customWidth="1"/>
    <col min="9" max="10" width="10.421875" style="0" customWidth="1"/>
    <col min="11" max="11" width="10.28125" style="4" customWidth="1"/>
    <col min="12" max="12" width="7.00390625" style="0" customWidth="1"/>
    <col min="13" max="15" width="10.140625" style="0" customWidth="1"/>
    <col min="16" max="16" width="10.7109375" style="0" customWidth="1"/>
    <col min="17" max="17" width="10.140625" style="0" customWidth="1"/>
    <col min="18" max="18" width="8.28125" style="65" bestFit="1" customWidth="1"/>
    <col min="19" max="19" width="9.7109375" style="65" bestFit="1" customWidth="1"/>
    <col min="20" max="20" width="10.421875" style="65" customWidth="1"/>
    <col min="21" max="21" width="10.421875" style="0" customWidth="1"/>
    <col min="22" max="22" width="12.00390625" style="4" bestFit="1" customWidth="1"/>
    <col min="23" max="23" width="8.8515625" style="0" customWidth="1"/>
    <col min="25" max="25" width="11.28125" style="0" customWidth="1"/>
    <col min="28" max="28" width="13.421875" style="0" customWidth="1"/>
    <col min="29" max="29" width="12.7109375" style="0" customWidth="1"/>
    <col min="30" max="30" width="12.8515625" style="0" customWidth="1"/>
    <col min="31" max="31" width="9.7109375" style="65" bestFit="1" customWidth="1"/>
    <col min="32" max="32" width="8.28125" style="65" bestFit="1" customWidth="1"/>
    <col min="33" max="33" width="16.8515625" style="0" customWidth="1"/>
    <col min="41" max="42" width="14.140625" style="0" customWidth="1"/>
    <col min="43" max="43" width="16.140625" style="0" bestFit="1" customWidth="1"/>
    <col min="47" max="47" width="15.8515625" style="0" customWidth="1"/>
    <col min="48" max="48" width="16.421875" style="0" customWidth="1"/>
    <col min="49" max="49" width="13.00390625" style="0" customWidth="1"/>
  </cols>
  <sheetData>
    <row r="1" spans="1:22" ht="18">
      <c r="A1" s="1" t="s">
        <v>113</v>
      </c>
      <c r="K1"/>
      <c r="V1"/>
    </row>
    <row r="2" spans="1:63" ht="18">
      <c r="A2" s="1"/>
      <c r="G2" s="66"/>
      <c r="H2" s="76"/>
      <c r="I2" s="9"/>
      <c r="J2" s="9"/>
      <c r="K2"/>
      <c r="R2" s="66"/>
      <c r="S2" s="76"/>
      <c r="T2" s="76"/>
      <c r="U2" s="9"/>
      <c r="V2"/>
      <c r="Y2" s="9" t="s">
        <v>38</v>
      </c>
      <c r="Z2" s="9" t="s">
        <v>3</v>
      </c>
      <c r="AA2" s="9" t="s">
        <v>4</v>
      </c>
      <c r="AB2" s="9" t="s">
        <v>5</v>
      </c>
      <c r="AC2" s="9" t="s">
        <v>6</v>
      </c>
      <c r="AD2" s="9" t="s">
        <v>7</v>
      </c>
      <c r="AE2" s="76" t="s">
        <v>39</v>
      </c>
      <c r="AF2" s="66" t="s">
        <v>40</v>
      </c>
      <c r="AG2" s="77" t="s">
        <v>41</v>
      </c>
      <c r="AH2" s="10" t="s">
        <v>42</v>
      </c>
      <c r="AI2" s="77" t="s">
        <v>43</v>
      </c>
      <c r="AJ2" s="77" t="s">
        <v>44</v>
      </c>
      <c r="AK2" s="9" t="s">
        <v>8</v>
      </c>
      <c r="AL2" s="9" t="s">
        <v>9</v>
      </c>
      <c r="AM2" s="9" t="s">
        <v>10</v>
      </c>
      <c r="AN2" s="9" t="s">
        <v>11</v>
      </c>
      <c r="AO2" s="9" t="s">
        <v>12</v>
      </c>
      <c r="AP2" s="9" t="s">
        <v>13</v>
      </c>
      <c r="AQ2" s="9" t="s">
        <v>14</v>
      </c>
      <c r="AR2" s="9" t="s">
        <v>15</v>
      </c>
      <c r="AS2" s="9" t="s">
        <v>17</v>
      </c>
      <c r="AT2" s="9" t="s">
        <v>18</v>
      </c>
      <c r="AU2" s="9" t="s">
        <v>19</v>
      </c>
      <c r="AV2" s="9" t="s">
        <v>20</v>
      </c>
      <c r="AW2" s="9" t="s">
        <v>21</v>
      </c>
      <c r="AX2" s="9" t="s">
        <v>22</v>
      </c>
      <c r="AY2" s="9" t="s">
        <v>23</v>
      </c>
      <c r="AZ2" s="9" t="s">
        <v>24</v>
      </c>
      <c r="BA2" s="9"/>
      <c r="BB2" s="9"/>
      <c r="BC2" s="9" t="s">
        <v>25</v>
      </c>
      <c r="BD2" s="9"/>
      <c r="BE2" s="9"/>
      <c r="BF2" s="9"/>
      <c r="BG2" s="9" t="s">
        <v>26</v>
      </c>
      <c r="BH2" s="9" t="s">
        <v>27</v>
      </c>
      <c r="BI2" s="9" t="s">
        <v>28</v>
      </c>
      <c r="BJ2" s="9"/>
      <c r="BK2" s="9"/>
    </row>
    <row r="3" spans="1:63" ht="16.5">
      <c r="A3" s="3"/>
      <c r="B3" s="98"/>
      <c r="C3" s="98"/>
      <c r="D3" s="98"/>
      <c r="E3" s="121" t="s">
        <v>147</v>
      </c>
      <c r="F3" s="98"/>
      <c r="G3" s="109"/>
      <c r="H3" s="110"/>
      <c r="I3" s="122"/>
      <c r="J3" s="123"/>
      <c r="K3" s="3"/>
      <c r="L3" s="3"/>
      <c r="M3" s="102"/>
      <c r="N3" s="102"/>
      <c r="O3" s="102"/>
      <c r="P3" s="120" t="s">
        <v>145</v>
      </c>
      <c r="Q3" s="102"/>
      <c r="R3" s="113"/>
      <c r="S3" s="114"/>
      <c r="T3" s="114"/>
      <c r="U3" s="123"/>
      <c r="V3" s="3"/>
      <c r="W3" s="3"/>
      <c r="X3" s="20" t="s">
        <v>101</v>
      </c>
      <c r="Y3" s="20" t="s">
        <v>62</v>
      </c>
      <c r="Z3" s="20" t="s">
        <v>63</v>
      </c>
      <c r="AA3" s="20" t="s">
        <v>64</v>
      </c>
      <c r="AB3" s="20" t="s">
        <v>65</v>
      </c>
      <c r="AC3" s="20" t="s">
        <v>66</v>
      </c>
      <c r="AD3" s="20" t="s">
        <v>67</v>
      </c>
      <c r="AE3" s="67" t="s">
        <v>68</v>
      </c>
      <c r="AF3" s="68" t="s">
        <v>69</v>
      </c>
      <c r="AG3" s="21" t="s">
        <v>70</v>
      </c>
      <c r="AH3" s="20" t="s">
        <v>71</v>
      </c>
      <c r="AI3" s="21" t="s">
        <v>72</v>
      </c>
      <c r="AJ3" s="21" t="s">
        <v>73</v>
      </c>
      <c r="AK3" s="20" t="s">
        <v>74</v>
      </c>
      <c r="AL3" s="20" t="s">
        <v>75</v>
      </c>
      <c r="AM3" s="20" t="s">
        <v>76</v>
      </c>
      <c r="AN3" s="20" t="s">
        <v>77</v>
      </c>
      <c r="AO3" s="20" t="s">
        <v>78</v>
      </c>
      <c r="AP3" s="20" t="s">
        <v>79</v>
      </c>
      <c r="AQ3" s="20" t="s">
        <v>80</v>
      </c>
      <c r="AR3" s="20" t="s">
        <v>16</v>
      </c>
      <c r="AS3" s="20" t="s">
        <v>81</v>
      </c>
      <c r="AT3" s="20" t="s">
        <v>82</v>
      </c>
      <c r="AU3" s="20" t="s">
        <v>83</v>
      </c>
      <c r="AV3" s="20" t="s">
        <v>84</v>
      </c>
      <c r="AW3" s="20" t="s">
        <v>85</v>
      </c>
      <c r="AX3" s="20" t="s">
        <v>81</v>
      </c>
      <c r="AY3" s="20" t="s">
        <v>77</v>
      </c>
      <c r="AZ3" s="20" t="s">
        <v>86</v>
      </c>
      <c r="BA3" s="20"/>
      <c r="BB3" s="20"/>
      <c r="BC3" s="20" t="s">
        <v>87</v>
      </c>
      <c r="BD3" s="20"/>
      <c r="BE3" s="20"/>
      <c r="BF3" s="20"/>
      <c r="BG3" s="20" t="s">
        <v>88</v>
      </c>
      <c r="BH3" s="20" t="s">
        <v>89</v>
      </c>
      <c r="BI3" s="20" t="s">
        <v>105</v>
      </c>
      <c r="BJ3" s="20"/>
      <c r="BK3" s="20" t="s">
        <v>104</v>
      </c>
    </row>
    <row r="4" spans="1:63" ht="127.5">
      <c r="A4" s="2" t="s">
        <v>0</v>
      </c>
      <c r="B4" s="99" t="s">
        <v>123</v>
      </c>
      <c r="C4" s="99" t="s">
        <v>124</v>
      </c>
      <c r="D4" s="99" t="s">
        <v>125</v>
      </c>
      <c r="E4" s="99" t="s">
        <v>126</v>
      </c>
      <c r="F4" s="100" t="s">
        <v>115</v>
      </c>
      <c r="G4" s="111" t="s">
        <v>51</v>
      </c>
      <c r="H4" s="111" t="s">
        <v>50</v>
      </c>
      <c r="I4" s="100" t="s">
        <v>118</v>
      </c>
      <c r="J4" s="111" t="s">
        <v>51</v>
      </c>
      <c r="K4" s="13" t="s">
        <v>148</v>
      </c>
      <c r="L4" s="80"/>
      <c r="M4" s="103" t="s">
        <v>123</v>
      </c>
      <c r="N4" s="103" t="s">
        <v>124</v>
      </c>
      <c r="O4" s="103" t="s">
        <v>125</v>
      </c>
      <c r="P4" s="103" t="s">
        <v>126</v>
      </c>
      <c r="Q4" s="104" t="s">
        <v>115</v>
      </c>
      <c r="R4" s="115" t="s">
        <v>51</v>
      </c>
      <c r="S4" s="115" t="s">
        <v>50</v>
      </c>
      <c r="T4" s="104" t="s">
        <v>118</v>
      </c>
      <c r="U4" s="115" t="s">
        <v>51</v>
      </c>
      <c r="V4" s="13" t="s">
        <v>148</v>
      </c>
      <c r="W4" s="80" t="s">
        <v>103</v>
      </c>
      <c r="X4" s="11" t="s">
        <v>102</v>
      </c>
      <c r="Y4" s="11" t="s">
        <v>45</v>
      </c>
      <c r="Z4" s="11" t="s">
        <v>46</v>
      </c>
      <c r="AA4" s="11" t="s">
        <v>47</v>
      </c>
      <c r="AB4" s="11" t="s">
        <v>48</v>
      </c>
      <c r="AC4" s="11" t="s">
        <v>49</v>
      </c>
      <c r="AD4" s="11" t="s">
        <v>90</v>
      </c>
      <c r="AE4" s="69" t="s">
        <v>50</v>
      </c>
      <c r="AF4" s="69" t="s">
        <v>51</v>
      </c>
      <c r="AG4" s="11" t="s">
        <v>52</v>
      </c>
      <c r="AH4" s="11" t="s">
        <v>53</v>
      </c>
      <c r="AI4" s="11" t="s">
        <v>54</v>
      </c>
      <c r="AJ4" s="11" t="s">
        <v>55</v>
      </c>
      <c r="AK4" s="11" t="s">
        <v>56</v>
      </c>
      <c r="AL4" s="11" t="s">
        <v>116</v>
      </c>
      <c r="AM4" s="11" t="s">
        <v>57</v>
      </c>
      <c r="AN4" s="11" t="s">
        <v>33</v>
      </c>
      <c r="AO4" s="11" t="s">
        <v>58</v>
      </c>
      <c r="AP4" s="11" t="s">
        <v>59</v>
      </c>
      <c r="AQ4" s="11" t="s">
        <v>61</v>
      </c>
      <c r="AR4" s="11" t="s">
        <v>60</v>
      </c>
      <c r="AS4" s="11" t="s">
        <v>32</v>
      </c>
      <c r="AT4" s="11" t="s">
        <v>29</v>
      </c>
      <c r="AU4" s="11" t="s">
        <v>30</v>
      </c>
      <c r="AV4" s="11" t="s">
        <v>31</v>
      </c>
      <c r="AW4" s="11" t="s">
        <v>122</v>
      </c>
      <c r="AX4" s="11" t="s">
        <v>32</v>
      </c>
      <c r="AY4" s="11" t="s">
        <v>33</v>
      </c>
      <c r="AZ4" s="11" t="s">
        <v>34</v>
      </c>
      <c r="BA4" s="11" t="s">
        <v>117</v>
      </c>
      <c r="BB4" s="11" t="s">
        <v>118</v>
      </c>
      <c r="BC4" s="11" t="s">
        <v>35</v>
      </c>
      <c r="BD4" s="11" t="s">
        <v>119</v>
      </c>
      <c r="BE4" s="11" t="s">
        <v>120</v>
      </c>
      <c r="BF4" s="11" t="s">
        <v>121</v>
      </c>
      <c r="BG4" s="11" t="s">
        <v>36</v>
      </c>
      <c r="BH4" s="11" t="s">
        <v>37</v>
      </c>
      <c r="BI4" s="11" t="s">
        <v>127</v>
      </c>
      <c r="BJ4" s="11" t="s">
        <v>128</v>
      </c>
      <c r="BK4" s="11" t="s">
        <v>106</v>
      </c>
    </row>
    <row r="5" spans="1:63" s="6" customFormat="1" ht="26.25" thickBot="1">
      <c r="A5" s="31"/>
      <c r="B5" s="101" t="s">
        <v>2</v>
      </c>
      <c r="C5" s="101" t="s">
        <v>2</v>
      </c>
      <c r="D5" s="101" t="s">
        <v>2</v>
      </c>
      <c r="E5" s="101" t="s">
        <v>2</v>
      </c>
      <c r="F5" s="101" t="s">
        <v>2</v>
      </c>
      <c r="G5" s="112" t="s">
        <v>93</v>
      </c>
      <c r="H5" s="112" t="s">
        <v>93</v>
      </c>
      <c r="I5" s="119" t="s">
        <v>92</v>
      </c>
      <c r="J5" s="101" t="s">
        <v>2</v>
      </c>
      <c r="K5" s="32" t="s">
        <v>2</v>
      </c>
      <c r="L5" s="32" t="s">
        <v>98</v>
      </c>
      <c r="M5" s="105" t="s">
        <v>2</v>
      </c>
      <c r="N5" s="105" t="s">
        <v>2</v>
      </c>
      <c r="O5" s="105" t="s">
        <v>2</v>
      </c>
      <c r="P5" s="105" t="s">
        <v>2</v>
      </c>
      <c r="Q5" s="105" t="s">
        <v>2</v>
      </c>
      <c r="R5" s="116" t="s">
        <v>93</v>
      </c>
      <c r="S5" s="116" t="s">
        <v>93</v>
      </c>
      <c r="T5" s="118" t="s">
        <v>92</v>
      </c>
      <c r="U5" s="105" t="s">
        <v>2</v>
      </c>
      <c r="V5" s="32" t="s">
        <v>2</v>
      </c>
      <c r="W5" s="32" t="s">
        <v>98</v>
      </c>
      <c r="X5" s="12" t="s">
        <v>91</v>
      </c>
      <c r="Y5" s="12" t="s">
        <v>91</v>
      </c>
      <c r="Z5" s="12" t="s">
        <v>91</v>
      </c>
      <c r="AA5" s="12" t="s">
        <v>91</v>
      </c>
      <c r="AB5" s="12" t="s">
        <v>91</v>
      </c>
      <c r="AC5" s="12" t="s">
        <v>92</v>
      </c>
      <c r="AD5" s="12" t="s">
        <v>91</v>
      </c>
      <c r="AE5" s="70" t="s">
        <v>93</v>
      </c>
      <c r="AF5" s="70" t="s">
        <v>93</v>
      </c>
      <c r="AG5" s="12" t="s">
        <v>1</v>
      </c>
      <c r="AH5" s="12" t="s">
        <v>93</v>
      </c>
      <c r="AI5" s="12" t="s">
        <v>93</v>
      </c>
      <c r="AJ5" s="12" t="s">
        <v>1</v>
      </c>
      <c r="AK5" s="12" t="s">
        <v>93</v>
      </c>
      <c r="AL5" s="12" t="s">
        <v>93</v>
      </c>
      <c r="AM5" s="12" t="s">
        <v>1</v>
      </c>
      <c r="AN5" s="12" t="s">
        <v>96</v>
      </c>
      <c r="AO5" s="12" t="s">
        <v>97</v>
      </c>
      <c r="AP5" s="12" t="s">
        <v>1</v>
      </c>
      <c r="AQ5" s="12" t="s">
        <v>1</v>
      </c>
      <c r="AR5" s="12" t="s">
        <v>94</v>
      </c>
      <c r="AS5" s="12" t="s">
        <v>96</v>
      </c>
      <c r="AT5" s="12" t="s">
        <v>91</v>
      </c>
      <c r="AU5" s="12" t="s">
        <v>91</v>
      </c>
      <c r="AV5" s="12" t="s">
        <v>91</v>
      </c>
      <c r="AW5" s="12" t="s">
        <v>93</v>
      </c>
      <c r="AX5" s="12" t="s">
        <v>96</v>
      </c>
      <c r="AY5" s="12" t="s">
        <v>96</v>
      </c>
      <c r="AZ5" s="12" t="s">
        <v>92</v>
      </c>
      <c r="BA5" s="12" t="s">
        <v>92</v>
      </c>
      <c r="BB5" s="12" t="s">
        <v>92</v>
      </c>
      <c r="BC5" s="12" t="s">
        <v>92</v>
      </c>
      <c r="BD5" s="12" t="s">
        <v>92</v>
      </c>
      <c r="BE5" s="12" t="s">
        <v>92</v>
      </c>
      <c r="BF5" s="12" t="s">
        <v>92</v>
      </c>
      <c r="BG5" s="12" t="s">
        <v>95</v>
      </c>
      <c r="BH5" s="12" t="s">
        <v>99</v>
      </c>
      <c r="BI5" s="12" t="s">
        <v>1</v>
      </c>
      <c r="BJ5" s="12" t="s">
        <v>1</v>
      </c>
      <c r="BK5" s="45" t="s">
        <v>1</v>
      </c>
    </row>
    <row r="6" spans="1:63" ht="12.75">
      <c r="A6" s="58">
        <v>39448</v>
      </c>
      <c r="B6" s="59">
        <v>921369.0654419167</v>
      </c>
      <c r="C6" s="59"/>
      <c r="D6" s="62">
        <v>147921.53679682434</v>
      </c>
      <c r="E6" s="62"/>
      <c r="F6" s="62">
        <v>0</v>
      </c>
      <c r="G6" s="59">
        <v>0</v>
      </c>
      <c r="H6" s="59">
        <v>0</v>
      </c>
      <c r="I6" s="59">
        <v>0</v>
      </c>
      <c r="J6" s="59">
        <f>G6*1000/0.717</f>
        <v>0</v>
      </c>
      <c r="K6" s="4">
        <f>SUM(B6:F6)+J6</f>
        <v>1069290.602238741</v>
      </c>
      <c r="L6" s="81">
        <f>K6*0.717/1000</f>
        <v>766.6813618051773</v>
      </c>
      <c r="M6" s="106">
        <f>B6*(1-$D$48)</f>
        <v>872536.504973495</v>
      </c>
      <c r="N6" s="106">
        <f aca="true" t="shared" si="0" ref="N6:P17">C6*(1-$D$48)</f>
        <v>0</v>
      </c>
      <c r="O6" s="106">
        <f t="shared" si="0"/>
        <v>140081.69534659263</v>
      </c>
      <c r="P6" s="106">
        <f t="shared" si="0"/>
        <v>0</v>
      </c>
      <c r="Q6" s="106">
        <f>F6*(1-$D$52)</f>
        <v>0</v>
      </c>
      <c r="R6" s="107">
        <v>0</v>
      </c>
      <c r="S6" s="107">
        <v>0</v>
      </c>
      <c r="T6" s="107">
        <v>0</v>
      </c>
      <c r="U6" s="107"/>
      <c r="V6" s="4">
        <f>SUM(M6:Q6)+U6</f>
        <v>1012618.2003200876</v>
      </c>
      <c r="W6" s="81">
        <f>V6*0.717/1000</f>
        <v>726.0472496295027</v>
      </c>
      <c r="X6" s="4">
        <f aca="true" t="shared" si="1" ref="X6:X17">AT6-Y6</f>
        <v>15873.520480761048</v>
      </c>
      <c r="Y6" s="39">
        <f>Z6+AA6+AB6</f>
        <v>2062.8817480098246</v>
      </c>
      <c r="Z6" s="8">
        <f>AC6*AD6</f>
        <v>0</v>
      </c>
      <c r="AA6" s="4">
        <f>(AE6+AH6+AK6)*(AN$6+AO6*AR6)</f>
        <v>1986.646786798727</v>
      </c>
      <c r="AB6" s="4">
        <f aca="true" t="shared" si="2" ref="AB6:AB17">AS$6*((AF6-AE6)+AI6*(1-AJ$6)+AL6*(1-AM$6))</f>
        <v>76.23496121109785</v>
      </c>
      <c r="AC6" s="81">
        <f aca="true" t="shared" si="3" ref="AC6:AC17">BB6*0.035</f>
        <v>0</v>
      </c>
      <c r="AD6" s="18">
        <v>0.695</v>
      </c>
      <c r="AE6" s="46">
        <f>S6</f>
        <v>0</v>
      </c>
      <c r="AF6" s="46">
        <f>R6</f>
        <v>0</v>
      </c>
      <c r="AG6" s="78" t="s">
        <v>114</v>
      </c>
      <c r="AH6" s="79">
        <f aca="true" t="shared" si="4" ref="AH6:AH15">AI6*AJ$6</f>
        <v>0</v>
      </c>
      <c r="AI6" s="79">
        <f>(P6+Q6)*0.717/1000</f>
        <v>0</v>
      </c>
      <c r="AJ6" s="19">
        <v>0.995</v>
      </c>
      <c r="AK6" s="7">
        <f aca="true" t="shared" si="5" ref="AK6:AK17">AL6*AM$6</f>
        <v>722.4170133813552</v>
      </c>
      <c r="AL6" s="7">
        <f aca="true" t="shared" si="6" ref="AL6:AL17">(M6+N6+O6)*0.717/1000</f>
        <v>726.0472496295027</v>
      </c>
      <c r="AM6" s="17">
        <v>0.995</v>
      </c>
      <c r="AN6" s="16">
        <v>2.75</v>
      </c>
      <c r="AP6" s="14"/>
      <c r="AQ6" s="15"/>
      <c r="AS6" s="16">
        <v>21</v>
      </c>
      <c r="AT6" s="4">
        <f>AU6+AV6</f>
        <v>17936.402228770872</v>
      </c>
      <c r="AU6" s="4">
        <f>AW6*AX$6</f>
        <v>15246.992242219558</v>
      </c>
      <c r="AV6" s="4">
        <f>AZ6*BG6+BC6*BH$6</f>
        <v>2689.4099865513153</v>
      </c>
      <c r="AW6" s="4">
        <f aca="true" t="shared" si="7" ref="AW6:AW17">(AF6+AI6+AL6)</f>
        <v>726.0472496295027</v>
      </c>
      <c r="AX6" s="4">
        <v>21</v>
      </c>
      <c r="AY6" s="83">
        <v>2.75</v>
      </c>
      <c r="AZ6" s="4">
        <f>BA6+BB6</f>
        <v>0</v>
      </c>
      <c r="BA6" s="4">
        <f>P6*9.965/1000*0.36</f>
        <v>0</v>
      </c>
      <c r="BB6" s="46">
        <f>T6</f>
        <v>0</v>
      </c>
      <c r="BC6" s="46">
        <f>BD6+BE6+BF6</f>
        <v>7896.095086762522</v>
      </c>
      <c r="BD6" s="46">
        <f>M6*9.965/1000*$BI$6</f>
        <v>6521.119704045659</v>
      </c>
      <c r="BE6" s="46">
        <f>N6*9.965/1000*$BJ$6</f>
        <v>0</v>
      </c>
      <c r="BF6" s="46">
        <f>O6*9.965/1000*$BK$6</f>
        <v>1374.9753827168636</v>
      </c>
      <c r="BG6">
        <f>AD6</f>
        <v>0.695</v>
      </c>
      <c r="BH6">
        <v>0.3406</v>
      </c>
      <c r="BI6" s="47">
        <f>0.9-D57</f>
        <v>0.75</v>
      </c>
      <c r="BJ6" s="47">
        <f>0.89-D57</f>
        <v>0.74</v>
      </c>
      <c r="BK6">
        <v>0.985</v>
      </c>
    </row>
    <row r="7" spans="1:59" ht="12.75">
      <c r="A7" s="58">
        <v>39479</v>
      </c>
      <c r="B7" s="59">
        <v>725392.825943609</v>
      </c>
      <c r="C7" s="59"/>
      <c r="D7" s="62">
        <v>76843.83404690342</v>
      </c>
      <c r="E7" s="62"/>
      <c r="F7" s="62">
        <v>0</v>
      </c>
      <c r="G7" s="59">
        <v>0</v>
      </c>
      <c r="H7" s="59">
        <v>0</v>
      </c>
      <c r="I7" s="59">
        <v>0</v>
      </c>
      <c r="J7" s="59">
        <f aca="true" t="shared" si="8" ref="J7:J17">G7*1000/0.717</f>
        <v>0</v>
      </c>
      <c r="K7" s="4">
        <f aca="true" t="shared" si="9" ref="K7:K17">SUM(B7:F7)+J7</f>
        <v>802236.6599905124</v>
      </c>
      <c r="L7" s="81">
        <f aca="true" t="shared" si="10" ref="L7:L30">K7*0.717/1000</f>
        <v>575.2036852131973</v>
      </c>
      <c r="M7" s="106">
        <f aca="true" t="shared" si="11" ref="M7:M17">B7*(1-$D$48)</f>
        <v>686947.0061685977</v>
      </c>
      <c r="N7" s="106">
        <f t="shared" si="0"/>
        <v>0</v>
      </c>
      <c r="O7" s="106">
        <f t="shared" si="0"/>
        <v>72771.11084241753</v>
      </c>
      <c r="P7" s="106">
        <f t="shared" si="0"/>
        <v>0</v>
      </c>
      <c r="Q7" s="106">
        <f aca="true" t="shared" si="12" ref="Q7:Q17">F7*(1-$D$52)</f>
        <v>0</v>
      </c>
      <c r="R7" s="107">
        <v>0</v>
      </c>
      <c r="S7" s="107">
        <v>0</v>
      </c>
      <c r="T7" s="107">
        <v>0</v>
      </c>
      <c r="U7" s="107"/>
      <c r="V7" s="4">
        <f aca="true" t="shared" si="13" ref="V7:V17">SUM(M7:Q7)+U7</f>
        <v>759718.1170110153</v>
      </c>
      <c r="W7" s="81">
        <f aca="true" t="shared" si="14" ref="W7:W30">V7*0.717/1000</f>
        <v>544.717889896898</v>
      </c>
      <c r="X7" s="4">
        <f t="shared" si="1"/>
        <v>11883.346324607746</v>
      </c>
      <c r="Y7" s="39">
        <f>Z7+AA7+AB7</f>
        <v>1547.6797046695615</v>
      </c>
      <c r="Z7" s="8">
        <f>AC7*AD7</f>
        <v>0</v>
      </c>
      <c r="AA7" s="4">
        <f aca="true" t="shared" si="15" ref="AA7:AA17">(AE7+AH7+AK7)*(AN$6+AO7*AR7)</f>
        <v>1490.484326230387</v>
      </c>
      <c r="AB7" s="4">
        <f t="shared" si="2"/>
        <v>57.19537843917434</v>
      </c>
      <c r="AC7" s="81">
        <f t="shared" si="3"/>
        <v>0</v>
      </c>
      <c r="AD7" s="18">
        <v>0.695</v>
      </c>
      <c r="AE7" s="46">
        <f aca="true" t="shared" si="16" ref="AE7:AE17">S7</f>
        <v>0</v>
      </c>
      <c r="AF7" s="46">
        <f aca="true" t="shared" si="17" ref="AF7:AF17">R7</f>
        <v>0</v>
      </c>
      <c r="AG7" s="19"/>
      <c r="AH7" s="79">
        <f t="shared" si="4"/>
        <v>0</v>
      </c>
      <c r="AI7" s="79">
        <f aca="true" t="shared" si="18" ref="AI7:AI17">(P7+Q7)*0.717/1000</f>
        <v>0</v>
      </c>
      <c r="AJ7" s="19"/>
      <c r="AK7" s="7">
        <f t="shared" si="5"/>
        <v>541.9943004474135</v>
      </c>
      <c r="AL7" s="7">
        <f t="shared" si="6"/>
        <v>544.717889896898</v>
      </c>
      <c r="AM7" s="17"/>
      <c r="AN7" s="16"/>
      <c r="AP7" s="14"/>
      <c r="AQ7" s="15"/>
      <c r="AS7" s="16"/>
      <c r="AT7" s="4">
        <f aca="true" t="shared" si="19" ref="AT7:AT17">AU7+AV7</f>
        <v>13431.026029277307</v>
      </c>
      <c r="AU7" s="4">
        <f aca="true" t="shared" si="20" ref="AU7:AU17">AW7*AX$6</f>
        <v>11439.075687834858</v>
      </c>
      <c r="AV7" s="4">
        <f aca="true" t="shared" si="21" ref="AV7:AV17">AZ7*BG7+BC7*BH$6</f>
        <v>1991.9503414424491</v>
      </c>
      <c r="AW7" s="4">
        <f t="shared" si="7"/>
        <v>544.717889896898</v>
      </c>
      <c r="AX7" s="4"/>
      <c r="AY7" s="4"/>
      <c r="AZ7" s="4">
        <f aca="true" t="shared" si="22" ref="AZ7:AZ17">BA7+BB7</f>
        <v>0</v>
      </c>
      <c r="BA7" s="4">
        <f aca="true" t="shared" si="23" ref="BA7:BA17">P7*9.965/1000*0.36</f>
        <v>0</v>
      </c>
      <c r="BB7" s="46">
        <f aca="true" t="shared" si="24" ref="BB7:BB17">T7</f>
        <v>0</v>
      </c>
      <c r="BC7" s="46">
        <f aca="true" t="shared" si="25" ref="BC7:BC17">BD7+BE7+BF7</f>
        <v>5848.356845104078</v>
      </c>
      <c r="BD7" s="46">
        <f aca="true" t="shared" si="26" ref="BD7:BD17">M7*9.965/1000*$BI$6</f>
        <v>5134.070187352558</v>
      </c>
      <c r="BE7" s="46">
        <f aca="true" t="shared" si="27" ref="BE7:BE17">N7*9.965/1000*$BJ$6</f>
        <v>0</v>
      </c>
      <c r="BF7" s="46">
        <f aca="true" t="shared" si="28" ref="BF7:BF17">O7*9.965/1000*$BK$6</f>
        <v>714.2866577515204</v>
      </c>
      <c r="BG7">
        <f aca="true" t="shared" si="29" ref="BG7:BG17">AD7</f>
        <v>0.695</v>
      </c>
    </row>
    <row r="8" spans="1:59" ht="12.75">
      <c r="A8" s="58">
        <v>39508</v>
      </c>
      <c r="B8" s="59">
        <v>708796.5788863949</v>
      </c>
      <c r="C8" s="59"/>
      <c r="D8" s="62"/>
      <c r="E8" s="62"/>
      <c r="F8" s="62">
        <v>0</v>
      </c>
      <c r="G8" s="59">
        <v>0</v>
      </c>
      <c r="H8" s="59">
        <v>0</v>
      </c>
      <c r="I8" s="59">
        <v>0</v>
      </c>
      <c r="J8" s="59">
        <f t="shared" si="8"/>
        <v>0</v>
      </c>
      <c r="K8" s="4">
        <f t="shared" si="9"/>
        <v>708796.5788863949</v>
      </c>
      <c r="L8" s="81">
        <f t="shared" si="10"/>
        <v>508.20714706154513</v>
      </c>
      <c r="M8" s="106">
        <f t="shared" si="11"/>
        <v>671230.3602054159</v>
      </c>
      <c r="N8" s="106">
        <f t="shared" si="0"/>
        <v>0</v>
      </c>
      <c r="O8" s="106">
        <f t="shared" si="0"/>
        <v>0</v>
      </c>
      <c r="P8" s="106">
        <f t="shared" si="0"/>
        <v>0</v>
      </c>
      <c r="Q8" s="106">
        <f t="shared" si="12"/>
        <v>0</v>
      </c>
      <c r="R8" s="107">
        <v>0</v>
      </c>
      <c r="S8" s="107">
        <v>0</v>
      </c>
      <c r="T8" s="107">
        <v>0</v>
      </c>
      <c r="U8" s="107"/>
      <c r="V8" s="4">
        <f t="shared" si="13"/>
        <v>671230.3602054159</v>
      </c>
      <c r="W8" s="81">
        <f t="shared" si="14"/>
        <v>481.2721682672832</v>
      </c>
      <c r="X8" s="4">
        <f t="shared" si="1"/>
        <v>10447.957637825257</v>
      </c>
      <c r="Y8" s="39">
        <f aca="true" t="shared" si="30" ref="Y8:Y16">Z8+AA8+AB8</f>
        <v>1367.4145480894183</v>
      </c>
      <c r="Z8" s="8">
        <f aca="true" t="shared" si="31" ref="Z8:Z16">AC8*AD8</f>
        <v>0</v>
      </c>
      <c r="AA8" s="4">
        <f t="shared" si="15"/>
        <v>1316.8809704213536</v>
      </c>
      <c r="AB8" s="4">
        <f t="shared" si="2"/>
        <v>50.53357766806478</v>
      </c>
      <c r="AC8" s="81">
        <f t="shared" si="3"/>
        <v>0</v>
      </c>
      <c r="AD8" s="18">
        <v>0.695</v>
      </c>
      <c r="AE8" s="46">
        <f t="shared" si="16"/>
        <v>0</v>
      </c>
      <c r="AF8" s="46">
        <f t="shared" si="17"/>
        <v>0</v>
      </c>
      <c r="AG8" s="19"/>
      <c r="AH8" s="79">
        <f t="shared" si="4"/>
        <v>0</v>
      </c>
      <c r="AI8" s="79">
        <f t="shared" si="18"/>
        <v>0</v>
      </c>
      <c r="AJ8" s="19"/>
      <c r="AK8" s="7">
        <f t="shared" si="5"/>
        <v>478.86580742594674</v>
      </c>
      <c r="AL8" s="7">
        <f t="shared" si="6"/>
        <v>481.2721682672832</v>
      </c>
      <c r="AM8" s="17"/>
      <c r="AN8" s="16"/>
      <c r="AP8" s="14"/>
      <c r="AQ8" s="15"/>
      <c r="AS8" s="16"/>
      <c r="AT8" s="4">
        <f t="shared" si="19"/>
        <v>11815.372185914675</v>
      </c>
      <c r="AU8" s="4">
        <f t="shared" si="20"/>
        <v>10106.715533612947</v>
      </c>
      <c r="AV8" s="4">
        <f t="shared" si="21"/>
        <v>1708.6566523017282</v>
      </c>
      <c r="AW8" s="4">
        <f t="shared" si="7"/>
        <v>481.2721682672832</v>
      </c>
      <c r="AX8" s="4"/>
      <c r="AY8" s="4"/>
      <c r="AZ8" s="4">
        <f t="shared" si="22"/>
        <v>0</v>
      </c>
      <c r="BA8" s="4">
        <f t="shared" si="23"/>
        <v>0</v>
      </c>
      <c r="BB8" s="46">
        <f t="shared" si="24"/>
        <v>0</v>
      </c>
      <c r="BC8" s="46">
        <f t="shared" si="25"/>
        <v>5016.607904585227</v>
      </c>
      <c r="BD8" s="46">
        <f t="shared" si="26"/>
        <v>5016.607904585227</v>
      </c>
      <c r="BE8" s="46">
        <f t="shared" si="27"/>
        <v>0</v>
      </c>
      <c r="BF8" s="46">
        <f t="shared" si="28"/>
        <v>0</v>
      </c>
      <c r="BG8">
        <f t="shared" si="29"/>
        <v>0.695</v>
      </c>
    </row>
    <row r="9" spans="1:59" ht="12.75">
      <c r="A9" s="58">
        <v>39539</v>
      </c>
      <c r="B9" s="59">
        <v>246362.46374912173</v>
      </c>
      <c r="C9" s="59">
        <v>82633.88069541554</v>
      </c>
      <c r="D9" s="62"/>
      <c r="E9" s="62"/>
      <c r="F9" s="62">
        <v>0</v>
      </c>
      <c r="G9" s="59">
        <v>0</v>
      </c>
      <c r="H9" s="59">
        <v>0</v>
      </c>
      <c r="I9" s="59">
        <v>0</v>
      </c>
      <c r="J9" s="59">
        <f t="shared" si="8"/>
        <v>0</v>
      </c>
      <c r="K9" s="4">
        <f t="shared" si="9"/>
        <v>328996.3444445373</v>
      </c>
      <c r="L9" s="81">
        <f t="shared" si="10"/>
        <v>235.89037896673324</v>
      </c>
      <c r="M9" s="106">
        <f t="shared" si="11"/>
        <v>233305.25317041826</v>
      </c>
      <c r="N9" s="106">
        <f t="shared" si="0"/>
        <v>78254.28501855851</v>
      </c>
      <c r="O9" s="106">
        <f t="shared" si="0"/>
        <v>0</v>
      </c>
      <c r="P9" s="106">
        <f t="shared" si="0"/>
        <v>0</v>
      </c>
      <c r="Q9" s="106">
        <f t="shared" si="12"/>
        <v>0</v>
      </c>
      <c r="R9" s="107">
        <v>0</v>
      </c>
      <c r="S9" s="107">
        <v>0</v>
      </c>
      <c r="T9" s="107">
        <v>0</v>
      </c>
      <c r="U9" s="107"/>
      <c r="V9" s="4">
        <f t="shared" si="13"/>
        <v>311559.53818897676</v>
      </c>
      <c r="W9" s="81">
        <f t="shared" si="14"/>
        <v>223.38818888149632</v>
      </c>
      <c r="X9" s="4">
        <f t="shared" si="1"/>
        <v>4846.887526960135</v>
      </c>
      <c r="Y9" s="39">
        <f t="shared" si="30"/>
        <v>634.7016916595514</v>
      </c>
      <c r="Z9" s="8">
        <f t="shared" si="31"/>
        <v>0</v>
      </c>
      <c r="AA9" s="4">
        <f t="shared" si="15"/>
        <v>611.2459318269944</v>
      </c>
      <c r="AB9" s="4">
        <f t="shared" si="2"/>
        <v>23.45575983255713</v>
      </c>
      <c r="AC9" s="81">
        <f t="shared" si="3"/>
        <v>0</v>
      </c>
      <c r="AD9" s="18">
        <v>0.695</v>
      </c>
      <c r="AE9" s="46">
        <f t="shared" si="16"/>
        <v>0</v>
      </c>
      <c r="AF9" s="46">
        <f t="shared" si="17"/>
        <v>0</v>
      </c>
      <c r="AG9" s="19"/>
      <c r="AH9" s="79">
        <f t="shared" si="4"/>
        <v>0</v>
      </c>
      <c r="AI9" s="79">
        <f t="shared" si="18"/>
        <v>0</v>
      </c>
      <c r="AJ9" s="19"/>
      <c r="AK9" s="7">
        <f t="shared" si="5"/>
        <v>222.27124793708884</v>
      </c>
      <c r="AL9" s="7">
        <f t="shared" si="6"/>
        <v>223.38818888149632</v>
      </c>
      <c r="AM9" s="17"/>
      <c r="AN9" s="16"/>
      <c r="AP9" s="14"/>
      <c r="AQ9" s="15"/>
      <c r="AS9" s="16"/>
      <c r="AT9" s="4">
        <f t="shared" si="19"/>
        <v>5481.589218619686</v>
      </c>
      <c r="AU9" s="4">
        <f t="shared" si="20"/>
        <v>4691.151966511423</v>
      </c>
      <c r="AV9" s="4">
        <f t="shared" si="21"/>
        <v>790.4372521082631</v>
      </c>
      <c r="AW9" s="4">
        <f t="shared" si="7"/>
        <v>223.38818888149632</v>
      </c>
      <c r="AX9" s="4"/>
      <c r="AY9" s="4"/>
      <c r="AZ9" s="4">
        <f t="shared" si="22"/>
        <v>0</v>
      </c>
      <c r="BA9" s="4">
        <f t="shared" si="23"/>
        <v>0</v>
      </c>
      <c r="BB9" s="46">
        <f t="shared" si="24"/>
        <v>0</v>
      </c>
      <c r="BC9" s="46">
        <f t="shared" si="25"/>
        <v>2320.720059037766</v>
      </c>
      <c r="BD9" s="46">
        <f t="shared" si="26"/>
        <v>1743.6651358824138</v>
      </c>
      <c r="BE9" s="46">
        <f t="shared" si="27"/>
        <v>577.0549231553523</v>
      </c>
      <c r="BF9" s="46">
        <f t="shared" si="28"/>
        <v>0</v>
      </c>
      <c r="BG9">
        <f t="shared" si="29"/>
        <v>0.695</v>
      </c>
    </row>
    <row r="10" spans="1:59" ht="12.75">
      <c r="A10" s="58">
        <v>39569</v>
      </c>
      <c r="B10" s="59"/>
      <c r="C10" s="59">
        <v>86713.37097057722</v>
      </c>
      <c r="D10" s="62"/>
      <c r="E10" s="62">
        <v>86143.72231138044</v>
      </c>
      <c r="F10" s="62">
        <v>0</v>
      </c>
      <c r="G10" s="59">
        <v>0</v>
      </c>
      <c r="H10" s="59">
        <v>0</v>
      </c>
      <c r="I10" s="59">
        <v>0</v>
      </c>
      <c r="J10" s="59">
        <f t="shared" si="8"/>
        <v>0</v>
      </c>
      <c r="K10" s="4">
        <f t="shared" si="9"/>
        <v>172857.09328195767</v>
      </c>
      <c r="L10" s="81">
        <f t="shared" si="10"/>
        <v>123.93853588316364</v>
      </c>
      <c r="M10" s="106">
        <f t="shared" si="11"/>
        <v>0</v>
      </c>
      <c r="N10" s="106">
        <f t="shared" si="0"/>
        <v>82117.56230913663</v>
      </c>
      <c r="O10" s="106">
        <f t="shared" si="0"/>
        <v>0</v>
      </c>
      <c r="P10" s="106">
        <f t="shared" si="0"/>
        <v>81578.10502887727</v>
      </c>
      <c r="Q10" s="106">
        <f t="shared" si="12"/>
        <v>0</v>
      </c>
      <c r="R10" s="107">
        <v>0</v>
      </c>
      <c r="S10" s="107">
        <v>0</v>
      </c>
      <c r="T10" s="107">
        <v>0</v>
      </c>
      <c r="U10" s="107"/>
      <c r="V10" s="4">
        <f t="shared" si="13"/>
        <v>163695.66733801388</v>
      </c>
      <c r="W10" s="81">
        <f t="shared" si="14"/>
        <v>117.36979348135596</v>
      </c>
      <c r="X10" s="4">
        <f t="shared" si="1"/>
        <v>2540.9307620819136</v>
      </c>
      <c r="Y10" s="39">
        <f t="shared" si="30"/>
        <v>333.47692572890264</v>
      </c>
      <c r="Z10" s="8">
        <f t="shared" si="31"/>
        <v>0</v>
      </c>
      <c r="AA10" s="4">
        <f t="shared" si="15"/>
        <v>321.1530974133603</v>
      </c>
      <c r="AB10" s="4">
        <f t="shared" si="2"/>
        <v>12.323828315542386</v>
      </c>
      <c r="AC10" s="81">
        <f t="shared" si="3"/>
        <v>0</v>
      </c>
      <c r="AD10" s="18">
        <v>0.695</v>
      </c>
      <c r="AE10" s="46">
        <f t="shared" si="16"/>
        <v>0</v>
      </c>
      <c r="AF10" s="46">
        <f t="shared" si="17"/>
        <v>0</v>
      </c>
      <c r="AG10" s="19"/>
      <c r="AH10" s="79">
        <f t="shared" si="4"/>
        <v>58.19904379917647</v>
      </c>
      <c r="AI10" s="79">
        <f t="shared" si="18"/>
        <v>58.491501305705</v>
      </c>
      <c r="AJ10" s="19"/>
      <c r="AK10" s="7">
        <f t="shared" si="5"/>
        <v>58.58390071477271</v>
      </c>
      <c r="AL10" s="7">
        <f t="shared" si="6"/>
        <v>58.87829217565096</v>
      </c>
      <c r="AM10" s="17"/>
      <c r="AN10" s="16"/>
      <c r="AP10" s="14"/>
      <c r="AQ10" s="15"/>
      <c r="AS10" s="16"/>
      <c r="AT10" s="4">
        <f t="shared" si="19"/>
        <v>2874.4076878108162</v>
      </c>
      <c r="AU10" s="4">
        <f t="shared" si="20"/>
        <v>2464.7656631084756</v>
      </c>
      <c r="AV10" s="4">
        <f t="shared" si="21"/>
        <v>409.6420247023408</v>
      </c>
      <c r="AW10" s="4">
        <f t="shared" si="7"/>
        <v>117.36979348135597</v>
      </c>
      <c r="AX10" s="4"/>
      <c r="AY10" s="4"/>
      <c r="AZ10" s="4">
        <f t="shared" si="22"/>
        <v>292.65329398059424</v>
      </c>
      <c r="BA10" s="4">
        <f t="shared" si="23"/>
        <v>292.65329398059424</v>
      </c>
      <c r="BB10" s="46">
        <f t="shared" si="24"/>
        <v>0</v>
      </c>
      <c r="BC10" s="46">
        <f t="shared" si="25"/>
        <v>605.5431162238044</v>
      </c>
      <c r="BD10" s="46">
        <f t="shared" si="26"/>
        <v>0</v>
      </c>
      <c r="BE10" s="46">
        <f t="shared" si="27"/>
        <v>605.5431162238044</v>
      </c>
      <c r="BF10" s="46">
        <f t="shared" si="28"/>
        <v>0</v>
      </c>
      <c r="BG10">
        <f t="shared" si="29"/>
        <v>0.695</v>
      </c>
    </row>
    <row r="11" spans="1:59" ht="12.75">
      <c r="A11" s="58">
        <v>39600</v>
      </c>
      <c r="B11" s="59"/>
      <c r="C11" s="59">
        <v>56243.58045983214</v>
      </c>
      <c r="D11" s="62"/>
      <c r="E11" s="62">
        <v>76070.93017261088</v>
      </c>
      <c r="F11" s="62">
        <v>0</v>
      </c>
      <c r="G11" s="59">
        <v>0</v>
      </c>
      <c r="H11" s="59">
        <v>0</v>
      </c>
      <c r="I11" s="59">
        <v>0</v>
      </c>
      <c r="J11" s="59">
        <f t="shared" si="8"/>
        <v>0</v>
      </c>
      <c r="K11" s="4">
        <f t="shared" si="9"/>
        <v>132314.510632443</v>
      </c>
      <c r="L11" s="81">
        <f t="shared" si="10"/>
        <v>94.86950412346164</v>
      </c>
      <c r="M11" s="106">
        <f t="shared" si="11"/>
        <v>0</v>
      </c>
      <c r="N11" s="106">
        <f t="shared" si="0"/>
        <v>53262.670695461034</v>
      </c>
      <c r="O11" s="106">
        <f t="shared" si="0"/>
        <v>0</v>
      </c>
      <c r="P11" s="106">
        <f t="shared" si="0"/>
        <v>72039.1708734625</v>
      </c>
      <c r="Q11" s="106">
        <f t="shared" si="12"/>
        <v>0</v>
      </c>
      <c r="R11" s="107">
        <v>0</v>
      </c>
      <c r="S11" s="107">
        <v>0</v>
      </c>
      <c r="T11" s="107">
        <v>0</v>
      </c>
      <c r="U11" s="107"/>
      <c r="V11" s="4">
        <f t="shared" si="13"/>
        <v>125301.84156892353</v>
      </c>
      <c r="W11" s="81">
        <f t="shared" si="14"/>
        <v>89.84142040491817</v>
      </c>
      <c r="X11" s="4">
        <f t="shared" si="1"/>
        <v>1944.7945582314926</v>
      </c>
      <c r="Y11" s="39">
        <f t="shared" si="30"/>
        <v>255.26193572547373</v>
      </c>
      <c r="Z11" s="8">
        <f t="shared" si="31"/>
        <v>0</v>
      </c>
      <c r="AA11" s="4">
        <f t="shared" si="15"/>
        <v>245.8285865829573</v>
      </c>
      <c r="AB11" s="4">
        <f t="shared" si="2"/>
        <v>9.433349142516414</v>
      </c>
      <c r="AC11" s="81">
        <f t="shared" si="3"/>
        <v>0</v>
      </c>
      <c r="AD11" s="18">
        <v>0.695</v>
      </c>
      <c r="AE11" s="46">
        <f t="shared" si="16"/>
        <v>0</v>
      </c>
      <c r="AF11" s="46">
        <f t="shared" si="17"/>
        <v>0</v>
      </c>
      <c r="AG11" s="19"/>
      <c r="AH11" s="79">
        <f t="shared" si="4"/>
        <v>51.393825088691244</v>
      </c>
      <c r="AI11" s="79">
        <f t="shared" si="18"/>
        <v>51.65208551627261</v>
      </c>
      <c r="AJ11" s="19"/>
      <c r="AK11" s="7">
        <f t="shared" si="5"/>
        <v>37.99838821420233</v>
      </c>
      <c r="AL11" s="7">
        <f t="shared" si="6"/>
        <v>38.189334888645554</v>
      </c>
      <c r="AM11" s="17"/>
      <c r="AN11" s="16"/>
      <c r="AP11" s="14"/>
      <c r="AQ11" s="15"/>
      <c r="AS11" s="16"/>
      <c r="AT11" s="4">
        <f t="shared" si="19"/>
        <v>2200.0564939569663</v>
      </c>
      <c r="AU11" s="4">
        <f t="shared" si="20"/>
        <v>1886.6698285032812</v>
      </c>
      <c r="AV11" s="4">
        <f t="shared" si="21"/>
        <v>313.38666545368517</v>
      </c>
      <c r="AW11" s="4">
        <f t="shared" si="7"/>
        <v>89.84142040491815</v>
      </c>
      <c r="AX11" s="4"/>
      <c r="AY11" s="4"/>
      <c r="AZ11" s="4">
        <f t="shared" si="22"/>
        <v>258.43332159145933</v>
      </c>
      <c r="BA11" s="4">
        <f t="shared" si="23"/>
        <v>258.43332159145933</v>
      </c>
      <c r="BB11" s="46">
        <f t="shared" si="24"/>
        <v>0</v>
      </c>
      <c r="BC11" s="46">
        <f t="shared" si="25"/>
        <v>392.7642599753992</v>
      </c>
      <c r="BD11" s="46">
        <f t="shared" si="26"/>
        <v>0</v>
      </c>
      <c r="BE11" s="46">
        <f t="shared" si="27"/>
        <v>392.7642599753992</v>
      </c>
      <c r="BF11" s="46">
        <f t="shared" si="28"/>
        <v>0</v>
      </c>
      <c r="BG11">
        <f t="shared" si="29"/>
        <v>0.695</v>
      </c>
    </row>
    <row r="12" spans="1:59" ht="12.75">
      <c r="A12" s="58">
        <v>39630</v>
      </c>
      <c r="B12" s="59"/>
      <c r="C12" s="59">
        <v>49740.54553043136</v>
      </c>
      <c r="D12" s="62"/>
      <c r="E12" s="62">
        <v>130190.46269878116</v>
      </c>
      <c r="F12" s="62">
        <v>0</v>
      </c>
      <c r="G12" s="59">
        <v>0</v>
      </c>
      <c r="H12" s="59">
        <v>0</v>
      </c>
      <c r="I12" s="59">
        <v>0</v>
      </c>
      <c r="J12" s="59">
        <f t="shared" si="8"/>
        <v>0</v>
      </c>
      <c r="K12" s="4">
        <f t="shared" si="9"/>
        <v>179931.00822921252</v>
      </c>
      <c r="L12" s="81">
        <f t="shared" si="10"/>
        <v>129.01053290034537</v>
      </c>
      <c r="M12" s="106">
        <f t="shared" si="11"/>
        <v>0</v>
      </c>
      <c r="N12" s="106">
        <f t="shared" si="0"/>
        <v>47104.29661731849</v>
      </c>
      <c r="O12" s="106">
        <f t="shared" si="0"/>
        <v>0</v>
      </c>
      <c r="P12" s="106">
        <f t="shared" si="0"/>
        <v>123290.36817574575</v>
      </c>
      <c r="Q12" s="106">
        <f t="shared" si="12"/>
        <v>0</v>
      </c>
      <c r="R12" s="107">
        <v>0</v>
      </c>
      <c r="S12" s="107">
        <v>0</v>
      </c>
      <c r="T12" s="107">
        <v>0</v>
      </c>
      <c r="U12" s="107"/>
      <c r="V12" s="4">
        <f t="shared" si="13"/>
        <v>170394.66479306424</v>
      </c>
      <c r="W12" s="81">
        <f t="shared" si="14"/>
        <v>122.17297465662705</v>
      </c>
      <c r="X12" s="4">
        <f t="shared" si="1"/>
        <v>2644.2093718970004</v>
      </c>
      <c r="Y12" s="39">
        <f t="shared" si="30"/>
        <v>347.1239642431416</v>
      </c>
      <c r="Z12" s="8">
        <f t="shared" si="31"/>
        <v>0</v>
      </c>
      <c r="AA12" s="4">
        <f t="shared" si="15"/>
        <v>334.29580190419574</v>
      </c>
      <c r="AB12" s="4">
        <f t="shared" si="2"/>
        <v>12.828162338945853</v>
      </c>
      <c r="AC12" s="81">
        <f t="shared" si="3"/>
        <v>0</v>
      </c>
      <c r="AD12" s="18">
        <v>0.695</v>
      </c>
      <c r="AE12" s="46">
        <f t="shared" si="16"/>
        <v>0</v>
      </c>
      <c r="AF12" s="46">
        <f t="shared" si="17"/>
        <v>0</v>
      </c>
      <c r="AG12" s="19"/>
      <c r="AH12" s="79">
        <f t="shared" si="4"/>
        <v>87.95719801209965</v>
      </c>
      <c r="AI12" s="79">
        <f t="shared" si="18"/>
        <v>88.3991939820097</v>
      </c>
      <c r="AJ12" s="19"/>
      <c r="AK12" s="7">
        <f t="shared" si="5"/>
        <v>33.60491177124427</v>
      </c>
      <c r="AL12" s="7">
        <f t="shared" si="6"/>
        <v>33.773780674617356</v>
      </c>
      <c r="AM12" s="17"/>
      <c r="AN12" s="16"/>
      <c r="AP12" s="14"/>
      <c r="AQ12" s="15"/>
      <c r="AS12" s="16"/>
      <c r="AT12" s="4">
        <f t="shared" si="19"/>
        <v>2991.333336140142</v>
      </c>
      <c r="AU12" s="4">
        <f t="shared" si="20"/>
        <v>2565.6324677891685</v>
      </c>
      <c r="AV12" s="4">
        <f t="shared" si="21"/>
        <v>425.7008683509735</v>
      </c>
      <c r="AW12" s="4">
        <f t="shared" si="7"/>
        <v>122.17297465662706</v>
      </c>
      <c r="AX12" s="4"/>
      <c r="AY12" s="4"/>
      <c r="AZ12" s="4">
        <f t="shared" si="22"/>
        <v>442.2918667936703</v>
      </c>
      <c r="BA12" s="4">
        <f t="shared" si="23"/>
        <v>442.2918667936703</v>
      </c>
      <c r="BB12" s="46">
        <f t="shared" si="24"/>
        <v>0</v>
      </c>
      <c r="BC12" s="46">
        <f t="shared" si="25"/>
        <v>347.35179368576826</v>
      </c>
      <c r="BD12" s="46">
        <f t="shared" si="26"/>
        <v>0</v>
      </c>
      <c r="BE12" s="46">
        <f t="shared" si="27"/>
        <v>347.35179368576826</v>
      </c>
      <c r="BF12" s="46">
        <f t="shared" si="28"/>
        <v>0</v>
      </c>
      <c r="BG12">
        <f t="shared" si="29"/>
        <v>0.695</v>
      </c>
    </row>
    <row r="13" spans="1:59" ht="12.75">
      <c r="A13" s="58">
        <v>39661</v>
      </c>
      <c r="B13" s="59"/>
      <c r="C13" s="59">
        <v>41724.08442755277</v>
      </c>
      <c r="D13" s="62"/>
      <c r="E13" s="62">
        <v>119419.75638315466</v>
      </c>
      <c r="F13" s="62">
        <v>0</v>
      </c>
      <c r="G13" s="59">
        <v>0</v>
      </c>
      <c r="H13" s="59">
        <v>0</v>
      </c>
      <c r="I13" s="59">
        <v>0</v>
      </c>
      <c r="J13" s="59">
        <f t="shared" si="8"/>
        <v>0</v>
      </c>
      <c r="K13" s="4">
        <f t="shared" si="9"/>
        <v>161143.84081070742</v>
      </c>
      <c r="L13" s="81">
        <f t="shared" si="10"/>
        <v>115.54013386127723</v>
      </c>
      <c r="M13" s="106">
        <f t="shared" si="11"/>
        <v>0</v>
      </c>
      <c r="N13" s="106">
        <f t="shared" si="0"/>
        <v>39512.70795289247</v>
      </c>
      <c r="O13" s="106">
        <f t="shared" si="0"/>
        <v>0</v>
      </c>
      <c r="P13" s="106">
        <f t="shared" si="0"/>
        <v>113090.50929484745</v>
      </c>
      <c r="Q13" s="106">
        <f t="shared" si="12"/>
        <v>0</v>
      </c>
      <c r="R13" s="107">
        <v>0</v>
      </c>
      <c r="S13" s="107">
        <v>0</v>
      </c>
      <c r="T13" s="107">
        <v>0</v>
      </c>
      <c r="U13" s="107"/>
      <c r="V13" s="4">
        <f t="shared" si="13"/>
        <v>152603.21724773993</v>
      </c>
      <c r="W13" s="81">
        <f t="shared" si="14"/>
        <v>109.41650676662952</v>
      </c>
      <c r="X13" s="4">
        <f t="shared" si="1"/>
        <v>2368.069959613421</v>
      </c>
      <c r="Y13" s="39">
        <f t="shared" si="30"/>
        <v>310.8796498506861</v>
      </c>
      <c r="Z13" s="8">
        <f t="shared" si="31"/>
        <v>0</v>
      </c>
      <c r="AA13" s="4">
        <f t="shared" si="15"/>
        <v>299.39091664019</v>
      </c>
      <c r="AB13" s="4">
        <f t="shared" si="2"/>
        <v>11.48873321049611</v>
      </c>
      <c r="AC13" s="81">
        <f t="shared" si="3"/>
        <v>0</v>
      </c>
      <c r="AD13" s="18">
        <v>0.695</v>
      </c>
      <c r="AE13" s="46">
        <f t="shared" si="16"/>
        <v>0</v>
      </c>
      <c r="AF13" s="46">
        <f t="shared" si="17"/>
        <v>0</v>
      </c>
      <c r="AG13" s="19"/>
      <c r="AH13" s="79">
        <f t="shared" si="4"/>
        <v>80.6804656885836</v>
      </c>
      <c r="AI13" s="79">
        <f t="shared" si="18"/>
        <v>81.08589516440563</v>
      </c>
      <c r="AJ13" s="19"/>
      <c r="AK13" s="7">
        <f t="shared" si="5"/>
        <v>28.188958544212785</v>
      </c>
      <c r="AL13" s="7">
        <f t="shared" si="6"/>
        <v>28.330611602223904</v>
      </c>
      <c r="AM13" s="17"/>
      <c r="AN13" s="16"/>
      <c r="AP13" s="14"/>
      <c r="AQ13" s="15"/>
      <c r="AS13" s="16"/>
      <c r="AT13" s="4">
        <f t="shared" si="19"/>
        <v>2678.949609464107</v>
      </c>
      <c r="AU13" s="4">
        <f t="shared" si="20"/>
        <v>2297.7466420992205</v>
      </c>
      <c r="AV13" s="4">
        <f t="shared" si="21"/>
        <v>381.20296736488683</v>
      </c>
      <c r="AW13" s="4">
        <f t="shared" si="7"/>
        <v>109.41650676662954</v>
      </c>
      <c r="AX13" s="4"/>
      <c r="AY13" s="4"/>
      <c r="AZ13" s="4">
        <f t="shared" si="22"/>
        <v>405.7008930443357</v>
      </c>
      <c r="BA13" s="4">
        <f t="shared" si="23"/>
        <v>405.7008930443357</v>
      </c>
      <c r="BB13" s="46">
        <f t="shared" si="24"/>
        <v>0</v>
      </c>
      <c r="BC13" s="46">
        <f t="shared" si="25"/>
        <v>291.3706597154244</v>
      </c>
      <c r="BD13" s="46">
        <f t="shared" si="26"/>
        <v>0</v>
      </c>
      <c r="BE13" s="46">
        <f t="shared" si="27"/>
        <v>291.3706597154244</v>
      </c>
      <c r="BF13" s="46">
        <f t="shared" si="28"/>
        <v>0</v>
      </c>
      <c r="BG13">
        <f t="shared" si="29"/>
        <v>0.695</v>
      </c>
    </row>
    <row r="14" spans="1:59" ht="12.75">
      <c r="A14" s="58">
        <v>39692</v>
      </c>
      <c r="B14" s="59"/>
      <c r="C14" s="59">
        <v>56531.79491143234</v>
      </c>
      <c r="D14" s="62"/>
      <c r="E14" s="62">
        <v>116399.26576174209</v>
      </c>
      <c r="F14" s="62">
        <v>0</v>
      </c>
      <c r="G14" s="59">
        <v>0</v>
      </c>
      <c r="H14" s="59">
        <v>0</v>
      </c>
      <c r="I14" s="59">
        <v>0</v>
      </c>
      <c r="J14" s="59">
        <f t="shared" si="8"/>
        <v>0</v>
      </c>
      <c r="K14" s="4">
        <f t="shared" si="9"/>
        <v>172931.06067317445</v>
      </c>
      <c r="L14" s="81">
        <f t="shared" si="10"/>
        <v>123.99157050266608</v>
      </c>
      <c r="M14" s="106">
        <f t="shared" si="11"/>
        <v>0</v>
      </c>
      <c r="N14" s="106">
        <f t="shared" si="0"/>
        <v>53535.609781126426</v>
      </c>
      <c r="O14" s="106">
        <f t="shared" si="0"/>
        <v>0</v>
      </c>
      <c r="P14" s="106">
        <f t="shared" si="0"/>
        <v>110230.10467636975</v>
      </c>
      <c r="Q14" s="106">
        <f t="shared" si="12"/>
        <v>0</v>
      </c>
      <c r="R14" s="107">
        <v>0</v>
      </c>
      <c r="S14" s="107">
        <v>0</v>
      </c>
      <c r="T14" s="107">
        <v>0</v>
      </c>
      <c r="U14" s="107"/>
      <c r="V14" s="4">
        <f t="shared" si="13"/>
        <v>163765.7144574962</v>
      </c>
      <c r="W14" s="81">
        <f t="shared" si="14"/>
        <v>117.42001726602476</v>
      </c>
      <c r="X14" s="4">
        <f t="shared" si="1"/>
        <v>2541.492201196687</v>
      </c>
      <c r="Y14" s="39">
        <f t="shared" si="30"/>
        <v>333.61962405709284</v>
      </c>
      <c r="Z14" s="8">
        <f t="shared" si="31"/>
        <v>0</v>
      </c>
      <c r="AA14" s="4">
        <f t="shared" si="15"/>
        <v>321.29052224416023</v>
      </c>
      <c r="AB14" s="4">
        <f t="shared" si="2"/>
        <v>12.329101812932612</v>
      </c>
      <c r="AC14" s="81">
        <f t="shared" si="3"/>
        <v>0</v>
      </c>
      <c r="AD14" s="18">
        <v>0.695</v>
      </c>
      <c r="AE14" s="46">
        <f t="shared" si="16"/>
        <v>0</v>
      </c>
      <c r="AF14" s="46">
        <f t="shared" si="17"/>
        <v>0</v>
      </c>
      <c r="AG14" s="19"/>
      <c r="AH14" s="79">
        <f t="shared" si="4"/>
        <v>78.63981012769233</v>
      </c>
      <c r="AI14" s="79">
        <f t="shared" si="18"/>
        <v>79.03498505295711</v>
      </c>
      <c r="AJ14" s="19"/>
      <c r="AK14" s="7">
        <f t="shared" si="5"/>
        <v>38.193107052002304</v>
      </c>
      <c r="AL14" s="7">
        <f t="shared" si="6"/>
        <v>38.385032213067646</v>
      </c>
      <c r="AM14" s="17"/>
      <c r="AN14" s="16"/>
      <c r="AP14" s="14"/>
      <c r="AQ14" s="15"/>
      <c r="AS14" s="16"/>
      <c r="AT14" s="4">
        <f t="shared" si="19"/>
        <v>2875.11182525378</v>
      </c>
      <c r="AU14" s="4">
        <f t="shared" si="20"/>
        <v>2465.82036258652</v>
      </c>
      <c r="AV14" s="4">
        <f t="shared" si="21"/>
        <v>409.2914626672598</v>
      </c>
      <c r="AW14" s="4">
        <f t="shared" si="7"/>
        <v>117.42001726602476</v>
      </c>
      <c r="AX14" s="4"/>
      <c r="AY14" s="4"/>
      <c r="AZ14" s="4">
        <f t="shared" si="22"/>
        <v>395.4394775160088</v>
      </c>
      <c r="BA14" s="4">
        <f t="shared" si="23"/>
        <v>395.4394775160088</v>
      </c>
      <c r="BB14" s="46">
        <f t="shared" si="24"/>
        <v>0</v>
      </c>
      <c r="BC14" s="46">
        <f t="shared" si="25"/>
        <v>394.77694008700433</v>
      </c>
      <c r="BD14" s="46">
        <f t="shared" si="26"/>
        <v>0</v>
      </c>
      <c r="BE14" s="46">
        <f t="shared" si="27"/>
        <v>394.77694008700433</v>
      </c>
      <c r="BF14" s="46">
        <f t="shared" si="28"/>
        <v>0</v>
      </c>
      <c r="BG14">
        <f t="shared" si="29"/>
        <v>0.695</v>
      </c>
    </row>
    <row r="15" spans="1:59" ht="12.75">
      <c r="A15" s="58">
        <v>39722</v>
      </c>
      <c r="B15" s="59">
        <v>351069.32163615996</v>
      </c>
      <c r="C15" s="59">
        <v>12631.585454470569</v>
      </c>
      <c r="D15" s="62"/>
      <c r="E15" s="62">
        <v>115035.10341927978</v>
      </c>
      <c r="F15" s="62">
        <v>0</v>
      </c>
      <c r="G15" s="59">
        <v>0</v>
      </c>
      <c r="H15" s="59">
        <v>0</v>
      </c>
      <c r="I15" s="59">
        <v>0</v>
      </c>
      <c r="J15" s="59">
        <f t="shared" si="8"/>
        <v>0</v>
      </c>
      <c r="K15" s="4">
        <f t="shared" si="9"/>
        <v>478736.01050991035</v>
      </c>
      <c r="L15" s="81">
        <f t="shared" si="10"/>
        <v>343.2537195356057</v>
      </c>
      <c r="M15" s="106">
        <f t="shared" si="11"/>
        <v>332462.6475894435</v>
      </c>
      <c r="N15" s="106">
        <f t="shared" si="0"/>
        <v>11962.111425383628</v>
      </c>
      <c r="O15" s="106">
        <f t="shared" si="0"/>
        <v>0</v>
      </c>
      <c r="P15" s="106">
        <f t="shared" si="0"/>
        <v>108938.24293805794</v>
      </c>
      <c r="Q15" s="106">
        <f t="shared" si="12"/>
        <v>0</v>
      </c>
      <c r="R15" s="107">
        <v>0</v>
      </c>
      <c r="S15" s="107">
        <v>0</v>
      </c>
      <c r="T15" s="107">
        <v>0</v>
      </c>
      <c r="U15" s="107"/>
      <c r="V15" s="4">
        <f t="shared" si="13"/>
        <v>453363.001952885</v>
      </c>
      <c r="W15" s="81">
        <f t="shared" si="14"/>
        <v>325.0612724002185</v>
      </c>
      <c r="X15" s="4">
        <f t="shared" si="1"/>
        <v>7050.6635195624485</v>
      </c>
      <c r="Y15" s="39">
        <f t="shared" si="30"/>
        <v>923.5803402071209</v>
      </c>
      <c r="Z15" s="8">
        <f t="shared" si="31"/>
        <v>0</v>
      </c>
      <c r="AA15" s="4">
        <f t="shared" si="15"/>
        <v>889.4489066050979</v>
      </c>
      <c r="AB15" s="4">
        <f t="shared" si="2"/>
        <v>34.13143360202298</v>
      </c>
      <c r="AC15" s="81">
        <f t="shared" si="3"/>
        <v>0</v>
      </c>
      <c r="AD15" s="18">
        <v>0.695</v>
      </c>
      <c r="AE15" s="46">
        <f t="shared" si="16"/>
        <v>0</v>
      </c>
      <c r="AF15" s="46">
        <f t="shared" si="17"/>
        <v>0</v>
      </c>
      <c r="AG15" s="19"/>
      <c r="AH15" s="79">
        <f t="shared" si="4"/>
        <v>77.71817658565459</v>
      </c>
      <c r="AI15" s="79">
        <f t="shared" si="18"/>
        <v>78.10872018658753</v>
      </c>
      <c r="AJ15" s="19"/>
      <c r="AK15" s="7">
        <f t="shared" si="5"/>
        <v>245.71778945256284</v>
      </c>
      <c r="AL15" s="7">
        <f t="shared" si="6"/>
        <v>246.952552213631</v>
      </c>
      <c r="AM15" s="17"/>
      <c r="AN15" s="16"/>
      <c r="AP15" s="14"/>
      <c r="AQ15" s="15"/>
      <c r="AS15" s="16"/>
      <c r="AT15" s="4">
        <f t="shared" si="19"/>
        <v>7974.243859769569</v>
      </c>
      <c r="AU15" s="4">
        <f t="shared" si="20"/>
        <v>6826.286720404589</v>
      </c>
      <c r="AV15" s="4">
        <f t="shared" si="21"/>
        <v>1147.9571393649808</v>
      </c>
      <c r="AW15" s="4">
        <f t="shared" si="7"/>
        <v>325.0612724002185</v>
      </c>
      <c r="AX15" s="4"/>
      <c r="AY15" s="4"/>
      <c r="AZ15" s="4">
        <f t="shared" si="22"/>
        <v>390.80505271598906</v>
      </c>
      <c r="BA15" s="4">
        <f t="shared" si="23"/>
        <v>390.80505271598906</v>
      </c>
      <c r="BB15" s="46">
        <f t="shared" si="24"/>
        <v>0</v>
      </c>
      <c r="BC15" s="46">
        <f t="shared" si="25"/>
        <v>2572.9525182835246</v>
      </c>
      <c r="BD15" s="46">
        <f t="shared" si="26"/>
        <v>2484.7427124216033</v>
      </c>
      <c r="BE15" s="46">
        <f t="shared" si="27"/>
        <v>88.20980586192141</v>
      </c>
      <c r="BF15" s="46">
        <f t="shared" si="28"/>
        <v>0</v>
      </c>
      <c r="BG15">
        <f t="shared" si="29"/>
        <v>0.695</v>
      </c>
    </row>
    <row r="16" spans="1:59" ht="12.75">
      <c r="A16" s="58">
        <v>39753</v>
      </c>
      <c r="B16" s="59">
        <v>535007.843592634</v>
      </c>
      <c r="C16" s="59"/>
      <c r="D16" s="62">
        <v>19249.493679574236</v>
      </c>
      <c r="E16" s="62">
        <v>69168.93273232432</v>
      </c>
      <c r="F16" s="62">
        <v>0</v>
      </c>
      <c r="G16" s="59">
        <v>0</v>
      </c>
      <c r="H16" s="59">
        <v>0</v>
      </c>
      <c r="I16" s="59">
        <v>0</v>
      </c>
      <c r="J16" s="59">
        <f t="shared" si="8"/>
        <v>0</v>
      </c>
      <c r="K16" s="4">
        <f t="shared" si="9"/>
        <v>623426.2700045325</v>
      </c>
      <c r="L16" s="81">
        <f t="shared" si="10"/>
        <v>446.99663559324983</v>
      </c>
      <c r="M16" s="106">
        <f t="shared" si="11"/>
        <v>506652.4278822243</v>
      </c>
      <c r="N16" s="106">
        <f t="shared" si="0"/>
        <v>0</v>
      </c>
      <c r="O16" s="106">
        <f t="shared" si="0"/>
        <v>18229.2705145568</v>
      </c>
      <c r="P16" s="106">
        <f t="shared" si="0"/>
        <v>65502.97929751113</v>
      </c>
      <c r="Q16" s="106">
        <f t="shared" si="12"/>
        <v>0</v>
      </c>
      <c r="R16" s="107">
        <v>0</v>
      </c>
      <c r="S16" s="107">
        <v>0</v>
      </c>
      <c r="T16" s="107">
        <v>0</v>
      </c>
      <c r="U16" s="107"/>
      <c r="V16" s="4">
        <f t="shared" si="13"/>
        <v>590384.6776942923</v>
      </c>
      <c r="W16" s="81">
        <f t="shared" si="14"/>
        <v>423.30581390680754</v>
      </c>
      <c r="X16" s="4">
        <f t="shared" si="1"/>
        <v>9200.676577698654</v>
      </c>
      <c r="Y16" s="39">
        <f t="shared" si="30"/>
        <v>1202.717643762717</v>
      </c>
      <c r="Z16" s="8">
        <f t="shared" si="31"/>
        <v>0</v>
      </c>
      <c r="AA16" s="4">
        <f t="shared" si="15"/>
        <v>1158.2705333025021</v>
      </c>
      <c r="AB16" s="4">
        <f t="shared" si="2"/>
        <v>44.44711046021484</v>
      </c>
      <c r="AC16" s="81">
        <f t="shared" si="3"/>
        <v>0</v>
      </c>
      <c r="AD16" s="18">
        <v>0.695</v>
      </c>
      <c r="AE16" s="46">
        <f t="shared" si="16"/>
        <v>0</v>
      </c>
      <c r="AF16" s="46">
        <f t="shared" si="17"/>
        <v>0</v>
      </c>
      <c r="AG16" s="19"/>
      <c r="AH16" s="79">
        <f>AI16*AJ$6</f>
        <v>46.7308079755339</v>
      </c>
      <c r="AI16" s="79">
        <f t="shared" si="18"/>
        <v>46.965636156315476</v>
      </c>
      <c r="AJ16" s="19"/>
      <c r="AK16" s="7">
        <f t="shared" si="5"/>
        <v>374.4584768617396</v>
      </c>
      <c r="AL16" s="7">
        <f t="shared" si="6"/>
        <v>376.34017775049205</v>
      </c>
      <c r="AM16" s="17"/>
      <c r="AN16" s="16"/>
      <c r="AP16" s="14"/>
      <c r="AQ16" s="15"/>
      <c r="AS16" s="16"/>
      <c r="AT16" s="4">
        <f t="shared" si="19"/>
        <v>10403.39422146137</v>
      </c>
      <c r="AU16" s="4">
        <f t="shared" si="20"/>
        <v>8889.422092042958</v>
      </c>
      <c r="AV16" s="4">
        <f t="shared" si="21"/>
        <v>1513.9721294184133</v>
      </c>
      <c r="AW16" s="4">
        <f t="shared" si="7"/>
        <v>423.30581390680754</v>
      </c>
      <c r="AX16" s="4"/>
      <c r="AY16" s="4"/>
      <c r="AZ16" s="4">
        <f t="shared" si="22"/>
        <v>234.98538793189144</v>
      </c>
      <c r="BA16" s="4">
        <f t="shared" si="23"/>
        <v>234.98538793189144</v>
      </c>
      <c r="BB16" s="46">
        <f t="shared" si="24"/>
        <v>0</v>
      </c>
      <c r="BC16" s="46">
        <f t="shared" si="25"/>
        <v>3965.523443352169</v>
      </c>
      <c r="BD16" s="46">
        <f t="shared" si="26"/>
        <v>3786.593582884774</v>
      </c>
      <c r="BE16" s="46">
        <f t="shared" si="27"/>
        <v>0</v>
      </c>
      <c r="BF16" s="46">
        <f t="shared" si="28"/>
        <v>178.92986046739512</v>
      </c>
      <c r="BG16">
        <f t="shared" si="29"/>
        <v>0.695</v>
      </c>
    </row>
    <row r="17" spans="1:59" ht="13.5" thickBot="1">
      <c r="A17" s="58">
        <v>39783</v>
      </c>
      <c r="B17" s="59">
        <v>642534.7420752821</v>
      </c>
      <c r="C17" s="59"/>
      <c r="D17" s="62">
        <v>84818.73519017769</v>
      </c>
      <c r="E17" s="62"/>
      <c r="F17" s="62">
        <v>0</v>
      </c>
      <c r="G17" s="59">
        <v>0</v>
      </c>
      <c r="H17" s="59">
        <v>0</v>
      </c>
      <c r="I17" s="59">
        <v>0</v>
      </c>
      <c r="J17" s="59">
        <f t="shared" si="8"/>
        <v>0</v>
      </c>
      <c r="K17" s="4">
        <f t="shared" si="9"/>
        <v>727353.4772654598</v>
      </c>
      <c r="L17" s="81">
        <f t="shared" si="10"/>
        <v>521.5124431993347</v>
      </c>
      <c r="M17" s="106">
        <f t="shared" si="11"/>
        <v>608480.4007452922</v>
      </c>
      <c r="N17" s="106">
        <f t="shared" si="0"/>
        <v>0</v>
      </c>
      <c r="O17" s="106">
        <f t="shared" si="0"/>
        <v>80323.34222509827</v>
      </c>
      <c r="P17" s="106">
        <f t="shared" si="0"/>
        <v>0</v>
      </c>
      <c r="Q17" s="106">
        <f t="shared" si="12"/>
        <v>0</v>
      </c>
      <c r="R17" s="107">
        <v>0</v>
      </c>
      <c r="S17" s="107">
        <v>0</v>
      </c>
      <c r="T17" s="107">
        <v>0</v>
      </c>
      <c r="U17" s="107"/>
      <c r="V17" s="4">
        <f t="shared" si="13"/>
        <v>688803.7429703905</v>
      </c>
      <c r="W17" s="81">
        <f t="shared" si="14"/>
        <v>493.87228370976993</v>
      </c>
      <c r="X17" s="4">
        <f t="shared" si="1"/>
        <v>10785.560656895848</v>
      </c>
      <c r="Y17" s="39">
        <f aca="true" t="shared" si="32" ref="Y17:Y30">Z17+AA17+AB17</f>
        <v>1403.214626090384</v>
      </c>
      <c r="Z17" s="8">
        <f aca="true" t="shared" si="33" ref="Z17:Z30">AC17*AD17</f>
        <v>0</v>
      </c>
      <c r="AA17" s="4">
        <f t="shared" si="15"/>
        <v>1351.358036300858</v>
      </c>
      <c r="AB17" s="4">
        <f t="shared" si="2"/>
        <v>51.856589789525884</v>
      </c>
      <c r="AC17" s="81">
        <f t="shared" si="3"/>
        <v>0</v>
      </c>
      <c r="AD17" s="23">
        <v>0.695</v>
      </c>
      <c r="AE17" s="46">
        <f t="shared" si="16"/>
        <v>0</v>
      </c>
      <c r="AF17" s="46">
        <f t="shared" si="17"/>
        <v>0</v>
      </c>
      <c r="AG17" s="19"/>
      <c r="AH17" s="79">
        <f>AI17*AJ$6</f>
        <v>0</v>
      </c>
      <c r="AI17" s="79">
        <f t="shared" si="18"/>
        <v>0</v>
      </c>
      <c r="AJ17" s="19"/>
      <c r="AK17" s="7">
        <f t="shared" si="5"/>
        <v>491.4029222912211</v>
      </c>
      <c r="AL17" s="7">
        <f t="shared" si="6"/>
        <v>493.87228370976993</v>
      </c>
      <c r="AM17" s="17"/>
      <c r="AN17" s="16"/>
      <c r="AP17" s="14"/>
      <c r="AQ17" s="15"/>
      <c r="AS17" s="16"/>
      <c r="AT17" s="4">
        <f t="shared" si="19"/>
        <v>12188.775282986233</v>
      </c>
      <c r="AU17" s="4">
        <f t="shared" si="20"/>
        <v>10371.317957905168</v>
      </c>
      <c r="AV17" s="4">
        <f t="shared" si="21"/>
        <v>1817.4573250810647</v>
      </c>
      <c r="AW17" s="4">
        <f t="shared" si="7"/>
        <v>493.87228370976993</v>
      </c>
      <c r="AX17" s="4"/>
      <c r="AY17" s="4"/>
      <c r="AZ17" s="4">
        <f t="shared" si="22"/>
        <v>0</v>
      </c>
      <c r="BA17" s="4">
        <f t="shared" si="23"/>
        <v>0</v>
      </c>
      <c r="BB17" s="46">
        <f t="shared" si="24"/>
        <v>0</v>
      </c>
      <c r="BC17" s="46">
        <f t="shared" si="25"/>
        <v>5336.0461687641355</v>
      </c>
      <c r="BD17" s="46">
        <f t="shared" si="26"/>
        <v>4547.630395070128</v>
      </c>
      <c r="BE17" s="46">
        <f t="shared" si="27"/>
        <v>0</v>
      </c>
      <c r="BF17" s="46">
        <f t="shared" si="28"/>
        <v>788.4157736940077</v>
      </c>
      <c r="BG17">
        <f t="shared" si="29"/>
        <v>0.695</v>
      </c>
    </row>
    <row r="18" spans="1:63" ht="13.5" thickBot="1">
      <c r="A18" s="49" t="s">
        <v>109</v>
      </c>
      <c r="B18" s="50">
        <f>SUM(B6:B17)</f>
        <v>4130532.8413251187</v>
      </c>
      <c r="C18" s="50">
        <f>SUM(C6:C17)</f>
        <v>386218.842449712</v>
      </c>
      <c r="D18" s="50">
        <f>SUM(D6:D17)</f>
        <v>328833.59971347963</v>
      </c>
      <c r="E18" s="50">
        <f>SUM(E6:E17)</f>
        <v>712428.1734792734</v>
      </c>
      <c r="F18" s="50">
        <f>SUM(F6:F17)</f>
        <v>0</v>
      </c>
      <c r="G18" s="50">
        <f>SUM(G6:G17)</f>
        <v>0</v>
      </c>
      <c r="H18" s="50">
        <f>SUM(H6:H17)</f>
        <v>0</v>
      </c>
      <c r="I18" s="50">
        <v>0</v>
      </c>
      <c r="J18" s="50">
        <v>0</v>
      </c>
      <c r="K18" s="50">
        <f>SUM(K6:K17)</f>
        <v>5558013.456967582</v>
      </c>
      <c r="L18" s="82">
        <f>SUM(L6:L17)</f>
        <v>3985.095648645757</v>
      </c>
      <c r="M18" s="50">
        <f aca="true" t="shared" si="34" ref="M18:T18">SUM(M6:M17)</f>
        <v>3911614.6007348867</v>
      </c>
      <c r="N18" s="50">
        <f t="shared" si="34"/>
        <v>365749.24379987724</v>
      </c>
      <c r="O18" s="50">
        <f t="shared" si="34"/>
        <v>311405.4189286652</v>
      </c>
      <c r="P18" s="50">
        <f t="shared" si="34"/>
        <v>674669.4802848719</v>
      </c>
      <c r="Q18" s="50">
        <f t="shared" si="34"/>
        <v>0</v>
      </c>
      <c r="R18" s="50">
        <f t="shared" si="34"/>
        <v>0</v>
      </c>
      <c r="S18" s="50">
        <f t="shared" si="34"/>
        <v>0</v>
      </c>
      <c r="T18" s="50">
        <f t="shared" si="34"/>
        <v>0</v>
      </c>
      <c r="U18" s="50"/>
      <c r="V18" s="50">
        <f>SUM(V6:V17)</f>
        <v>5263438.743748301</v>
      </c>
      <c r="W18" s="82">
        <f>SUM(W6:W17)</f>
        <v>3773.8855792675313</v>
      </c>
      <c r="X18" s="50">
        <f>SUM(X6:X17)</f>
        <v>82128.10957733165</v>
      </c>
      <c r="Y18" s="50">
        <f>SUM(Y6:Y17)</f>
        <v>10722.552402093876</v>
      </c>
      <c r="Z18" s="50">
        <f>SUM(Z6:Z17)</f>
        <v>0</v>
      </c>
      <c r="AA18" s="50">
        <f>SUM(AA6:AA17)</f>
        <v>10326.294416270784</v>
      </c>
      <c r="AB18" s="50">
        <f>SUM(AB6:AB17)</f>
        <v>396.2579858230912</v>
      </c>
      <c r="AC18" s="50">
        <f>SUM(AC6:AC17)</f>
        <v>0</v>
      </c>
      <c r="AD18" s="52">
        <v>0.695</v>
      </c>
      <c r="AE18" s="50">
        <f>SUM(AE6:AE17)</f>
        <v>0</v>
      </c>
      <c r="AF18" s="50">
        <f>SUM(AF6:AF17)</f>
        <v>0</v>
      </c>
      <c r="AG18" s="53"/>
      <c r="AH18" s="50">
        <f>SUM(AH6:AH17)</f>
        <v>481.31932727743174</v>
      </c>
      <c r="AI18" s="50">
        <f>SUM(AI6:AI17)</f>
        <v>483.73801736425304</v>
      </c>
      <c r="AJ18" s="53"/>
      <c r="AK18" s="50">
        <f>SUM(AK6:AK17)</f>
        <v>3273.696824093762</v>
      </c>
      <c r="AL18" s="50">
        <f>SUM(AL6:AL17)</f>
        <v>3290.147561903278</v>
      </c>
      <c r="AM18" s="54"/>
      <c r="AN18" s="55"/>
      <c r="AO18" s="50"/>
      <c r="AP18" s="56"/>
      <c r="AQ18" s="50"/>
      <c r="AR18" s="50"/>
      <c r="AS18" s="55"/>
      <c r="AT18" s="50">
        <f>ROUNDUP(SUM(AT6:AT17),0)</f>
        <v>92851</v>
      </c>
      <c r="AU18" s="50">
        <f>SUM(AU6:AU17)</f>
        <v>79251.59716461817</v>
      </c>
      <c r="AV18" s="50">
        <f>SUM(AV6:AV17)</f>
        <v>13599.064814807358</v>
      </c>
      <c r="AW18" s="50">
        <f>SUM(AW6:AW17)</f>
        <v>3773.8855792675313</v>
      </c>
      <c r="AX18" s="57"/>
      <c r="AY18" s="57"/>
      <c r="AZ18" s="50">
        <f>SUM(AZ6:AZ17)</f>
        <v>2420.309293573949</v>
      </c>
      <c r="BA18" s="50">
        <f>SUM(BA6:BA17)</f>
        <v>2420.309293573949</v>
      </c>
      <c r="BB18" s="50">
        <v>0</v>
      </c>
      <c r="BC18" s="50">
        <f>SUM(BC6:BC17)</f>
        <v>34988.10879557682</v>
      </c>
      <c r="BD18" s="50">
        <f>SUM(BD6:BD17)</f>
        <v>29234.429622242358</v>
      </c>
      <c r="BE18" s="50">
        <f>SUM(BE6:BE17)</f>
        <v>2697.0714987046745</v>
      </c>
      <c r="BF18" s="50">
        <f>SUM(BF6:BF17)</f>
        <v>3056.6076746297867</v>
      </c>
      <c r="BG18" s="30"/>
      <c r="BH18" s="30"/>
      <c r="BI18" s="30"/>
      <c r="BJ18" s="30"/>
      <c r="BK18" s="30"/>
    </row>
    <row r="19" spans="1:59" ht="12.75">
      <c r="A19" s="58">
        <v>39814</v>
      </c>
      <c r="B19" s="60">
        <v>665186.672792617</v>
      </c>
      <c r="C19" s="60"/>
      <c r="D19" s="62">
        <v>119353.14520196103</v>
      </c>
      <c r="E19" s="62"/>
      <c r="F19" s="62">
        <v>0</v>
      </c>
      <c r="G19" s="59">
        <v>0</v>
      </c>
      <c r="H19" s="59">
        <v>0</v>
      </c>
      <c r="I19" s="59">
        <v>0</v>
      </c>
      <c r="J19" s="59">
        <f>G19*1000/0.717</f>
        <v>0</v>
      </c>
      <c r="K19" s="4">
        <f>SUM(B19:F19)+J19</f>
        <v>784539.817994578</v>
      </c>
      <c r="L19" s="81">
        <f t="shared" si="10"/>
        <v>562.5150495021124</v>
      </c>
      <c r="M19" s="106">
        <f>B19*(1-$D$48)</f>
        <v>629931.7791346082</v>
      </c>
      <c r="N19" s="106">
        <f aca="true" t="shared" si="35" ref="N19:N30">C19*(1-$D$48)</f>
        <v>0</v>
      </c>
      <c r="O19" s="106">
        <f aca="true" t="shared" si="36" ref="O19:O30">D19*(1-$D$48)</f>
        <v>113027.42850625709</v>
      </c>
      <c r="P19" s="106">
        <f aca="true" t="shared" si="37" ref="P19:P30">E19*(1-$D$48)</f>
        <v>0</v>
      </c>
      <c r="Q19" s="106">
        <f>F19*(1-$D$52)</f>
        <v>0</v>
      </c>
      <c r="R19" s="107">
        <f aca="true" t="shared" si="38" ref="R19:R28">G19*(1-$D$50)</f>
        <v>0</v>
      </c>
      <c r="S19" s="107">
        <f aca="true" t="shared" si="39" ref="S19:S28">H19*(1-$D$50)</f>
        <v>0</v>
      </c>
      <c r="T19" s="107">
        <f>I19*(1-$D$55)</f>
        <v>0</v>
      </c>
      <c r="U19" s="107"/>
      <c r="V19" s="4">
        <f>SUM(M19:Q19)+U19</f>
        <v>742959.2076408654</v>
      </c>
      <c r="W19" s="81">
        <f t="shared" si="14"/>
        <v>532.7017518785004</v>
      </c>
      <c r="X19" s="4">
        <f aca="true" t="shared" si="40" ref="X19:X30">AT19-Y19</f>
        <v>11654.59626536311</v>
      </c>
      <c r="Y19" s="39">
        <f t="shared" si="32"/>
        <v>1513.5388525247895</v>
      </c>
      <c r="Z19" s="8">
        <f t="shared" si="33"/>
        <v>0</v>
      </c>
      <c r="AA19" s="4">
        <f>(AE19+AH19+AK19)*(AN$6+AO19*AR19)</f>
        <v>1457.605168577547</v>
      </c>
      <c r="AB19" s="4">
        <f aca="true" t="shared" si="41" ref="AB19:AB30">AS$6*((AF19-AE19)+AI19*(1-AJ$6)+AL19*(1-AM$6))</f>
        <v>55.9336839472426</v>
      </c>
      <c r="AC19" s="81">
        <f aca="true" t="shared" si="42" ref="AC19:AC30">BB19*0.035</f>
        <v>0</v>
      </c>
      <c r="AD19" s="72">
        <v>0.68</v>
      </c>
      <c r="AE19" s="46">
        <f>S19</f>
        <v>0</v>
      </c>
      <c r="AF19" s="46">
        <f>R19</f>
        <v>0</v>
      </c>
      <c r="AG19" s="19"/>
      <c r="AH19" s="79">
        <f aca="true" t="shared" si="43" ref="AH19:AH28">AI19*AJ$6</f>
        <v>0</v>
      </c>
      <c r="AI19" s="79">
        <f>(P19+Q19)*0.717/1000</f>
        <v>0</v>
      </c>
      <c r="AJ19" s="19"/>
      <c r="AK19" s="7">
        <f aca="true" t="shared" si="44" ref="AK19:AK30">AL19*AM$6</f>
        <v>530.038243119108</v>
      </c>
      <c r="AL19" s="7">
        <f aca="true" t="shared" si="45" ref="AL19:AL30">(M19+N19+O19)*0.717/1000</f>
        <v>532.7017518785004</v>
      </c>
      <c r="AM19" s="17"/>
      <c r="AN19" s="16"/>
      <c r="AP19" s="14"/>
      <c r="AQ19" s="15"/>
      <c r="AS19" s="16"/>
      <c r="AT19" s="4">
        <f aca="true" t="shared" si="46" ref="AT19:AT30">AU19+AV19</f>
        <v>13168.1351178879</v>
      </c>
      <c r="AU19" s="4">
        <f aca="true" t="shared" si="47" ref="AU19:AU30">AW19*AX$6</f>
        <v>11186.736789448509</v>
      </c>
      <c r="AV19" s="4">
        <f>AZ19*BG19+BC19*BH$6</f>
        <v>1981.398328439391</v>
      </c>
      <c r="AW19" s="4">
        <f aca="true" t="shared" si="48" ref="AW19:AW30">(AF19+AI19+AL19)</f>
        <v>532.7017518785004</v>
      </c>
      <c r="AX19" s="4"/>
      <c r="AY19" s="4"/>
      <c r="AZ19" s="4">
        <f>BA19+BB19</f>
        <v>0</v>
      </c>
      <c r="BA19" s="4">
        <f>P19*9.965/1000*0.36</f>
        <v>0</v>
      </c>
      <c r="BB19" s="46">
        <f>T19</f>
        <v>0</v>
      </c>
      <c r="BC19" s="46">
        <f>BD19+BE19+BF19</f>
        <v>5817.376184496156</v>
      </c>
      <c r="BD19" s="46">
        <f>M19*9.965/1000*$BI$6</f>
        <v>4707.952634307278</v>
      </c>
      <c r="BE19" s="46">
        <f>N19*9.965/1000*$BJ$6</f>
        <v>0</v>
      </c>
      <c r="BF19" s="46">
        <f>O19*9.965/1000*$BK$6</f>
        <v>1109.423550188879</v>
      </c>
      <c r="BG19" s="84">
        <f>AD19</f>
        <v>0.68</v>
      </c>
    </row>
    <row r="20" spans="1:59" ht="12.75">
      <c r="A20" s="58">
        <v>39845</v>
      </c>
      <c r="B20" s="60">
        <v>573136.5637074993</v>
      </c>
      <c r="C20" s="60"/>
      <c r="D20" s="62">
        <v>125615.63042647723</v>
      </c>
      <c r="E20" s="62"/>
      <c r="F20" s="62">
        <v>0</v>
      </c>
      <c r="G20" s="59">
        <v>0</v>
      </c>
      <c r="H20" s="59">
        <v>0</v>
      </c>
      <c r="I20" s="59">
        <v>0</v>
      </c>
      <c r="J20" s="59">
        <f aca="true" t="shared" si="49" ref="J20:J34">G20*1000/0.717</f>
        <v>0</v>
      </c>
      <c r="K20" s="4">
        <f aca="true" t="shared" si="50" ref="K20:K33">SUM(B20:F20)+J20</f>
        <v>698752.1941339765</v>
      </c>
      <c r="L20" s="81">
        <f t="shared" si="10"/>
        <v>501.00532319406113</v>
      </c>
      <c r="M20" s="106">
        <f aca="true" t="shared" si="51" ref="M20:M30">B20*(1-$D$48)</f>
        <v>542760.3258310019</v>
      </c>
      <c r="N20" s="106">
        <f t="shared" si="35"/>
        <v>0</v>
      </c>
      <c r="O20" s="106">
        <f t="shared" si="36"/>
        <v>118958.00201387393</v>
      </c>
      <c r="P20" s="106">
        <f t="shared" si="37"/>
        <v>0</v>
      </c>
      <c r="Q20" s="106">
        <f aca="true" t="shared" si="52" ref="Q20:Q34">F20*(1-$D$52)</f>
        <v>0</v>
      </c>
      <c r="R20" s="107">
        <f t="shared" si="38"/>
        <v>0</v>
      </c>
      <c r="S20" s="107">
        <f t="shared" si="39"/>
        <v>0</v>
      </c>
      <c r="T20" s="107">
        <f aca="true" t="shared" si="53" ref="T20:T34">I20*(1-$D$55)</f>
        <v>0</v>
      </c>
      <c r="U20" s="107"/>
      <c r="V20" s="4">
        <f aca="true" t="shared" si="54" ref="V20:V30">SUM(M20:Q20)+U20</f>
        <v>661718.3278448757</v>
      </c>
      <c r="W20" s="81">
        <f t="shared" si="14"/>
        <v>474.4520410647759</v>
      </c>
      <c r="X20" s="4">
        <f t="shared" si="40"/>
        <v>10394.781132306607</v>
      </c>
      <c r="Y20" s="39">
        <f t="shared" si="32"/>
        <v>1348.0368616752946</v>
      </c>
      <c r="Z20" s="8">
        <f t="shared" si="33"/>
        <v>0</v>
      </c>
      <c r="AA20" s="4">
        <f aca="true" t="shared" si="55" ref="AA20:AA34">(AE20+AH20+AK20)*(AN$6+AO20*AR20)</f>
        <v>1298.219397363493</v>
      </c>
      <c r="AB20" s="4">
        <f t="shared" si="41"/>
        <v>49.817464311801515</v>
      </c>
      <c r="AC20" s="81">
        <f t="shared" si="42"/>
        <v>0</v>
      </c>
      <c r="AD20" s="72">
        <v>0.68</v>
      </c>
      <c r="AE20" s="46">
        <f aca="true" t="shared" si="56" ref="AE20:AE30">S20</f>
        <v>0</v>
      </c>
      <c r="AF20" s="46">
        <f aca="true" t="shared" si="57" ref="AF20:AF30">R20</f>
        <v>0</v>
      </c>
      <c r="AG20" s="19"/>
      <c r="AH20" s="79">
        <f t="shared" si="43"/>
        <v>0</v>
      </c>
      <c r="AI20" s="79">
        <f aca="true" t="shared" si="58" ref="AI20:AI34">(P20+Q20)*0.717/1000</f>
        <v>0</v>
      </c>
      <c r="AJ20" s="19"/>
      <c r="AK20" s="7">
        <f t="shared" si="44"/>
        <v>472.07978085945206</v>
      </c>
      <c r="AL20" s="7">
        <f t="shared" si="45"/>
        <v>474.4520410647759</v>
      </c>
      <c r="AM20" s="17"/>
      <c r="AN20" s="16"/>
      <c r="AP20" s="14"/>
      <c r="AQ20" s="15"/>
      <c r="AS20" s="16"/>
      <c r="AT20" s="4">
        <f t="shared" si="46"/>
        <v>11742.817993981902</v>
      </c>
      <c r="AU20" s="4">
        <f t="shared" si="47"/>
        <v>9963.492862360294</v>
      </c>
      <c r="AV20" s="4">
        <f aca="true" t="shared" si="59" ref="AV20:AV34">AZ20*BG20+BC20*BH$6</f>
        <v>1779.3251316216092</v>
      </c>
      <c r="AW20" s="4">
        <f t="shared" si="48"/>
        <v>474.4520410647759</v>
      </c>
      <c r="AX20" s="4"/>
      <c r="AY20" s="4"/>
      <c r="AZ20" s="4">
        <f aca="true" t="shared" si="60" ref="AZ20:AZ34">BA20+BB20</f>
        <v>0</v>
      </c>
      <c r="BA20" s="4">
        <f aca="true" t="shared" si="61" ref="BA20:BA34">P20*9.965/1000*0.36</f>
        <v>0</v>
      </c>
      <c r="BB20" s="46">
        <f aca="true" t="shared" si="62" ref="BB20:BB34">T20</f>
        <v>0</v>
      </c>
      <c r="BC20" s="46">
        <f aca="true" t="shared" si="63" ref="BC20:BC34">BD20+BE20+BF20</f>
        <v>5224.09022789668</v>
      </c>
      <c r="BD20" s="46">
        <f aca="true" t="shared" si="64" ref="BD20:BD34">M20*9.965/1000*$BI$6</f>
        <v>4056.45498517945</v>
      </c>
      <c r="BE20" s="46">
        <f aca="true" t="shared" si="65" ref="BE20:BE34">N20*9.965/1000*$BJ$6</f>
        <v>0</v>
      </c>
      <c r="BF20" s="46">
        <f aca="true" t="shared" si="66" ref="BF20:BF34">O20*9.965/1000*$BK$6</f>
        <v>1167.6352427172299</v>
      </c>
      <c r="BG20" s="84">
        <f aca="true" t="shared" si="67" ref="BG20:BG30">AD20</f>
        <v>0.68</v>
      </c>
    </row>
    <row r="21" spans="1:59" ht="12.75">
      <c r="A21" s="58">
        <v>39873</v>
      </c>
      <c r="B21" s="60">
        <v>574087.1759142134</v>
      </c>
      <c r="C21" s="60"/>
      <c r="D21" s="62">
        <v>44277.84672437694</v>
      </c>
      <c r="E21" s="62">
        <v>93373.16825329223</v>
      </c>
      <c r="F21" s="62">
        <v>0</v>
      </c>
      <c r="G21" s="59">
        <v>0</v>
      </c>
      <c r="H21" s="59">
        <v>0</v>
      </c>
      <c r="I21" s="59">
        <v>0</v>
      </c>
      <c r="J21" s="59">
        <f t="shared" si="49"/>
        <v>0</v>
      </c>
      <c r="K21" s="4">
        <f t="shared" si="50"/>
        <v>711738.1908918825</v>
      </c>
      <c r="L21" s="81">
        <f t="shared" si="10"/>
        <v>510.3162828694797</v>
      </c>
      <c r="M21" s="106">
        <f t="shared" si="51"/>
        <v>543660.5555907601</v>
      </c>
      <c r="N21" s="106">
        <f t="shared" si="35"/>
        <v>0</v>
      </c>
      <c r="O21" s="106">
        <f t="shared" si="36"/>
        <v>41931.12084798496</v>
      </c>
      <c r="P21" s="106">
        <f t="shared" si="37"/>
        <v>88424.39033586773</v>
      </c>
      <c r="Q21" s="106">
        <f t="shared" si="52"/>
        <v>0</v>
      </c>
      <c r="R21" s="107">
        <f t="shared" si="38"/>
        <v>0</v>
      </c>
      <c r="S21" s="107">
        <f t="shared" si="39"/>
        <v>0</v>
      </c>
      <c r="T21" s="107">
        <f t="shared" si="53"/>
        <v>0</v>
      </c>
      <c r="U21" s="107"/>
      <c r="V21" s="4">
        <f t="shared" si="54"/>
        <v>674016.0667746128</v>
      </c>
      <c r="W21" s="81">
        <f t="shared" si="14"/>
        <v>483.26951987739733</v>
      </c>
      <c r="X21" s="4">
        <f t="shared" si="40"/>
        <v>10515.378611249553</v>
      </c>
      <c r="Y21" s="39">
        <f t="shared" si="32"/>
        <v>1373.0895233516553</v>
      </c>
      <c r="Z21" s="8">
        <f t="shared" si="33"/>
        <v>0</v>
      </c>
      <c r="AA21" s="4">
        <f t="shared" si="55"/>
        <v>1322.3462237645285</v>
      </c>
      <c r="AB21" s="4">
        <f t="shared" si="41"/>
        <v>50.74329958712677</v>
      </c>
      <c r="AC21" s="81">
        <f t="shared" si="42"/>
        <v>0</v>
      </c>
      <c r="AD21" s="72">
        <v>0.68</v>
      </c>
      <c r="AE21" s="46">
        <f t="shared" si="56"/>
        <v>0</v>
      </c>
      <c r="AF21" s="46">
        <f t="shared" si="57"/>
        <v>0</v>
      </c>
      <c r="AG21" s="19"/>
      <c r="AH21" s="79">
        <f t="shared" si="43"/>
        <v>63.08328643146308</v>
      </c>
      <c r="AI21" s="79">
        <f t="shared" si="58"/>
        <v>63.400287870817166</v>
      </c>
      <c r="AJ21" s="19"/>
      <c r="AK21" s="7">
        <f t="shared" si="44"/>
        <v>417.76988584654725</v>
      </c>
      <c r="AL21" s="7">
        <f t="shared" si="45"/>
        <v>419.86923200658015</v>
      </c>
      <c r="AM21" s="17"/>
      <c r="AN21" s="16"/>
      <c r="AP21" s="14"/>
      <c r="AQ21" s="15"/>
      <c r="AS21" s="16"/>
      <c r="AT21" s="4">
        <f t="shared" si="46"/>
        <v>11888.468134601208</v>
      </c>
      <c r="AU21" s="4">
        <f t="shared" si="47"/>
        <v>10148.659917425344</v>
      </c>
      <c r="AV21" s="4">
        <f t="shared" si="59"/>
        <v>1739.808217175864</v>
      </c>
      <c r="AW21" s="4">
        <f t="shared" si="48"/>
        <v>483.26951987739733</v>
      </c>
      <c r="AX21" s="4"/>
      <c r="AY21" s="4"/>
      <c r="AZ21" s="4">
        <f t="shared" si="60"/>
        <v>317.21365789089185</v>
      </c>
      <c r="BA21" s="4">
        <f t="shared" si="61"/>
        <v>317.21365789089185</v>
      </c>
      <c r="BB21" s="46">
        <f t="shared" si="62"/>
        <v>0</v>
      </c>
      <c r="BC21" s="46">
        <f t="shared" si="63"/>
        <v>4474.759042307861</v>
      </c>
      <c r="BD21" s="46">
        <f t="shared" si="64"/>
        <v>4063.1830773464435</v>
      </c>
      <c r="BE21" s="46">
        <f t="shared" si="65"/>
        <v>0</v>
      </c>
      <c r="BF21" s="46">
        <f t="shared" si="66"/>
        <v>411.5759649614176</v>
      </c>
      <c r="BG21" s="84">
        <f t="shared" si="67"/>
        <v>0.68</v>
      </c>
    </row>
    <row r="22" spans="1:59" ht="12.75">
      <c r="A22" s="58">
        <v>39904</v>
      </c>
      <c r="B22" s="60">
        <v>281366.3894118801</v>
      </c>
      <c r="C22" s="60">
        <v>27126.96142077089</v>
      </c>
      <c r="D22" s="62"/>
      <c r="E22" s="62">
        <v>84730.07225717213</v>
      </c>
      <c r="F22" s="62">
        <v>0</v>
      </c>
      <c r="G22" s="59">
        <v>0</v>
      </c>
      <c r="H22" s="59">
        <v>0</v>
      </c>
      <c r="I22" s="59">
        <v>0</v>
      </c>
      <c r="J22" s="59">
        <f t="shared" si="49"/>
        <v>0</v>
      </c>
      <c r="K22" s="4">
        <f t="shared" si="50"/>
        <v>393223.42308982316</v>
      </c>
      <c r="L22" s="81">
        <f t="shared" si="10"/>
        <v>281.9411943554032</v>
      </c>
      <c r="M22" s="106">
        <f t="shared" si="51"/>
        <v>266453.97077305045</v>
      </c>
      <c r="N22" s="106">
        <f t="shared" si="35"/>
        <v>25689.23246547003</v>
      </c>
      <c r="O22" s="106">
        <f t="shared" si="36"/>
        <v>0</v>
      </c>
      <c r="P22" s="106">
        <f t="shared" si="37"/>
        <v>80239.378427542</v>
      </c>
      <c r="Q22" s="106">
        <f t="shared" si="52"/>
        <v>0</v>
      </c>
      <c r="R22" s="107">
        <f t="shared" si="38"/>
        <v>0</v>
      </c>
      <c r="S22" s="107">
        <f t="shared" si="39"/>
        <v>0</v>
      </c>
      <c r="T22" s="107">
        <f t="shared" si="53"/>
        <v>0</v>
      </c>
      <c r="U22" s="107"/>
      <c r="V22" s="4">
        <f t="shared" si="54"/>
        <v>372382.58166606247</v>
      </c>
      <c r="W22" s="81">
        <f t="shared" si="14"/>
        <v>266.9983110545668</v>
      </c>
      <c r="X22" s="4">
        <f t="shared" si="40"/>
        <v>5786.8900087424445</v>
      </c>
      <c r="Y22" s="39">
        <f t="shared" si="32"/>
        <v>758.608951283788</v>
      </c>
      <c r="Z22" s="8">
        <f t="shared" si="33"/>
        <v>0</v>
      </c>
      <c r="AA22" s="4">
        <f t="shared" si="55"/>
        <v>730.5741286230584</v>
      </c>
      <c r="AB22" s="4">
        <f t="shared" si="41"/>
        <v>28.034822660729542</v>
      </c>
      <c r="AC22" s="81">
        <f t="shared" si="42"/>
        <v>0</v>
      </c>
      <c r="AD22" s="72">
        <v>0.68</v>
      </c>
      <c r="AE22" s="46">
        <f t="shared" si="56"/>
        <v>0</v>
      </c>
      <c r="AF22" s="46">
        <f t="shared" si="57"/>
        <v>0</v>
      </c>
      <c r="AG22" s="19"/>
      <c r="AH22" s="79">
        <f t="shared" si="43"/>
        <v>57.24397616088487</v>
      </c>
      <c r="AI22" s="79">
        <f t="shared" si="58"/>
        <v>57.53163433254761</v>
      </c>
      <c r="AJ22" s="19"/>
      <c r="AK22" s="7">
        <f t="shared" si="44"/>
        <v>208.41934333840908</v>
      </c>
      <c r="AL22" s="7">
        <f t="shared" si="45"/>
        <v>209.46667672201917</v>
      </c>
      <c r="AM22" s="17"/>
      <c r="AN22" s="16"/>
      <c r="AP22" s="14"/>
      <c r="AQ22" s="15"/>
      <c r="AS22" s="16"/>
      <c r="AT22" s="4">
        <f t="shared" si="46"/>
        <v>6545.498960026232</v>
      </c>
      <c r="AU22" s="4">
        <f t="shared" si="47"/>
        <v>5606.964532145903</v>
      </c>
      <c r="AV22" s="4">
        <f t="shared" si="59"/>
        <v>938.5344278803298</v>
      </c>
      <c r="AW22" s="4">
        <f t="shared" si="48"/>
        <v>266.9983110545668</v>
      </c>
      <c r="AX22" s="4"/>
      <c r="AY22" s="4"/>
      <c r="AZ22" s="4">
        <f t="shared" si="60"/>
        <v>287.85074617096416</v>
      </c>
      <c r="BA22" s="4">
        <f t="shared" si="61"/>
        <v>287.85074617096416</v>
      </c>
      <c r="BB22" s="46">
        <f t="shared" si="62"/>
        <v>0</v>
      </c>
      <c r="BC22" s="46">
        <f t="shared" si="63"/>
        <v>2180.8453331887085</v>
      </c>
      <c r="BD22" s="46">
        <f t="shared" si="64"/>
        <v>1991.410364065086</v>
      </c>
      <c r="BE22" s="46">
        <f t="shared" si="65"/>
        <v>189.43496912362255</v>
      </c>
      <c r="BF22" s="46">
        <f t="shared" si="66"/>
        <v>0</v>
      </c>
      <c r="BG22" s="84">
        <f t="shared" si="67"/>
        <v>0.68</v>
      </c>
    </row>
    <row r="23" spans="1:59" ht="12.75">
      <c r="A23" s="58">
        <v>39934</v>
      </c>
      <c r="B23" s="60"/>
      <c r="C23" s="60">
        <v>57273.0469616356</v>
      </c>
      <c r="D23" s="62"/>
      <c r="E23" s="62">
        <v>13186.672842021373</v>
      </c>
      <c r="F23" s="62">
        <v>0</v>
      </c>
      <c r="G23" s="59">
        <v>25.66769692068671</v>
      </c>
      <c r="H23" s="59">
        <v>25.539358436083273</v>
      </c>
      <c r="I23" s="59">
        <v>0</v>
      </c>
      <c r="J23" s="59">
        <f t="shared" si="49"/>
        <v>35798.7404751558</v>
      </c>
      <c r="K23" s="4">
        <f t="shared" si="50"/>
        <v>106258.46027881277</v>
      </c>
      <c r="L23" s="81">
        <f t="shared" si="10"/>
        <v>76.18731601990876</v>
      </c>
      <c r="M23" s="106">
        <f t="shared" si="51"/>
        <v>0</v>
      </c>
      <c r="N23" s="106">
        <f t="shared" si="35"/>
        <v>54237.57547266891</v>
      </c>
      <c r="O23" s="106">
        <f t="shared" si="36"/>
        <v>0</v>
      </c>
      <c r="P23" s="106">
        <f t="shared" si="37"/>
        <v>12487.77918139424</v>
      </c>
      <c r="Q23" s="106">
        <f t="shared" si="52"/>
        <v>0</v>
      </c>
      <c r="R23" s="107">
        <f t="shared" si="38"/>
        <v>25.231346073035034</v>
      </c>
      <c r="S23" s="107">
        <f t="shared" si="39"/>
        <v>25.105189342669856</v>
      </c>
      <c r="T23" s="107">
        <f t="shared" si="53"/>
        <v>0</v>
      </c>
      <c r="U23" s="107">
        <f>J23*(1-$D$50)</f>
        <v>35190.16188707815</v>
      </c>
      <c r="V23" s="4">
        <f t="shared" si="54"/>
        <v>101915.5165411413</v>
      </c>
      <c r="W23" s="81">
        <f t="shared" si="14"/>
        <v>73.07342535999831</v>
      </c>
      <c r="X23" s="4">
        <f t="shared" si="40"/>
        <v>1493.6092466826947</v>
      </c>
      <c r="Y23" s="39">
        <f t="shared" si="32"/>
        <v>207.61986980409526</v>
      </c>
      <c r="Z23" s="8">
        <f t="shared" si="33"/>
        <v>0</v>
      </c>
      <c r="AA23" s="4">
        <f t="shared" si="55"/>
        <v>199.94716014129537</v>
      </c>
      <c r="AB23" s="4">
        <f t="shared" si="41"/>
        <v>7.672709662799888</v>
      </c>
      <c r="AC23" s="81">
        <f t="shared" si="42"/>
        <v>0</v>
      </c>
      <c r="AD23" s="72">
        <v>0.68</v>
      </c>
      <c r="AE23" s="46">
        <f t="shared" si="56"/>
        <v>25.105189342669856</v>
      </c>
      <c r="AF23" s="46">
        <f t="shared" si="57"/>
        <v>25.231346073035034</v>
      </c>
      <c r="AG23" s="19"/>
      <c r="AH23" s="79">
        <f t="shared" si="43"/>
        <v>8.908968984694372</v>
      </c>
      <c r="AI23" s="79">
        <f t="shared" si="58"/>
        <v>8.95373767305967</v>
      </c>
      <c r="AJ23" s="19"/>
      <c r="AK23" s="7">
        <f t="shared" si="44"/>
        <v>38.69389990583409</v>
      </c>
      <c r="AL23" s="7">
        <f t="shared" si="45"/>
        <v>38.888341613903606</v>
      </c>
      <c r="AM23" s="17"/>
      <c r="AN23" s="16"/>
      <c r="AP23" s="14"/>
      <c r="AQ23" s="15"/>
      <c r="AS23" s="16"/>
      <c r="AT23" s="4">
        <f t="shared" si="46"/>
        <v>1701.22911648679</v>
      </c>
      <c r="AU23" s="4">
        <f t="shared" si="47"/>
        <v>1534.5419325599646</v>
      </c>
      <c r="AV23" s="4">
        <f t="shared" si="59"/>
        <v>166.68718392682538</v>
      </c>
      <c r="AW23" s="4">
        <f t="shared" si="48"/>
        <v>73.07342535999831</v>
      </c>
      <c r="AX23" s="4"/>
      <c r="AY23" s="4"/>
      <c r="AZ23" s="4">
        <f t="shared" si="60"/>
        <v>44.7986590353337</v>
      </c>
      <c r="BA23" s="4">
        <f t="shared" si="61"/>
        <v>44.7986590353337</v>
      </c>
      <c r="BB23" s="46">
        <f t="shared" si="62"/>
        <v>0</v>
      </c>
      <c r="BC23" s="46">
        <f t="shared" si="63"/>
        <v>399.9533052930078</v>
      </c>
      <c r="BD23" s="46">
        <f t="shared" si="64"/>
        <v>0</v>
      </c>
      <c r="BE23" s="46">
        <f t="shared" si="65"/>
        <v>399.9533052930078</v>
      </c>
      <c r="BF23" s="46">
        <f t="shared" si="66"/>
        <v>0</v>
      </c>
      <c r="BG23" s="84">
        <f t="shared" si="67"/>
        <v>0.68</v>
      </c>
    </row>
    <row r="24" spans="1:59" ht="12.75">
      <c r="A24" s="58">
        <v>39965</v>
      </c>
      <c r="B24" s="60"/>
      <c r="C24" s="60">
        <v>45879.7581841099</v>
      </c>
      <c r="D24" s="62"/>
      <c r="E24" s="62">
        <v>99928.46058596665</v>
      </c>
      <c r="F24" s="62">
        <v>0</v>
      </c>
      <c r="G24" s="59">
        <v>179.30840015082103</v>
      </c>
      <c r="H24" s="59">
        <v>178.41185815006682</v>
      </c>
      <c r="I24" s="59">
        <v>0</v>
      </c>
      <c r="J24" s="59">
        <f t="shared" si="49"/>
        <v>250081.45069849514</v>
      </c>
      <c r="K24" s="4">
        <f t="shared" si="50"/>
        <v>395889.66946857166</v>
      </c>
      <c r="L24" s="81">
        <f t="shared" si="10"/>
        <v>283.8528930089659</v>
      </c>
      <c r="M24" s="106">
        <f t="shared" si="51"/>
        <v>0</v>
      </c>
      <c r="N24" s="106">
        <f t="shared" si="35"/>
        <v>43448.13100035208</v>
      </c>
      <c r="O24" s="106">
        <f t="shared" si="36"/>
        <v>0</v>
      </c>
      <c r="P24" s="106">
        <f t="shared" si="37"/>
        <v>94632.2521749104</v>
      </c>
      <c r="Q24" s="106">
        <f t="shared" si="52"/>
        <v>0</v>
      </c>
      <c r="R24" s="107">
        <f t="shared" si="38"/>
        <v>176.26015734825708</v>
      </c>
      <c r="S24" s="107">
        <f t="shared" si="39"/>
        <v>175.37885656151568</v>
      </c>
      <c r="T24" s="107">
        <f t="shared" si="53"/>
        <v>0</v>
      </c>
      <c r="U24" s="107">
        <f aca="true" t="shared" si="68" ref="U24:U33">J24*(1-$D$50)</f>
        <v>245830.06603662073</v>
      </c>
      <c r="V24" s="4">
        <f t="shared" si="54"/>
        <v>383910.44921188324</v>
      </c>
      <c r="W24" s="81">
        <f t="shared" si="14"/>
        <v>275.2637920849203</v>
      </c>
      <c r="X24" s="4">
        <f t="shared" si="40"/>
        <v>5338.420456582573</v>
      </c>
      <c r="Y24" s="39">
        <f t="shared" si="32"/>
        <v>782.0932492612819</v>
      </c>
      <c r="Z24" s="8">
        <f t="shared" si="33"/>
        <v>0</v>
      </c>
      <c r="AA24" s="4">
        <f t="shared" si="55"/>
        <v>753.1905510923627</v>
      </c>
      <c r="AB24" s="4">
        <f t="shared" si="41"/>
        <v>28.902698168919166</v>
      </c>
      <c r="AC24" s="81">
        <f t="shared" si="42"/>
        <v>0</v>
      </c>
      <c r="AD24" s="72">
        <v>0.68</v>
      </c>
      <c r="AE24" s="46">
        <f t="shared" si="56"/>
        <v>175.37885656151568</v>
      </c>
      <c r="AF24" s="46">
        <f t="shared" si="57"/>
        <v>176.26015734825708</v>
      </c>
      <c r="AG24" s="19"/>
      <c r="AH24" s="79">
        <f t="shared" si="43"/>
        <v>67.5120681853637</v>
      </c>
      <c r="AI24" s="79">
        <f t="shared" si="58"/>
        <v>67.85132480941076</v>
      </c>
      <c r="AJ24" s="19"/>
      <c r="AK24" s="7">
        <f t="shared" si="44"/>
        <v>30.996548377616175</v>
      </c>
      <c r="AL24" s="7">
        <f t="shared" si="45"/>
        <v>31.15230992725244</v>
      </c>
      <c r="AM24" s="17"/>
      <c r="AN24" s="16"/>
      <c r="AP24" s="14"/>
      <c r="AQ24" s="15"/>
      <c r="AS24" s="16"/>
      <c r="AT24" s="4">
        <f t="shared" si="46"/>
        <v>6120.513705843855</v>
      </c>
      <c r="AU24" s="4">
        <f t="shared" si="47"/>
        <v>5780.539633783326</v>
      </c>
      <c r="AV24" s="4">
        <f t="shared" si="59"/>
        <v>339.9740720605286</v>
      </c>
      <c r="AW24" s="4">
        <f t="shared" si="48"/>
        <v>275.2637920849203</v>
      </c>
      <c r="AX24" s="4"/>
      <c r="AY24" s="4"/>
      <c r="AZ24" s="4">
        <f t="shared" si="60"/>
        <v>339.4837414522736</v>
      </c>
      <c r="BA24" s="4">
        <f t="shared" si="61"/>
        <v>339.4837414522736</v>
      </c>
      <c r="BB24" s="46">
        <f t="shared" si="62"/>
        <v>0</v>
      </c>
      <c r="BC24" s="46">
        <f t="shared" si="63"/>
        <v>320.3908628096962</v>
      </c>
      <c r="BD24" s="46">
        <f t="shared" si="64"/>
        <v>0</v>
      </c>
      <c r="BE24" s="46">
        <f t="shared" si="65"/>
        <v>320.3908628096962</v>
      </c>
      <c r="BF24" s="46">
        <f t="shared" si="66"/>
        <v>0</v>
      </c>
      <c r="BG24" s="84">
        <f t="shared" si="67"/>
        <v>0.68</v>
      </c>
    </row>
    <row r="25" spans="1:59" ht="12.75">
      <c r="A25" s="58">
        <v>39995</v>
      </c>
      <c r="B25" s="60"/>
      <c r="C25" s="60">
        <v>43812.83104015425</v>
      </c>
      <c r="D25" s="62"/>
      <c r="E25" s="62">
        <v>96807.38858180417</v>
      </c>
      <c r="F25" s="62">
        <v>0</v>
      </c>
      <c r="G25" s="59">
        <v>205.99099960098724</v>
      </c>
      <c r="H25" s="59">
        <v>203.9262088217938</v>
      </c>
      <c r="I25" s="59">
        <v>0</v>
      </c>
      <c r="J25" s="59">
        <f t="shared" si="49"/>
        <v>287295.6758730645</v>
      </c>
      <c r="K25" s="4">
        <f t="shared" si="50"/>
        <v>427915.8954950229</v>
      </c>
      <c r="L25" s="81">
        <f t="shared" si="10"/>
        <v>306.8156970699314</v>
      </c>
      <c r="M25" s="106">
        <f t="shared" si="51"/>
        <v>0</v>
      </c>
      <c r="N25" s="106">
        <f t="shared" si="35"/>
        <v>41490.75099502607</v>
      </c>
      <c r="O25" s="106">
        <f t="shared" si="36"/>
        <v>0</v>
      </c>
      <c r="P25" s="106">
        <f t="shared" si="37"/>
        <v>91676.59698696855</v>
      </c>
      <c r="Q25" s="106">
        <f t="shared" si="52"/>
        <v>0</v>
      </c>
      <c r="R25" s="107">
        <f t="shared" si="38"/>
        <v>202.48915260777045</v>
      </c>
      <c r="S25" s="107">
        <f t="shared" si="39"/>
        <v>200.4594632718233</v>
      </c>
      <c r="T25" s="107">
        <f t="shared" si="53"/>
        <v>0</v>
      </c>
      <c r="U25" s="107">
        <f t="shared" si="68"/>
        <v>282411.6493832224</v>
      </c>
      <c r="V25" s="4">
        <f t="shared" si="54"/>
        <v>415578.997365217</v>
      </c>
      <c r="W25" s="81">
        <f t="shared" si="14"/>
        <v>297.9701411108606</v>
      </c>
      <c r="X25" s="4">
        <f t="shared" si="40"/>
        <v>5720.048365150749</v>
      </c>
      <c r="Y25" s="39">
        <f t="shared" si="32"/>
        <v>865.1723586368093</v>
      </c>
      <c r="Z25" s="8">
        <f t="shared" si="33"/>
        <v>0</v>
      </c>
      <c r="AA25" s="4">
        <f t="shared" si="55"/>
        <v>812.5233787890946</v>
      </c>
      <c r="AB25" s="4">
        <f t="shared" si="41"/>
        <v>52.648979847714706</v>
      </c>
      <c r="AC25" s="81">
        <f t="shared" si="42"/>
        <v>0</v>
      </c>
      <c r="AD25" s="72">
        <v>0.68</v>
      </c>
      <c r="AE25" s="46">
        <f t="shared" si="56"/>
        <v>200.4594632718233</v>
      </c>
      <c r="AF25" s="46">
        <f t="shared" si="57"/>
        <v>202.48915260777045</v>
      </c>
      <c r="AG25" s="19"/>
      <c r="AH25" s="79">
        <f t="shared" si="43"/>
        <v>65.40345943945817</v>
      </c>
      <c r="AI25" s="79">
        <f t="shared" si="58"/>
        <v>65.73212003965645</v>
      </c>
      <c r="AJ25" s="19"/>
      <c r="AK25" s="7">
        <f t="shared" si="44"/>
        <v>29.600124121116526</v>
      </c>
      <c r="AL25" s="7">
        <f t="shared" si="45"/>
        <v>29.748868463433695</v>
      </c>
      <c r="AM25" s="17"/>
      <c r="AN25" s="16"/>
      <c r="AP25" s="14"/>
      <c r="AQ25" s="15"/>
      <c r="AS25" s="16"/>
      <c r="AT25" s="4">
        <f t="shared" si="46"/>
        <v>6585.220723787558</v>
      </c>
      <c r="AU25" s="4">
        <f t="shared" si="47"/>
        <v>6257.372963328073</v>
      </c>
      <c r="AV25" s="4">
        <f t="shared" si="59"/>
        <v>327.8477604594855</v>
      </c>
      <c r="AW25" s="4">
        <f t="shared" si="48"/>
        <v>297.9701411108606</v>
      </c>
      <c r="AX25" s="4"/>
      <c r="AY25" s="4"/>
      <c r="AZ25" s="4">
        <f t="shared" si="60"/>
        <v>328.88062403105096</v>
      </c>
      <c r="BA25" s="4">
        <f t="shared" si="61"/>
        <v>328.88062403105096</v>
      </c>
      <c r="BB25" s="46">
        <f t="shared" si="62"/>
        <v>0</v>
      </c>
      <c r="BC25" s="46">
        <f t="shared" si="63"/>
        <v>305.95694691242176</v>
      </c>
      <c r="BD25" s="46">
        <f t="shared" si="64"/>
        <v>0</v>
      </c>
      <c r="BE25" s="46">
        <f t="shared" si="65"/>
        <v>305.95694691242176</v>
      </c>
      <c r="BF25" s="46">
        <f t="shared" si="66"/>
        <v>0</v>
      </c>
      <c r="BG25" s="84">
        <f t="shared" si="67"/>
        <v>0.68</v>
      </c>
    </row>
    <row r="26" spans="1:59" ht="12.75">
      <c r="A26" s="58">
        <v>40026</v>
      </c>
      <c r="B26" s="60"/>
      <c r="C26" s="60">
        <v>48197.101915724954</v>
      </c>
      <c r="D26" s="62"/>
      <c r="E26" s="62">
        <v>87557.07442001726</v>
      </c>
      <c r="F26" s="62">
        <v>0</v>
      </c>
      <c r="G26" s="59">
        <v>233.1073159992561</v>
      </c>
      <c r="H26" s="59">
        <v>231.93346698178516</v>
      </c>
      <c r="I26" s="59">
        <v>0</v>
      </c>
      <c r="J26" s="59">
        <f t="shared" si="49"/>
        <v>325114.8061356431</v>
      </c>
      <c r="K26" s="4">
        <f t="shared" si="50"/>
        <v>460868.98247138533</v>
      </c>
      <c r="L26" s="81">
        <f t="shared" si="10"/>
        <v>330.44306043198327</v>
      </c>
      <c r="M26" s="106">
        <f t="shared" si="51"/>
        <v>0</v>
      </c>
      <c r="N26" s="106">
        <f t="shared" si="35"/>
        <v>45642.65551419153</v>
      </c>
      <c r="O26" s="106">
        <f t="shared" si="36"/>
        <v>0</v>
      </c>
      <c r="P26" s="106">
        <f t="shared" si="37"/>
        <v>82916.54947575634</v>
      </c>
      <c r="Q26" s="106">
        <f t="shared" si="52"/>
        <v>0</v>
      </c>
      <c r="R26" s="107">
        <f t="shared" si="38"/>
        <v>229.14449162726874</v>
      </c>
      <c r="S26" s="107">
        <f t="shared" si="39"/>
        <v>227.99059804309482</v>
      </c>
      <c r="T26" s="107">
        <f t="shared" si="53"/>
        <v>0</v>
      </c>
      <c r="U26" s="107">
        <f t="shared" si="68"/>
        <v>319587.85443133715</v>
      </c>
      <c r="V26" s="4">
        <f t="shared" si="54"/>
        <v>448147.05942128506</v>
      </c>
      <c r="W26" s="81">
        <f t="shared" si="14"/>
        <v>321.32144160506135</v>
      </c>
      <c r="X26" s="4">
        <f t="shared" si="40"/>
        <v>6151.552824969331</v>
      </c>
      <c r="Y26" s="39">
        <f t="shared" si="32"/>
        <v>913.1036690105663</v>
      </c>
      <c r="Z26" s="8">
        <f t="shared" si="33"/>
        <v>0</v>
      </c>
      <c r="AA26" s="4">
        <f t="shared" si="55"/>
        <v>879.1933239952458</v>
      </c>
      <c r="AB26" s="4">
        <f t="shared" si="41"/>
        <v>33.91034501532044</v>
      </c>
      <c r="AC26" s="81">
        <f t="shared" si="42"/>
        <v>0</v>
      </c>
      <c r="AD26" s="72">
        <v>0.68</v>
      </c>
      <c r="AE26" s="46">
        <f t="shared" si="56"/>
        <v>227.99059804309482</v>
      </c>
      <c r="AF26" s="46">
        <f t="shared" si="57"/>
        <v>229.14449162726874</v>
      </c>
      <c r="AG26" s="19"/>
      <c r="AH26" s="79">
        <f t="shared" si="43"/>
        <v>59.153910144246716</v>
      </c>
      <c r="AI26" s="79">
        <f t="shared" si="58"/>
        <v>59.4511659741173</v>
      </c>
      <c r="AJ26" s="19"/>
      <c r="AK26" s="7">
        <f t="shared" si="44"/>
        <v>32.562155083656954</v>
      </c>
      <c r="AL26" s="7">
        <f t="shared" si="45"/>
        <v>32.72578400367533</v>
      </c>
      <c r="AM26" s="17"/>
      <c r="AN26" s="16"/>
      <c r="AP26" s="14"/>
      <c r="AQ26" s="15"/>
      <c r="AS26" s="16"/>
      <c r="AT26" s="4">
        <f t="shared" si="46"/>
        <v>7064.656493979897</v>
      </c>
      <c r="AU26" s="4">
        <f t="shared" si="47"/>
        <v>6747.75027370629</v>
      </c>
      <c r="AV26" s="4">
        <f t="shared" si="59"/>
        <v>316.90622027360746</v>
      </c>
      <c r="AW26" s="4">
        <f t="shared" si="48"/>
        <v>321.3214416050614</v>
      </c>
      <c r="AX26" s="4"/>
      <c r="AY26" s="4"/>
      <c r="AZ26" s="4">
        <f t="shared" si="60"/>
        <v>297.45482958932826</v>
      </c>
      <c r="BA26" s="4">
        <f t="shared" si="61"/>
        <v>297.45482958932826</v>
      </c>
      <c r="BB26" s="46">
        <f t="shared" si="62"/>
        <v>0</v>
      </c>
      <c r="BC26" s="46">
        <f t="shared" si="63"/>
        <v>336.57350602719976</v>
      </c>
      <c r="BD26" s="46">
        <f t="shared" si="64"/>
        <v>0</v>
      </c>
      <c r="BE26" s="46">
        <f t="shared" si="65"/>
        <v>336.57350602719976</v>
      </c>
      <c r="BF26" s="46">
        <f t="shared" si="66"/>
        <v>0</v>
      </c>
      <c r="BG26" s="84">
        <f t="shared" si="67"/>
        <v>0.68</v>
      </c>
    </row>
    <row r="27" spans="1:59" ht="12.75">
      <c r="A27" s="58">
        <v>40057</v>
      </c>
      <c r="B27" s="60"/>
      <c r="C27" s="60">
        <v>49924.37156637182</v>
      </c>
      <c r="D27" s="62"/>
      <c r="E27" s="62">
        <v>114871.60251202849</v>
      </c>
      <c r="F27" s="62">
        <v>0</v>
      </c>
      <c r="G27" s="59">
        <v>257.0346205297685</v>
      </c>
      <c r="H27" s="59">
        <v>255.73951297679503</v>
      </c>
      <c r="I27" s="59">
        <v>0</v>
      </c>
      <c r="J27" s="59">
        <f t="shared" si="49"/>
        <v>358486.22110149026</v>
      </c>
      <c r="K27" s="4">
        <f t="shared" si="50"/>
        <v>523282.19517989055</v>
      </c>
      <c r="L27" s="81">
        <f t="shared" si="10"/>
        <v>375.1933339439815</v>
      </c>
      <c r="M27" s="106">
        <f t="shared" si="51"/>
        <v>0</v>
      </c>
      <c r="N27" s="106">
        <f t="shared" si="35"/>
        <v>47278.37987335411</v>
      </c>
      <c r="O27" s="106">
        <f t="shared" si="36"/>
        <v>0</v>
      </c>
      <c r="P27" s="106">
        <f t="shared" si="37"/>
        <v>108783.40757889097</v>
      </c>
      <c r="Q27" s="106">
        <f t="shared" si="52"/>
        <v>0</v>
      </c>
      <c r="R27" s="107">
        <f t="shared" si="38"/>
        <v>252.66503198076245</v>
      </c>
      <c r="S27" s="107">
        <f t="shared" si="39"/>
        <v>251.3919412561895</v>
      </c>
      <c r="T27" s="107">
        <f t="shared" si="53"/>
        <v>0</v>
      </c>
      <c r="U27" s="107">
        <f t="shared" si="68"/>
        <v>352391.9553427649</v>
      </c>
      <c r="V27" s="4">
        <f t="shared" si="54"/>
        <v>508453.74279501</v>
      </c>
      <c r="W27" s="81">
        <f t="shared" si="14"/>
        <v>364.5613335840221</v>
      </c>
      <c r="X27" s="4">
        <f t="shared" si="40"/>
        <v>7003.914871829448</v>
      </c>
      <c r="Y27" s="39">
        <f t="shared" si="32"/>
        <v>1035.9881106008145</v>
      </c>
      <c r="Z27" s="8">
        <f t="shared" si="33"/>
        <v>0</v>
      </c>
      <c r="AA27" s="4">
        <f t="shared" si="55"/>
        <v>997.5040937164406</v>
      </c>
      <c r="AB27" s="4">
        <f t="shared" si="41"/>
        <v>38.484016884373986</v>
      </c>
      <c r="AC27" s="81">
        <f t="shared" si="42"/>
        <v>0</v>
      </c>
      <c r="AD27" s="72">
        <v>0.68</v>
      </c>
      <c r="AE27" s="46">
        <f t="shared" si="56"/>
        <v>251.3919412561895</v>
      </c>
      <c r="AF27" s="46">
        <f t="shared" si="57"/>
        <v>252.66503198076245</v>
      </c>
      <c r="AG27" s="19"/>
      <c r="AH27" s="79">
        <f t="shared" si="43"/>
        <v>77.6077147178945</v>
      </c>
      <c r="AI27" s="79">
        <f t="shared" si="58"/>
        <v>77.99770323406482</v>
      </c>
      <c r="AJ27" s="19"/>
      <c r="AK27" s="7">
        <f t="shared" si="44"/>
        <v>33.729105377348915</v>
      </c>
      <c r="AL27" s="7">
        <f t="shared" si="45"/>
        <v>33.89859836919489</v>
      </c>
      <c r="AM27" s="17"/>
      <c r="AN27" s="16"/>
      <c r="AP27" s="14"/>
      <c r="AQ27" s="15"/>
      <c r="AS27" s="16"/>
      <c r="AT27" s="4">
        <f t="shared" si="46"/>
        <v>8039.902982430262</v>
      </c>
      <c r="AU27" s="4">
        <f t="shared" si="47"/>
        <v>7655.788005264465</v>
      </c>
      <c r="AV27" s="4">
        <f t="shared" si="59"/>
        <v>384.1149771657978</v>
      </c>
      <c r="AW27" s="4">
        <f t="shared" si="48"/>
        <v>364.5613335840221</v>
      </c>
      <c r="AX27" s="4"/>
      <c r="AY27" s="4"/>
      <c r="AZ27" s="4">
        <f t="shared" si="60"/>
        <v>390.2495963485134</v>
      </c>
      <c r="BA27" s="4">
        <f t="shared" si="61"/>
        <v>390.2495963485134</v>
      </c>
      <c r="BB27" s="46">
        <f t="shared" si="62"/>
        <v>0</v>
      </c>
      <c r="BC27" s="46">
        <f t="shared" si="63"/>
        <v>348.63550102410056</v>
      </c>
      <c r="BD27" s="46">
        <f t="shared" si="64"/>
        <v>0</v>
      </c>
      <c r="BE27" s="46">
        <f t="shared" si="65"/>
        <v>348.63550102410056</v>
      </c>
      <c r="BF27" s="46">
        <f t="shared" si="66"/>
        <v>0</v>
      </c>
      <c r="BG27" s="84">
        <f t="shared" si="67"/>
        <v>0.68</v>
      </c>
    </row>
    <row r="28" spans="1:59" ht="12.75">
      <c r="A28" s="58">
        <v>40087</v>
      </c>
      <c r="B28" s="60">
        <v>117255.54295040695</v>
      </c>
      <c r="C28" s="60">
        <v>25028.48750807566</v>
      </c>
      <c r="D28" s="62"/>
      <c r="E28" s="62">
        <v>1244.4336496632457</v>
      </c>
      <c r="F28" s="62">
        <v>0</v>
      </c>
      <c r="G28" s="59">
        <v>294.5960230164023</v>
      </c>
      <c r="H28" s="59">
        <v>293.322546619023</v>
      </c>
      <c r="I28" s="59">
        <v>0</v>
      </c>
      <c r="J28" s="59">
        <f t="shared" si="49"/>
        <v>410873.1143882877</v>
      </c>
      <c r="K28" s="4">
        <f t="shared" si="50"/>
        <v>554401.5784964336</v>
      </c>
      <c r="L28" s="81">
        <f t="shared" si="10"/>
        <v>397.5059317819428</v>
      </c>
      <c r="M28" s="106">
        <f t="shared" si="51"/>
        <v>111040.99917403537</v>
      </c>
      <c r="N28" s="106">
        <f t="shared" si="35"/>
        <v>23701.97767014765</v>
      </c>
      <c r="O28" s="106">
        <f t="shared" si="36"/>
        <v>0</v>
      </c>
      <c r="P28" s="106">
        <f t="shared" si="37"/>
        <v>1178.4786662310935</v>
      </c>
      <c r="Q28" s="106">
        <f t="shared" si="52"/>
        <v>0</v>
      </c>
      <c r="R28" s="107">
        <f t="shared" si="38"/>
        <v>289.58789062512346</v>
      </c>
      <c r="S28" s="107">
        <f t="shared" si="39"/>
        <v>288.3360633264996</v>
      </c>
      <c r="T28" s="107">
        <f t="shared" si="53"/>
        <v>0</v>
      </c>
      <c r="U28" s="107">
        <f t="shared" si="68"/>
        <v>403888.2714436868</v>
      </c>
      <c r="V28" s="4">
        <f t="shared" si="54"/>
        <v>539809.7269541009</v>
      </c>
      <c r="W28" s="81">
        <f t="shared" si="14"/>
        <v>387.04357422609036</v>
      </c>
      <c r="X28" s="4">
        <f t="shared" si="40"/>
        <v>7376.873136098957</v>
      </c>
      <c r="Y28" s="39">
        <f t="shared" si="32"/>
        <v>1096.1085084502226</v>
      </c>
      <c r="Z28" s="8">
        <f t="shared" si="33"/>
        <v>0</v>
      </c>
      <c r="AA28" s="4">
        <f t="shared" si="55"/>
        <v>1059.5872884010196</v>
      </c>
      <c r="AB28" s="4">
        <f t="shared" si="41"/>
        <v>36.521220049203016</v>
      </c>
      <c r="AC28" s="81">
        <f t="shared" si="42"/>
        <v>0</v>
      </c>
      <c r="AD28" s="72">
        <v>0.68</v>
      </c>
      <c r="AE28" s="46">
        <f t="shared" si="56"/>
        <v>288.3360633264996</v>
      </c>
      <c r="AF28" s="46">
        <f t="shared" si="57"/>
        <v>289.58789062512346</v>
      </c>
      <c r="AG28" s="19"/>
      <c r="AH28" s="79">
        <f t="shared" si="43"/>
        <v>0.8407443576692555</v>
      </c>
      <c r="AI28" s="79">
        <f t="shared" si="58"/>
        <v>0.8449692036876939</v>
      </c>
      <c r="AJ28" s="19"/>
      <c r="AK28" s="7">
        <f t="shared" si="44"/>
        <v>96.12766082529282</v>
      </c>
      <c r="AL28" s="7">
        <f t="shared" si="45"/>
        <v>96.61071439727922</v>
      </c>
      <c r="AM28" s="17"/>
      <c r="AN28" s="16"/>
      <c r="AP28" s="14"/>
      <c r="AQ28" s="15"/>
      <c r="AS28" s="16"/>
      <c r="AT28" s="4">
        <f t="shared" si="46"/>
        <v>8472.98164454918</v>
      </c>
      <c r="AU28" s="4">
        <f t="shared" si="47"/>
        <v>8127.915058747899</v>
      </c>
      <c r="AV28" s="4">
        <f t="shared" si="59"/>
        <v>345.0665858012802</v>
      </c>
      <c r="AW28" s="4">
        <f t="shared" si="48"/>
        <v>387.0435742260904</v>
      </c>
      <c r="AX28" s="4"/>
      <c r="AY28" s="4"/>
      <c r="AZ28" s="4">
        <f t="shared" si="60"/>
        <v>4.227674367237425</v>
      </c>
      <c r="BA28" s="4">
        <f t="shared" si="61"/>
        <v>4.227674367237425</v>
      </c>
      <c r="BB28" s="46">
        <f t="shared" si="62"/>
        <v>0</v>
      </c>
      <c r="BC28" s="46">
        <f t="shared" si="63"/>
        <v>1004.6734211143827</v>
      </c>
      <c r="BD28" s="46">
        <f t="shared" si="64"/>
        <v>829.8926675769469</v>
      </c>
      <c r="BE28" s="46">
        <f t="shared" si="65"/>
        <v>174.7807535374358</v>
      </c>
      <c r="BF28" s="46">
        <f t="shared" si="66"/>
        <v>0</v>
      </c>
      <c r="BG28" s="84">
        <f t="shared" si="67"/>
        <v>0.68</v>
      </c>
    </row>
    <row r="29" spans="1:59" ht="12.75">
      <c r="A29" s="58">
        <v>40118</v>
      </c>
      <c r="B29" s="60">
        <v>220945.4670142536</v>
      </c>
      <c r="C29" s="60"/>
      <c r="D29" s="62"/>
      <c r="E29" s="62"/>
      <c r="F29" s="62">
        <v>188507.1668463656</v>
      </c>
      <c r="G29" s="59">
        <v>189.9797796691095</v>
      </c>
      <c r="H29" s="59">
        <v>189.00747189828218</v>
      </c>
      <c r="I29" s="59">
        <v>615.8639725894732</v>
      </c>
      <c r="J29" s="59">
        <f t="shared" si="49"/>
        <v>264964.82520098955</v>
      </c>
      <c r="K29" s="4">
        <f t="shared" si="50"/>
        <v>674417.4590616088</v>
      </c>
      <c r="L29" s="81">
        <f t="shared" si="10"/>
        <v>483.5573181471734</v>
      </c>
      <c r="M29" s="106">
        <f t="shared" si="51"/>
        <v>209235.35726249815</v>
      </c>
      <c r="N29" s="106">
        <f t="shared" si="35"/>
        <v>0</v>
      </c>
      <c r="O29" s="106">
        <f t="shared" si="36"/>
        <v>0</v>
      </c>
      <c r="P29" s="106">
        <f t="shared" si="37"/>
        <v>0</v>
      </c>
      <c r="Q29" s="106">
        <f t="shared" si="52"/>
        <v>185321.395726662</v>
      </c>
      <c r="R29" s="107">
        <f>G29*(1-($D$50*12+$D$51*18)/30)</f>
        <v>186.6475343337133</v>
      </c>
      <c r="S29" s="107">
        <f>H29*(1-($D$50*12+$D$51*18)/30)</f>
        <v>185.69228084118632</v>
      </c>
      <c r="T29" s="107">
        <f t="shared" si="53"/>
        <v>609.7053328635784</v>
      </c>
      <c r="U29" s="107">
        <f>J29*(1-($D$50*12+$D$51*18)/30)</f>
        <v>260317.3421669642</v>
      </c>
      <c r="V29" s="4">
        <f t="shared" si="54"/>
        <v>654874.0951561243</v>
      </c>
      <c r="W29" s="81">
        <f t="shared" si="14"/>
        <v>469.5447262269411</v>
      </c>
      <c r="X29" s="4">
        <f t="shared" si="40"/>
        <v>9458.653147174486</v>
      </c>
      <c r="Y29" s="39">
        <f t="shared" si="32"/>
        <v>1349.0067290451161</v>
      </c>
      <c r="Z29" s="85">
        <f t="shared" si="33"/>
        <v>14.510986922153169</v>
      </c>
      <c r="AA29" s="4">
        <f t="shared" si="55"/>
        <v>1284.731213631107</v>
      </c>
      <c r="AB29" s="4">
        <f t="shared" si="41"/>
        <v>49.764528491855785</v>
      </c>
      <c r="AC29" s="81">
        <f t="shared" si="42"/>
        <v>21.339686650225246</v>
      </c>
      <c r="AD29" s="72">
        <v>0.68</v>
      </c>
      <c r="AE29" s="46">
        <f t="shared" si="56"/>
        <v>185.69228084118632</v>
      </c>
      <c r="AF29" s="46">
        <f t="shared" si="57"/>
        <v>186.6475343337133</v>
      </c>
      <c r="AG29" s="19"/>
      <c r="AH29" s="79">
        <f>AI29*AJ$6</f>
        <v>132.21106353233657</v>
      </c>
      <c r="AI29" s="79">
        <f t="shared" si="58"/>
        <v>132.87544073601666</v>
      </c>
      <c r="AJ29" s="71"/>
      <c r="AK29" s="7">
        <f t="shared" si="44"/>
        <v>149.2716424014251</v>
      </c>
      <c r="AL29" s="7">
        <f t="shared" si="45"/>
        <v>150.02175115721116</v>
      </c>
      <c r="AM29" s="17"/>
      <c r="AN29" s="16"/>
      <c r="AP29" s="14"/>
      <c r="AQ29" s="15"/>
      <c r="AS29" s="16"/>
      <c r="AT29" s="4">
        <f t="shared" si="46"/>
        <v>10807.659876219603</v>
      </c>
      <c r="AU29" s="4">
        <f t="shared" si="47"/>
        <v>9860.439250765763</v>
      </c>
      <c r="AV29" s="4">
        <f t="shared" si="59"/>
        <v>947.2206254538403</v>
      </c>
      <c r="AW29" s="4">
        <f t="shared" si="48"/>
        <v>469.5447262269411</v>
      </c>
      <c r="AX29" s="4"/>
      <c r="AY29" s="4"/>
      <c r="AZ29" s="4">
        <f t="shared" si="60"/>
        <v>609.7053328635784</v>
      </c>
      <c r="BA29" s="4">
        <f t="shared" si="61"/>
        <v>0</v>
      </c>
      <c r="BB29" s="46">
        <f t="shared" si="62"/>
        <v>609.7053328635784</v>
      </c>
      <c r="BC29" s="46">
        <f t="shared" si="63"/>
        <v>1563.7727513405955</v>
      </c>
      <c r="BD29" s="46">
        <f t="shared" si="64"/>
        <v>1563.7727513405955</v>
      </c>
      <c r="BE29" s="46">
        <f t="shared" si="65"/>
        <v>0</v>
      </c>
      <c r="BF29" s="46">
        <f t="shared" si="66"/>
        <v>0</v>
      </c>
      <c r="BG29" s="84">
        <f t="shared" si="67"/>
        <v>0.68</v>
      </c>
    </row>
    <row r="30" spans="1:63" ht="13.5" thickBot="1">
      <c r="A30" s="58">
        <v>40148</v>
      </c>
      <c r="B30" s="61">
        <v>528341.2020386842</v>
      </c>
      <c r="C30" s="61"/>
      <c r="D30" s="63">
        <v>85335.1744686896</v>
      </c>
      <c r="E30" s="64"/>
      <c r="F30" s="64">
        <v>221134.81475826452</v>
      </c>
      <c r="G30" s="59">
        <v>67.42191781439529</v>
      </c>
      <c r="H30" s="59">
        <v>67.08480822532331</v>
      </c>
      <c r="I30" s="117">
        <v>722.4604123717843</v>
      </c>
      <c r="J30" s="59">
        <f t="shared" si="49"/>
        <v>94033.35817907294</v>
      </c>
      <c r="K30" s="4">
        <f t="shared" si="50"/>
        <v>928844.5494447112</v>
      </c>
      <c r="L30" s="81">
        <f t="shared" si="10"/>
        <v>665.9815419518578</v>
      </c>
      <c r="M30" s="106">
        <f t="shared" si="51"/>
        <v>500339.11833063385</v>
      </c>
      <c r="N30" s="106">
        <f t="shared" si="35"/>
        <v>0</v>
      </c>
      <c r="O30" s="106">
        <f t="shared" si="36"/>
        <v>80812.41022184904</v>
      </c>
      <c r="P30" s="106">
        <f t="shared" si="37"/>
        <v>0</v>
      </c>
      <c r="Q30" s="106">
        <f t="shared" si="52"/>
        <v>217397.63638884985</v>
      </c>
      <c r="R30" s="107">
        <f>G30*(1-$D$51)</f>
        <v>66.21506548551761</v>
      </c>
      <c r="S30" s="107">
        <f>H30*(1-$D$51)</f>
        <v>65.88399015809003</v>
      </c>
      <c r="T30" s="107">
        <f t="shared" si="53"/>
        <v>715.2358082480664</v>
      </c>
      <c r="U30" s="107">
        <f>J30*(1-$D$51)</f>
        <v>92350.16106766753</v>
      </c>
      <c r="V30" s="4">
        <f t="shared" si="54"/>
        <v>890899.3260090002</v>
      </c>
      <c r="W30" s="81">
        <f t="shared" si="14"/>
        <v>638.7748167484531</v>
      </c>
      <c r="X30" s="28">
        <f t="shared" si="40"/>
        <v>13612.502260713009</v>
      </c>
      <c r="Y30" s="28">
        <f t="shared" si="32"/>
        <v>1831.9415603228463</v>
      </c>
      <c r="Z30" s="86">
        <f t="shared" si="33"/>
        <v>17.022612236303985</v>
      </c>
      <c r="AA30" s="4">
        <f t="shared" si="55"/>
        <v>1747.8475923279548</v>
      </c>
      <c r="AB30" s="4">
        <f t="shared" si="41"/>
        <v>67.07135575858754</v>
      </c>
      <c r="AC30" s="81">
        <f t="shared" si="42"/>
        <v>25.033253288682328</v>
      </c>
      <c r="AD30" s="74">
        <v>0.68</v>
      </c>
      <c r="AE30" s="46">
        <f t="shared" si="56"/>
        <v>65.88399015809003</v>
      </c>
      <c r="AF30" s="46">
        <f t="shared" si="57"/>
        <v>66.21506548551761</v>
      </c>
      <c r="AG30" s="24"/>
      <c r="AH30" s="79">
        <f>AI30*AJ$6</f>
        <v>155.09473476435133</v>
      </c>
      <c r="AI30" s="79">
        <f t="shared" si="58"/>
        <v>155.87410529080535</v>
      </c>
      <c r="AJ30" s="71"/>
      <c r="AK30" s="7">
        <f t="shared" si="44"/>
        <v>414.60221774226954</v>
      </c>
      <c r="AL30" s="7">
        <f t="shared" si="45"/>
        <v>416.6856459721302</v>
      </c>
      <c r="AM30" s="25"/>
      <c r="AN30" s="26"/>
      <c r="AO30" s="27"/>
      <c r="AP30" s="29"/>
      <c r="AQ30" s="22"/>
      <c r="AR30" s="27"/>
      <c r="AS30" s="26"/>
      <c r="AT30" s="28">
        <f t="shared" si="46"/>
        <v>15444.443821035855</v>
      </c>
      <c r="AU30" s="28">
        <f t="shared" si="47"/>
        <v>13414.271151717518</v>
      </c>
      <c r="AV30" s="4">
        <f t="shared" si="59"/>
        <v>2030.1726693183373</v>
      </c>
      <c r="AW30" s="4">
        <f t="shared" si="48"/>
        <v>638.7748167484532</v>
      </c>
      <c r="AX30" s="28"/>
      <c r="AY30" s="28"/>
      <c r="AZ30" s="4">
        <f t="shared" si="60"/>
        <v>715.2358082480664</v>
      </c>
      <c r="BA30" s="4">
        <f t="shared" si="61"/>
        <v>0</v>
      </c>
      <c r="BB30" s="46">
        <f t="shared" si="62"/>
        <v>715.2358082480664</v>
      </c>
      <c r="BC30" s="46">
        <f t="shared" si="63"/>
        <v>4532.625718466389</v>
      </c>
      <c r="BD30" s="46">
        <f t="shared" si="64"/>
        <v>3739.4094856235743</v>
      </c>
      <c r="BE30" s="46">
        <f t="shared" si="65"/>
        <v>0</v>
      </c>
      <c r="BF30" s="46">
        <f t="shared" si="66"/>
        <v>793.2162328428147</v>
      </c>
      <c r="BG30" s="84">
        <f t="shared" si="67"/>
        <v>0.68</v>
      </c>
      <c r="BH30" s="27"/>
      <c r="BI30" s="27"/>
      <c r="BJ30" s="27"/>
      <c r="BK30" s="27"/>
    </row>
    <row r="31" spans="1:63" ht="13.5" thickBot="1">
      <c r="A31" s="49" t="s">
        <v>110</v>
      </c>
      <c r="B31" s="50">
        <f aca="true" t="shared" si="69" ref="B31:V31">SUM(B19:B30)</f>
        <v>2960319.0138295544</v>
      </c>
      <c r="C31" s="50">
        <f t="shared" si="69"/>
        <v>297242.55859684304</v>
      </c>
      <c r="D31" s="50">
        <f t="shared" si="69"/>
        <v>374581.79682150483</v>
      </c>
      <c r="E31" s="50">
        <f t="shared" si="69"/>
        <v>591698.8731019655</v>
      </c>
      <c r="F31" s="50">
        <f t="shared" si="69"/>
        <v>409641.9816046301</v>
      </c>
      <c r="G31" s="50">
        <f t="shared" si="69"/>
        <v>1453.106753701427</v>
      </c>
      <c r="H31" s="50">
        <f t="shared" si="69"/>
        <v>1444.9652321091523</v>
      </c>
      <c r="I31" s="50">
        <f t="shared" si="69"/>
        <v>1338.3243849612575</v>
      </c>
      <c r="J31" s="50">
        <f t="shared" si="69"/>
        <v>2026648.192052199</v>
      </c>
      <c r="K31" s="50">
        <f t="shared" si="69"/>
        <v>6660132.416006696</v>
      </c>
      <c r="L31" s="82">
        <f t="shared" si="69"/>
        <v>4775.314942276802</v>
      </c>
      <c r="M31" s="50">
        <f t="shared" si="69"/>
        <v>2803422.1060965876</v>
      </c>
      <c r="N31" s="50">
        <f t="shared" si="69"/>
        <v>281488.7029912104</v>
      </c>
      <c r="O31" s="50">
        <f t="shared" si="69"/>
        <v>354728.96158996504</v>
      </c>
      <c r="P31" s="50">
        <f t="shared" si="69"/>
        <v>560338.8328275613</v>
      </c>
      <c r="Q31" s="50">
        <f t="shared" si="69"/>
        <v>402719.0321155118</v>
      </c>
      <c r="R31" s="50">
        <f t="shared" si="69"/>
        <v>1428.2406700814483</v>
      </c>
      <c r="S31" s="50">
        <f t="shared" si="69"/>
        <v>1420.2383828010693</v>
      </c>
      <c r="T31" s="50">
        <f t="shared" si="69"/>
        <v>1324.9411411116448</v>
      </c>
      <c r="U31" s="50">
        <f t="shared" si="69"/>
        <v>1991967.4617593419</v>
      </c>
      <c r="V31" s="50">
        <f t="shared" si="69"/>
        <v>6394665.097380178</v>
      </c>
      <c r="W31" s="82">
        <f aca="true" t="shared" si="70" ref="W31:AC31">SUM(W19:W30)</f>
        <v>4584.974874821588</v>
      </c>
      <c r="X31" s="50">
        <f t="shared" si="70"/>
        <v>94507.22032686295</v>
      </c>
      <c r="Y31" s="50">
        <f t="shared" si="70"/>
        <v>13074.308243967278</v>
      </c>
      <c r="Z31" s="50">
        <f t="shared" si="70"/>
        <v>31.533599158457154</v>
      </c>
      <c r="AA31" s="50">
        <f t="shared" si="70"/>
        <v>12543.269520423148</v>
      </c>
      <c r="AB31" s="50">
        <f>SUM(AB19:AB30)</f>
        <v>499.505124385675</v>
      </c>
      <c r="AC31" s="50">
        <f t="shared" si="70"/>
        <v>46.37293993890758</v>
      </c>
      <c r="AD31" s="75">
        <v>0.68</v>
      </c>
      <c r="AE31" s="50">
        <f>SUM(AE19:AE30)</f>
        <v>1420.2383828010693</v>
      </c>
      <c r="AF31" s="50">
        <f>SUM(AF19:AF30)</f>
        <v>1428.2406700814483</v>
      </c>
      <c r="AG31" s="53"/>
      <c r="AH31" s="50">
        <f>SUM(AH19:AH30)</f>
        <v>687.0599267183626</v>
      </c>
      <c r="AI31" s="50">
        <f>SUM(AI19:AI30)</f>
        <v>690.5124891641835</v>
      </c>
      <c r="AJ31" s="51"/>
      <c r="AK31" s="50">
        <f>SUM(AK19:AK30)</f>
        <v>2453.8906069980767</v>
      </c>
      <c r="AL31" s="50">
        <f>SUM(AL19:AL30)</f>
        <v>2466.2217155759563</v>
      </c>
      <c r="AM31" s="54"/>
      <c r="AN31" s="55"/>
      <c r="AO31" s="50"/>
      <c r="AP31" s="56"/>
      <c r="AQ31" s="50"/>
      <c r="AR31" s="50"/>
      <c r="AS31" s="55"/>
      <c r="AT31" s="50">
        <f>INT(SUM(AT19:AT30))</f>
        <v>107581</v>
      </c>
      <c r="AU31" s="50">
        <f>SUM(AU19:AU30)</f>
        <v>96284.47237125335</v>
      </c>
      <c r="AV31" s="50">
        <f>SUM(AV19:AV30)</f>
        <v>11297.056199576895</v>
      </c>
      <c r="AW31" s="50">
        <f>SUM(AW19:AW30)</f>
        <v>4584.974874821588</v>
      </c>
      <c r="AX31" s="57"/>
      <c r="AY31" s="57"/>
      <c r="AZ31" s="50">
        <f aca="true" t="shared" si="71" ref="AZ31:BF31">SUM(AZ19:AZ30)</f>
        <v>3335.100669997238</v>
      </c>
      <c r="BA31" s="50">
        <f t="shared" si="71"/>
        <v>2010.1595288855933</v>
      </c>
      <c r="BB31" s="50">
        <f t="shared" si="71"/>
        <v>1324.9411411116448</v>
      </c>
      <c r="BC31" s="50">
        <f t="shared" si="71"/>
        <v>26509.652800877197</v>
      </c>
      <c r="BD31" s="50">
        <f t="shared" si="71"/>
        <v>20952.075965439373</v>
      </c>
      <c r="BE31" s="50">
        <f t="shared" si="71"/>
        <v>2075.7258447274844</v>
      </c>
      <c r="BF31" s="50">
        <f t="shared" si="71"/>
        <v>3481.850990710341</v>
      </c>
      <c r="BG31" s="30"/>
      <c r="BH31" s="30"/>
      <c r="BI31" s="30"/>
      <c r="BJ31" s="30"/>
      <c r="BK31" s="30"/>
    </row>
    <row r="32" spans="1:59" ht="12.75">
      <c r="A32" s="58">
        <v>40179</v>
      </c>
      <c r="B32" s="59">
        <v>831952.8071277962</v>
      </c>
      <c r="C32" s="59"/>
      <c r="D32" s="59">
        <v>95418.51177116067</v>
      </c>
      <c r="E32" s="59"/>
      <c r="F32" s="59">
        <v>142274.2531789497</v>
      </c>
      <c r="G32" s="59">
        <v>37.38760109190508</v>
      </c>
      <c r="H32" s="59">
        <v>37.20066308644556</v>
      </c>
      <c r="I32" s="59">
        <v>464.81833145049876</v>
      </c>
      <c r="J32" s="59">
        <f t="shared" si="49"/>
        <v>52144.49245732927</v>
      </c>
      <c r="K32" s="4">
        <f t="shared" si="50"/>
        <v>1121790.064535236</v>
      </c>
      <c r="L32" s="81">
        <f>K32*0.717/1000</f>
        <v>804.3234762717641</v>
      </c>
      <c r="M32" s="106">
        <f aca="true" t="shared" si="72" ref="M32:P33">B32*(1-$D$48)</f>
        <v>787859.308350023</v>
      </c>
      <c r="N32" s="106">
        <f t="shared" si="72"/>
        <v>0</v>
      </c>
      <c r="O32" s="106">
        <f t="shared" si="72"/>
        <v>90361.33064728916</v>
      </c>
      <c r="P32" s="106">
        <f t="shared" si="72"/>
        <v>0</v>
      </c>
      <c r="Q32" s="106">
        <f t="shared" si="52"/>
        <v>139869.81830022545</v>
      </c>
      <c r="R32" s="107">
        <f aca="true" t="shared" si="73" ref="R32:U34">G32*(1-$D$51)</f>
        <v>36.71836303235998</v>
      </c>
      <c r="S32" s="107">
        <f t="shared" si="73"/>
        <v>36.534771217198184</v>
      </c>
      <c r="T32" s="107">
        <f t="shared" si="53"/>
        <v>460.17014813599377</v>
      </c>
      <c r="U32" s="107">
        <f t="shared" si="73"/>
        <v>51211.10604234307</v>
      </c>
      <c r="V32" s="4">
        <f>SUM(M32:Q32)+U32</f>
        <v>1069301.5633398807</v>
      </c>
      <c r="W32" s="81">
        <f>V32*0.717/1000</f>
        <v>766.6892209146944</v>
      </c>
      <c r="X32" s="4">
        <f>AT32-Y32</f>
        <v>16525.500285199825</v>
      </c>
      <c r="Y32" s="4">
        <f>Z32+AA32+AB32</f>
        <v>2189.0823150769256</v>
      </c>
      <c r="Z32" s="7">
        <f>AC32*AD32</f>
        <v>10.726566153050015</v>
      </c>
      <c r="AA32" s="4">
        <f t="shared" si="55"/>
        <v>2097.8533807278327</v>
      </c>
      <c r="AB32" s="4">
        <f>AS$6*((AF32-AE32)+AI32*(1-AJ$6)+AL32*(1-AM$6))</f>
        <v>80.50236819604294</v>
      </c>
      <c r="AC32" s="81">
        <f>BB32*0.035</f>
        <v>16.105955184759782</v>
      </c>
      <c r="AD32" s="18">
        <v>0.666</v>
      </c>
      <c r="AE32" s="46">
        <f>S32</f>
        <v>36.534771217198184</v>
      </c>
      <c r="AF32" s="46">
        <f>R32</f>
        <v>36.71836303235998</v>
      </c>
      <c r="AG32" s="19"/>
      <c r="AH32" s="46">
        <f>AI32*AJ$6</f>
        <v>99.78522642265533</v>
      </c>
      <c r="AI32" s="79">
        <f t="shared" si="58"/>
        <v>100.28665972126164</v>
      </c>
      <c r="AJ32" s="71"/>
      <c r="AK32" s="7">
        <f>AL32*AM$6</f>
        <v>626.5357771702675</v>
      </c>
      <c r="AL32" s="7">
        <f>(M32+N32+O32)*0.717/1000</f>
        <v>629.6841981610728</v>
      </c>
      <c r="AM32" s="17"/>
      <c r="AN32" s="16"/>
      <c r="AP32" s="14"/>
      <c r="AQ32" s="15"/>
      <c r="AS32" s="16"/>
      <c r="AT32" s="4">
        <f>AU32+AV32</f>
        <v>18714.58260027675</v>
      </c>
      <c r="AU32" s="4">
        <f>AW32*AX$6</f>
        <v>16100.473639208583</v>
      </c>
      <c r="AV32" s="4">
        <f t="shared" si="59"/>
        <v>2614.1089610681656</v>
      </c>
      <c r="AW32" s="4">
        <f>(AF32+AI32+AL32)</f>
        <v>766.6892209146945</v>
      </c>
      <c r="AX32" s="4"/>
      <c r="AY32" s="4"/>
      <c r="AZ32" s="4">
        <f t="shared" si="60"/>
        <v>460.17014813599377</v>
      </c>
      <c r="BA32" s="4">
        <f t="shared" si="61"/>
        <v>0</v>
      </c>
      <c r="BB32" s="46">
        <f t="shared" si="62"/>
        <v>460.17014813599377</v>
      </c>
      <c r="BC32" s="46">
        <f t="shared" si="63"/>
        <v>6775.207405782718</v>
      </c>
      <c r="BD32" s="46">
        <f t="shared" si="64"/>
        <v>5888.263505780985</v>
      </c>
      <c r="BE32" s="46">
        <f t="shared" si="65"/>
        <v>0</v>
      </c>
      <c r="BF32" s="46">
        <f t="shared" si="66"/>
        <v>886.9439000017328</v>
      </c>
      <c r="BG32" s="84">
        <f>AD32</f>
        <v>0.666</v>
      </c>
    </row>
    <row r="33" spans="1:59" ht="12.75">
      <c r="A33" s="58">
        <v>40210</v>
      </c>
      <c r="B33" s="59">
        <v>532928.3714480071</v>
      </c>
      <c r="C33" s="59"/>
      <c r="D33" s="59">
        <v>83587.81290267488</v>
      </c>
      <c r="E33" s="59"/>
      <c r="F33" s="59">
        <v>97673.39865148428</v>
      </c>
      <c r="G33" s="59">
        <v>13.84117920318058</v>
      </c>
      <c r="H33" s="59">
        <v>13.771973307164677</v>
      </c>
      <c r="I33" s="59">
        <v>319.1047232641497</v>
      </c>
      <c r="J33" s="59">
        <f t="shared" si="49"/>
        <v>19304.29456510541</v>
      </c>
      <c r="K33" s="4">
        <f t="shared" si="50"/>
        <v>733493.8775672717</v>
      </c>
      <c r="L33" s="81">
        <f>K33*0.717/1000</f>
        <v>525.9151102157338</v>
      </c>
      <c r="M33" s="106">
        <f t="shared" si="72"/>
        <v>504683.1677612627</v>
      </c>
      <c r="N33" s="106">
        <f t="shared" si="72"/>
        <v>0</v>
      </c>
      <c r="O33" s="106">
        <f t="shared" si="72"/>
        <v>79157.65881883311</v>
      </c>
      <c r="P33" s="106">
        <f t="shared" si="72"/>
        <v>0</v>
      </c>
      <c r="Q33" s="106">
        <f t="shared" si="52"/>
        <v>96022.7182142742</v>
      </c>
      <c r="R33" s="107">
        <f t="shared" si="73"/>
        <v>13.593422095443648</v>
      </c>
      <c r="S33" s="107">
        <f t="shared" si="73"/>
        <v>13.525454984966428</v>
      </c>
      <c r="T33" s="107">
        <f t="shared" si="53"/>
        <v>315.9136760315082</v>
      </c>
      <c r="U33" s="107">
        <f t="shared" si="73"/>
        <v>18958.747692390025</v>
      </c>
      <c r="V33" s="4">
        <f>SUM(M33:Q33)+U33</f>
        <v>698822.29248676</v>
      </c>
      <c r="W33" s="81">
        <f>V33*0.717/1000</f>
        <v>501.05558371300685</v>
      </c>
      <c r="X33" s="4">
        <f>AT33-Y33</f>
        <v>10850.915884485112</v>
      </c>
      <c r="Y33" s="4">
        <f>Z33+AA33+AB33</f>
        <v>1430.9881250128751</v>
      </c>
      <c r="Z33" s="7">
        <f>AC33*AD33</f>
        <v>7.363947788294457</v>
      </c>
      <c r="AA33" s="4">
        <f t="shared" si="55"/>
        <v>1371.013340934715</v>
      </c>
      <c r="AB33" s="4">
        <f>AS$6*((AF33-AE33)+AI33*(1-AJ$6)+AL33*(1-AM$6))</f>
        <v>52.6108362898658</v>
      </c>
      <c r="AC33" s="81">
        <f>BB33*0.035</f>
        <v>11.056978661102788</v>
      </c>
      <c r="AD33" s="18">
        <v>0.666</v>
      </c>
      <c r="AE33" s="46">
        <f>S33</f>
        <v>13.525454984966428</v>
      </c>
      <c r="AF33" s="46">
        <f>R33</f>
        <v>13.593422095443648</v>
      </c>
      <c r="AG33" s="19"/>
      <c r="AH33" s="46">
        <f>AI33*AJ$6</f>
        <v>68.50404751483642</v>
      </c>
      <c r="AI33" s="79">
        <f t="shared" si="58"/>
        <v>68.84828895963459</v>
      </c>
      <c r="AJ33" s="71"/>
      <c r="AK33" s="7">
        <f>AL33*AM$6</f>
        <v>416.520803294639</v>
      </c>
      <c r="AL33" s="7">
        <f>(M33+N33+O33)*0.717/1000</f>
        <v>418.61387265792865</v>
      </c>
      <c r="AM33" s="17"/>
      <c r="AN33" s="16"/>
      <c r="AP33" s="14"/>
      <c r="AQ33" s="15"/>
      <c r="AS33" s="16"/>
      <c r="AT33" s="4">
        <f>AU33+AV33</f>
        <v>12281.904009497986</v>
      </c>
      <c r="AU33" s="4">
        <f>AW33*AX$6</f>
        <v>10522.167257973144</v>
      </c>
      <c r="AV33" s="4">
        <f t="shared" si="59"/>
        <v>1759.7367515248422</v>
      </c>
      <c r="AW33" s="4">
        <f>(AF33+AI33+AL33)</f>
        <v>501.05558371300685</v>
      </c>
      <c r="AX33" s="4"/>
      <c r="AY33" s="4"/>
      <c r="AZ33" s="4">
        <f t="shared" si="60"/>
        <v>315.9136760315082</v>
      </c>
      <c r="BA33" s="4">
        <f t="shared" si="61"/>
        <v>0</v>
      </c>
      <c r="BB33" s="46">
        <f t="shared" si="62"/>
        <v>315.9136760315082</v>
      </c>
      <c r="BC33" s="46">
        <f t="shared" si="63"/>
        <v>4548.849804133463</v>
      </c>
      <c r="BD33" s="46">
        <f t="shared" si="64"/>
        <v>3771.8758250557366</v>
      </c>
      <c r="BE33" s="46">
        <f t="shared" si="65"/>
        <v>0</v>
      </c>
      <c r="BF33" s="46">
        <f t="shared" si="66"/>
        <v>776.9739790777269</v>
      </c>
      <c r="BG33" s="84">
        <f>AD33</f>
        <v>0.666</v>
      </c>
    </row>
    <row r="34" spans="1:59" ht="13.5" thickBot="1">
      <c r="A34" s="58">
        <v>40238</v>
      </c>
      <c r="B34" s="59">
        <v>445850.3655000001</v>
      </c>
      <c r="C34" s="59"/>
      <c r="D34" s="59">
        <v>85380.18299999999</v>
      </c>
      <c r="E34" s="59"/>
      <c r="F34" s="59">
        <v>0</v>
      </c>
      <c r="G34" s="59">
        <v>0</v>
      </c>
      <c r="H34" s="59">
        <v>0</v>
      </c>
      <c r="I34" s="59">
        <v>0</v>
      </c>
      <c r="J34" s="59">
        <f t="shared" si="49"/>
        <v>0</v>
      </c>
      <c r="K34" s="4">
        <f>SUM(B34:F34)+J34</f>
        <v>531230.5485</v>
      </c>
      <c r="L34" s="81">
        <f>K34*0.717/1000</f>
        <v>380.8923032745</v>
      </c>
      <c r="M34" s="106">
        <f>B34*(1-D53)</f>
        <v>437334.6235189501</v>
      </c>
      <c r="N34" s="106">
        <f>C34*(1-$D$48)</f>
        <v>0</v>
      </c>
      <c r="O34" s="106">
        <f>D34*(1-D54)</f>
        <v>83851.8777243</v>
      </c>
      <c r="P34" s="106">
        <f>E34*(1-$D$48)</f>
        <v>0</v>
      </c>
      <c r="Q34" s="106">
        <f t="shared" si="52"/>
        <v>0</v>
      </c>
      <c r="R34" s="107">
        <f t="shared" si="73"/>
        <v>0</v>
      </c>
      <c r="S34" s="107">
        <f t="shared" si="73"/>
        <v>0</v>
      </c>
      <c r="T34" s="107">
        <f t="shared" si="53"/>
        <v>0</v>
      </c>
      <c r="U34" s="107">
        <f t="shared" si="73"/>
        <v>0</v>
      </c>
      <c r="V34" s="4">
        <f>SUM(M34:Q34)+U34</f>
        <v>521186.5012432501</v>
      </c>
      <c r="W34" s="81">
        <f>V34*0.717/1000</f>
        <v>373.69072139141025</v>
      </c>
      <c r="X34" s="4">
        <f>AT34-Y34</f>
        <v>8179.348482145398</v>
      </c>
      <c r="Y34" s="4">
        <f>Z34+AA34+AB34</f>
        <v>1061.7487621533444</v>
      </c>
      <c r="Z34">
        <f>AC34*AD34</f>
        <v>0</v>
      </c>
      <c r="AA34" s="4">
        <f t="shared" si="55"/>
        <v>1022.5112364072462</v>
      </c>
      <c r="AB34" s="4">
        <f>AS$6*((AF34-AE34)+AI34*(1-AJ$6)+AL34*(1-AM$6))</f>
        <v>39.237525746098115</v>
      </c>
      <c r="AC34" s="81">
        <f>BB34*0.035</f>
        <v>0</v>
      </c>
      <c r="AD34" s="23">
        <v>0.666</v>
      </c>
      <c r="AE34" s="46">
        <f>S34</f>
        <v>0</v>
      </c>
      <c r="AF34" s="46">
        <f>R34</f>
        <v>0</v>
      </c>
      <c r="AG34" s="19"/>
      <c r="AH34" s="46">
        <f>AI34*AJ$6</f>
        <v>0</v>
      </c>
      <c r="AI34" s="79">
        <f t="shared" si="58"/>
        <v>0</v>
      </c>
      <c r="AJ34" s="71"/>
      <c r="AK34" s="7">
        <f>AL34*AM$6</f>
        <v>371.8222677844532</v>
      </c>
      <c r="AL34" s="7">
        <f>(M34+N34+O34)*0.717/1000</f>
        <v>373.69072139141025</v>
      </c>
      <c r="AM34" s="17"/>
      <c r="AN34" s="16"/>
      <c r="AP34" s="14"/>
      <c r="AQ34" s="15"/>
      <c r="AS34" s="16"/>
      <c r="AT34" s="4">
        <f>AU34+AV34</f>
        <v>9241.097244298742</v>
      </c>
      <c r="AU34" s="4">
        <f>AW34*AX$6</f>
        <v>7847.505149219615</v>
      </c>
      <c r="AV34" s="4">
        <f t="shared" si="59"/>
        <v>1393.5920950791262</v>
      </c>
      <c r="AW34" s="4">
        <f>(AF34+AI34+AL34)</f>
        <v>373.69072139141025</v>
      </c>
      <c r="AX34" s="4"/>
      <c r="AY34" s="4"/>
      <c r="AZ34" s="4">
        <f t="shared" si="60"/>
        <v>0</v>
      </c>
      <c r="BA34" s="4">
        <f t="shared" si="61"/>
        <v>0</v>
      </c>
      <c r="BB34" s="46">
        <f t="shared" si="62"/>
        <v>0</v>
      </c>
      <c r="BC34" s="46">
        <f t="shared" si="63"/>
        <v>4091.579844624563</v>
      </c>
      <c r="BD34" s="46">
        <f t="shared" si="64"/>
        <v>3268.5296425247534</v>
      </c>
      <c r="BE34" s="46">
        <f t="shared" si="65"/>
        <v>0</v>
      </c>
      <c r="BF34" s="46">
        <f t="shared" si="66"/>
        <v>823.0502020998096</v>
      </c>
      <c r="BG34" s="84">
        <f>AD34</f>
        <v>0.666</v>
      </c>
    </row>
    <row r="35" spans="1:63" ht="13.5" thickBot="1">
      <c r="A35" s="49" t="s">
        <v>111</v>
      </c>
      <c r="B35" s="50">
        <f aca="true" t="shared" si="74" ref="B35:AC35">SUM(B32:B34)</f>
        <v>1810731.5440758034</v>
      </c>
      <c r="C35" s="50">
        <f t="shared" si="74"/>
        <v>0</v>
      </c>
      <c r="D35" s="50">
        <f t="shared" si="74"/>
        <v>264386.5076738355</v>
      </c>
      <c r="E35" s="50">
        <f t="shared" si="74"/>
        <v>0</v>
      </c>
      <c r="F35" s="50">
        <f t="shared" si="74"/>
        <v>239947.65183043398</v>
      </c>
      <c r="G35" s="50">
        <f t="shared" si="74"/>
        <v>51.22878029508566</v>
      </c>
      <c r="H35" s="50">
        <f t="shared" si="74"/>
        <v>50.97263639361024</v>
      </c>
      <c r="I35" s="50">
        <f t="shared" si="74"/>
        <v>783.9230547146485</v>
      </c>
      <c r="J35" s="50">
        <f t="shared" si="74"/>
        <v>71448.78702243467</v>
      </c>
      <c r="K35" s="50">
        <f t="shared" si="74"/>
        <v>2386514.4906025077</v>
      </c>
      <c r="L35" s="82">
        <f t="shared" si="74"/>
        <v>1711.1308897619979</v>
      </c>
      <c r="M35" s="50">
        <f t="shared" si="74"/>
        <v>1729877.0996302357</v>
      </c>
      <c r="N35" s="50">
        <f t="shared" si="74"/>
        <v>0</v>
      </c>
      <c r="O35" s="50">
        <f t="shared" si="74"/>
        <v>253370.86719042226</v>
      </c>
      <c r="P35" s="50">
        <f t="shared" si="74"/>
        <v>0</v>
      </c>
      <c r="Q35" s="50">
        <f t="shared" si="74"/>
        <v>235892.53651449963</v>
      </c>
      <c r="R35" s="50">
        <f t="shared" si="74"/>
        <v>50.31178512780363</v>
      </c>
      <c r="S35" s="50">
        <f t="shared" si="74"/>
        <v>50.060226202164614</v>
      </c>
      <c r="T35" s="50">
        <f t="shared" si="74"/>
        <v>776.0838241675019</v>
      </c>
      <c r="U35" s="50">
        <f t="shared" si="74"/>
        <v>70169.8537347331</v>
      </c>
      <c r="V35" s="50">
        <f t="shared" si="74"/>
        <v>2289310.3570698905</v>
      </c>
      <c r="W35" s="82">
        <f t="shared" si="74"/>
        <v>1641.4355260191116</v>
      </c>
      <c r="X35" s="50">
        <f t="shared" si="74"/>
        <v>35555.76465183034</v>
      </c>
      <c r="Y35" s="50">
        <f t="shared" si="74"/>
        <v>4681.819202243145</v>
      </c>
      <c r="Z35" s="50">
        <f t="shared" si="74"/>
        <v>18.090513941344472</v>
      </c>
      <c r="AA35" s="50">
        <f t="shared" si="74"/>
        <v>4491.377958069794</v>
      </c>
      <c r="AB35" s="50">
        <f t="shared" si="74"/>
        <v>172.35073023200687</v>
      </c>
      <c r="AC35" s="50">
        <f t="shared" si="74"/>
        <v>27.162933845862568</v>
      </c>
      <c r="AD35" s="18">
        <v>0.666</v>
      </c>
      <c r="AE35" s="50">
        <f>SUM(AE32:AE34)</f>
        <v>50.060226202164614</v>
      </c>
      <c r="AF35" s="50">
        <f>SUM(AF32:AF34)</f>
        <v>50.31178512780363</v>
      </c>
      <c r="AG35" s="53"/>
      <c r="AH35" s="50">
        <f>SUM(AH32:AH34)</f>
        <v>168.28927393749174</v>
      </c>
      <c r="AI35" s="50">
        <f>SUM(AI32:AI34)</f>
        <v>169.13494868089623</v>
      </c>
      <c r="AJ35" s="50"/>
      <c r="AK35" s="50">
        <f>SUM(AK32:AK34)</f>
        <v>1414.8788482493596</v>
      </c>
      <c r="AL35" s="50">
        <f>SUM(AL32:AL34)</f>
        <v>1421.9887922104117</v>
      </c>
      <c r="AM35" s="54"/>
      <c r="AN35" s="55"/>
      <c r="AO35" s="50"/>
      <c r="AP35" s="56"/>
      <c r="AQ35" s="50"/>
      <c r="AR35" s="50"/>
      <c r="AS35" s="55"/>
      <c r="AT35" s="50">
        <f>SUM(AT32:AT34)</f>
        <v>40237.58385407348</v>
      </c>
      <c r="AU35" s="50">
        <f>SUM(AU32:AU34)</f>
        <v>34470.14604640134</v>
      </c>
      <c r="AV35" s="50">
        <f>SUM(AV32:AV34)</f>
        <v>5767.437807672134</v>
      </c>
      <c r="AW35" s="50">
        <f>SUM(AW32:AW34)</f>
        <v>1641.4355260191116</v>
      </c>
      <c r="AX35" s="57"/>
      <c r="AY35" s="57"/>
      <c r="AZ35" s="50">
        <f aca="true" t="shared" si="75" ref="AZ35:BF35">SUM(AZ32:AZ34)</f>
        <v>776.0838241675019</v>
      </c>
      <c r="BA35" s="50">
        <f t="shared" si="75"/>
        <v>0</v>
      </c>
      <c r="BB35" s="50">
        <f t="shared" si="75"/>
        <v>776.0838241675019</v>
      </c>
      <c r="BC35" s="50">
        <f t="shared" si="75"/>
        <v>15415.637054540743</v>
      </c>
      <c r="BD35" s="50">
        <f t="shared" si="75"/>
        <v>12928.668973361477</v>
      </c>
      <c r="BE35" s="50">
        <f t="shared" si="75"/>
        <v>0</v>
      </c>
      <c r="BF35" s="50">
        <f t="shared" si="75"/>
        <v>2486.968081179269</v>
      </c>
      <c r="BG35" s="30"/>
      <c r="BH35" s="30"/>
      <c r="BI35" s="30"/>
      <c r="BJ35" s="30"/>
      <c r="BK35" s="30"/>
    </row>
    <row r="36" spans="1:63" ht="18">
      <c r="A36" s="33" t="s">
        <v>112</v>
      </c>
      <c r="B36" s="35"/>
      <c r="C36" s="35"/>
      <c r="D36" s="35"/>
      <c r="E36" s="35"/>
      <c r="F36" s="35"/>
      <c r="G36" s="35"/>
      <c r="H36" s="35"/>
      <c r="I36" s="34"/>
      <c r="J36" s="34"/>
      <c r="K36" s="35"/>
      <c r="L36" s="34"/>
      <c r="M36" s="35"/>
      <c r="N36" s="35"/>
      <c r="O36" s="35"/>
      <c r="P36" s="35"/>
      <c r="Q36" s="35"/>
      <c r="R36" s="35"/>
      <c r="S36" s="35"/>
      <c r="T36" s="35"/>
      <c r="U36" s="34"/>
      <c r="V36" s="35"/>
      <c r="W36" s="34"/>
      <c r="X36" s="34"/>
      <c r="Y36" s="34"/>
      <c r="Z36" s="34"/>
      <c r="AA36" s="35"/>
      <c r="AB36" s="35"/>
      <c r="AC36" s="34"/>
      <c r="AD36" s="34"/>
      <c r="AE36" s="35"/>
      <c r="AF36" s="35"/>
      <c r="AG36" s="34"/>
      <c r="AH36" s="35"/>
      <c r="AI36" s="35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42"/>
      <c r="BH36" s="43"/>
      <c r="BI36" s="43"/>
      <c r="BJ36" s="43"/>
      <c r="BK36" s="43"/>
    </row>
    <row r="37" spans="1:63" ht="13.5" thickBot="1">
      <c r="A37" s="36" t="s">
        <v>100</v>
      </c>
      <c r="B37" s="38">
        <f aca="true" t="shared" si="76" ref="B37:AC37">B18+B31+B35</f>
        <v>8901583.399230476</v>
      </c>
      <c r="C37" s="38">
        <f t="shared" si="76"/>
        <v>683461.401046555</v>
      </c>
      <c r="D37" s="38">
        <f t="shared" si="76"/>
        <v>967801.90420882</v>
      </c>
      <c r="E37" s="38">
        <f t="shared" si="76"/>
        <v>1304127.046581239</v>
      </c>
      <c r="F37" s="38">
        <f t="shared" si="76"/>
        <v>649589.6334350641</v>
      </c>
      <c r="G37" s="38">
        <f t="shared" si="76"/>
        <v>1504.3355339965126</v>
      </c>
      <c r="H37" s="38">
        <f t="shared" si="76"/>
        <v>1495.9378685027625</v>
      </c>
      <c r="I37" s="38">
        <f t="shared" si="76"/>
        <v>2122.247439675906</v>
      </c>
      <c r="J37" s="38">
        <f t="shared" si="76"/>
        <v>2098096.9790746337</v>
      </c>
      <c r="K37" s="38">
        <f t="shared" si="76"/>
        <v>14604660.363576787</v>
      </c>
      <c r="L37" s="38">
        <f t="shared" si="76"/>
        <v>10471.541480684557</v>
      </c>
      <c r="M37" s="38">
        <f t="shared" si="76"/>
        <v>8444913.80646171</v>
      </c>
      <c r="N37" s="38">
        <f t="shared" si="76"/>
        <v>647237.9467910876</v>
      </c>
      <c r="O37" s="38">
        <f t="shared" si="76"/>
        <v>919505.2477090525</v>
      </c>
      <c r="P37" s="38">
        <f t="shared" si="76"/>
        <v>1235008.313112433</v>
      </c>
      <c r="Q37" s="38">
        <f t="shared" si="76"/>
        <v>638611.5686300115</v>
      </c>
      <c r="R37" s="38">
        <f t="shared" si="76"/>
        <v>1478.552455209252</v>
      </c>
      <c r="S37" s="38">
        <f t="shared" si="76"/>
        <v>1470.2986090032339</v>
      </c>
      <c r="T37" s="38">
        <f t="shared" si="76"/>
        <v>2101.0249652791467</v>
      </c>
      <c r="U37" s="38">
        <f>U18+U31+U35</f>
        <v>2062137.315494075</v>
      </c>
      <c r="V37" s="38">
        <f t="shared" si="76"/>
        <v>13947414.19819837</v>
      </c>
      <c r="W37" s="38">
        <f t="shared" si="76"/>
        <v>10000.29598010823</v>
      </c>
      <c r="X37" s="38">
        <f t="shared" si="76"/>
        <v>212191.09455602494</v>
      </c>
      <c r="Y37" s="38">
        <f>ROUNDUP(Y18+Y31+Y35,0)</f>
        <v>28479</v>
      </c>
      <c r="Z37" s="38">
        <f t="shared" si="76"/>
        <v>49.624113099801626</v>
      </c>
      <c r="AA37" s="38">
        <f t="shared" si="76"/>
        <v>27360.941894763724</v>
      </c>
      <c r="AB37" s="38">
        <f t="shared" si="76"/>
        <v>1068.113840440773</v>
      </c>
      <c r="AC37" s="38">
        <f t="shared" si="76"/>
        <v>73.53587378477015</v>
      </c>
      <c r="AD37" s="73" t="s">
        <v>114</v>
      </c>
      <c r="AE37" s="38">
        <f>AE18+AE31+AE35</f>
        <v>1470.2986090032339</v>
      </c>
      <c r="AF37" s="38">
        <f>AF18+AF31+AF35</f>
        <v>1478.552455209252</v>
      </c>
      <c r="AG37" s="38"/>
      <c r="AH37" s="38">
        <f>AH18+AH31+AH35</f>
        <v>1336.6685279332862</v>
      </c>
      <c r="AI37" s="38">
        <f>AI18+AI31+AI35</f>
        <v>1343.3854552093328</v>
      </c>
      <c r="AJ37" s="38"/>
      <c r="AK37" s="38">
        <f>AK18+AK31+AK35</f>
        <v>7142.466279341199</v>
      </c>
      <c r="AL37" s="38">
        <f>AL18+AL31+AL35</f>
        <v>7178.358069689646</v>
      </c>
      <c r="AM37" s="37"/>
      <c r="AN37" s="37"/>
      <c r="AO37" s="38"/>
      <c r="AP37" s="41"/>
      <c r="AQ37" s="40"/>
      <c r="AR37" s="40"/>
      <c r="AS37" s="37"/>
      <c r="AT37" s="38">
        <f>AT18+AT31+AT35</f>
        <v>240669.58385407348</v>
      </c>
      <c r="AU37" s="38">
        <f>AU18+AU31+AU35</f>
        <v>210006.21558227285</v>
      </c>
      <c r="AV37" s="38">
        <f>AV18+AV31+AV35</f>
        <v>30663.558822056388</v>
      </c>
      <c r="AW37" s="38">
        <f>AW18+AW31+AW35</f>
        <v>10000.29598010823</v>
      </c>
      <c r="AX37" s="37"/>
      <c r="AY37" s="37"/>
      <c r="AZ37" s="38">
        <f aca="true" t="shared" si="77" ref="AZ37:BF37">AZ18+AZ31+AZ35</f>
        <v>6531.493787738689</v>
      </c>
      <c r="BA37" s="38">
        <f t="shared" si="77"/>
        <v>4430.468822459543</v>
      </c>
      <c r="BB37" s="38">
        <f t="shared" si="77"/>
        <v>2101.0249652791467</v>
      </c>
      <c r="BC37" s="38">
        <f t="shared" si="77"/>
        <v>76913.39865099476</v>
      </c>
      <c r="BD37" s="38">
        <f t="shared" si="77"/>
        <v>63115.17456104321</v>
      </c>
      <c r="BE37" s="38">
        <f t="shared" si="77"/>
        <v>4772.797343432159</v>
      </c>
      <c r="BF37" s="38">
        <f t="shared" si="77"/>
        <v>9025.426746519397</v>
      </c>
      <c r="BG37" s="73" t="s">
        <v>114</v>
      </c>
      <c r="BH37" s="44"/>
      <c r="BI37" s="44"/>
      <c r="BJ37" s="44"/>
      <c r="BK37" s="44"/>
    </row>
    <row r="38" spans="5:54" ht="12.75">
      <c r="E38" s="4"/>
      <c r="F38" s="96"/>
      <c r="G38" s="4"/>
      <c r="H38" s="4"/>
      <c r="I38" s="46"/>
      <c r="J38" s="46"/>
      <c r="K38" s="46"/>
      <c r="M38" s="108">
        <f aca="true" t="shared" si="78" ref="M38:U38">M37/B37</f>
        <v>0.9486979369526275</v>
      </c>
      <c r="N38" s="108">
        <f t="shared" si="78"/>
        <v>0.9470000000000001</v>
      </c>
      <c r="O38" s="108">
        <f t="shared" si="78"/>
        <v>0.950096547351547</v>
      </c>
      <c r="P38" s="108">
        <f t="shared" si="78"/>
        <v>0.9469999999999998</v>
      </c>
      <c r="Q38" s="108">
        <f t="shared" si="78"/>
        <v>0.9831</v>
      </c>
      <c r="R38" s="108">
        <f t="shared" si="78"/>
        <v>0.9828608191426791</v>
      </c>
      <c r="S38" s="108">
        <f t="shared" si="78"/>
        <v>0.9828607457305762</v>
      </c>
      <c r="T38" s="108">
        <f t="shared" si="78"/>
        <v>0.9899999999999998</v>
      </c>
      <c r="U38" s="108">
        <f t="shared" si="78"/>
        <v>0.9828608191426791</v>
      </c>
      <c r="V38" s="108">
        <f>V37/K37</f>
        <v>0.9549975042885933</v>
      </c>
      <c r="W38" s="108">
        <f>W37/L37</f>
        <v>0.9549975042885931</v>
      </c>
      <c r="Z38" s="4"/>
      <c r="AA38" s="4"/>
      <c r="AB38" s="4"/>
      <c r="AE38" s="4"/>
      <c r="AF38" s="4"/>
      <c r="BB38" s="46"/>
    </row>
    <row r="39" spans="5:54" ht="12.75">
      <c r="E39" s="4"/>
      <c r="F39" s="96"/>
      <c r="G39" s="4"/>
      <c r="H39" s="4"/>
      <c r="I39" s="4"/>
      <c r="J39" s="4"/>
      <c r="K39" s="46"/>
      <c r="M39" s="96"/>
      <c r="N39" s="96"/>
      <c r="O39" s="96"/>
      <c r="P39" s="96"/>
      <c r="Q39" s="96"/>
      <c r="R39" s="4"/>
      <c r="S39" s="4"/>
      <c r="T39" s="4"/>
      <c r="U39" s="4"/>
      <c r="V39" s="46"/>
      <c r="Y39" s="4"/>
      <c r="Z39" s="4"/>
      <c r="AA39" s="4"/>
      <c r="AB39" s="4"/>
      <c r="AE39" s="4"/>
      <c r="AF39" s="4"/>
      <c r="BB39" s="4"/>
    </row>
    <row r="40" spans="5:54" ht="12.75">
      <c r="E40" s="4"/>
      <c r="F40" s="96"/>
      <c r="G40" s="4"/>
      <c r="H40" s="4"/>
      <c r="I40" s="4"/>
      <c r="J40" s="4"/>
      <c r="K40" s="46"/>
      <c r="M40" s="96"/>
      <c r="N40" s="96"/>
      <c r="O40" s="96"/>
      <c r="P40" s="96"/>
      <c r="Q40" s="96"/>
      <c r="R40" s="4"/>
      <c r="S40" s="4"/>
      <c r="T40" s="4"/>
      <c r="U40" s="4"/>
      <c r="V40" s="46"/>
      <c r="Z40" s="4"/>
      <c r="AA40" s="4"/>
      <c r="AB40" s="4"/>
      <c r="AE40" s="4"/>
      <c r="AF40" s="4"/>
      <c r="AT40" s="4"/>
      <c r="BB40" s="4"/>
    </row>
    <row r="41" spans="1:54" ht="12.75">
      <c r="A41" s="48" t="s">
        <v>129</v>
      </c>
      <c r="E41" s="4"/>
      <c r="F41" s="96"/>
      <c r="G41" s="4"/>
      <c r="H41" s="4"/>
      <c r="I41" s="4"/>
      <c r="J41" s="4"/>
      <c r="K41" s="46"/>
      <c r="M41" s="96"/>
      <c r="N41" s="96"/>
      <c r="O41" s="96"/>
      <c r="P41" s="96"/>
      <c r="Q41" s="96"/>
      <c r="R41" s="4"/>
      <c r="S41" s="4"/>
      <c r="T41" s="4"/>
      <c r="U41" s="4"/>
      <c r="V41" s="46"/>
      <c r="Z41" s="4"/>
      <c r="AA41" s="4"/>
      <c r="AB41" s="4"/>
      <c r="AE41" s="4"/>
      <c r="AF41" s="4"/>
      <c r="BB41" s="4"/>
    </row>
    <row r="42" spans="1:54" ht="12.75">
      <c r="A42" s="5" t="s">
        <v>143</v>
      </c>
      <c r="G42" s="4"/>
      <c r="H42" s="4"/>
      <c r="I42" s="65"/>
      <c r="J42" s="65"/>
      <c r="R42" s="4"/>
      <c r="S42" s="4"/>
      <c r="T42" s="4"/>
      <c r="U42" s="65"/>
      <c r="Z42" s="4"/>
      <c r="AE42" s="4"/>
      <c r="AF42" s="4"/>
      <c r="BB42" s="65"/>
    </row>
    <row r="43" spans="1:54" ht="12.75">
      <c r="A43" s="5" t="s">
        <v>144</v>
      </c>
      <c r="G43" s="4"/>
      <c r="H43" s="4"/>
      <c r="I43" s="65"/>
      <c r="J43" s="65"/>
      <c r="R43" s="4"/>
      <c r="S43" s="4"/>
      <c r="T43" s="4"/>
      <c r="U43" s="65"/>
      <c r="Z43" s="4"/>
      <c r="AE43" s="4"/>
      <c r="AF43" s="4"/>
      <c r="BB43" s="65"/>
    </row>
    <row r="44" spans="1:54" ht="12.75">
      <c r="A44" s="5" t="s">
        <v>150</v>
      </c>
      <c r="G44" s="4"/>
      <c r="H44" s="4"/>
      <c r="I44" s="65"/>
      <c r="J44" s="65"/>
      <c r="R44" s="4"/>
      <c r="S44" s="4"/>
      <c r="T44" s="4"/>
      <c r="U44" s="65"/>
      <c r="Z44" s="4"/>
      <c r="AE44" s="4"/>
      <c r="AF44" s="4"/>
      <c r="BB44" s="65"/>
    </row>
    <row r="45" spans="3:54" ht="12.75">
      <c r="C45" s="124"/>
      <c r="G45" s="4"/>
      <c r="H45" s="4"/>
      <c r="I45" s="65"/>
      <c r="J45" s="65"/>
      <c r="R45" s="4"/>
      <c r="S45" s="4"/>
      <c r="T45" s="4"/>
      <c r="U45" s="65"/>
      <c r="Z45" s="4"/>
      <c r="AE45" s="4"/>
      <c r="AF45" s="4"/>
      <c r="BB45" s="65"/>
    </row>
    <row r="46" spans="5:54" ht="12.75">
      <c r="E46" s="4"/>
      <c r="F46" s="97"/>
      <c r="G46" s="4"/>
      <c r="H46" s="4"/>
      <c r="I46" s="4"/>
      <c r="J46" s="4"/>
      <c r="M46" s="97"/>
      <c r="N46" s="97"/>
      <c r="O46" s="97"/>
      <c r="P46" s="97"/>
      <c r="Q46" s="97"/>
      <c r="R46" s="4"/>
      <c r="S46" s="4"/>
      <c r="T46" s="4"/>
      <c r="U46" s="4"/>
      <c r="Z46" s="4"/>
      <c r="AA46" s="4"/>
      <c r="AB46" s="4"/>
      <c r="AE46" s="4"/>
      <c r="AF46" s="4"/>
      <c r="BB46" s="4"/>
    </row>
    <row r="47" spans="1:54" ht="12.75">
      <c r="A47" s="90" t="s">
        <v>130</v>
      </c>
      <c r="B47" s="92" t="s">
        <v>131</v>
      </c>
      <c r="C47" s="3"/>
      <c r="D47" s="91" t="s">
        <v>142</v>
      </c>
      <c r="E47" s="4"/>
      <c r="F47" s="97"/>
      <c r="G47" s="4"/>
      <c r="H47" s="4"/>
      <c r="I47" s="4"/>
      <c r="J47" s="4"/>
      <c r="M47" s="97"/>
      <c r="N47" s="97"/>
      <c r="O47" s="97"/>
      <c r="P47" s="97"/>
      <c r="Q47" s="97"/>
      <c r="R47" s="4"/>
      <c r="S47" s="4"/>
      <c r="T47" s="4"/>
      <c r="U47" s="4"/>
      <c r="Z47" s="4"/>
      <c r="AA47" s="4"/>
      <c r="AB47" s="4"/>
      <c r="AE47" s="4"/>
      <c r="AF47" s="4"/>
      <c r="BB47" s="4"/>
    </row>
    <row r="48" spans="1:54" ht="12.75">
      <c r="A48" s="87" t="s">
        <v>107</v>
      </c>
      <c r="B48" s="88" t="s">
        <v>132</v>
      </c>
      <c r="C48" s="8"/>
      <c r="D48" s="89">
        <v>0.053</v>
      </c>
      <c r="E48" s="4"/>
      <c r="F48" s="97"/>
      <c r="G48" s="4"/>
      <c r="H48" s="4"/>
      <c r="I48" s="4"/>
      <c r="J48" s="4"/>
      <c r="M48" s="97"/>
      <c r="N48" s="97"/>
      <c r="O48" s="97"/>
      <c r="P48" s="97"/>
      <c r="Q48" s="97"/>
      <c r="R48" s="4"/>
      <c r="S48" s="4"/>
      <c r="T48" s="4"/>
      <c r="U48" s="4"/>
      <c r="Z48" s="4"/>
      <c r="AA48" s="4"/>
      <c r="AB48" s="4"/>
      <c r="AE48" s="4"/>
      <c r="AF48" s="4"/>
      <c r="BB48" s="4"/>
    </row>
    <row r="49" spans="1:4" ht="12.75">
      <c r="A49" s="93" t="s">
        <v>108</v>
      </c>
      <c r="B49" s="94"/>
      <c r="C49" s="3"/>
      <c r="D49" s="95"/>
    </row>
    <row r="50" spans="1:4" ht="12.75">
      <c r="A50" s="87" t="s">
        <v>133</v>
      </c>
      <c r="B50" s="88" t="s">
        <v>134</v>
      </c>
      <c r="C50" s="8"/>
      <c r="D50" s="89">
        <v>0.017</v>
      </c>
    </row>
    <row r="51" spans="1:54" ht="12.75">
      <c r="A51" s="87" t="s">
        <v>135</v>
      </c>
      <c r="B51" s="88" t="s">
        <v>136</v>
      </c>
      <c r="C51" s="8"/>
      <c r="D51" s="89">
        <v>0.0179</v>
      </c>
      <c r="G51" s="4"/>
      <c r="H51" s="4"/>
      <c r="I51" s="65"/>
      <c r="J51" s="65"/>
      <c r="R51" s="4"/>
      <c r="S51" s="4"/>
      <c r="T51" s="4"/>
      <c r="U51" s="65"/>
      <c r="Z51" s="4"/>
      <c r="AE51" s="4"/>
      <c r="AF51" s="4"/>
      <c r="BB51" s="65"/>
    </row>
    <row r="52" spans="1:54" ht="12.75">
      <c r="A52" s="87" t="s">
        <v>137</v>
      </c>
      <c r="B52" s="88" t="s">
        <v>138</v>
      </c>
      <c r="C52" s="8"/>
      <c r="D52" s="89">
        <v>0.0169</v>
      </c>
      <c r="G52" s="4"/>
      <c r="H52" s="4"/>
      <c r="I52" s="65"/>
      <c r="J52" s="65"/>
      <c r="R52" s="4"/>
      <c r="S52" s="4"/>
      <c r="T52" s="4"/>
      <c r="U52" s="65"/>
      <c r="Z52" s="4"/>
      <c r="AE52" s="4"/>
      <c r="AF52" s="4"/>
      <c r="BB52" s="65"/>
    </row>
    <row r="53" spans="1:54" ht="12.75">
      <c r="A53" s="87" t="s">
        <v>139</v>
      </c>
      <c r="B53" s="88" t="s">
        <v>140</v>
      </c>
      <c r="C53" s="8"/>
      <c r="D53" s="89">
        <v>0.0191</v>
      </c>
      <c r="G53" s="4"/>
      <c r="H53" s="4"/>
      <c r="I53" s="65"/>
      <c r="J53" s="65"/>
      <c r="R53" s="4"/>
      <c r="S53" s="4"/>
      <c r="T53" s="4"/>
      <c r="U53" s="65"/>
      <c r="Z53" s="4"/>
      <c r="AE53" s="4"/>
      <c r="AF53" s="4"/>
      <c r="BB53" s="65"/>
    </row>
    <row r="54" spans="1:54" ht="12.75">
      <c r="A54" s="87" t="s">
        <v>141</v>
      </c>
      <c r="B54" s="88" t="s">
        <v>140</v>
      </c>
      <c r="C54" s="8"/>
      <c r="D54" s="89">
        <v>0.0179</v>
      </c>
      <c r="G54" s="4"/>
      <c r="H54" s="4"/>
      <c r="I54" s="65"/>
      <c r="J54" s="65"/>
      <c r="R54" s="4"/>
      <c r="S54" s="4"/>
      <c r="T54" s="4"/>
      <c r="U54" s="65"/>
      <c r="Z54" s="4"/>
      <c r="AE54" s="4"/>
      <c r="AF54" s="4"/>
      <c r="BB54" s="65"/>
    </row>
    <row r="55" spans="1:54" ht="12.75">
      <c r="A55" s="5" t="s">
        <v>146</v>
      </c>
      <c r="B55" s="88" t="s">
        <v>138</v>
      </c>
      <c r="D55" s="47">
        <v>0.01</v>
      </c>
      <c r="G55" s="4"/>
      <c r="H55" s="4"/>
      <c r="I55" s="65"/>
      <c r="J55" s="65"/>
      <c r="R55" s="4"/>
      <c r="S55" s="4"/>
      <c r="T55" s="4"/>
      <c r="U55" s="65"/>
      <c r="Z55" s="4"/>
      <c r="AE55" s="4"/>
      <c r="AF55" s="4"/>
      <c r="BB55" s="65"/>
    </row>
    <row r="57" spans="1:4" ht="12.75">
      <c r="A57" s="5" t="s">
        <v>149</v>
      </c>
      <c r="D57" s="124">
        <v>0.15</v>
      </c>
    </row>
    <row r="58" spans="7:32" ht="12.75">
      <c r="G58" s="4"/>
      <c r="H58" s="4"/>
      <c r="R58" s="4"/>
      <c r="S58" s="4"/>
      <c r="T58" s="4"/>
      <c r="AE58" s="4"/>
      <c r="AF58" s="4"/>
    </row>
    <row r="59" spans="7:32" ht="12.75">
      <c r="G59" s="4"/>
      <c r="H59" s="4"/>
      <c r="R59" s="4"/>
      <c r="S59" s="4"/>
      <c r="T59" s="4"/>
      <c r="AE59" s="4"/>
      <c r="AF59" s="4"/>
    </row>
    <row r="60" spans="7:32" ht="12.75">
      <c r="G60" s="4"/>
      <c r="H60" s="4"/>
      <c r="R60" s="4"/>
      <c r="S60" s="4"/>
      <c r="T60" s="4"/>
      <c r="AE60" s="4"/>
      <c r="AF60" s="4"/>
    </row>
    <row r="61" spans="7:32" ht="12.75">
      <c r="G61" s="4"/>
      <c r="H61" s="4"/>
      <c r="R61" s="4"/>
      <c r="S61" s="4"/>
      <c r="T61" s="4"/>
      <c r="AE61" s="4"/>
      <c r="AF61" s="4"/>
    </row>
    <row r="62" spans="7:32" ht="12.75">
      <c r="G62" s="4"/>
      <c r="H62" s="4"/>
      <c r="R62" s="4"/>
      <c r="S62" s="4"/>
      <c r="T62" s="4"/>
      <c r="AE62" s="4"/>
      <c r="AF62" s="4"/>
    </row>
    <row r="63" spans="7:32" ht="12.75">
      <c r="G63" s="4"/>
      <c r="H63" s="4"/>
      <c r="R63" s="4"/>
      <c r="S63" s="4"/>
      <c r="T63" s="4"/>
      <c r="AE63" s="4"/>
      <c r="AF63" s="4"/>
    </row>
    <row r="64" spans="7:32" ht="12.75">
      <c r="G64" s="4"/>
      <c r="H64" s="4"/>
      <c r="R64" s="4"/>
      <c r="S64" s="4"/>
      <c r="T64" s="4"/>
      <c r="AE64" s="4"/>
      <c r="AF64" s="4"/>
    </row>
    <row r="65" spans="7:32" ht="12.75">
      <c r="G65" s="4"/>
      <c r="H65" s="4"/>
      <c r="R65" s="4"/>
      <c r="S65" s="4"/>
      <c r="T65" s="4"/>
      <c r="AE65" s="4"/>
      <c r="AF65" s="4"/>
    </row>
    <row r="66" spans="7:32" ht="12.75">
      <c r="G66" s="4"/>
      <c r="H66" s="4"/>
      <c r="R66" s="4"/>
      <c r="S66" s="4"/>
      <c r="T66" s="4"/>
      <c r="AE66" s="4"/>
      <c r="AF66" s="4"/>
    </row>
    <row r="67" spans="7:32" ht="12.75">
      <c r="G67" s="4"/>
      <c r="H67" s="4"/>
      <c r="R67" s="4"/>
      <c r="S67" s="4"/>
      <c r="T67" s="4"/>
      <c r="AE67" s="4"/>
      <c r="AF67" s="4"/>
    </row>
    <row r="68" spans="7:32" ht="12.75">
      <c r="G68" s="4"/>
      <c r="H68" s="4"/>
      <c r="R68" s="4"/>
      <c r="S68" s="4"/>
      <c r="T68" s="4"/>
      <c r="AE68" s="4"/>
      <c r="AF68" s="4"/>
    </row>
  </sheetData>
  <printOptions horizontalCentered="1"/>
  <pageMargins left="0.3" right="0.17" top="0.57" bottom="0.58" header="0.47" footer="0.31"/>
  <pageSetup fitToHeight="1" fitToWidth="1" horizontalDpi="600" verticalDpi="600" orientation="landscape" paperSize="9" scale="87" r:id="rId3"/>
  <headerFooter alignWithMargins="0">
    <oddFooter>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emissions-Trader ET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Hadulla</dc:creator>
  <cp:keywords/>
  <dc:description/>
  <cp:lastModifiedBy>Mitarbeiter</cp:lastModifiedBy>
  <cp:lastPrinted>2011-01-20T16:11:49Z</cp:lastPrinted>
  <dcterms:created xsi:type="dcterms:W3CDTF">2008-12-06T07:55:45Z</dcterms:created>
  <dcterms:modified xsi:type="dcterms:W3CDTF">2011-01-21T10:36:24Z</dcterms:modified>
  <cp:category/>
  <cp:version/>
  <cp:contentType/>
  <cp:contentStatus/>
</cp:coreProperties>
</file>