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<sst xmlns="http://schemas.openxmlformats.org/spreadsheetml/2006/main" count="83" uniqueCount="61">
  <si>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GWh</t>
  </si>
  <si>
    <t>mln. nm3</t>
  </si>
  <si>
    <t>RK1</t>
  </si>
  <si>
    <t>RK2</t>
  </si>
  <si>
    <t>Pagaminta</t>
  </si>
  <si>
    <t>Efektyvumas</t>
  </si>
  <si>
    <t>G.dujų dalis</t>
  </si>
  <si>
    <t>Mazuto dalis</t>
  </si>
  <si>
    <t>G.dujų šil.vertė</t>
  </si>
  <si>
    <t>Mazuto šil. vertė</t>
  </si>
  <si>
    <t>Lt/t</t>
  </si>
  <si>
    <t>Lt/MWh</t>
  </si>
  <si>
    <t>NPV</t>
  </si>
  <si>
    <t>IRR</t>
  </si>
  <si>
    <t>t</t>
  </si>
  <si>
    <t>NOx</t>
  </si>
  <si>
    <t>kg/tūkst. nm3</t>
  </si>
  <si>
    <t>CO</t>
  </si>
  <si>
    <t>CO2</t>
  </si>
  <si>
    <t>t/tūkst. nm3</t>
  </si>
  <si>
    <t>TE</t>
  </si>
  <si>
    <t>Su subsidija</t>
  </si>
  <si>
    <t>Be subsidijos</t>
  </si>
  <si>
    <t xml:space="preserve">Diskontuotas pinigų srautas </t>
  </si>
  <si>
    <t>Priedas Nr. 1</t>
  </si>
  <si>
    <t>Discount rate</t>
  </si>
  <si>
    <t>Natural gas price</t>
  </si>
  <si>
    <t>HFO price</t>
  </si>
  <si>
    <t>Power price</t>
  </si>
  <si>
    <t>Power supplied</t>
  </si>
  <si>
    <t>Heat supplied</t>
  </si>
  <si>
    <t>Natural gas consumed</t>
  </si>
  <si>
    <t>Fuel consumption</t>
  </si>
  <si>
    <t>CO2 emissions</t>
  </si>
  <si>
    <t>NOx emissions</t>
  </si>
  <si>
    <t>CO emissions</t>
  </si>
  <si>
    <t>Reduction of Natural gas consumption in RK1 and RK2</t>
  </si>
  <si>
    <t>Reduction of HFO consumption RK1 and RK2</t>
  </si>
  <si>
    <t>Reduction of fuel consumption in RK1 and RK2</t>
  </si>
  <si>
    <t>Reduction of Nox emissions in RK1 and RK2</t>
  </si>
  <si>
    <t>Reduction of CO emissions in RK1 and RK2</t>
  </si>
  <si>
    <t>Reduction of CO2 emissions in RK1 and RK2</t>
  </si>
  <si>
    <t>Reduction of CO emissions in LPP</t>
  </si>
  <si>
    <t xml:space="preserve">Reduction of NOx emissions in LPP </t>
  </si>
  <si>
    <t>Rduction of fuel consumption in LPP</t>
  </si>
  <si>
    <t xml:space="preserve">Total Nox reductions </t>
  </si>
  <si>
    <t>Total CO2 reductions</t>
  </si>
  <si>
    <t>Total fuel reductions</t>
  </si>
  <si>
    <t>With subsidy</t>
  </si>
  <si>
    <t>Without subsidy</t>
  </si>
  <si>
    <t>Investments</t>
  </si>
  <si>
    <t>Fixed costs</t>
  </si>
  <si>
    <t>Expenditures for salaries</t>
  </si>
  <si>
    <t>expenditures for fuel</t>
  </si>
  <si>
    <t>Reduced expenditures for fuel in RK1 ir RK2</t>
  </si>
  <si>
    <t>Revenues from power sales</t>
  </si>
  <si>
    <t>Cash flow</t>
  </si>
  <si>
    <t>Lt/1000 nm3</t>
  </si>
  <si>
    <t>t.o.e.</t>
  </si>
  <si>
    <t>1000 t</t>
  </si>
  <si>
    <t>thousand Lt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</si>
</sst>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\ &quot;Lt&quot;_-;\-* #,##0.0\ &quot;Lt&quot;_-;_-* &quot;-&quot;??\ &quot;Lt&quot;_-;_-@_-"/>
    <numFmt numFmtId="181" formatCode="_-* #,##0\ &quot;Lt&quot;_-;\-* #,##0\ &quot;Lt&quot;_-;_-* &quot;-&quot;??\ &quot;Lt&quot;_-;_-@_-"/>
    <numFmt numFmtId="182" formatCode="_-* #,##0.0\ _L_t_-;\-* #,##0.0\ _L_t_-;_-* &quot;-&quot;??\ _L_t_-;_-@_-"/>
    <numFmt numFmtId="183" formatCode="_-* #,##0\ _L_t_-;\-* #,##0\ _L_t_-;_-* &quot;-&quot;??\ _L_t_-;_-@_-"/>
    <numFmt numFmtId="184" formatCode="0.0"/>
    <numFmt numFmtId="185" formatCode="0.0000"/>
    <numFmt numFmtId="186" formatCode="0.000"/>
    <numFmt numFmtId="187" formatCode="0.0%"/>
    <numFmt numFmtId="188" formatCode="0.00000"/>
    <numFmt numFmtId="189" formatCode="_-* #,##0.0\ _L_t_-;\-* #,##0.0\ _L_t_-;_-* &quot;-&quot;?\ _L_t_-;_-@_-"/>
    <numFmt numFmtId="190" formatCode="_-* #,##0\ _L_t_-;\-* #,##0\ _L_t_-;_-* &quot;-&quot;?\ _L_t_-;_-@_-"/>
    <numFmt numFmtId="191" formatCode="0.000%"/>
    <numFmt numFmtId="192" formatCode="_-* #,##0.000\ _L_t_-;\-* #,##0.000\ _L_t_-;_-* &quot;-&quot;??\ _L_t_-;_-@_-"/>
    <numFmt numFmtId="193" formatCode="_-* #,##0.000\ _L_t_-;\-* #,##0.000\ _L_t_-;_-* &quot;-&quot;???\ _L_t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83" fontId="0" fillId="0" borderId="0" xfId="15" applyNumberFormat="1" applyAlignment="1">
      <alignment/>
    </xf>
    <xf numFmtId="0" fontId="0" fillId="0" borderId="0" xfId="0" applyAlignment="1">
      <alignment horizontal="center"/>
    </xf>
    <xf numFmtId="183" fontId="0" fillId="0" borderId="0" xfId="15" applyNumberFormat="1" applyAlignment="1">
      <alignment horizontal="center"/>
    </xf>
    <xf numFmtId="184" fontId="0" fillId="0" borderId="0" xfId="0" applyNumberFormat="1" applyAlignment="1">
      <alignment horizontal="center"/>
    </xf>
    <xf numFmtId="9" fontId="0" fillId="0" borderId="0" xfId="21" applyAlignment="1">
      <alignment/>
    </xf>
    <xf numFmtId="187" fontId="0" fillId="0" borderId="0" xfId="21" applyNumberFormat="1" applyAlignment="1">
      <alignment/>
    </xf>
    <xf numFmtId="187" fontId="0" fillId="0" borderId="0" xfId="21" applyNumberForma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0" xfId="21" applyNumberFormat="1" applyFont="1" applyAlignment="1">
      <alignment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187" fontId="1" fillId="0" borderId="0" xfId="0" applyNumberFormat="1" applyFont="1" applyAlignment="1">
      <alignment horizontal="center"/>
    </xf>
    <xf numFmtId="192" fontId="0" fillId="0" borderId="0" xfId="15" applyNumberFormat="1" applyAlignment="1">
      <alignment/>
    </xf>
    <xf numFmtId="183" fontId="0" fillId="0" borderId="0" xfId="15" applyNumberFormat="1" applyFont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72"/>
  <sheetViews>
    <sheetView tabSelected="1" view="pageBreakPreview" zoomScaleSheetLayoutView="100" workbookViewId="0" topLeftCell="A5">
      <selection activeCell="A60" sqref="A60"/>
    </sheetView>
  </sheetViews>
  <sheetFormatPr defaultColWidth="9.140625" defaultRowHeight="12.75"/>
  <cols>
    <col min="1" max="1" width="48.7109375" style="0" customWidth="1"/>
    <col min="2" max="2" width="12.00390625" style="0" customWidth="1"/>
    <col min="3" max="3" width="10.8515625" style="0" bestFit="1" customWidth="1"/>
    <col min="4" max="13" width="11.140625" style="0" customWidth="1"/>
  </cols>
  <sheetData>
    <row r="1" spans="2:7" ht="12.75" hidden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</row>
    <row r="2" spans="1:7" ht="12.75" hidden="1">
      <c r="A2" t="s">
        <v>2</v>
      </c>
      <c r="B2" s="5">
        <v>0.5</v>
      </c>
      <c r="C2" s="6">
        <v>0.871</v>
      </c>
      <c r="D2" s="7">
        <v>0.774</v>
      </c>
      <c r="E2" s="8">
        <f>1-D2</f>
        <v>0.22599999999999998</v>
      </c>
      <c r="F2">
        <f>8*1.163</f>
        <v>9.304</v>
      </c>
      <c r="G2" s="2">
        <v>10.93</v>
      </c>
    </row>
    <row r="3" spans="1:7" ht="12.75" hidden="1">
      <c r="A3" t="s">
        <v>3</v>
      </c>
      <c r="B3" s="5">
        <v>0.5</v>
      </c>
      <c r="C3" s="6">
        <v>0.879</v>
      </c>
      <c r="D3" s="7">
        <v>0.774</v>
      </c>
      <c r="E3" s="8">
        <f>1-D3</f>
        <v>0.22599999999999998</v>
      </c>
      <c r="F3">
        <f>8*1.163</f>
        <v>9.304</v>
      </c>
      <c r="G3" s="2">
        <v>10.93</v>
      </c>
    </row>
    <row r="4" spans="2:7" ht="12.75" hidden="1">
      <c r="B4" s="5"/>
      <c r="C4" s="6"/>
      <c r="D4" s="7"/>
      <c r="E4" s="8"/>
      <c r="G4" s="2"/>
    </row>
    <row r="5" spans="2:12" ht="12.75">
      <c r="B5" s="5"/>
      <c r="C5" s="6"/>
      <c r="D5" s="7"/>
      <c r="E5" s="8"/>
      <c r="G5" s="2"/>
      <c r="L5" t="s">
        <v>24</v>
      </c>
    </row>
    <row r="6" spans="1:7" ht="12.75">
      <c r="A6" t="s">
        <v>25</v>
      </c>
      <c r="B6" s="6">
        <v>0.063</v>
      </c>
      <c r="C6" s="6"/>
      <c r="D6" s="7"/>
      <c r="E6" s="8"/>
      <c r="G6" s="2"/>
    </row>
    <row r="7" spans="2:7" ht="12.75" hidden="1">
      <c r="B7" s="5"/>
      <c r="C7" s="6"/>
      <c r="D7" s="7"/>
      <c r="E7" s="8"/>
      <c r="G7" s="2"/>
    </row>
    <row r="8" spans="2:3" ht="12.75" hidden="1">
      <c r="B8" s="1"/>
      <c r="C8" s="9"/>
    </row>
    <row r="9" spans="2:3" ht="12.75" hidden="1">
      <c r="B9" s="14" t="s">
        <v>20</v>
      </c>
      <c r="C9" s="9"/>
    </row>
    <row r="10" spans="1:3" ht="12.75" hidden="1">
      <c r="A10" t="s">
        <v>15</v>
      </c>
      <c r="B10" s="13">
        <v>0.393</v>
      </c>
      <c r="C10" s="9" t="s">
        <v>16</v>
      </c>
    </row>
    <row r="11" spans="1:3" ht="12.75" hidden="1">
      <c r="A11" t="s">
        <v>17</v>
      </c>
      <c r="B11" s="13">
        <v>0.293</v>
      </c>
      <c r="C11" s="9" t="s">
        <v>16</v>
      </c>
    </row>
    <row r="12" spans="1:3" ht="12.75" hidden="1">
      <c r="A12" t="s">
        <v>18</v>
      </c>
      <c r="B12" s="13">
        <f>1.6442*9.3/7</f>
        <v>2.184437142857143</v>
      </c>
      <c r="C12" s="9" t="s">
        <v>19</v>
      </c>
    </row>
    <row r="14" spans="3:13" ht="12.75">
      <c r="C14" s="18">
        <v>2005</v>
      </c>
      <c r="D14" s="18">
        <v>2006</v>
      </c>
      <c r="E14" s="18">
        <v>2007</v>
      </c>
      <c r="F14" s="18">
        <v>2008</v>
      </c>
      <c r="G14" s="18">
        <v>2009</v>
      </c>
      <c r="H14" s="18">
        <v>2010</v>
      </c>
      <c r="I14" s="18">
        <v>2011</v>
      </c>
      <c r="J14" s="18">
        <v>2012</v>
      </c>
      <c r="K14" s="18">
        <v>2013</v>
      </c>
      <c r="L14" s="18">
        <v>2014</v>
      </c>
      <c r="M14" s="18">
        <v>2015</v>
      </c>
    </row>
    <row r="15" spans="3:13" ht="12.75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t="s">
        <v>26</v>
      </c>
      <c r="B16" t="s">
        <v>57</v>
      </c>
      <c r="C16" s="15">
        <v>403.6</v>
      </c>
      <c r="D16" s="15">
        <v>407.3</v>
      </c>
      <c r="E16" s="15">
        <v>410.9</v>
      </c>
      <c r="F16" s="15">
        <v>414.6</v>
      </c>
      <c r="G16" s="15">
        <v>418.2</v>
      </c>
      <c r="H16" s="15">
        <v>421.8</v>
      </c>
      <c r="I16" s="15">
        <v>425.5</v>
      </c>
      <c r="J16" s="15">
        <v>429.1</v>
      </c>
      <c r="K16" s="15">
        <v>432.8</v>
      </c>
      <c r="L16" s="15">
        <v>436.4</v>
      </c>
      <c r="M16" s="15">
        <v>440</v>
      </c>
    </row>
    <row r="17" spans="1:13" ht="12.75">
      <c r="A17" t="s">
        <v>27</v>
      </c>
      <c r="B17" t="s">
        <v>10</v>
      </c>
      <c r="C17" s="15">
        <v>447.6</v>
      </c>
      <c r="D17" s="15">
        <v>451.3</v>
      </c>
      <c r="E17" s="15">
        <v>454.9</v>
      </c>
      <c r="F17" s="15">
        <v>458.6</v>
      </c>
      <c r="G17" s="15">
        <v>462.2</v>
      </c>
      <c r="H17" s="15">
        <v>465.8</v>
      </c>
      <c r="I17" s="15">
        <v>469.5</v>
      </c>
      <c r="J17" s="15">
        <v>473.1</v>
      </c>
      <c r="K17" s="15">
        <v>476.8</v>
      </c>
      <c r="L17" s="15">
        <v>480.4</v>
      </c>
      <c r="M17" s="15">
        <v>484</v>
      </c>
    </row>
    <row r="18" spans="1:13" ht="12.75">
      <c r="A18" t="s">
        <v>28</v>
      </c>
      <c r="B18" t="s">
        <v>11</v>
      </c>
      <c r="C18" s="15">
        <v>120</v>
      </c>
      <c r="D18" s="15">
        <f>C18</f>
        <v>120</v>
      </c>
      <c r="E18" s="15">
        <f aca="true" t="shared" si="0" ref="E18:M18">D18</f>
        <v>120</v>
      </c>
      <c r="F18" s="15">
        <f t="shared" si="0"/>
        <v>120</v>
      </c>
      <c r="G18" s="15">
        <f t="shared" si="0"/>
        <v>120</v>
      </c>
      <c r="H18" s="15">
        <f t="shared" si="0"/>
        <v>120</v>
      </c>
      <c r="I18" s="15">
        <f t="shared" si="0"/>
        <v>120</v>
      </c>
      <c r="J18" s="15">
        <f t="shared" si="0"/>
        <v>120</v>
      </c>
      <c r="K18" s="15">
        <f t="shared" si="0"/>
        <v>120</v>
      </c>
      <c r="L18" s="15">
        <f t="shared" si="0"/>
        <v>120</v>
      </c>
      <c r="M18" s="15">
        <f t="shared" si="0"/>
        <v>120</v>
      </c>
    </row>
    <row r="19" ht="12.75">
      <c r="C19" s="3"/>
    </row>
    <row r="20" spans="1:13" ht="12.75">
      <c r="A20" t="s">
        <v>29</v>
      </c>
      <c r="B20" t="s">
        <v>0</v>
      </c>
      <c r="D20" s="2">
        <v>53.7</v>
      </c>
      <c r="E20" s="4">
        <v>203.175</v>
      </c>
      <c r="F20" s="4">
        <v>203.175</v>
      </c>
      <c r="G20" s="4">
        <v>203.175</v>
      </c>
      <c r="H20" s="4">
        <v>203.175</v>
      </c>
      <c r="I20" s="4">
        <v>203.175</v>
      </c>
      <c r="J20" s="4">
        <v>203.175</v>
      </c>
      <c r="K20" s="4">
        <v>203.175</v>
      </c>
      <c r="L20" s="4">
        <v>203.175</v>
      </c>
      <c r="M20" s="4">
        <v>203.175</v>
      </c>
    </row>
    <row r="21" spans="1:13" ht="12.75">
      <c r="A21" t="s">
        <v>30</v>
      </c>
      <c r="B21" t="s">
        <v>0</v>
      </c>
      <c r="D21" s="2">
        <v>53.7</v>
      </c>
      <c r="E21" s="4">
        <v>203.175</v>
      </c>
      <c r="F21" s="4">
        <v>203.175</v>
      </c>
      <c r="G21" s="4">
        <v>203.175</v>
      </c>
      <c r="H21" s="4">
        <v>203.175</v>
      </c>
      <c r="I21" s="4">
        <v>203.175</v>
      </c>
      <c r="J21" s="4">
        <v>203.175</v>
      </c>
      <c r="K21" s="4">
        <v>203.175</v>
      </c>
      <c r="L21" s="4">
        <v>203.175</v>
      </c>
      <c r="M21" s="4">
        <v>203.175</v>
      </c>
    </row>
    <row r="22" spans="1:13" ht="12.75">
      <c r="A22" t="s">
        <v>31</v>
      </c>
      <c r="B22" t="s">
        <v>1</v>
      </c>
      <c r="D22" s="4">
        <v>12.695641</v>
      </c>
      <c r="E22" s="4">
        <v>48.034208</v>
      </c>
      <c r="F22" s="4">
        <v>48.034208</v>
      </c>
      <c r="G22" s="4">
        <v>48.034208</v>
      </c>
      <c r="H22" s="4">
        <v>48.034208</v>
      </c>
      <c r="I22" s="4">
        <v>48.034208</v>
      </c>
      <c r="J22" s="4">
        <v>48.034208</v>
      </c>
      <c r="K22" s="4">
        <v>48.034208</v>
      </c>
      <c r="L22" s="4">
        <v>48.034208</v>
      </c>
      <c r="M22" s="4">
        <v>48.034208</v>
      </c>
    </row>
    <row r="23" spans="1:13" ht="12.75">
      <c r="A23" t="s">
        <v>32</v>
      </c>
      <c r="B23" t="s">
        <v>58</v>
      </c>
      <c r="D23" s="3">
        <f>D22*$F$2/7*1000</f>
        <v>16874.320552</v>
      </c>
      <c r="E23" s="3">
        <f aca="true" t="shared" si="1" ref="E23:M23">E22*$F$2/7*1000</f>
        <v>63844.324461714285</v>
      </c>
      <c r="F23" s="3">
        <f t="shared" si="1"/>
        <v>63844.324461714285</v>
      </c>
      <c r="G23" s="3">
        <f t="shared" si="1"/>
        <v>63844.324461714285</v>
      </c>
      <c r="H23" s="3">
        <f t="shared" si="1"/>
        <v>63844.324461714285</v>
      </c>
      <c r="I23" s="3">
        <f t="shared" si="1"/>
        <v>63844.324461714285</v>
      </c>
      <c r="J23" s="3">
        <f t="shared" si="1"/>
        <v>63844.324461714285</v>
      </c>
      <c r="K23" s="3">
        <f t="shared" si="1"/>
        <v>63844.324461714285</v>
      </c>
      <c r="L23" s="3">
        <f t="shared" si="1"/>
        <v>63844.324461714285</v>
      </c>
      <c r="M23" s="3">
        <f t="shared" si="1"/>
        <v>63844.324461714285</v>
      </c>
    </row>
    <row r="24" spans="1:13" ht="12.75">
      <c r="A24" t="s">
        <v>34</v>
      </c>
      <c r="B24" t="s">
        <v>14</v>
      </c>
      <c r="D24" s="4">
        <f>D22*$B$10</f>
        <v>4.989386913000001</v>
      </c>
      <c r="E24" s="4">
        <f>E22*$B$10</f>
        <v>18.877443744</v>
      </c>
      <c r="F24" s="4">
        <f>F22*$B$10</f>
        <v>18.877443744</v>
      </c>
      <c r="G24" s="4">
        <f aca="true" t="shared" si="2" ref="G24:M24">G22*$B$10</f>
        <v>18.877443744</v>
      </c>
      <c r="H24" s="4">
        <f t="shared" si="2"/>
        <v>18.877443744</v>
      </c>
      <c r="I24" s="4">
        <f t="shared" si="2"/>
        <v>18.877443744</v>
      </c>
      <c r="J24" s="4">
        <f t="shared" si="2"/>
        <v>18.877443744</v>
      </c>
      <c r="K24" s="4">
        <f t="shared" si="2"/>
        <v>18.877443744</v>
      </c>
      <c r="L24" s="4">
        <f t="shared" si="2"/>
        <v>18.877443744</v>
      </c>
      <c r="M24" s="4">
        <f t="shared" si="2"/>
        <v>18.877443744</v>
      </c>
    </row>
    <row r="25" spans="1:13" ht="12.75">
      <c r="A25" t="s">
        <v>35</v>
      </c>
      <c r="B25" t="s">
        <v>14</v>
      </c>
      <c r="D25" s="4">
        <f>D22*$B$11</f>
        <v>3.719822813</v>
      </c>
      <c r="E25" s="4">
        <f>E22*$B$11</f>
        <v>14.074022944</v>
      </c>
      <c r="F25" s="4">
        <f>F22*$B$11</f>
        <v>14.074022944</v>
      </c>
      <c r="G25" s="4">
        <f aca="true" t="shared" si="3" ref="G25:M25">G22*$B$11</f>
        <v>14.074022944</v>
      </c>
      <c r="H25" s="4">
        <f t="shared" si="3"/>
        <v>14.074022944</v>
      </c>
      <c r="I25" s="4">
        <f t="shared" si="3"/>
        <v>14.074022944</v>
      </c>
      <c r="J25" s="4">
        <f t="shared" si="3"/>
        <v>14.074022944</v>
      </c>
      <c r="K25" s="4">
        <f t="shared" si="3"/>
        <v>14.074022944</v>
      </c>
      <c r="L25" s="4">
        <f t="shared" si="3"/>
        <v>14.074022944</v>
      </c>
      <c r="M25" s="4">
        <f t="shared" si="3"/>
        <v>14.074022944</v>
      </c>
    </row>
    <row r="26" spans="1:13" ht="12.75">
      <c r="A26" t="s">
        <v>33</v>
      </c>
      <c r="B26" t="s">
        <v>14</v>
      </c>
      <c r="D26" s="3">
        <f>D22*$B$12*1000</f>
        <v>27732.829752780002</v>
      </c>
      <c r="E26" s="3">
        <f>E22*$B$12*1000</f>
        <v>104927.70808292572</v>
      </c>
      <c r="F26" s="3">
        <f>F22*$B$12*1000</f>
        <v>104927.70808292572</v>
      </c>
      <c r="G26" s="3">
        <f aca="true" t="shared" si="4" ref="G26:M26">G22*$B$12*1000</f>
        <v>104927.70808292572</v>
      </c>
      <c r="H26" s="3">
        <f t="shared" si="4"/>
        <v>104927.70808292572</v>
      </c>
      <c r="I26" s="3">
        <f t="shared" si="4"/>
        <v>104927.70808292572</v>
      </c>
      <c r="J26" s="3">
        <f t="shared" si="4"/>
        <v>104927.70808292572</v>
      </c>
      <c r="K26" s="3">
        <f t="shared" si="4"/>
        <v>104927.70808292572</v>
      </c>
      <c r="L26" s="3">
        <f t="shared" si="4"/>
        <v>104927.70808292572</v>
      </c>
      <c r="M26" s="3">
        <f t="shared" si="4"/>
        <v>104927.70808292572</v>
      </c>
    </row>
    <row r="27" spans="4:13" ht="12.75"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4:13" ht="12.75"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t="s">
        <v>36</v>
      </c>
      <c r="B29" t="s">
        <v>1</v>
      </c>
      <c r="D29" s="4">
        <f>D21*$B$2*$D$2/$C$2/$F$2+D21*$B$3*$D$3/$C$3/$F$3</f>
        <v>5.105597422521587</v>
      </c>
      <c r="E29" s="4">
        <f>E21*$B$2*$D$2/$C$2/$F$2+E21*$B$3*$D$3/$C$3/$F$3</f>
        <v>19.31712767822762</v>
      </c>
      <c r="F29" s="4">
        <f>F21*$B$2*$D$2/$C$2/$F$2+F21*$B$3*$D$3/$C$3/$F$3</f>
        <v>19.31712767822762</v>
      </c>
      <c r="G29" s="4">
        <f aca="true" t="shared" si="5" ref="G29:M29">G21*$B$2*$D$2/$C$2/$F$2+G21*$B$3*$D$3/$C$3/$F$3</f>
        <v>19.31712767822762</v>
      </c>
      <c r="H29" s="4">
        <f t="shared" si="5"/>
        <v>19.31712767822762</v>
      </c>
      <c r="I29" s="4">
        <f t="shared" si="5"/>
        <v>19.31712767822762</v>
      </c>
      <c r="J29" s="4">
        <f t="shared" si="5"/>
        <v>19.31712767822762</v>
      </c>
      <c r="K29" s="4">
        <f t="shared" si="5"/>
        <v>19.31712767822762</v>
      </c>
      <c r="L29" s="4">
        <f t="shared" si="5"/>
        <v>19.31712767822762</v>
      </c>
      <c r="M29" s="4">
        <f t="shared" si="5"/>
        <v>19.31712767822762</v>
      </c>
    </row>
    <row r="30" spans="1:13" ht="12.75">
      <c r="A30" t="s">
        <v>37</v>
      </c>
      <c r="B30" t="s">
        <v>59</v>
      </c>
      <c r="D30" s="4">
        <f>D21*$B$2*$E$2/$C$2/$G$2+D21*$B$3*$E$3/$C$3/$G$3</f>
        <v>1.2690057380329403</v>
      </c>
      <c r="E30" s="4">
        <f>E21*$B$2*$E$2/$C$2/$G$2+E21*$B$3*$E$3/$C$3/$G$3</f>
        <v>4.801308022808988</v>
      </c>
      <c r="F30" s="4">
        <f>F21*$B$2*$E$2/$C$2/$G$2+F21*$B$3*$E$3/$C$3/$G$3</f>
        <v>4.801308022808988</v>
      </c>
      <c r="G30" s="4">
        <f aca="true" t="shared" si="6" ref="G30:M30">G21*$B$2*$E$2/$C$2/$G$2+G21*$B$3*$E$3/$C$3/$G$3</f>
        <v>4.801308022808988</v>
      </c>
      <c r="H30" s="4">
        <f t="shared" si="6"/>
        <v>4.801308022808988</v>
      </c>
      <c r="I30" s="4">
        <f t="shared" si="6"/>
        <v>4.801308022808988</v>
      </c>
      <c r="J30" s="4">
        <f t="shared" si="6"/>
        <v>4.801308022808988</v>
      </c>
      <c r="K30" s="4">
        <f t="shared" si="6"/>
        <v>4.801308022808988</v>
      </c>
      <c r="L30" s="4">
        <f t="shared" si="6"/>
        <v>4.801308022808988</v>
      </c>
      <c r="M30" s="4">
        <f t="shared" si="6"/>
        <v>4.801308022808988</v>
      </c>
    </row>
    <row r="31" spans="1:13" ht="12.75">
      <c r="A31" t="s">
        <v>38</v>
      </c>
      <c r="B31" t="s">
        <v>58</v>
      </c>
      <c r="D31" s="3">
        <f>(D29*$F$2/7+D30*$G$2/7)*1000</f>
        <v>8767.530162262985</v>
      </c>
      <c r="E31" s="3">
        <f aca="true" t="shared" si="7" ref="E31:M31">(E29*$F$2/7+E30*$G$2/7)*1000</f>
        <v>33172.121801076006</v>
      </c>
      <c r="F31" s="3">
        <f t="shared" si="7"/>
        <v>33172.121801076006</v>
      </c>
      <c r="G31" s="3">
        <f t="shared" si="7"/>
        <v>33172.121801076006</v>
      </c>
      <c r="H31" s="3">
        <f t="shared" si="7"/>
        <v>33172.121801076006</v>
      </c>
      <c r="I31" s="3">
        <f t="shared" si="7"/>
        <v>33172.121801076006</v>
      </c>
      <c r="J31" s="3">
        <f t="shared" si="7"/>
        <v>33172.121801076006</v>
      </c>
      <c r="K31" s="3">
        <f t="shared" si="7"/>
        <v>33172.121801076006</v>
      </c>
      <c r="L31" s="3">
        <f t="shared" si="7"/>
        <v>33172.121801076006</v>
      </c>
      <c r="M31" s="3">
        <f t="shared" si="7"/>
        <v>33172.121801076006</v>
      </c>
    </row>
    <row r="32" spans="1:13" ht="12.75">
      <c r="A32" t="s">
        <v>39</v>
      </c>
      <c r="B32" t="s">
        <v>14</v>
      </c>
      <c r="D32" s="4">
        <f>0.0859*D$21</f>
        <v>4.612830000000001</v>
      </c>
      <c r="E32" s="4">
        <f>0.0859*E$21</f>
        <v>17.452732500000003</v>
      </c>
      <c r="F32" s="4">
        <f aca="true" t="shared" si="8" ref="F32:M32">0.0859*F$21</f>
        <v>17.452732500000003</v>
      </c>
      <c r="G32" s="4">
        <f t="shared" si="8"/>
        <v>17.452732500000003</v>
      </c>
      <c r="H32" s="4">
        <f t="shared" si="8"/>
        <v>17.452732500000003</v>
      </c>
      <c r="I32" s="4">
        <f t="shared" si="8"/>
        <v>17.452732500000003</v>
      </c>
      <c r="J32" s="4">
        <f t="shared" si="8"/>
        <v>17.452732500000003</v>
      </c>
      <c r="K32" s="4">
        <f t="shared" si="8"/>
        <v>17.452732500000003</v>
      </c>
      <c r="L32" s="4">
        <f t="shared" si="8"/>
        <v>17.452732500000003</v>
      </c>
      <c r="M32" s="4">
        <f t="shared" si="8"/>
        <v>17.452732500000003</v>
      </c>
    </row>
    <row r="33" spans="1:13" ht="12.75">
      <c r="A33" t="s">
        <v>40</v>
      </c>
      <c r="B33" t="s">
        <v>14</v>
      </c>
      <c r="D33" s="4">
        <f>0.00425*D$21</f>
        <v>0.22822500000000004</v>
      </c>
      <c r="E33" s="4">
        <f>0.00425*E$21</f>
        <v>0.8634937500000001</v>
      </c>
      <c r="F33" s="4">
        <f aca="true" t="shared" si="9" ref="F33:M33">0.00425*F$21</f>
        <v>0.8634937500000001</v>
      </c>
      <c r="G33" s="4">
        <f t="shared" si="9"/>
        <v>0.8634937500000001</v>
      </c>
      <c r="H33" s="4">
        <f t="shared" si="9"/>
        <v>0.8634937500000001</v>
      </c>
      <c r="I33" s="4">
        <f t="shared" si="9"/>
        <v>0.8634937500000001</v>
      </c>
      <c r="J33" s="4">
        <f t="shared" si="9"/>
        <v>0.8634937500000001</v>
      </c>
      <c r="K33" s="4">
        <f t="shared" si="9"/>
        <v>0.8634937500000001</v>
      </c>
      <c r="L33" s="4">
        <f t="shared" si="9"/>
        <v>0.8634937500000001</v>
      </c>
      <c r="M33" s="4">
        <f t="shared" si="9"/>
        <v>0.8634937500000001</v>
      </c>
    </row>
    <row r="34" spans="1:13" ht="12.75">
      <c r="A34" t="s">
        <v>41</v>
      </c>
      <c r="B34" t="s">
        <v>14</v>
      </c>
      <c r="D34" s="3">
        <f>297.8*D$21</f>
        <v>15991.86</v>
      </c>
      <c r="E34" s="3">
        <f>297.8*E$21</f>
        <v>60505.51500000001</v>
      </c>
      <c r="F34" s="3">
        <f aca="true" t="shared" si="10" ref="F34:M34">297.8*F$21</f>
        <v>60505.51500000001</v>
      </c>
      <c r="G34" s="3">
        <f t="shared" si="10"/>
        <v>60505.51500000001</v>
      </c>
      <c r="H34" s="3">
        <f t="shared" si="10"/>
        <v>60505.51500000001</v>
      </c>
      <c r="I34" s="3">
        <f t="shared" si="10"/>
        <v>60505.51500000001</v>
      </c>
      <c r="J34" s="3">
        <f t="shared" si="10"/>
        <v>60505.51500000001</v>
      </c>
      <c r="K34" s="3">
        <f t="shared" si="10"/>
        <v>60505.51500000001</v>
      </c>
      <c r="L34" s="3">
        <f t="shared" si="10"/>
        <v>60505.51500000001</v>
      </c>
      <c r="M34" s="3">
        <f t="shared" si="10"/>
        <v>60505.51500000001</v>
      </c>
    </row>
    <row r="35" spans="4:13" ht="12.75"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t="s">
        <v>43</v>
      </c>
      <c r="B36" t="s">
        <v>14</v>
      </c>
      <c r="D36" s="3">
        <f>D20*0.9</f>
        <v>48.330000000000005</v>
      </c>
      <c r="E36" s="3">
        <f>E20*0.9</f>
        <v>182.85750000000002</v>
      </c>
      <c r="F36" s="3">
        <f>F20*0.9</f>
        <v>182.85750000000002</v>
      </c>
      <c r="G36" s="3">
        <f>G20*0.9</f>
        <v>182.85750000000002</v>
      </c>
      <c r="H36" s="3">
        <f aca="true" t="shared" si="11" ref="H36:M36">H20*0.9</f>
        <v>182.85750000000002</v>
      </c>
      <c r="I36" s="3">
        <f t="shared" si="11"/>
        <v>182.85750000000002</v>
      </c>
      <c r="J36" s="3">
        <f t="shared" si="11"/>
        <v>182.85750000000002</v>
      </c>
      <c r="K36" s="3">
        <f t="shared" si="11"/>
        <v>182.85750000000002</v>
      </c>
      <c r="L36" s="3">
        <f t="shared" si="11"/>
        <v>182.85750000000002</v>
      </c>
      <c r="M36" s="3">
        <f t="shared" si="11"/>
        <v>182.85750000000002</v>
      </c>
    </row>
    <row r="37" spans="1:13" ht="12.75">
      <c r="A37" t="s">
        <v>42</v>
      </c>
      <c r="B37" t="s">
        <v>14</v>
      </c>
      <c r="D37" s="3">
        <f>D20*773</f>
        <v>41510.100000000006</v>
      </c>
      <c r="E37" s="3">
        <f>E20*773</f>
        <v>157054.27500000002</v>
      </c>
      <c r="F37" s="3">
        <f>F20*773</f>
        <v>157054.27500000002</v>
      </c>
      <c r="G37" s="3">
        <f>G20*773</f>
        <v>157054.27500000002</v>
      </c>
      <c r="H37" s="3">
        <f aca="true" t="shared" si="12" ref="H37:M37">H20*773</f>
        <v>157054.27500000002</v>
      </c>
      <c r="I37" s="3">
        <f t="shared" si="12"/>
        <v>157054.27500000002</v>
      </c>
      <c r="J37" s="3">
        <f t="shared" si="12"/>
        <v>157054.27500000002</v>
      </c>
      <c r="K37" s="3">
        <f t="shared" si="12"/>
        <v>157054.27500000002</v>
      </c>
      <c r="L37" s="3">
        <f t="shared" si="12"/>
        <v>157054.27500000002</v>
      </c>
      <c r="M37" s="3">
        <f t="shared" si="12"/>
        <v>157054.27500000002</v>
      </c>
    </row>
    <row r="38" spans="1:13" ht="12.75">
      <c r="A38" t="s">
        <v>44</v>
      </c>
      <c r="B38" t="s">
        <v>58</v>
      </c>
      <c r="D38" s="3">
        <f>D20*318</f>
        <v>17076.600000000002</v>
      </c>
      <c r="E38" s="3">
        <f>E20*318</f>
        <v>64609.65</v>
      </c>
      <c r="F38" s="3">
        <f>F20*318</f>
        <v>64609.65</v>
      </c>
      <c r="G38" s="3">
        <f>G20*318</f>
        <v>64609.65</v>
      </c>
      <c r="H38" s="3">
        <f aca="true" t="shared" si="13" ref="H38:M38">H20*318</f>
        <v>64609.65</v>
      </c>
      <c r="I38" s="3">
        <f t="shared" si="13"/>
        <v>64609.65</v>
      </c>
      <c r="J38" s="3">
        <f t="shared" si="13"/>
        <v>64609.65</v>
      </c>
      <c r="K38" s="3">
        <f t="shared" si="13"/>
        <v>64609.65</v>
      </c>
      <c r="L38" s="3">
        <f t="shared" si="13"/>
        <v>64609.65</v>
      </c>
      <c r="M38" s="3">
        <f t="shared" si="13"/>
        <v>64609.65</v>
      </c>
    </row>
    <row r="39" spans="4:13" ht="12.75"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t="s">
        <v>45</v>
      </c>
      <c r="B40" t="s">
        <v>14</v>
      </c>
      <c r="D40" s="3">
        <f>D36+D32-D24</f>
        <v>47.95344308700001</v>
      </c>
      <c r="E40" s="3">
        <f aca="true" t="shared" si="14" ref="E40:M40">E36+E32-E24</f>
        <v>181.432788756</v>
      </c>
      <c r="F40" s="3">
        <f t="shared" si="14"/>
        <v>181.432788756</v>
      </c>
      <c r="G40" s="3">
        <f t="shared" si="14"/>
        <v>181.432788756</v>
      </c>
      <c r="H40" s="3">
        <f t="shared" si="14"/>
        <v>181.432788756</v>
      </c>
      <c r="I40" s="3">
        <f t="shared" si="14"/>
        <v>181.432788756</v>
      </c>
      <c r="J40" s="3">
        <f t="shared" si="14"/>
        <v>181.432788756</v>
      </c>
      <c r="K40" s="3">
        <f t="shared" si="14"/>
        <v>181.432788756</v>
      </c>
      <c r="L40" s="3">
        <f t="shared" si="14"/>
        <v>181.432788756</v>
      </c>
      <c r="M40" s="3">
        <f t="shared" si="14"/>
        <v>181.432788756</v>
      </c>
    </row>
    <row r="41" spans="1:13" ht="12.75">
      <c r="A41" t="s">
        <v>46</v>
      </c>
      <c r="B41" t="s">
        <v>14</v>
      </c>
      <c r="D41" s="3">
        <f>D37+D34-D26</f>
        <v>29769.130247220004</v>
      </c>
      <c r="E41" s="3">
        <f aca="true" t="shared" si="15" ref="E41:M41">E37+E34-E26</f>
        <v>112632.08191707432</v>
      </c>
      <c r="F41" s="3">
        <f t="shared" si="15"/>
        <v>112632.08191707432</v>
      </c>
      <c r="G41" s="3">
        <f t="shared" si="15"/>
        <v>112632.08191707432</v>
      </c>
      <c r="H41" s="3">
        <f t="shared" si="15"/>
        <v>112632.08191707432</v>
      </c>
      <c r="I41" s="3">
        <f t="shared" si="15"/>
        <v>112632.08191707432</v>
      </c>
      <c r="J41" s="3">
        <f t="shared" si="15"/>
        <v>112632.08191707432</v>
      </c>
      <c r="K41" s="3">
        <f t="shared" si="15"/>
        <v>112632.08191707432</v>
      </c>
      <c r="L41" s="3">
        <f t="shared" si="15"/>
        <v>112632.08191707432</v>
      </c>
      <c r="M41" s="3">
        <f t="shared" si="15"/>
        <v>112632.08191707432</v>
      </c>
    </row>
    <row r="42" spans="1:13" ht="12.75">
      <c r="A42" t="s">
        <v>47</v>
      </c>
      <c r="B42" t="s">
        <v>58</v>
      </c>
      <c r="D42" s="3">
        <f>D38+D31-D23</f>
        <v>8969.809610262986</v>
      </c>
      <c r="E42" s="3">
        <f aca="true" t="shared" si="16" ref="E42:M42">E38+E31-E23</f>
        <v>33937.44733936173</v>
      </c>
      <c r="F42" s="3">
        <f t="shared" si="16"/>
        <v>33937.44733936173</v>
      </c>
      <c r="G42" s="3">
        <f t="shared" si="16"/>
        <v>33937.44733936173</v>
      </c>
      <c r="H42" s="3">
        <f t="shared" si="16"/>
        <v>33937.44733936173</v>
      </c>
      <c r="I42" s="3">
        <f t="shared" si="16"/>
        <v>33937.44733936173</v>
      </c>
      <c r="J42" s="3">
        <f t="shared" si="16"/>
        <v>33937.44733936173</v>
      </c>
      <c r="K42" s="3">
        <f t="shared" si="16"/>
        <v>33937.44733936173</v>
      </c>
      <c r="L42" s="3">
        <f t="shared" si="16"/>
        <v>33937.44733936173</v>
      </c>
      <c r="M42" s="3">
        <f t="shared" si="16"/>
        <v>33937.44733936173</v>
      </c>
    </row>
    <row r="43" spans="4:13" ht="12.75"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3:13" ht="12.75">
      <c r="C44" s="18">
        <f>C14</f>
        <v>2005</v>
      </c>
      <c r="D44" s="18">
        <f aca="true" t="shared" si="17" ref="D44:M44">D14</f>
        <v>2006</v>
      </c>
      <c r="E44" s="18">
        <f t="shared" si="17"/>
        <v>2007</v>
      </c>
      <c r="F44" s="18">
        <f t="shared" si="17"/>
        <v>2008</v>
      </c>
      <c r="G44" s="18">
        <f t="shared" si="17"/>
        <v>2009</v>
      </c>
      <c r="H44" s="18">
        <f t="shared" si="17"/>
        <v>2010</v>
      </c>
      <c r="I44" s="18">
        <f t="shared" si="17"/>
        <v>2011</v>
      </c>
      <c r="J44" s="18">
        <f t="shared" si="17"/>
        <v>2012</v>
      </c>
      <c r="K44" s="18">
        <f t="shared" si="17"/>
        <v>2013</v>
      </c>
      <c r="L44" s="18">
        <f t="shared" si="17"/>
        <v>2014</v>
      </c>
      <c r="M44" s="18">
        <f t="shared" si="17"/>
        <v>2015</v>
      </c>
    </row>
    <row r="45" ht="12.75">
      <c r="A45" s="16" t="s">
        <v>48</v>
      </c>
    </row>
    <row r="46" spans="1:13" ht="12.75">
      <c r="A46" t="s">
        <v>50</v>
      </c>
      <c r="B46" t="s">
        <v>60</v>
      </c>
      <c r="C46" s="3">
        <f>(-101000+12500+20000)*0.389</f>
        <v>-26646.5</v>
      </c>
      <c r="D46" s="3">
        <f>(-101000+12500+20000)*0.611</f>
        <v>-41853.5</v>
      </c>
      <c r="M46">
        <f>M57</f>
        <v>50500</v>
      </c>
    </row>
    <row r="47" spans="1:13" ht="12.75">
      <c r="A47" t="s">
        <v>51</v>
      </c>
      <c r="B47" t="s">
        <v>60</v>
      </c>
      <c r="D47" s="3">
        <f>E47*$D$20/$E$20</f>
        <v>-363.41823551125873</v>
      </c>
      <c r="E47" s="3">
        <v>-1375</v>
      </c>
      <c r="F47" s="3">
        <v>-1375</v>
      </c>
      <c r="G47" s="3">
        <v>-1375</v>
      </c>
      <c r="H47" s="3">
        <v>-1375</v>
      </c>
      <c r="I47" s="3">
        <v>-1375</v>
      </c>
      <c r="J47" s="3">
        <v>-1375</v>
      </c>
      <c r="K47" s="3">
        <v>-1375</v>
      </c>
      <c r="L47" s="3">
        <v>-1375</v>
      </c>
      <c r="M47" s="3">
        <v>-1375</v>
      </c>
    </row>
    <row r="48" spans="1:13" ht="12.75">
      <c r="A48" t="s">
        <v>52</v>
      </c>
      <c r="B48" t="s">
        <v>60</v>
      </c>
      <c r="D48" s="3">
        <f>E48*$D$20/$E$20</f>
        <v>-211.44333702473236</v>
      </c>
      <c r="E48" s="3">
        <v>-800</v>
      </c>
      <c r="F48" s="3">
        <v>-800</v>
      </c>
      <c r="G48" s="3">
        <v>-800</v>
      </c>
      <c r="H48" s="3">
        <v>-800</v>
      </c>
      <c r="I48" s="3">
        <v>-800</v>
      </c>
      <c r="J48" s="3">
        <v>-800</v>
      </c>
      <c r="K48" s="3">
        <v>-800</v>
      </c>
      <c r="L48" s="3">
        <v>-800</v>
      </c>
      <c r="M48" s="3">
        <v>-800</v>
      </c>
    </row>
    <row r="49" spans="1:13" ht="12.75">
      <c r="A49" t="s">
        <v>53</v>
      </c>
      <c r="B49" t="s">
        <v>60</v>
      </c>
      <c r="D49" s="10">
        <f>-D22*D16</f>
        <v>-5170.9345793</v>
      </c>
      <c r="E49" s="10">
        <f aca="true" t="shared" si="18" ref="E49:M49">-E22*E16</f>
        <v>-19737.2560672</v>
      </c>
      <c r="F49" s="10">
        <f t="shared" si="18"/>
        <v>-19914.9826368</v>
      </c>
      <c r="G49" s="10">
        <f t="shared" si="18"/>
        <v>-20087.9057856</v>
      </c>
      <c r="H49" s="10">
        <f t="shared" si="18"/>
        <v>-20260.8289344</v>
      </c>
      <c r="I49" s="10">
        <f t="shared" si="18"/>
        <v>-20438.555504</v>
      </c>
      <c r="J49" s="10">
        <f t="shared" si="18"/>
        <v>-20611.4786528</v>
      </c>
      <c r="K49" s="10">
        <f t="shared" si="18"/>
        <v>-20789.2052224</v>
      </c>
      <c r="L49" s="10">
        <f t="shared" si="18"/>
        <v>-20962.1283712</v>
      </c>
      <c r="M49" s="10">
        <f t="shared" si="18"/>
        <v>-21135.05152</v>
      </c>
    </row>
    <row r="50" spans="1:13" ht="12.75">
      <c r="A50" t="s">
        <v>54</v>
      </c>
      <c r="B50" t="s">
        <v>60</v>
      </c>
      <c r="D50" s="10">
        <f>D29*D16+D30*D17</f>
        <v>2652.2121197673086</v>
      </c>
      <c r="E50" s="10">
        <f aca="true" t="shared" si="19" ref="E50:M50">E29*E16+E30*E17</f>
        <v>10121.522782559538</v>
      </c>
      <c r="F50" s="10">
        <f t="shared" si="19"/>
        <v>10210.760994653374</v>
      </c>
      <c r="G50" s="10">
        <f t="shared" si="19"/>
        <v>10297.587363177105</v>
      </c>
      <c r="H50" s="10">
        <f t="shared" si="19"/>
        <v>10384.413731700839</v>
      </c>
      <c r="I50" s="10">
        <f t="shared" si="19"/>
        <v>10473.651943794672</v>
      </c>
      <c r="J50" s="10">
        <f t="shared" si="19"/>
        <v>10560.478312318404</v>
      </c>
      <c r="K50" s="10">
        <f t="shared" si="19"/>
        <v>10649.71652441224</v>
      </c>
      <c r="L50" s="10">
        <f t="shared" si="19"/>
        <v>10736.54289293597</v>
      </c>
      <c r="M50" s="10">
        <f t="shared" si="19"/>
        <v>10823.369261459702</v>
      </c>
    </row>
    <row r="51" spans="1:13" ht="12.75">
      <c r="A51" t="s">
        <v>55</v>
      </c>
      <c r="B51" t="s">
        <v>60</v>
      </c>
      <c r="D51" s="10">
        <f>D20*D18</f>
        <v>6444</v>
      </c>
      <c r="E51" s="10">
        <f aca="true" t="shared" si="20" ref="E51:M51">E20*E18</f>
        <v>24381</v>
      </c>
      <c r="F51" s="10">
        <f t="shared" si="20"/>
        <v>24381</v>
      </c>
      <c r="G51" s="10">
        <f t="shared" si="20"/>
        <v>24381</v>
      </c>
      <c r="H51" s="10">
        <f t="shared" si="20"/>
        <v>24381</v>
      </c>
      <c r="I51" s="10">
        <f t="shared" si="20"/>
        <v>24381</v>
      </c>
      <c r="J51" s="10">
        <f t="shared" si="20"/>
        <v>24381</v>
      </c>
      <c r="K51" s="10">
        <f t="shared" si="20"/>
        <v>24381</v>
      </c>
      <c r="L51" s="10">
        <f t="shared" si="20"/>
        <v>24381</v>
      </c>
      <c r="M51" s="10">
        <f t="shared" si="20"/>
        <v>24381</v>
      </c>
    </row>
    <row r="52" spans="1:13" ht="12.75">
      <c r="A52" t="s">
        <v>56</v>
      </c>
      <c r="B52" t="s">
        <v>60</v>
      </c>
      <c r="C52" s="10">
        <f>SUM(C46:C51)</f>
        <v>-26646.5</v>
      </c>
      <c r="D52" s="10">
        <f>SUM(D46:D51)</f>
        <v>-38503.084032068684</v>
      </c>
      <c r="E52" s="10">
        <f>SUM(E46:E51)</f>
        <v>12590.266715359538</v>
      </c>
      <c r="F52" s="10">
        <f>SUM(F46:F51)</f>
        <v>12501.778357853374</v>
      </c>
      <c r="G52" s="10">
        <f aca="true" t="shared" si="21" ref="G52:M52">SUM(G46:G51)</f>
        <v>12415.681577577105</v>
      </c>
      <c r="H52" s="10">
        <f t="shared" si="21"/>
        <v>12329.584797300839</v>
      </c>
      <c r="I52" s="10">
        <f t="shared" si="21"/>
        <v>12241.096439794672</v>
      </c>
      <c r="J52" s="10">
        <f t="shared" si="21"/>
        <v>12154.999659518404</v>
      </c>
      <c r="K52" s="10">
        <f t="shared" si="21"/>
        <v>12066.51130201224</v>
      </c>
      <c r="L52" s="10">
        <f t="shared" si="21"/>
        <v>11980.41452173597</v>
      </c>
      <c r="M52" s="10">
        <f t="shared" si="21"/>
        <v>62394.3177414597</v>
      </c>
    </row>
    <row r="53" spans="1:3" ht="12.75">
      <c r="A53" t="s">
        <v>12</v>
      </c>
      <c r="B53" t="s">
        <v>60</v>
      </c>
      <c r="C53" s="11">
        <f>NPV(B6,D52:M52)+C52</f>
        <v>42084.64798969755</v>
      </c>
    </row>
    <row r="54" spans="1:13" ht="12.75">
      <c r="A54" t="s">
        <v>13</v>
      </c>
      <c r="C54" s="12">
        <f>IRR(C52:M52)</f>
        <v>0.1619885621258438</v>
      </c>
      <c r="E54" s="10"/>
      <c r="F54" s="10"/>
      <c r="G54" s="10"/>
      <c r="H54" s="10"/>
      <c r="I54" s="10"/>
      <c r="J54" s="10"/>
      <c r="K54" s="10"/>
      <c r="L54" s="10"/>
      <c r="M54" s="10"/>
    </row>
    <row r="56" ht="12.75">
      <c r="A56" s="16" t="s">
        <v>49</v>
      </c>
    </row>
    <row r="57" spans="1:13" ht="12.75">
      <c r="A57" t="str">
        <f>A46</f>
        <v>Investments</v>
      </c>
      <c r="B57" t="str">
        <f>B46</f>
        <v>thousand Lt</v>
      </c>
      <c r="C57" s="3">
        <f>(-101000)*0.389</f>
        <v>-39289</v>
      </c>
      <c r="D57" s="3">
        <f>(-101000)*0.611</f>
        <v>-61711</v>
      </c>
      <c r="E57" s="3"/>
      <c r="F57" s="3"/>
      <c r="G57" s="3"/>
      <c r="H57" s="3"/>
      <c r="M57">
        <f>-SUM(C57+D57)*10/20</f>
        <v>50500</v>
      </c>
    </row>
    <row r="58" spans="1:13" ht="12.75">
      <c r="A58" t="str">
        <f>A47</f>
        <v>Fixed costs</v>
      </c>
      <c r="B58" t="str">
        <f>B47</f>
        <v>thousand Lt</v>
      </c>
      <c r="D58" s="10">
        <f>D47</f>
        <v>-363.41823551125873</v>
      </c>
      <c r="E58" s="10">
        <f aca="true" t="shared" si="22" ref="E58:M62">E47</f>
        <v>-1375</v>
      </c>
      <c r="F58" s="10">
        <f t="shared" si="22"/>
        <v>-1375</v>
      </c>
      <c r="G58" s="10">
        <f t="shared" si="22"/>
        <v>-1375</v>
      </c>
      <c r="H58" s="10">
        <f t="shared" si="22"/>
        <v>-1375</v>
      </c>
      <c r="I58" s="10">
        <f t="shared" si="22"/>
        <v>-1375</v>
      </c>
      <c r="J58" s="10">
        <f t="shared" si="22"/>
        <v>-1375</v>
      </c>
      <c r="K58" s="10">
        <f t="shared" si="22"/>
        <v>-1375</v>
      </c>
      <c r="L58" s="10">
        <f t="shared" si="22"/>
        <v>-1375</v>
      </c>
      <c r="M58" s="10">
        <f t="shared" si="22"/>
        <v>-1375</v>
      </c>
    </row>
    <row r="59" spans="1:13" ht="12.75">
      <c r="A59" t="str">
        <f aca="true" t="shared" si="23" ref="A59:B62">A48</f>
        <v>Expenditures for salaries</v>
      </c>
      <c r="B59" t="str">
        <f t="shared" si="23"/>
        <v>thousand Lt</v>
      </c>
      <c r="D59" s="10">
        <f>D48</f>
        <v>-211.44333702473236</v>
      </c>
      <c r="E59" s="10">
        <f aca="true" t="shared" si="24" ref="E59:M59">E48</f>
        <v>-800</v>
      </c>
      <c r="F59" s="10">
        <f t="shared" si="24"/>
        <v>-800</v>
      </c>
      <c r="G59" s="10">
        <f t="shared" si="24"/>
        <v>-800</v>
      </c>
      <c r="H59" s="10">
        <f t="shared" si="24"/>
        <v>-800</v>
      </c>
      <c r="I59" s="10">
        <f t="shared" si="24"/>
        <v>-800</v>
      </c>
      <c r="J59" s="10">
        <f t="shared" si="24"/>
        <v>-800</v>
      </c>
      <c r="K59" s="10">
        <f t="shared" si="24"/>
        <v>-800</v>
      </c>
      <c r="L59" s="10">
        <f t="shared" si="24"/>
        <v>-800</v>
      </c>
      <c r="M59" s="10">
        <f t="shared" si="24"/>
        <v>-800</v>
      </c>
    </row>
    <row r="60" spans="1:13" ht="12.75">
      <c r="A60" t="str">
        <f t="shared" si="23"/>
        <v>expenditures for fuel</v>
      </c>
      <c r="B60" t="str">
        <f t="shared" si="23"/>
        <v>thousand Lt</v>
      </c>
      <c r="D60" s="10">
        <f>D49</f>
        <v>-5170.9345793</v>
      </c>
      <c r="E60" s="10">
        <f t="shared" si="22"/>
        <v>-19737.2560672</v>
      </c>
      <c r="F60" s="10">
        <f t="shared" si="22"/>
        <v>-19914.9826368</v>
      </c>
      <c r="G60" s="10">
        <f t="shared" si="22"/>
        <v>-20087.9057856</v>
      </c>
      <c r="H60" s="10">
        <f t="shared" si="22"/>
        <v>-20260.8289344</v>
      </c>
      <c r="I60" s="10">
        <f t="shared" si="22"/>
        <v>-20438.555504</v>
      </c>
      <c r="J60" s="10">
        <f t="shared" si="22"/>
        <v>-20611.4786528</v>
      </c>
      <c r="K60" s="10">
        <f t="shared" si="22"/>
        <v>-20789.2052224</v>
      </c>
      <c r="L60" s="10">
        <f t="shared" si="22"/>
        <v>-20962.1283712</v>
      </c>
      <c r="M60" s="10">
        <f t="shared" si="22"/>
        <v>-21135.05152</v>
      </c>
    </row>
    <row r="61" spans="1:13" ht="12.75">
      <c r="A61" t="str">
        <f t="shared" si="23"/>
        <v>Reduced expenditures for fuel in RK1 ir RK2</v>
      </c>
      <c r="B61" t="str">
        <f t="shared" si="23"/>
        <v>thousand Lt</v>
      </c>
      <c r="D61" s="10">
        <f>D50</f>
        <v>2652.2121197673086</v>
      </c>
      <c r="E61" s="10">
        <f t="shared" si="22"/>
        <v>10121.522782559538</v>
      </c>
      <c r="F61" s="10">
        <f t="shared" si="22"/>
        <v>10210.760994653374</v>
      </c>
      <c r="G61" s="10">
        <f t="shared" si="22"/>
        <v>10297.587363177105</v>
      </c>
      <c r="H61" s="10">
        <f t="shared" si="22"/>
        <v>10384.413731700839</v>
      </c>
      <c r="I61" s="10">
        <f t="shared" si="22"/>
        <v>10473.651943794672</v>
      </c>
      <c r="J61" s="10">
        <f t="shared" si="22"/>
        <v>10560.478312318404</v>
      </c>
      <c r="K61" s="10">
        <f t="shared" si="22"/>
        <v>10649.71652441224</v>
      </c>
      <c r="L61" s="10">
        <f t="shared" si="22"/>
        <v>10736.54289293597</v>
      </c>
      <c r="M61" s="10">
        <f t="shared" si="22"/>
        <v>10823.369261459702</v>
      </c>
    </row>
    <row r="62" spans="1:13" ht="12.75">
      <c r="A62" t="str">
        <f t="shared" si="23"/>
        <v>Revenues from power sales</v>
      </c>
      <c r="B62" t="str">
        <f t="shared" si="23"/>
        <v>thousand Lt</v>
      </c>
      <c r="D62" s="10">
        <f>D51</f>
        <v>6444</v>
      </c>
      <c r="E62" s="10">
        <f t="shared" si="22"/>
        <v>24381</v>
      </c>
      <c r="F62" s="10">
        <f t="shared" si="22"/>
        <v>24381</v>
      </c>
      <c r="G62" s="10">
        <f t="shared" si="22"/>
        <v>24381</v>
      </c>
      <c r="H62" s="10">
        <f t="shared" si="22"/>
        <v>24381</v>
      </c>
      <c r="I62" s="10">
        <f t="shared" si="22"/>
        <v>24381</v>
      </c>
      <c r="J62" s="10">
        <f t="shared" si="22"/>
        <v>24381</v>
      </c>
      <c r="K62" s="10">
        <f t="shared" si="22"/>
        <v>24381</v>
      </c>
      <c r="L62" s="10">
        <f t="shared" si="22"/>
        <v>24381</v>
      </c>
      <c r="M62" s="10">
        <f t="shared" si="22"/>
        <v>24381</v>
      </c>
    </row>
    <row r="63" spans="1:13" ht="12.75">
      <c r="A63" t="str">
        <f>A52</f>
        <v>Cash flow</v>
      </c>
      <c r="B63" t="str">
        <f>B52</f>
        <v>thousand Lt</v>
      </c>
      <c r="C63" s="10">
        <f aca="true" t="shared" si="25" ref="C63:M63">SUM(C57:C62)</f>
        <v>-39289</v>
      </c>
      <c r="D63" s="10">
        <f t="shared" si="25"/>
        <v>-58360.584032068684</v>
      </c>
      <c r="E63" s="10">
        <f t="shared" si="25"/>
        <v>12590.266715359538</v>
      </c>
      <c r="F63" s="10">
        <f t="shared" si="25"/>
        <v>12501.778357853374</v>
      </c>
      <c r="G63" s="10">
        <f t="shared" si="25"/>
        <v>12415.681577577105</v>
      </c>
      <c r="H63" s="10">
        <f t="shared" si="25"/>
        <v>12329.584797300839</v>
      </c>
      <c r="I63" s="10">
        <f t="shared" si="25"/>
        <v>12241.096439794672</v>
      </c>
      <c r="J63" s="10">
        <f t="shared" si="25"/>
        <v>12154.999659518404</v>
      </c>
      <c r="K63" s="10">
        <f t="shared" si="25"/>
        <v>12066.51130201224</v>
      </c>
      <c r="L63" s="10">
        <f t="shared" si="25"/>
        <v>11980.41452173597</v>
      </c>
      <c r="M63" s="10">
        <f t="shared" si="25"/>
        <v>62394.3177414597</v>
      </c>
    </row>
    <row r="64" spans="1:3" ht="12.75">
      <c r="A64" t="str">
        <f>A53</f>
        <v>NPV</v>
      </c>
      <c r="B64" t="str">
        <f>B53</f>
        <v>thousand Lt</v>
      </c>
      <c r="C64" s="11">
        <f>NPV(B6,D63:M63)+C63</f>
        <v>10761.527105407811</v>
      </c>
    </row>
    <row r="65" spans="1:3" ht="12.75">
      <c r="A65" t="str">
        <f>A54</f>
        <v>IRR</v>
      </c>
      <c r="C65" s="12">
        <f>IRR(C63:M63)</f>
        <v>0.0821706578701171</v>
      </c>
    </row>
    <row r="67" ht="12.75">
      <c r="D67" s="5"/>
    </row>
    <row r="68" spans="3:13" ht="12.75" hidden="1">
      <c r="C68" s="5">
        <f>1</f>
        <v>1</v>
      </c>
      <c r="D68" s="5">
        <f>1/(1+$B$6)^(D70-$C$70)</f>
        <v>0.9407337723424272</v>
      </c>
      <c r="E68" s="5">
        <f>1/(1+$B$6)^(E70-$C$70)</f>
        <v>0.8849800304256136</v>
      </c>
      <c r="F68" s="5">
        <f aca="true" t="shared" si="26" ref="F68:M68">1/(1+$B$6)^(F70-$C$70)</f>
        <v>0.8325306024700034</v>
      </c>
      <c r="G68" s="5">
        <f t="shared" si="26"/>
        <v>0.78318965425212</v>
      </c>
      <c r="H68" s="5">
        <f t="shared" si="26"/>
        <v>0.7367729579041581</v>
      </c>
      <c r="I68" s="5">
        <f t="shared" si="26"/>
        <v>0.693107204049067</v>
      </c>
      <c r="J68" s="5">
        <f t="shared" si="26"/>
        <v>0.6520293547027911</v>
      </c>
      <c r="K68" s="5">
        <f t="shared" si="26"/>
        <v>0.6133860345275552</v>
      </c>
      <c r="L68" s="5">
        <f t="shared" si="26"/>
        <v>0.5770329581632693</v>
      </c>
      <c r="M68" s="5">
        <f t="shared" si="26"/>
        <v>0.5428343914988423</v>
      </c>
    </row>
    <row r="69" ht="12.75" hidden="1"/>
    <row r="70" spans="1:13" ht="12.75" hidden="1">
      <c r="A70" t="s">
        <v>23</v>
      </c>
      <c r="C70">
        <f>C14</f>
        <v>2005</v>
      </c>
      <c r="D70">
        <f aca="true" t="shared" si="27" ref="D70:M70">D14</f>
        <v>2006</v>
      </c>
      <c r="E70">
        <f t="shared" si="27"/>
        <v>2007</v>
      </c>
      <c r="F70">
        <f t="shared" si="27"/>
        <v>2008</v>
      </c>
      <c r="G70">
        <f t="shared" si="27"/>
        <v>2009</v>
      </c>
      <c r="H70">
        <f t="shared" si="27"/>
        <v>2010</v>
      </c>
      <c r="I70">
        <f t="shared" si="27"/>
        <v>2011</v>
      </c>
      <c r="J70">
        <f t="shared" si="27"/>
        <v>2012</v>
      </c>
      <c r="K70">
        <f t="shared" si="27"/>
        <v>2013</v>
      </c>
      <c r="L70">
        <f t="shared" si="27"/>
        <v>2014</v>
      </c>
      <c r="M70">
        <f t="shared" si="27"/>
        <v>2015</v>
      </c>
    </row>
    <row r="71" spans="1:13" ht="12.75" hidden="1">
      <c r="A71" t="s">
        <v>21</v>
      </c>
      <c r="C71" s="17">
        <f>C52*C$68/1000</f>
        <v>-26.6465</v>
      </c>
      <c r="D71" s="17">
        <f>D52*D$68/1000+C71</f>
        <v>-62.86765148830544</v>
      </c>
      <c r="E71" s="17">
        <f aca="true" t="shared" si="28" ref="E71:M71">E52*E$68/1000+D71</f>
        <v>-51.72551686747997</v>
      </c>
      <c r="F71" s="17">
        <f t="shared" si="28"/>
        <v>-41.31740379926985</v>
      </c>
      <c r="G71" s="17">
        <f t="shared" si="28"/>
        <v>-31.59357043722282</v>
      </c>
      <c r="H71" s="17">
        <f t="shared" si="28"/>
        <v>-22.50946577638534</v>
      </c>
      <c r="I71" s="17">
        <f t="shared" si="28"/>
        <v>-14.025073648504266</v>
      </c>
      <c r="J71" s="17">
        <f t="shared" si="28"/>
        <v>-6.099657064095835</v>
      </c>
      <c r="K71" s="17">
        <f t="shared" si="28"/>
        <v>1.3017724540273807</v>
      </c>
      <c r="L71" s="17">
        <f t="shared" si="28"/>
        <v>8.214866485526876</v>
      </c>
      <c r="M71" s="17">
        <f t="shared" si="28"/>
        <v>42.08464798969757</v>
      </c>
    </row>
    <row r="72" spans="1:13" ht="12.75" hidden="1">
      <c r="A72" t="s">
        <v>22</v>
      </c>
      <c r="C72" s="17">
        <f>C63*C$68/1000</f>
        <v>-39.289</v>
      </c>
      <c r="D72" s="17">
        <f>D63*D$68/1000+C72</f>
        <v>-94.1907723725952</v>
      </c>
      <c r="E72" s="17">
        <f aca="true" t="shared" si="29" ref="E72:M72">E63*E$68/1000+D72</f>
        <v>-83.04863775176973</v>
      </c>
      <c r="F72" s="17">
        <f t="shared" si="29"/>
        <v>-72.64052468355962</v>
      </c>
      <c r="G72" s="17">
        <f t="shared" si="29"/>
        <v>-62.91669132151259</v>
      </c>
      <c r="H72" s="17">
        <f t="shared" si="29"/>
        <v>-53.832586660675105</v>
      </c>
      <c r="I72" s="17">
        <f t="shared" si="29"/>
        <v>-45.34819453279403</v>
      </c>
      <c r="J72" s="17">
        <f t="shared" si="29"/>
        <v>-37.4227779483856</v>
      </c>
      <c r="K72" s="17">
        <f t="shared" si="29"/>
        <v>-30.021348430262385</v>
      </c>
      <c r="L72" s="17">
        <f t="shared" si="29"/>
        <v>-23.10825439876289</v>
      </c>
      <c r="M72" s="17">
        <f t="shared" si="29"/>
        <v>10.761527105407804</v>
      </c>
    </row>
  </sheetData>
  <printOptions/>
  <pageMargins left="0.2755905511811024" right="0.1968503937007874" top="0.31496062992125984" bottom="0.6692913385826772" header="0.1968503937007874" footer="0.5118110236220472"/>
  <pageSetup fitToHeight="2" horizontalDpi="600" verticalDpi="600" orientation="landscape" paperSize="9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Northtown Technology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Ekostrategija</dc:creator>
  <cp:keywords/>
  <dc:description/>
  <cp:lastModifiedBy>Vaidotas Kuodys</cp:lastModifiedBy>
  <cp:lastPrinted>2004-11-09T20:11:06Z</cp:lastPrinted>
  <dcterms:created xsi:type="dcterms:W3CDTF">2004-10-26T13:36:46Z</dcterms:created>
  <dcterms:modified xsi:type="dcterms:W3CDTF">2008-04-10T12:25:50Z</dcterms:modified>
  <cp:category/>
  <cp:version/>
  <cp:contentType/>
  <cp:contentStatus/>
</cp:coreProperties>
</file>