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5135" windowHeight="11880" activeTab="5"/>
  </bookViews>
  <sheets>
    <sheet name="ALUSHTA 2PV - ER VALUES" sheetId="1" r:id="rId1"/>
    <sheet name="YALTA 2PV - ER VALUES" sheetId="2" r:id="rId2"/>
    <sheet name="Annex 1-Table A.1.1" sheetId="3" r:id="rId3"/>
    <sheet name="Annex 1-Table A.1.2" sheetId="4" r:id="rId4"/>
    <sheet name="Annex 1-Table A.1.3" sheetId="5" r:id="rId5"/>
    <sheet name="Annex 1-Table A.1.4" sheetId="6" r:id="rId6"/>
  </sheets>
  <definedNames/>
  <calcPr fullCalcOnLoad="1"/>
</workbook>
</file>

<file path=xl/comments3.xml><?xml version="1.0" encoding="utf-8"?>
<comments xmlns="http://schemas.openxmlformats.org/spreadsheetml/2006/main">
  <authors>
    <author>PSN-1</author>
  </authors>
  <commentList>
    <comment ref="F17" authorId="0">
      <text>
        <r>
          <rPr>
            <b/>
            <sz val="9"/>
            <rFont val="Tahoma"/>
            <family val="2"/>
          </rPr>
          <t>PSN-1:</t>
        </r>
        <r>
          <rPr>
            <sz val="9"/>
            <rFont val="Tahoma"/>
            <family val="2"/>
          </rPr>
          <t xml:space="preserve">
rounded/adjusted to match the final total</t>
        </r>
      </text>
    </comment>
  </commentList>
</comments>
</file>

<file path=xl/sharedStrings.xml><?xml version="1.0" encoding="utf-8"?>
<sst xmlns="http://schemas.openxmlformats.org/spreadsheetml/2006/main" count="329" uniqueCount="170">
  <si>
    <t>WEEK</t>
  </si>
  <si>
    <t>start</t>
  </si>
  <si>
    <t>end</t>
  </si>
  <si>
    <t>MONTH</t>
  </si>
  <si>
    <t>YEAR</t>
  </si>
  <si>
    <t>2010 (Partial Year)</t>
  </si>
  <si>
    <t>PERIOD TOTAL</t>
  </si>
  <si>
    <t>ALUSHTA LFG FLARING PROJECT</t>
  </si>
  <si>
    <r>
      <t xml:space="preserve">Emission Reductions from flaring </t>
    </r>
    <r>
      <rPr>
        <b/>
        <sz val="11"/>
        <color indexed="10"/>
        <rFont val="Calibri"/>
        <family val="2"/>
      </rPr>
      <t xml:space="preserve">in the week </t>
    </r>
    <r>
      <rPr>
        <b/>
        <i/>
        <sz val="11"/>
        <color indexed="10"/>
        <rFont val="Calibri"/>
        <family val="2"/>
      </rPr>
      <t>w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w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</si>
  <si>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t>YALTA LFG FLARING PROJECT</t>
  </si>
  <si>
    <r>
      <t xml:space="preserve">Emission Reductions from flaring </t>
    </r>
    <r>
      <rPr>
        <b/>
        <sz val="11"/>
        <color indexed="10"/>
        <rFont val="Calibri"/>
        <family val="2"/>
      </rPr>
      <t xml:space="preserve">in the month </t>
    </r>
    <r>
      <rPr>
        <b/>
        <i/>
        <sz val="11"/>
        <color indexed="10"/>
        <rFont val="Calibri"/>
        <family val="2"/>
      </rPr>
      <t>mon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flare,mon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</si>
  <si>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t>ALUSHTA</t>
  </si>
  <si>
    <t>YALTA</t>
  </si>
  <si>
    <r>
      <t>ER</t>
    </r>
    <r>
      <rPr>
        <b/>
        <vertAlign val="subscript"/>
        <sz val="10"/>
        <rFont val="Calibri"/>
        <family val="2"/>
      </rPr>
      <t>flare,mon</t>
    </r>
    <r>
      <rPr>
        <b/>
        <sz val="10"/>
        <rFont val="Calibri"/>
        <family val="2"/>
      </rPr>
      <t>, tCO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e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</si>
  <si>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</si>
  <si>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</si>
  <si>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</si>
  <si>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</si>
  <si>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</si>
  <si>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</si>
  <si>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</si>
  <si>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</si>
  <si>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</si>
  <si>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</si>
  <si>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</si>
  <si>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</si>
  <si>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N/A</t>
  </si>
  <si>
    <r>
      <t>Yalta/Alushta ER</t>
    </r>
    <r>
      <rPr>
        <b/>
        <vertAlign val="subscript"/>
        <sz val="10"/>
        <rFont val="Calibri"/>
        <family val="2"/>
      </rPr>
      <t>flare,y</t>
    </r>
    <r>
      <rPr>
        <b/>
        <sz val="10"/>
        <rFont val="Calibri"/>
        <family val="2"/>
      </rPr>
      <t>, tCO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e</t>
    </r>
  </si>
  <si>
    <r>
      <t>Project Activity ER</t>
    </r>
    <r>
      <rPr>
        <b/>
        <vertAlign val="subscript"/>
        <sz val="10"/>
        <rFont val="Calibri"/>
        <family val="2"/>
      </rPr>
      <t>flare,y</t>
    </r>
    <r>
      <rPr>
        <b/>
        <sz val="10"/>
        <rFont val="Calibri"/>
        <family val="2"/>
      </rPr>
      <t>, tCO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e</t>
    </r>
  </si>
  <si>
    <r>
      <t>Monitoring Period Total ER</t>
    </r>
    <r>
      <rPr>
        <b/>
        <vertAlign val="subscript"/>
        <sz val="10"/>
        <rFont val="Calibri"/>
        <family val="2"/>
      </rPr>
      <t>flare</t>
    </r>
    <r>
      <rPr>
        <b/>
        <sz val="10"/>
        <rFont val="Calibri"/>
        <family val="2"/>
      </rPr>
      <t>, tCO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e</t>
    </r>
  </si>
  <si>
    <t xml:space="preserve">Fossil fuel (gasoline) used, Litre </t>
  </si>
  <si>
    <t>Revised 1996 IPCC Guidelines for National Greenhouse Gas Inventories - Workbook Vol. 2 Page 1.1</t>
  </si>
  <si>
    <t>Gasoline Energy Content</t>
  </si>
  <si>
    <t>CANMET Energy Diversification Research Laboratory</t>
  </si>
  <si>
    <t>Gasoline (C) Emission Factor</t>
  </si>
  <si>
    <r>
      <t>tCO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/TJ</t>
    </r>
  </si>
  <si>
    <r>
      <t>CEF</t>
    </r>
    <r>
      <rPr>
        <b/>
        <vertAlign val="subscript"/>
        <sz val="11"/>
        <color indexed="8"/>
        <rFont val="Calibri"/>
        <family val="2"/>
      </rPr>
      <t>thermal</t>
    </r>
    <r>
      <rPr>
        <b/>
        <sz val="11"/>
        <color indexed="8"/>
        <rFont val="Calibri"/>
        <family val="2"/>
      </rPr>
      <t xml:space="preserve"> for Gasoline</t>
    </r>
  </si>
  <si>
    <t>(Calculated)</t>
  </si>
  <si>
    <t>tC/TJ</t>
  </si>
  <si>
    <t>TJ/Litre</t>
  </si>
  <si>
    <t xml:space="preserve">Annual quantity of gasoline Used, Litre </t>
  </si>
  <si>
    <r>
      <t xml:space="preserve">Net Emission Reductions </t>
    </r>
    <r>
      <rPr>
        <b/>
        <sz val="11"/>
        <color indexed="10"/>
        <rFont val="Calibri"/>
        <family val="2"/>
      </rPr>
      <t xml:space="preserve">in the year </t>
    </r>
    <r>
      <rPr>
        <b/>
        <i/>
        <sz val="11"/>
        <color indexed="10"/>
        <rFont val="Calibri"/>
        <family val="2"/>
      </rPr>
      <t>y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y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</si>
  <si>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r>
      <t xml:space="preserve">Incremental quantity of gasoline used </t>
    </r>
    <r>
      <rPr>
        <b/>
        <sz val="11"/>
        <color indexed="10"/>
        <rFont val="Calibri"/>
        <family val="2"/>
      </rPr>
      <t xml:space="preserve">in the year </t>
    </r>
    <r>
      <rPr>
        <b/>
        <i/>
        <sz val="11"/>
        <color indexed="10"/>
        <rFont val="Calibri"/>
        <family val="2"/>
      </rPr>
      <t>y</t>
    </r>
    <r>
      <rPr>
        <b/>
        <sz val="11"/>
        <color indexed="9"/>
        <rFont val="Calibri"/>
        <family val="2"/>
      </rPr>
      <t xml:space="preserve"> - ET</t>
    </r>
    <r>
      <rPr>
        <b/>
        <vertAlign val="subscript"/>
        <sz val="11"/>
        <color indexed="9"/>
        <rFont val="Calibri"/>
        <family val="2"/>
      </rPr>
      <t>y</t>
    </r>
    <r>
      <rPr>
        <b/>
        <sz val="11"/>
        <color indexed="9"/>
        <rFont val="Calibri"/>
        <family val="2"/>
      </rPr>
      <t>, TJ</t>
    </r>
  </si>
  <si>
    <r>
      <t>Project Emissions from gasoline consumption (ET</t>
    </r>
    <r>
      <rPr>
        <b/>
        <vertAlign val="subscript"/>
        <sz val="11"/>
        <color indexed="9"/>
        <rFont val="Calibri"/>
        <family val="2"/>
      </rPr>
      <t>y</t>
    </r>
    <r>
      <rPr>
        <b/>
        <sz val="11"/>
        <color indexed="9"/>
        <rFont val="Calibri"/>
        <family val="2"/>
      </rPr>
      <t>*CEF</t>
    </r>
    <r>
      <rPr>
        <b/>
        <vertAlign val="subscript"/>
        <sz val="11"/>
        <color indexed="9"/>
        <rFont val="Calibri"/>
        <family val="2"/>
      </rPr>
      <t>thermal,y</t>
    </r>
    <r>
      <rPr>
        <b/>
        <sz val="11"/>
        <color indexed="9"/>
        <rFont val="Calibri"/>
        <family val="2"/>
      </rPr>
      <t>), tCO</t>
    </r>
    <r>
      <rPr>
        <b/>
        <vertAlign val="subscript"/>
        <sz val="11"/>
        <color indexed="9"/>
        <rFont val="Calibri"/>
        <family val="2"/>
      </rPr>
      <t>2</t>
    </r>
  </si>
  <si>
    <r>
      <t xml:space="preserve">Emission Reductions from flaring </t>
    </r>
    <r>
      <rPr>
        <b/>
        <sz val="11"/>
        <color indexed="10"/>
        <rFont val="Calibri"/>
        <family val="2"/>
      </rPr>
      <t xml:space="preserve">in the year </t>
    </r>
    <r>
      <rPr>
        <b/>
        <i/>
        <sz val="11"/>
        <color indexed="10"/>
        <rFont val="Calibri"/>
        <family val="2"/>
      </rPr>
      <t>y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flare,y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e*</t>
    </r>
  </si>
  <si>
    <r>
      <t>* ER</t>
    </r>
    <r>
      <rPr>
        <b/>
        <vertAlign val="subscript"/>
        <sz val="11"/>
        <color indexed="8"/>
        <rFont val="Calibri"/>
        <family val="2"/>
      </rPr>
      <t>flare,y</t>
    </r>
    <r>
      <rPr>
        <b/>
        <sz val="11"/>
        <color indexed="8"/>
        <rFont val="Calibri"/>
        <family val="2"/>
      </rPr>
      <t xml:space="preserve"> = MD</t>
    </r>
    <r>
      <rPr>
        <b/>
        <vertAlign val="subscript"/>
        <sz val="11"/>
        <color indexed="8"/>
        <rFont val="Calibri"/>
        <family val="2"/>
      </rPr>
      <t>flared,y</t>
    </r>
    <r>
      <rPr>
        <b/>
        <sz val="11"/>
        <color indexed="8"/>
        <rFont val="Calibri"/>
        <family val="2"/>
      </rPr>
      <t>*GWP</t>
    </r>
    <r>
      <rPr>
        <b/>
        <vertAlign val="subscript"/>
        <sz val="11"/>
        <color indexed="8"/>
        <rFont val="Calibri"/>
        <family val="2"/>
      </rPr>
      <t>CH4</t>
    </r>
    <r>
      <rPr>
        <b/>
        <sz val="11"/>
        <color indexed="8"/>
        <rFont val="Calibri"/>
        <family val="2"/>
      </rPr>
      <t>, tCO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e</t>
    </r>
  </si>
  <si>
    <r>
      <t>Project Emissions from gasoline consumption (ET</t>
    </r>
    <r>
      <rPr>
        <b/>
        <vertAlign val="subscript"/>
        <sz val="11"/>
        <rFont val="Calibri"/>
        <family val="2"/>
      </rPr>
      <t>y</t>
    </r>
    <r>
      <rPr>
        <b/>
        <sz val="11"/>
        <rFont val="Calibri"/>
        <family val="2"/>
      </rPr>
      <t>*CEF</t>
    </r>
    <r>
      <rPr>
        <b/>
        <vertAlign val="subscript"/>
        <sz val="11"/>
        <rFont val="Calibri"/>
        <family val="2"/>
      </rPr>
      <t>thermal,y</t>
    </r>
    <r>
      <rPr>
        <b/>
        <sz val="11"/>
        <rFont val="Calibri"/>
        <family val="2"/>
      </rPr>
      <t>), tCO</t>
    </r>
    <r>
      <rPr>
        <b/>
        <vertAlign val="subscript"/>
        <sz val="11"/>
        <rFont val="Calibri"/>
        <family val="2"/>
      </rPr>
      <t>2</t>
    </r>
  </si>
  <si>
    <t>PERIOD</t>
  </si>
  <si>
    <r>
      <t>Emissions from gasoline consumption (ET</t>
    </r>
    <r>
      <rPr>
        <b/>
        <vertAlign val="subscript"/>
        <sz val="11"/>
        <rFont val="Calibri"/>
        <family val="2"/>
      </rPr>
      <t>y</t>
    </r>
    <r>
      <rPr>
        <b/>
        <sz val="11"/>
        <rFont val="Calibri"/>
        <family val="2"/>
      </rPr>
      <t>*CEF</t>
    </r>
    <r>
      <rPr>
        <b/>
        <vertAlign val="subscript"/>
        <sz val="11"/>
        <rFont val="Calibri"/>
        <family val="2"/>
      </rPr>
      <t>thermal,y</t>
    </r>
    <r>
      <rPr>
        <b/>
        <sz val="11"/>
        <rFont val="Calibri"/>
        <family val="2"/>
      </rPr>
      <t>), tCO</t>
    </r>
    <r>
      <rPr>
        <b/>
        <vertAlign val="subscript"/>
        <sz val="11"/>
        <rFont val="Calibri"/>
        <family val="2"/>
      </rPr>
      <t>2</t>
    </r>
  </si>
  <si>
    <r>
      <t>Emission Reductions from flaring (MD</t>
    </r>
    <r>
      <rPr>
        <b/>
        <vertAlign val="subscript"/>
        <sz val="11"/>
        <rFont val="Calibri"/>
        <family val="2"/>
      </rPr>
      <t>flared,y</t>
    </r>
    <r>
      <rPr>
        <b/>
        <sz val="11"/>
        <rFont val="Calibri"/>
        <family val="2"/>
      </rPr>
      <t>*GWP</t>
    </r>
    <r>
      <rPr>
        <b/>
        <vertAlign val="subscript"/>
        <sz val="11"/>
        <rFont val="Calibri"/>
        <family val="2"/>
      </rPr>
      <t>CH4</t>
    </r>
    <r>
      <rPr>
        <b/>
        <sz val="11"/>
        <rFont val="Calibri"/>
        <family val="2"/>
      </rPr>
      <t>), 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e</t>
    </r>
  </si>
  <si>
    <r>
      <t>Emission Reductions ER</t>
    </r>
    <r>
      <rPr>
        <b/>
        <vertAlign val="subscript"/>
        <sz val="11"/>
        <rFont val="Calibri"/>
        <family val="2"/>
      </rPr>
      <t>y</t>
    </r>
    <r>
      <rPr>
        <b/>
        <sz val="11"/>
        <rFont val="Calibri"/>
        <family val="2"/>
      </rPr>
      <t>, 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e</t>
    </r>
  </si>
  <si>
    <t>PROJECT ACTIVITY*</t>
  </si>
  <si>
    <r>
      <t>Total* for the Monitoring Period, tCO</t>
    </r>
    <r>
      <rPr>
        <b/>
        <vertAlign val="subscript"/>
        <sz val="11"/>
        <rFont val="Calibri"/>
        <family val="2"/>
      </rPr>
      <t>2</t>
    </r>
  </si>
  <si>
    <t>2010-04-01 to 2010-04-03</t>
  </si>
  <si>
    <t>2010-04-04 to 2010-04-10</t>
  </si>
  <si>
    <t>2010-04-11 to 2010-04-17</t>
  </si>
  <si>
    <t>2010-04-18 to 2010-04-24</t>
  </si>
  <si>
    <t>2010-04-25 to 2010-05-01</t>
  </si>
  <si>
    <t>2010-05-02 to 2010-05-08</t>
  </si>
  <si>
    <t>2010-05-09 to 2010-05-15</t>
  </si>
  <si>
    <t>2010-05-16 to 2010-05-22</t>
  </si>
  <si>
    <t>2010-05-23 to 2010-05-29</t>
  </si>
  <si>
    <t>2010-05-30 to 2010-06-05</t>
  </si>
  <si>
    <t>2010-06-06 to 2010-06-12</t>
  </si>
  <si>
    <t>2010-06-13 to 2010-06-19</t>
  </si>
  <si>
    <t>2010-06-20 to 2010-06-26</t>
  </si>
  <si>
    <t>2010-06-27 to 2010-07-03</t>
  </si>
  <si>
    <t>2010-07-04 to 2010-07-10</t>
  </si>
  <si>
    <t>2010-07-11 to 2010-07-17</t>
  </si>
  <si>
    <t>2010-07-18 to 2010-07-24</t>
  </si>
  <si>
    <t>2010-07-25 to 2010-07-31</t>
  </si>
  <si>
    <t>2010-08-01 to 2010-08-07</t>
  </si>
  <si>
    <t>2010-08-08 to 2010-08-14</t>
  </si>
  <si>
    <t>2010-08-15 to 2010-08-21</t>
  </si>
  <si>
    <t>2010-08-22 to 2010-08-28</t>
  </si>
  <si>
    <t>2010-08-29 to 2010-09-04</t>
  </si>
  <si>
    <t>2010-09-05 to 2010-09-11</t>
  </si>
  <si>
    <t>2010-09-12 to 2010-09-18</t>
  </si>
  <si>
    <t>2010-09-19 to 2010-09-25</t>
  </si>
  <si>
    <t>2010-09-26 to 2010-10-02</t>
  </si>
  <si>
    <t>2010-10-03 to 2010-10-09</t>
  </si>
  <si>
    <t>2010-10-10 to 2010-10-16</t>
  </si>
  <si>
    <t>2010-10-17 to 2010-10-23</t>
  </si>
  <si>
    <t>2010-10-24 to 2010-10-30</t>
  </si>
  <si>
    <t>2010-10-31 to 2010-11-06</t>
  </si>
  <si>
    <t>2010-11-07 to 2010-11-13</t>
  </si>
  <si>
    <t>2010-11-14 to 2010-11-20</t>
  </si>
  <si>
    <t>2010-11-21 to 2010-11-27</t>
  </si>
  <si>
    <t>2010-11-28 to 2010-12-04</t>
  </si>
  <si>
    <t>2010-12-05 to 2010-12-11</t>
  </si>
  <si>
    <t>2010-12-12 to 2010-12-18</t>
  </si>
  <si>
    <t>2010-12-19 to 2010-12-25</t>
  </si>
  <si>
    <t>2010-12-26 to 2011-01-01</t>
  </si>
  <si>
    <t>2011-01-02 to 2011-01-08</t>
  </si>
  <si>
    <t>2011-01-09 to 2011-01-15</t>
  </si>
  <si>
    <t>2011-01-16 to 2011-01-22</t>
  </si>
  <si>
    <t>2011-01-23 to 2011-01-29</t>
  </si>
  <si>
    <t>2011-01-30 to 2011-02-05</t>
  </si>
  <si>
    <t>2011-02-06 to 2011-02-12</t>
  </si>
  <si>
    <t>2011-02-13 to 2011-02-19</t>
  </si>
  <si>
    <t>2011-02-20 to 2011-02-26</t>
  </si>
  <si>
    <t>2011-02-27 to 2011-03-05</t>
  </si>
  <si>
    <t>2011-03-06 to 2011-03-12</t>
  </si>
  <si>
    <t>2011-03-13 to 2011-03-19</t>
  </si>
  <si>
    <t>2011-03-20 to 2011-03-26</t>
  </si>
  <si>
    <t>2011-03-27 to 2011-04-02</t>
  </si>
  <si>
    <t>2011-04-03 to 2011-04-09</t>
  </si>
  <si>
    <t>2011-04-10 to 2011-04-16</t>
  </si>
  <si>
    <t>2011-04-17 to 2011-04-23</t>
  </si>
  <si>
    <t>2011-04-24 to 2011-04-30</t>
  </si>
  <si>
    <t>2011-05-01 to 2011-05-07</t>
  </si>
  <si>
    <t>2011-05-08 to 2011-05-14</t>
  </si>
  <si>
    <t>2011-05-15 to 2011-05-21</t>
  </si>
  <si>
    <t>2011-05-22 to 2011-05-28</t>
  </si>
  <si>
    <t>2011-05-29 to 2011-06-04</t>
  </si>
  <si>
    <t>2011-06-05 to 2011-06-11</t>
  </si>
  <si>
    <t>2011-06-12 to 2011-06-18</t>
  </si>
  <si>
    <t>2011-06-19 to 2011-06-25</t>
  </si>
  <si>
    <t>2011-06-26 to 2011-07-02</t>
  </si>
  <si>
    <t>2011-07-03 to 2011-07-09</t>
  </si>
  <si>
    <t>2011-07-10 to 2011-07-16</t>
  </si>
  <si>
    <t>2011-07-17 to 2011-07-23</t>
  </si>
  <si>
    <t>2011-07-24 to 2011-07-30</t>
  </si>
  <si>
    <t>2011-07-31 to 2011-08-06</t>
  </si>
  <si>
    <t>2011-08-07 to 2011-08-13</t>
  </si>
  <si>
    <t>2011-08-14 to 2011-08-20</t>
  </si>
  <si>
    <t>2011-08-21 to 2011-08-27</t>
  </si>
  <si>
    <t>2011-08-28 to 2011-09-03</t>
  </si>
  <si>
    <t>2011-09-04 to 2011-09-10</t>
  </si>
  <si>
    <t>2011-09-11 to 2011-09-17</t>
  </si>
  <si>
    <t>2011-09-18 to 2011-09-24</t>
  </si>
  <si>
    <t>2011-09-25 to 2011-10-01</t>
  </si>
  <si>
    <t>2011-10-02 to 2011-10-08</t>
  </si>
  <si>
    <t>2011-10-09 to 2011-10-15</t>
  </si>
  <si>
    <t>2011-10-16 to 2011-10-22</t>
  </si>
  <si>
    <t>2011-10-23 to 2011-10-29</t>
  </si>
  <si>
    <t>2011-10-30 to 2011-10-31</t>
  </si>
  <si>
    <t>APR-2010</t>
  </si>
  <si>
    <t>MAY-2010</t>
  </si>
  <si>
    <t>JUN-2010</t>
  </si>
  <si>
    <t>JUL-2010</t>
  </si>
  <si>
    <t>AUG-2010</t>
  </si>
  <si>
    <t>SEP-2010</t>
  </si>
  <si>
    <t>OCT-2010</t>
  </si>
  <si>
    <t>NOV-2010</t>
  </si>
  <si>
    <t>DEC-2010</t>
  </si>
  <si>
    <t>JAN-2011</t>
  </si>
  <si>
    <t>FEB-2011</t>
  </si>
  <si>
    <t>MAR-2011</t>
  </si>
  <si>
    <t>APR-2011</t>
  </si>
  <si>
    <t>MAY-2011</t>
  </si>
  <si>
    <t>JUN-2011</t>
  </si>
  <si>
    <t>JUL-2011</t>
  </si>
  <si>
    <t>AUG-2011</t>
  </si>
  <si>
    <t>SEP-2011</t>
  </si>
  <si>
    <t>OCT-2011</t>
  </si>
  <si>
    <t>2011 (Partial Year)</t>
  </si>
  <si>
    <t>2010 (Partial Year: APR-DEC)</t>
  </si>
  <si>
    <t>2011 (Partial Year: JAN-OCT)</t>
  </si>
  <si>
    <t>MONTH*</t>
  </si>
  <si>
    <t>YEAR*</t>
  </si>
  <si>
    <t>*The visible table values  may not sum up due to rounding; the monitoring report/annex table values will be analyzed and adjusted to correspond to the final (calculated with the highest accuracy) verification period results</t>
  </si>
  <si>
    <t>DEFAULT, BENCHMARK ASSESSMENT APPROACH</t>
  </si>
  <si>
    <t>2008*</t>
  </si>
  <si>
    <t>2011**</t>
  </si>
  <si>
    <r>
      <t>Total for the Monitoring Period, tCO</t>
    </r>
    <r>
      <rPr>
        <b/>
        <vertAlign val="subscript"/>
        <sz val="11"/>
        <rFont val="Calibri"/>
        <family val="2"/>
      </rPr>
      <t>2</t>
    </r>
  </si>
  <si>
    <r>
      <t>Total for the Period, tCO</t>
    </r>
    <r>
      <rPr>
        <b/>
        <vertAlign val="subscript"/>
        <sz val="11"/>
        <rFont val="Calibri"/>
        <family val="2"/>
      </rPr>
      <t>2</t>
    </r>
  </si>
  <si>
    <r>
      <t>Emission Reductions Achieved during 1st and 2nd Monitoring Periods</t>
    </r>
    <r>
      <rPr>
        <b/>
        <sz val="11"/>
        <rFont val="Calibri"/>
        <family val="2"/>
      </rPr>
      <t>, 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e</t>
    </r>
  </si>
  <si>
    <t>Difference % (negative if PDD estimates are higher than real reductions achieved)</t>
  </si>
  <si>
    <r>
      <t>PDD Estimates of annual Emission Reductions, 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e</t>
    </r>
  </si>
</sst>
</file>

<file path=xl/styles.xml><?xml version="1.0" encoding="utf-8"?>
<styleSheet xmlns="http://schemas.openxmlformats.org/spreadsheetml/2006/main">
  <numFmts count="11">
    <numFmt numFmtId="5" formatCode="&quot;₴&quot;\ #,##0;&quot;₴&quot;\ \-#,##0"/>
    <numFmt numFmtId="6" formatCode="&quot;₴&quot;\ #,##0;[Red]&quot;₴&quot;\ \-#,##0"/>
    <numFmt numFmtId="7" formatCode="&quot;₴&quot;\ #,##0.00;&quot;₴&quot;\ \-#,##0.00"/>
    <numFmt numFmtId="8" formatCode="&quot;₴&quot;\ #,##0.00;[Red]&quot;₴&quot;\ \-#,##0.00"/>
    <numFmt numFmtId="42" formatCode="_ &quot;₴&quot;\ * #,##0_ ;_ &quot;₴&quot;\ * \-#,##0_ ;_ &quot;₴&quot;\ * &quot;-&quot;_ ;_ @_ "/>
    <numFmt numFmtId="41" formatCode="_ * #,##0_ ;_ * \-#,##0_ ;_ * &quot;-&quot;_ ;_ @_ "/>
    <numFmt numFmtId="44" formatCode="_ &quot;₴&quot;\ * #,##0.00_ ;_ &quot;₴&quot;\ * \-#,##0.00_ ;_ &quot;₴&quot;\ * &quot;-&quot;??_ ;_ @_ "/>
    <numFmt numFmtId="43" formatCode="_ * #,##0.00_ ;_ * \-#,##0.00_ ;_ * &quot;-&quot;??_ ;_ @_ "/>
    <numFmt numFmtId="164" formatCode="#,##0_ ;[Red]\-#,##0\ "/>
    <numFmt numFmtId="165" formatCode="#,##0.0_ ;[Red]\-#,##0.0\ "/>
    <numFmt numFmtId="166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vertAlign val="subscript"/>
      <sz val="11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10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0" fillId="33" borderId="0" xfId="56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53" fillId="35" borderId="0" xfId="56" applyFont="1" applyFill="1" applyBorder="1">
      <alignment/>
      <protection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53" fillId="34" borderId="0" xfId="56" applyFont="1" applyFill="1" applyBorder="1">
      <alignment/>
      <protection/>
    </xf>
    <xf numFmtId="0" fontId="54" fillId="36" borderId="0" xfId="56" applyFont="1" applyFill="1" applyBorder="1">
      <alignment/>
      <protection/>
    </xf>
    <xf numFmtId="0" fontId="0" fillId="36" borderId="0" xfId="56" applyFill="1" applyBorder="1">
      <alignment/>
      <protection/>
    </xf>
    <xf numFmtId="22" fontId="53" fillId="35" borderId="0" xfId="56" applyNumberFormat="1" applyFont="1" applyFill="1" applyBorder="1">
      <alignment/>
      <protection/>
    </xf>
    <xf numFmtId="0" fontId="0" fillId="34" borderId="0" xfId="56" applyFill="1" applyBorder="1">
      <alignment/>
      <protection/>
    </xf>
    <xf numFmtId="0" fontId="40" fillId="34" borderId="0" xfId="56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0" fontId="0" fillId="34" borderId="0" xfId="57" applyFont="1" applyFill="1" applyBorder="1">
      <alignment/>
      <protection/>
    </xf>
    <xf numFmtId="0" fontId="0" fillId="34" borderId="0" xfId="0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3" fillId="35" borderId="10" xfId="56" applyFont="1" applyFill="1" applyBorder="1" applyAlignment="1">
      <alignment horizontal="center" vertical="center" wrapText="1"/>
      <protection/>
    </xf>
    <xf numFmtId="0" fontId="51" fillId="34" borderId="11" xfId="0" applyFont="1" applyFill="1" applyBorder="1" applyAlignment="1">
      <alignment horizontal="center" vertical="center"/>
    </xf>
    <xf numFmtId="0" fontId="13" fillId="35" borderId="11" xfId="56" applyFont="1" applyFill="1" applyBorder="1" applyAlignment="1">
      <alignment horizontal="center" vertical="center" wrapText="1"/>
      <protection/>
    </xf>
    <xf numFmtId="0" fontId="13" fillId="36" borderId="11" xfId="56" applyFont="1" applyFill="1" applyBorder="1" applyAlignment="1">
      <alignment horizontal="center" vertical="center" wrapText="1"/>
      <protection/>
    </xf>
    <xf numFmtId="0" fontId="13" fillId="37" borderId="12" xfId="56" applyFont="1" applyFill="1" applyBorder="1" applyAlignment="1">
      <alignment horizontal="center" vertical="center" wrapText="1"/>
      <protection/>
    </xf>
    <xf numFmtId="0" fontId="56" fillId="34" borderId="10" xfId="0" applyFont="1" applyFill="1" applyBorder="1" applyAlignment="1">
      <alignment horizontal="center" vertical="center"/>
    </xf>
    <xf numFmtId="3" fontId="56" fillId="34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165" fontId="55" fillId="33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horizontal="left" vertical="center" indent="1"/>
    </xf>
    <xf numFmtId="164" fontId="0" fillId="34" borderId="0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left" indent="1"/>
    </xf>
    <xf numFmtId="0" fontId="51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51" fillId="36" borderId="0" xfId="0" applyFont="1" applyFill="1" applyBorder="1" applyAlignment="1">
      <alignment/>
    </xf>
    <xf numFmtId="0" fontId="39" fillId="27" borderId="0" xfId="40" applyBorder="1" applyAlignment="1">
      <alignment/>
    </xf>
    <xf numFmtId="0" fontId="57" fillId="36" borderId="0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19" fillId="35" borderId="0" xfId="56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left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5" xfId="56" applyFont="1" applyFill="1" applyBorder="1" applyAlignment="1">
      <alignment horizontal="center" vertical="center" wrapText="1"/>
      <protection/>
    </xf>
    <xf numFmtId="0" fontId="19" fillId="36" borderId="16" xfId="56" applyFont="1" applyFill="1" applyBorder="1" applyAlignment="1">
      <alignment horizontal="left" vertical="center" wrapText="1"/>
      <protection/>
    </xf>
    <xf numFmtId="3" fontId="19" fillId="36" borderId="17" xfId="0" applyNumberFormat="1" applyFont="1" applyFill="1" applyBorder="1" applyAlignment="1">
      <alignment horizontal="center" vertical="center"/>
    </xf>
    <xf numFmtId="3" fontId="22" fillId="36" borderId="18" xfId="0" applyNumberFormat="1" applyFont="1" applyFill="1" applyBorder="1" applyAlignment="1">
      <alignment horizontal="center" vertical="center"/>
    </xf>
    <xf numFmtId="3" fontId="56" fillId="34" borderId="0" xfId="0" applyNumberFormat="1" applyFont="1" applyFill="1" applyBorder="1" applyAlignment="1">
      <alignment horizontal="center" vertical="center"/>
    </xf>
    <xf numFmtId="3" fontId="56" fillId="34" borderId="15" xfId="0" applyNumberFormat="1" applyFont="1" applyFill="1" applyBorder="1" applyAlignment="1">
      <alignment horizontal="center" vertical="center"/>
    </xf>
    <xf numFmtId="1" fontId="56" fillId="34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1" fillId="35" borderId="10" xfId="0" applyFont="1" applyFill="1" applyBorder="1" applyAlignment="1">
      <alignment horizontal="center" vertical="center"/>
    </xf>
    <xf numFmtId="164" fontId="55" fillId="33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51" fillId="35" borderId="19" xfId="0" applyFont="1" applyFill="1" applyBorder="1" applyAlignment="1">
      <alignment horizontal="center" vertical="center"/>
    </xf>
    <xf numFmtId="0" fontId="13" fillId="35" borderId="19" xfId="56" applyFont="1" applyFill="1" applyBorder="1" applyAlignment="1">
      <alignment horizontal="center" vertical="center" wrapText="1"/>
      <protection/>
    </xf>
    <xf numFmtId="3" fontId="56" fillId="34" borderId="19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3" fontId="15" fillId="35" borderId="19" xfId="0" applyNumberFormat="1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left" vertical="center"/>
    </xf>
    <xf numFmtId="0" fontId="51" fillId="35" borderId="21" xfId="0" applyFont="1" applyFill="1" applyBorder="1" applyAlignment="1">
      <alignment horizontal="left" vertical="center"/>
    </xf>
    <xf numFmtId="0" fontId="51" fillId="36" borderId="0" xfId="56" applyFont="1" applyFill="1" applyBorder="1">
      <alignment/>
      <protection/>
    </xf>
    <xf numFmtId="1" fontId="4" fillId="34" borderId="0" xfId="0" applyNumberFormat="1" applyFont="1" applyFill="1" applyAlignment="1">
      <alignment/>
    </xf>
    <xf numFmtId="1" fontId="4" fillId="34" borderId="0" xfId="48" applyNumberFormat="1" applyFont="1" applyFill="1" applyAlignment="1">
      <alignment/>
    </xf>
    <xf numFmtId="0" fontId="19" fillId="35" borderId="13" xfId="56" applyFont="1" applyFill="1" applyBorder="1" applyAlignment="1">
      <alignment horizontal="center" vertical="center" wrapText="1"/>
      <protection/>
    </xf>
    <xf numFmtId="0" fontId="19" fillId="35" borderId="14" xfId="56" applyFont="1" applyFill="1" applyBorder="1" applyAlignment="1">
      <alignment horizontal="center" vertical="center" wrapText="1"/>
      <protection/>
    </xf>
    <xf numFmtId="1" fontId="56" fillId="34" borderId="15" xfId="0" applyNumberFormat="1" applyFont="1" applyFill="1" applyBorder="1" applyAlignment="1">
      <alignment horizontal="center" vertical="center"/>
    </xf>
    <xf numFmtId="0" fontId="19" fillId="35" borderId="16" xfId="56" applyFont="1" applyFill="1" applyBorder="1" applyAlignment="1">
      <alignment horizontal="left" vertical="center" wrapText="1"/>
      <protection/>
    </xf>
    <xf numFmtId="3" fontId="15" fillId="35" borderId="17" xfId="0" applyNumberFormat="1" applyFont="1" applyFill="1" applyBorder="1" applyAlignment="1">
      <alignment horizontal="center" vertical="center"/>
    </xf>
    <xf numFmtId="3" fontId="59" fillId="35" borderId="18" xfId="0" applyNumberFormat="1" applyFont="1" applyFill="1" applyBorder="1" applyAlignment="1">
      <alignment horizontal="center" vertical="center"/>
    </xf>
    <xf numFmtId="10" fontId="56" fillId="34" borderId="15" xfId="0" applyNumberFormat="1" applyFont="1" applyFill="1" applyBorder="1" applyAlignment="1">
      <alignment horizontal="center" vertical="center"/>
    </xf>
    <xf numFmtId="10" fontId="59" fillId="36" borderId="18" xfId="0" applyNumberFormat="1" applyFont="1" applyFill="1" applyBorder="1" applyAlignment="1">
      <alignment horizontal="center" vertical="center"/>
    </xf>
    <xf numFmtId="0" fontId="41" fillId="35" borderId="0" xfId="47" applyFill="1" applyBorder="1" applyAlignment="1">
      <alignment horizontal="left" vertical="center"/>
    </xf>
    <xf numFmtId="3" fontId="51" fillId="37" borderId="22" xfId="0" applyNumberFormat="1" applyFont="1" applyFill="1" applyBorder="1" applyAlignment="1">
      <alignment horizontal="center" vertical="center"/>
    </xf>
    <xf numFmtId="3" fontId="51" fillId="37" borderId="23" xfId="0" applyNumberFormat="1" applyFont="1" applyFill="1" applyBorder="1" applyAlignment="1">
      <alignment horizontal="center" vertical="center"/>
    </xf>
    <xf numFmtId="3" fontId="51" fillId="37" borderId="24" xfId="0" applyNumberFormat="1" applyFont="1" applyFill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3" fontId="56" fillId="36" borderId="10" xfId="0" applyNumberFormat="1" applyFont="1" applyFill="1" applyBorder="1" applyAlignment="1">
      <alignment horizontal="center" vertical="center"/>
    </xf>
    <xf numFmtId="3" fontId="56" fillId="36" borderId="19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/>
    </xf>
    <xf numFmtId="0" fontId="51" fillId="35" borderId="28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left" vertical="center"/>
    </xf>
    <xf numFmtId="0" fontId="0" fillId="0" borderId="2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D1">
      <pane ySplit="4" topLeftCell="A5" activePane="bottomLeft" state="frozen"/>
      <selection pane="topLeft" activeCell="A1" sqref="A1"/>
      <selection pane="bottomLeft" activeCell="N7" sqref="N7"/>
    </sheetView>
  </sheetViews>
  <sheetFormatPr defaultColWidth="9.140625" defaultRowHeight="15" outlineLevelCol="1"/>
  <cols>
    <col min="1" max="1" width="30.7109375" style="4" customWidth="1"/>
    <col min="2" max="2" width="25.7109375" style="4" customWidth="1"/>
    <col min="3" max="3" width="20.7109375" style="4" customWidth="1"/>
    <col min="4" max="4" width="5.7109375" style="4" customWidth="1"/>
    <col min="5" max="5" width="30.7109375" style="4" customWidth="1"/>
    <col min="6" max="6" width="25.7109375" style="4" customWidth="1"/>
    <col min="7" max="7" width="15.7109375" style="4" customWidth="1"/>
    <col min="8" max="8" width="5.7109375" style="4" customWidth="1"/>
    <col min="9" max="10" width="30.7109375" style="4" customWidth="1"/>
    <col min="11" max="11" width="15.7109375" style="4" hidden="1" customWidth="1" outlineLevel="1"/>
    <col min="12" max="12" width="30.7109375" style="4" hidden="1" customWidth="1" outlineLevel="1"/>
    <col min="13" max="13" width="30.7109375" style="4" customWidth="1" collapsed="1"/>
    <col min="14" max="14" width="30.7109375" style="4" customWidth="1"/>
    <col min="15" max="18" width="15.7109375" style="4" customWidth="1"/>
    <col min="19" max="16384" width="9.140625" style="4" customWidth="1"/>
  </cols>
  <sheetData>
    <row r="1" spans="1:14" ht="18">
      <c r="A1" s="7" t="s">
        <v>7</v>
      </c>
      <c r="B1" s="64" t="s">
        <v>162</v>
      </c>
      <c r="C1" s="8"/>
      <c r="D1" s="10"/>
      <c r="E1" s="40" t="s">
        <v>45</v>
      </c>
      <c r="F1" s="27"/>
      <c r="G1" s="27"/>
      <c r="I1" s="37" t="s">
        <v>36</v>
      </c>
      <c r="J1" s="38">
        <f>J2*44/12</f>
        <v>69.3</v>
      </c>
      <c r="K1" s="37" t="s">
        <v>35</v>
      </c>
      <c r="L1" s="39" t="s">
        <v>37</v>
      </c>
      <c r="M1" s="27"/>
      <c r="N1" s="27"/>
    </row>
    <row r="2" spans="1:14" ht="15">
      <c r="A2" s="9">
        <v>40269</v>
      </c>
      <c r="B2" s="3" t="s">
        <v>1</v>
      </c>
      <c r="C2" s="3"/>
      <c r="D2" s="6"/>
      <c r="E2" s="28"/>
      <c r="F2" s="28"/>
      <c r="G2" s="28"/>
      <c r="I2" s="5" t="s">
        <v>34</v>
      </c>
      <c r="J2" s="4">
        <v>18.9</v>
      </c>
      <c r="K2" s="5" t="s">
        <v>38</v>
      </c>
      <c r="L2" s="5" t="s">
        <v>31</v>
      </c>
      <c r="M2" s="28"/>
      <c r="N2" s="28"/>
    </row>
    <row r="3" spans="1:14" ht="15">
      <c r="A3" s="9">
        <v>40847.99930555555</v>
      </c>
      <c r="B3" s="3" t="s">
        <v>2</v>
      </c>
      <c r="C3" s="3"/>
      <c r="D3" s="6"/>
      <c r="E3" s="28"/>
      <c r="F3" s="28"/>
      <c r="G3" s="28"/>
      <c r="I3" s="5" t="s">
        <v>32</v>
      </c>
      <c r="J3" s="4">
        <f>34.66*10^-6</f>
        <v>3.466E-05</v>
      </c>
      <c r="K3" s="5" t="s">
        <v>39</v>
      </c>
      <c r="L3" s="5" t="s">
        <v>33</v>
      </c>
      <c r="M3" s="28"/>
      <c r="N3" s="28"/>
    </row>
    <row r="4" spans="1:14" s="29" customFormat="1" ht="51">
      <c r="A4" s="1" t="s">
        <v>0</v>
      </c>
      <c r="B4" s="1" t="s">
        <v>8</v>
      </c>
      <c r="C4" s="1" t="s">
        <v>30</v>
      </c>
      <c r="D4" s="11"/>
      <c r="E4" s="1" t="s">
        <v>159</v>
      </c>
      <c r="F4" s="1" t="s">
        <v>10</v>
      </c>
      <c r="G4" s="1" t="s">
        <v>30</v>
      </c>
      <c r="H4" s="11"/>
      <c r="I4" s="1" t="s">
        <v>160</v>
      </c>
      <c r="J4" s="1" t="s">
        <v>44</v>
      </c>
      <c r="K4" s="1" t="s">
        <v>40</v>
      </c>
      <c r="L4" s="1" t="s">
        <v>42</v>
      </c>
      <c r="M4" s="1" t="s">
        <v>43</v>
      </c>
      <c r="N4" s="1" t="s">
        <v>41</v>
      </c>
    </row>
    <row r="5" spans="1:14" ht="15">
      <c r="A5" s="14" t="s">
        <v>53</v>
      </c>
      <c r="B5" s="66">
        <v>66.03501781674</v>
      </c>
      <c r="C5" s="56">
        <v>0</v>
      </c>
      <c r="E5" s="30" t="s">
        <v>137</v>
      </c>
      <c r="F5" s="31">
        <f>B5+B6+B7+B8+B9*6/7</f>
        <v>1811.450212665131</v>
      </c>
      <c r="G5" s="31">
        <f>C5+C6+C7+C8+C9*6/7</f>
        <v>0</v>
      </c>
      <c r="I5" s="33" t="s">
        <v>5</v>
      </c>
      <c r="J5" s="31">
        <f>SUM(F5:F13)</f>
        <v>11574.841944589925</v>
      </c>
      <c r="K5" s="31">
        <f>SUM(G5:G13)</f>
        <v>0</v>
      </c>
      <c r="L5" s="31">
        <f>K5*$J$3</f>
        <v>0</v>
      </c>
      <c r="M5" s="31">
        <f>L5*$J$1</f>
        <v>0</v>
      </c>
      <c r="N5" s="31">
        <f>J5-M5</f>
        <v>11574.841944589925</v>
      </c>
    </row>
    <row r="6" spans="1:14" ht="15">
      <c r="A6" s="14" t="s">
        <v>54</v>
      </c>
      <c r="B6" s="66">
        <v>459.50522512469036</v>
      </c>
      <c r="C6" s="56">
        <v>0</v>
      </c>
      <c r="E6" s="30" t="s">
        <v>138</v>
      </c>
      <c r="F6" s="31">
        <f>B9*1/7+B10+B11+B12+B13+B14*2/7</f>
        <v>1667.6788033293794</v>
      </c>
      <c r="G6" s="31">
        <f>C9*1/7+C10+C11+C12+C13+C14*2/7</f>
        <v>0</v>
      </c>
      <c r="I6" s="33" t="s">
        <v>156</v>
      </c>
      <c r="J6" s="31">
        <f>SUM(F14:F23)</f>
        <v>9481.718555525837</v>
      </c>
      <c r="K6" s="31">
        <f>SUM(G14:G23)</f>
        <v>0</v>
      </c>
      <c r="L6" s="31">
        <f>K6*$J$3</f>
        <v>0</v>
      </c>
      <c r="M6" s="31">
        <f>L6*$J$1</f>
        <v>0</v>
      </c>
      <c r="N6" s="31">
        <f>J6-M6</f>
        <v>9481.718555525837</v>
      </c>
    </row>
    <row r="7" spans="1:14" ht="15">
      <c r="A7" s="14" t="s">
        <v>55</v>
      </c>
      <c r="B7" s="66">
        <v>479.4437960512222</v>
      </c>
      <c r="C7" s="56">
        <v>0</v>
      </c>
      <c r="E7" s="30" t="s">
        <v>139</v>
      </c>
      <c r="F7" s="31">
        <f>B14*5/7+B15+B16+B17+B18*4/7</f>
        <v>1532.9597006997037</v>
      </c>
      <c r="G7" s="31">
        <f>C14*5/7+C15+C16+C17+C18*4/7</f>
        <v>0</v>
      </c>
      <c r="I7" s="12" t="s">
        <v>6</v>
      </c>
      <c r="J7" s="13">
        <f>SUM(J5:J6)</f>
        <v>21056.56050011576</v>
      </c>
      <c r="K7" s="55">
        <f>SUM(K5:K6)</f>
        <v>0</v>
      </c>
      <c r="L7" s="55">
        <f>SUM(L5:L6)</f>
        <v>0</v>
      </c>
      <c r="M7" s="55">
        <f>SUM(M5:M6)</f>
        <v>0</v>
      </c>
      <c r="N7" s="13">
        <f>SUM(N5:N6)</f>
        <v>21056.56050011576</v>
      </c>
    </row>
    <row r="8" spans="1:7" ht="15">
      <c r="A8" s="14" t="s">
        <v>56</v>
      </c>
      <c r="B8" s="66">
        <v>439.8490782805975</v>
      </c>
      <c r="C8" s="56">
        <v>0</v>
      </c>
      <c r="E8" s="30" t="s">
        <v>140</v>
      </c>
      <c r="F8" s="31">
        <f>B18*3/7+B19+B20+B21+B22</f>
        <v>1389.0638815728323</v>
      </c>
      <c r="G8" s="31">
        <f>C18*3/7+C19+C20+C21+C22</f>
        <v>0</v>
      </c>
    </row>
    <row r="9" spans="1:7" ht="15">
      <c r="A9" s="14" t="s">
        <v>57</v>
      </c>
      <c r="B9" s="66">
        <v>427.7199446238612</v>
      </c>
      <c r="C9" s="56">
        <v>0</v>
      </c>
      <c r="E9" s="30" t="s">
        <v>141</v>
      </c>
      <c r="F9" s="31">
        <f>B23+B24+B25+B26+B27*3/7</f>
        <v>1026.4296786978869</v>
      </c>
      <c r="G9" s="31">
        <f>C23+C24+C25+C26+C27*3/7</f>
        <v>0</v>
      </c>
    </row>
    <row r="10" spans="1:7" ht="15">
      <c r="A10" s="14" t="s">
        <v>58</v>
      </c>
      <c r="B10" s="66">
        <v>297.43888331393623</v>
      </c>
      <c r="C10" s="56">
        <v>0</v>
      </c>
      <c r="E10" s="30" t="s">
        <v>142</v>
      </c>
      <c r="F10" s="31">
        <f>B27*4/7+B28+B29+B30+B31*5/7</f>
        <v>2148.5689437238816</v>
      </c>
      <c r="G10" s="31">
        <f>C27*4/7+C28+C29+C30+C31*5/7</f>
        <v>0</v>
      </c>
    </row>
    <row r="11" spans="1:7" ht="15">
      <c r="A11" s="14" t="s">
        <v>59</v>
      </c>
      <c r="B11" s="66">
        <v>328.1201311077742</v>
      </c>
      <c r="C11" s="56">
        <v>0</v>
      </c>
      <c r="E11" s="30" t="s">
        <v>143</v>
      </c>
      <c r="F11" s="31">
        <f>B31*2/7+B32+B33+B34+B35+B36*1/7</f>
        <v>1934.1521666392982</v>
      </c>
      <c r="G11" s="31">
        <f>C31*2/7+C32+C33+C34+C35+C36*1/7</f>
        <v>0</v>
      </c>
    </row>
    <row r="12" spans="1:7" ht="15">
      <c r="A12" s="14" t="s">
        <v>60</v>
      </c>
      <c r="B12" s="66">
        <v>535.6002608248908</v>
      </c>
      <c r="C12" s="56">
        <v>0</v>
      </c>
      <c r="E12" s="30" t="s">
        <v>144</v>
      </c>
      <c r="F12" s="31">
        <f>B36*6/7+B37+B38+B39+B40*3/7</f>
        <v>64.53855726181214</v>
      </c>
      <c r="G12" s="31">
        <f>C36*6/7+C37+C38+C39+C40*3/7</f>
        <v>0</v>
      </c>
    </row>
    <row r="13" spans="1:7" ht="15">
      <c r="A13" s="14" t="s">
        <v>61</v>
      </c>
      <c r="B13" s="66">
        <v>410.43294105252613</v>
      </c>
      <c r="C13" s="56">
        <v>0</v>
      </c>
      <c r="E13" s="30" t="s">
        <v>145</v>
      </c>
      <c r="F13" s="31">
        <f>B40*4/7+B41+B42+B43+B44*6/7</f>
        <v>0</v>
      </c>
      <c r="G13" s="31">
        <f>C40*4/7+C41+C42+C43+C44*6/7</f>
        <v>0</v>
      </c>
    </row>
    <row r="14" spans="1:7" ht="15">
      <c r="A14" s="14" t="s">
        <v>62</v>
      </c>
      <c r="B14" s="66">
        <v>122.44308229395205</v>
      </c>
      <c r="C14" s="56">
        <v>0</v>
      </c>
      <c r="E14" s="30" t="s">
        <v>146</v>
      </c>
      <c r="F14" s="31">
        <f>B44*1/7+B45+B46+B47+B48+B49*2/7</f>
        <v>0</v>
      </c>
      <c r="G14" s="31">
        <f>C44*1/7+C45+C46+C47+C48+C49*2/7</f>
        <v>0</v>
      </c>
    </row>
    <row r="15" spans="1:7" ht="15">
      <c r="A15" s="14" t="s">
        <v>63</v>
      </c>
      <c r="B15" s="66">
        <v>313.30318512869627</v>
      </c>
      <c r="C15" s="56">
        <v>0</v>
      </c>
      <c r="E15" s="30" t="s">
        <v>147</v>
      </c>
      <c r="F15" s="31">
        <f>B49*5/7+B50+B51+B52+B53*2/7</f>
        <v>0</v>
      </c>
      <c r="G15" s="31">
        <f>C49*5/7+C50+C51+C52+C53*2/7</f>
        <v>0</v>
      </c>
    </row>
    <row r="16" spans="1:7" ht="15">
      <c r="A16" s="14" t="s">
        <v>64</v>
      </c>
      <c r="B16" s="66">
        <v>397.23785171736483</v>
      </c>
      <c r="C16" s="56">
        <v>0</v>
      </c>
      <c r="E16" s="30" t="s">
        <v>148</v>
      </c>
      <c r="F16" s="31">
        <f>B53*5/7+B54+B55+B56+B57*5/7</f>
        <v>889.635933580068</v>
      </c>
      <c r="G16" s="31">
        <f>C53*5/7+C54+C55+C56+C57*5/7</f>
        <v>0</v>
      </c>
    </row>
    <row r="17" spans="1:7" ht="15">
      <c r="A17" s="14" t="s">
        <v>65</v>
      </c>
      <c r="B17" s="66">
        <v>470.88835521957793</v>
      </c>
      <c r="C17" s="56">
        <v>0</v>
      </c>
      <c r="E17" s="30" t="s">
        <v>149</v>
      </c>
      <c r="F17" s="31">
        <f>B57*2/7+B58+B59+B60+B61</f>
        <v>933.9249305668545</v>
      </c>
      <c r="G17" s="31">
        <f>C57*2/7+C58+C59+C60+C61</f>
        <v>0</v>
      </c>
    </row>
    <row r="18" spans="1:7" ht="15">
      <c r="A18" s="14" t="s">
        <v>66</v>
      </c>
      <c r="B18" s="66">
        <v>462.124187242173</v>
      </c>
      <c r="C18" s="56">
        <v>0</v>
      </c>
      <c r="E18" s="30" t="s">
        <v>150</v>
      </c>
      <c r="F18" s="31">
        <f>B62+B63+B64+B65+B66*3/7</f>
        <v>1548.0815834358355</v>
      </c>
      <c r="G18" s="31">
        <f>C62+C63+C64+C65+C66*3/7</f>
        <v>0</v>
      </c>
    </row>
    <row r="19" spans="1:7" ht="15">
      <c r="A19" s="14" t="s">
        <v>67</v>
      </c>
      <c r="B19" s="66">
        <v>283.5149639196424</v>
      </c>
      <c r="C19" s="56">
        <v>0</v>
      </c>
      <c r="E19" s="30" t="s">
        <v>151</v>
      </c>
      <c r="F19" s="31">
        <f>B66*4/7+B67+B68+B69+B70*5/7</f>
        <v>1448.9814348375935</v>
      </c>
      <c r="G19" s="31">
        <f>C66*4/7+C67+C68+C69+C70*5/7</f>
        <v>0</v>
      </c>
    </row>
    <row r="20" spans="1:7" ht="15">
      <c r="A20" s="14" t="s">
        <v>68</v>
      </c>
      <c r="B20" s="66">
        <v>379.1519029359321</v>
      </c>
      <c r="C20" s="56">
        <v>0</v>
      </c>
      <c r="E20" s="30" t="s">
        <v>152</v>
      </c>
      <c r="F20" s="31">
        <f>B70*2/7+B71+B72+B73+B74+B75*1/7</f>
        <v>846.3267449911081</v>
      </c>
      <c r="G20" s="31">
        <f>C70*2/7+C71+C72+C73+C74+C75*1/7</f>
        <v>0</v>
      </c>
    </row>
    <row r="21" spans="1:7" ht="15">
      <c r="A21" s="14" t="s">
        <v>69</v>
      </c>
      <c r="B21" s="66">
        <v>330.3688954804</v>
      </c>
      <c r="C21" s="56">
        <v>0</v>
      </c>
      <c r="E21" s="30" t="s">
        <v>153</v>
      </c>
      <c r="F21" s="31">
        <f>B75*6/7+B76+B77+B78+B79*4/7</f>
        <v>568.0226600131266</v>
      </c>
      <c r="G21" s="31">
        <f>C75*6/7+C76+C77+C78+C79*4/7</f>
        <v>0</v>
      </c>
    </row>
    <row r="22" spans="1:7" ht="15">
      <c r="A22" s="14" t="s">
        <v>70</v>
      </c>
      <c r="B22" s="66">
        <v>197.97489613306954</v>
      </c>
      <c r="C22" s="56">
        <v>0</v>
      </c>
      <c r="E22" s="30" t="s">
        <v>154</v>
      </c>
      <c r="F22" s="31">
        <f>B79*3/7+B80+B81+B82+B83*6/7</f>
        <v>1285.9424857621284</v>
      </c>
      <c r="G22" s="31">
        <f>C79*3/7+C80+C81+C82+C83*6/7</f>
        <v>0</v>
      </c>
    </row>
    <row r="23" spans="1:7" ht="15">
      <c r="A23" s="14" t="s">
        <v>71</v>
      </c>
      <c r="B23" s="66">
        <v>114.16583660207606</v>
      </c>
      <c r="C23" s="56">
        <v>0</v>
      </c>
      <c r="E23" s="30" t="s">
        <v>155</v>
      </c>
      <c r="F23" s="31">
        <f>B83*1/7+B84+B85+B86+B87+B88</f>
        <v>1960.8027823391228</v>
      </c>
      <c r="G23" s="31">
        <f>C83*1/7+C84+C85+C86+C87+C88</f>
        <v>0</v>
      </c>
    </row>
    <row r="24" spans="1:7" ht="15">
      <c r="A24" s="14" t="s">
        <v>72</v>
      </c>
      <c r="B24" s="66">
        <v>268.369460044575</v>
      </c>
      <c r="C24" s="56">
        <v>0</v>
      </c>
      <c r="E24" s="12" t="s">
        <v>6</v>
      </c>
      <c r="F24" s="13">
        <f>SUM(F5:F23)</f>
        <v>21056.560500115764</v>
      </c>
      <c r="G24" s="55">
        <f>SUM(G5:G23)</f>
        <v>0</v>
      </c>
    </row>
    <row r="25" spans="1:14" ht="15">
      <c r="A25" s="14" t="s">
        <v>73</v>
      </c>
      <c r="B25" s="66">
        <v>288.28921181325956</v>
      </c>
      <c r="C25" s="56">
        <v>0</v>
      </c>
      <c r="E25" s="75" t="s">
        <v>161</v>
      </c>
      <c r="F25" s="75"/>
      <c r="G25" s="75"/>
      <c r="H25" s="75"/>
      <c r="I25" s="75"/>
      <c r="J25" s="75"/>
      <c r="K25" s="75"/>
      <c r="L25" s="75"/>
      <c r="M25" s="75"/>
      <c r="N25" s="75"/>
    </row>
    <row r="26" spans="1:3" ht="15">
      <c r="A26" s="14" t="s">
        <v>74</v>
      </c>
      <c r="B26" s="66">
        <v>193.26603820462424</v>
      </c>
      <c r="C26" s="56">
        <v>0</v>
      </c>
    </row>
    <row r="27" spans="1:3" ht="15">
      <c r="A27" s="14" t="s">
        <v>75</v>
      </c>
      <c r="B27" s="66">
        <v>378.7913080778213</v>
      </c>
      <c r="C27" s="56">
        <v>0</v>
      </c>
    </row>
    <row r="28" spans="1:12" ht="15">
      <c r="A28" s="14" t="s">
        <v>76</v>
      </c>
      <c r="B28" s="66">
        <v>476.8054101131841</v>
      </c>
      <c r="C28" s="56">
        <v>0</v>
      </c>
      <c r="I28" s="34"/>
      <c r="J28" s="2"/>
      <c r="K28" s="2"/>
      <c r="L28" s="2"/>
    </row>
    <row r="29" spans="1:12" ht="15">
      <c r="A29" s="14" t="s">
        <v>77</v>
      </c>
      <c r="B29" s="66">
        <v>546.5099623892195</v>
      </c>
      <c r="C29" s="56">
        <v>0</v>
      </c>
      <c r="I29" s="2"/>
      <c r="J29" s="2"/>
      <c r="K29" s="2"/>
      <c r="L29" s="2"/>
    </row>
    <row r="30" spans="1:12" ht="15">
      <c r="A30" s="14" t="s">
        <v>78</v>
      </c>
      <c r="B30" s="66">
        <v>566.4160437424591</v>
      </c>
      <c r="C30" s="56">
        <v>0</v>
      </c>
      <c r="L30" s="2"/>
    </row>
    <row r="31" spans="1:12" ht="15">
      <c r="A31" s="14" t="s">
        <v>79</v>
      </c>
      <c r="B31" s="66">
        <v>479.33949200836946</v>
      </c>
      <c r="C31" s="56">
        <v>0</v>
      </c>
      <c r="I31" s="35"/>
      <c r="J31" s="35"/>
      <c r="K31" s="35"/>
      <c r="L31" s="2"/>
    </row>
    <row r="32" spans="1:12" ht="15">
      <c r="A32" s="14" t="s">
        <v>80</v>
      </c>
      <c r="B32" s="66">
        <v>526.0210373653056</v>
      </c>
      <c r="C32" s="56">
        <v>0</v>
      </c>
      <c r="J32" s="36"/>
      <c r="L32" s="2"/>
    </row>
    <row r="33" spans="1:12" ht="15">
      <c r="A33" s="14" t="s">
        <v>81</v>
      </c>
      <c r="B33" s="66">
        <v>469.4808839311084</v>
      </c>
      <c r="C33" s="56">
        <v>0</v>
      </c>
      <c r="L33" s="2"/>
    </row>
    <row r="34" spans="1:12" ht="15">
      <c r="A34" s="14" t="s">
        <v>82</v>
      </c>
      <c r="B34" s="66">
        <v>461.68627429493637</v>
      </c>
      <c r="C34" s="56">
        <v>0</v>
      </c>
      <c r="L34" s="2"/>
    </row>
    <row r="35" spans="1:3" ht="15">
      <c r="A35" s="14" t="s">
        <v>83</v>
      </c>
      <c r="B35" s="66">
        <v>329.2534042638264</v>
      </c>
      <c r="C35" s="56">
        <v>0</v>
      </c>
    </row>
    <row r="36" spans="1:3" ht="15">
      <c r="A36" s="14" t="s">
        <v>84</v>
      </c>
      <c r="B36" s="66">
        <v>75.29498347211417</v>
      </c>
      <c r="C36" s="56">
        <v>0</v>
      </c>
    </row>
    <row r="37" spans="1:3" ht="15">
      <c r="A37" s="14" t="s">
        <v>85</v>
      </c>
      <c r="B37" s="65">
        <v>0</v>
      </c>
      <c r="C37" s="56">
        <v>0</v>
      </c>
    </row>
    <row r="38" spans="1:3" ht="15">
      <c r="A38" s="14" t="s">
        <v>86</v>
      </c>
      <c r="B38" s="65">
        <v>0</v>
      </c>
      <c r="C38" s="56">
        <v>0</v>
      </c>
    </row>
    <row r="39" spans="1:3" ht="15">
      <c r="A39" s="14" t="s">
        <v>87</v>
      </c>
      <c r="B39" s="65">
        <v>0</v>
      </c>
      <c r="C39" s="56">
        <v>0</v>
      </c>
    </row>
    <row r="40" spans="1:3" ht="15">
      <c r="A40" s="14" t="s">
        <v>88</v>
      </c>
      <c r="B40" s="65">
        <v>0</v>
      </c>
      <c r="C40" s="56">
        <v>0</v>
      </c>
    </row>
    <row r="41" spans="1:3" ht="15">
      <c r="A41" s="14" t="s">
        <v>89</v>
      </c>
      <c r="B41" s="65">
        <v>0</v>
      </c>
      <c r="C41" s="56">
        <v>0</v>
      </c>
    </row>
    <row r="42" spans="1:3" ht="15">
      <c r="A42" s="14" t="s">
        <v>90</v>
      </c>
      <c r="B42" s="65">
        <v>0</v>
      </c>
      <c r="C42" s="56">
        <v>0</v>
      </c>
    </row>
    <row r="43" spans="1:3" ht="15">
      <c r="A43" s="14" t="s">
        <v>91</v>
      </c>
      <c r="B43" s="65">
        <v>0</v>
      </c>
      <c r="C43" s="56">
        <v>0</v>
      </c>
    </row>
    <row r="44" spans="1:3" ht="15">
      <c r="A44" s="14" t="s">
        <v>92</v>
      </c>
      <c r="B44" s="65">
        <v>0</v>
      </c>
      <c r="C44" s="56">
        <v>0</v>
      </c>
    </row>
    <row r="45" spans="1:3" ht="15">
      <c r="A45" s="14" t="s">
        <v>93</v>
      </c>
      <c r="B45" s="65">
        <v>0</v>
      </c>
      <c r="C45" s="56">
        <v>0</v>
      </c>
    </row>
    <row r="46" spans="1:3" ht="15">
      <c r="A46" s="14" t="s">
        <v>94</v>
      </c>
      <c r="B46" s="65">
        <v>0</v>
      </c>
      <c r="C46" s="56">
        <v>0</v>
      </c>
    </row>
    <row r="47" spans="1:3" ht="15">
      <c r="A47" s="14" t="s">
        <v>95</v>
      </c>
      <c r="B47" s="65">
        <v>0</v>
      </c>
      <c r="C47" s="56">
        <v>0</v>
      </c>
    </row>
    <row r="48" spans="1:3" ht="15">
      <c r="A48" s="14" t="s">
        <v>96</v>
      </c>
      <c r="B48" s="65">
        <v>0</v>
      </c>
      <c r="C48" s="56">
        <v>0</v>
      </c>
    </row>
    <row r="49" spans="1:3" ht="15">
      <c r="A49" s="14" t="s">
        <v>97</v>
      </c>
      <c r="B49" s="65">
        <v>0</v>
      </c>
      <c r="C49" s="56">
        <v>0</v>
      </c>
    </row>
    <row r="50" spans="1:3" ht="15">
      <c r="A50" s="14" t="s">
        <v>98</v>
      </c>
      <c r="B50" s="65">
        <v>0</v>
      </c>
      <c r="C50" s="56">
        <v>0</v>
      </c>
    </row>
    <row r="51" spans="1:3" ht="15">
      <c r="A51" s="14" t="s">
        <v>99</v>
      </c>
      <c r="B51" s="65">
        <v>0</v>
      </c>
      <c r="C51" s="56">
        <v>0</v>
      </c>
    </row>
    <row r="52" spans="1:3" ht="15">
      <c r="A52" s="14" t="s">
        <v>100</v>
      </c>
      <c r="B52" s="65">
        <v>0</v>
      </c>
      <c r="C52" s="56">
        <v>0</v>
      </c>
    </row>
    <row r="53" spans="1:3" ht="15">
      <c r="A53" s="14" t="s">
        <v>101</v>
      </c>
      <c r="B53" s="65">
        <v>0</v>
      </c>
      <c r="C53" s="56">
        <v>0</v>
      </c>
    </row>
    <row r="54" spans="1:3" ht="15">
      <c r="A54" s="14" t="s">
        <v>102</v>
      </c>
      <c r="B54" s="66">
        <v>0</v>
      </c>
      <c r="C54" s="56">
        <v>0</v>
      </c>
    </row>
    <row r="55" spans="1:3" ht="15">
      <c r="A55" s="14" t="s">
        <v>103</v>
      </c>
      <c r="B55" s="66">
        <v>257.6577603745314</v>
      </c>
      <c r="C55" s="56">
        <v>0</v>
      </c>
    </row>
    <row r="56" spans="1:3" ht="15">
      <c r="A56" s="14" t="s">
        <v>104</v>
      </c>
      <c r="B56" s="66">
        <v>377.0086036810667</v>
      </c>
      <c r="C56" s="56">
        <v>0</v>
      </c>
    </row>
    <row r="57" spans="1:3" ht="15">
      <c r="A57" s="14" t="s">
        <v>105</v>
      </c>
      <c r="B57" s="66">
        <v>356.9573973342581</v>
      </c>
      <c r="C57" s="56">
        <v>0</v>
      </c>
    </row>
    <row r="58" spans="1:3" ht="15">
      <c r="A58" s="14" t="s">
        <v>106</v>
      </c>
      <c r="B58" s="66">
        <v>187.92347865115983</v>
      </c>
      <c r="C58" s="56">
        <v>0</v>
      </c>
    </row>
    <row r="59" spans="1:3" ht="15">
      <c r="A59" s="14" t="s">
        <v>107</v>
      </c>
      <c r="B59" s="66">
        <v>40.692844549825914</v>
      </c>
      <c r="C59" s="56">
        <v>0</v>
      </c>
    </row>
    <row r="60" spans="1:3" ht="15">
      <c r="A60" s="14" t="s">
        <v>108</v>
      </c>
      <c r="B60" s="66">
        <v>103.1218596934955</v>
      </c>
      <c r="C60" s="56">
        <v>0</v>
      </c>
    </row>
    <row r="61" spans="1:3" ht="15">
      <c r="A61" s="14" t="s">
        <v>109</v>
      </c>
      <c r="B61" s="66">
        <v>500.1989198625853</v>
      </c>
      <c r="C61" s="56">
        <v>0</v>
      </c>
    </row>
    <row r="62" spans="1:3" ht="15">
      <c r="A62" s="14" t="s">
        <v>110</v>
      </c>
      <c r="B62" s="66">
        <v>472.1612380240553</v>
      </c>
      <c r="C62" s="56">
        <v>0</v>
      </c>
    </row>
    <row r="63" spans="1:3" ht="15">
      <c r="A63" s="14" t="s">
        <v>111</v>
      </c>
      <c r="B63" s="66">
        <v>275.5929916249423</v>
      </c>
      <c r="C63" s="56">
        <v>0</v>
      </c>
    </row>
    <row r="64" spans="1:3" ht="15">
      <c r="A64" s="14" t="s">
        <v>112</v>
      </c>
      <c r="B64" s="66">
        <v>320.2236140343382</v>
      </c>
      <c r="C64" s="56">
        <v>0</v>
      </c>
    </row>
    <row r="65" spans="1:3" ht="15">
      <c r="A65" s="14" t="s">
        <v>113</v>
      </c>
      <c r="B65" s="66">
        <v>369.03041283238167</v>
      </c>
      <c r="C65" s="56">
        <v>0</v>
      </c>
    </row>
    <row r="66" spans="1:3" ht="15">
      <c r="A66" s="14" t="s">
        <v>114</v>
      </c>
      <c r="B66" s="66">
        <v>259.171096146942</v>
      </c>
      <c r="C66" s="56">
        <v>0</v>
      </c>
    </row>
    <row r="67" spans="1:3" ht="15">
      <c r="A67" s="14" t="s">
        <v>115</v>
      </c>
      <c r="B67" s="66">
        <v>284.06147221419803</v>
      </c>
      <c r="C67" s="56">
        <v>0</v>
      </c>
    </row>
    <row r="68" spans="1:3" ht="15">
      <c r="A68" s="14" t="s">
        <v>116</v>
      </c>
      <c r="B68" s="66">
        <v>415.2590508416845</v>
      </c>
      <c r="C68" s="56">
        <v>0</v>
      </c>
    </row>
    <row r="69" spans="1:3" ht="15">
      <c r="A69" s="14" t="s">
        <v>117</v>
      </c>
      <c r="B69" s="66">
        <v>296.25977495427566</v>
      </c>
      <c r="C69" s="56">
        <v>0</v>
      </c>
    </row>
    <row r="70" spans="1:3" ht="15">
      <c r="A70" s="14" t="s">
        <v>118</v>
      </c>
      <c r="B70" s="66">
        <v>427.4247146408561</v>
      </c>
      <c r="C70" s="56">
        <v>0</v>
      </c>
    </row>
    <row r="71" spans="1:3" ht="15">
      <c r="A71" s="14" t="s">
        <v>119</v>
      </c>
      <c r="B71" s="66">
        <v>387.775228756467</v>
      </c>
      <c r="C71" s="56">
        <v>0</v>
      </c>
    </row>
    <row r="72" spans="1:3" ht="15">
      <c r="A72" s="14" t="s">
        <v>120</v>
      </c>
      <c r="B72" s="66">
        <v>100.21384607336212</v>
      </c>
      <c r="C72" s="56">
        <v>0</v>
      </c>
    </row>
    <row r="73" spans="1:3" ht="15">
      <c r="A73" s="14" t="s">
        <v>121</v>
      </c>
      <c r="B73" s="66">
        <v>114.96320923201796</v>
      </c>
      <c r="C73" s="56">
        <v>0</v>
      </c>
    </row>
    <row r="74" spans="1:3" ht="15">
      <c r="A74" s="14" t="s">
        <v>122</v>
      </c>
      <c r="B74" s="66">
        <v>89.4373388400662</v>
      </c>
      <c r="C74" s="56">
        <v>0</v>
      </c>
    </row>
    <row r="75" spans="1:3" ht="15">
      <c r="A75" s="14" t="s">
        <v>123</v>
      </c>
      <c r="B75" s="66">
        <v>222.71042534265084</v>
      </c>
      <c r="C75" s="56">
        <v>0</v>
      </c>
    </row>
    <row r="76" spans="1:3" ht="15">
      <c r="A76" s="14" t="s">
        <v>124</v>
      </c>
      <c r="B76" s="66">
        <v>372.9871250405858</v>
      </c>
      <c r="C76" s="56">
        <v>0</v>
      </c>
    </row>
    <row r="77" spans="1:3" ht="15">
      <c r="A77" s="14" t="s">
        <v>125</v>
      </c>
      <c r="B77" s="66">
        <v>4.140884678840002</v>
      </c>
      <c r="C77" s="56">
        <v>0</v>
      </c>
    </row>
    <row r="78" spans="1:3" ht="15">
      <c r="A78" s="14" t="s">
        <v>126</v>
      </c>
      <c r="B78" s="65">
        <v>0</v>
      </c>
      <c r="C78" s="56">
        <v>0</v>
      </c>
    </row>
    <row r="79" spans="1:3" ht="15">
      <c r="A79" s="14" t="s">
        <v>127</v>
      </c>
      <c r="B79" s="65">
        <v>0</v>
      </c>
      <c r="C79" s="56">
        <v>0</v>
      </c>
    </row>
    <row r="80" spans="1:3" ht="15">
      <c r="A80" s="14" t="s">
        <v>128</v>
      </c>
      <c r="B80" s="66">
        <v>165.5970267866463</v>
      </c>
      <c r="C80" s="56">
        <v>0</v>
      </c>
    </row>
    <row r="81" spans="1:3" ht="15">
      <c r="A81" s="14" t="s">
        <v>129</v>
      </c>
      <c r="B81" s="66">
        <v>288.72276576394995</v>
      </c>
      <c r="C81" s="56">
        <v>0</v>
      </c>
    </row>
    <row r="82" spans="1:3" ht="15">
      <c r="A82" s="14" t="s">
        <v>130</v>
      </c>
      <c r="B82" s="66">
        <v>439.37000206304583</v>
      </c>
      <c r="C82" s="56">
        <v>0</v>
      </c>
    </row>
    <row r="83" spans="1:3" ht="15">
      <c r="A83" s="14" t="s">
        <v>131</v>
      </c>
      <c r="B83" s="66">
        <v>457.6281396732339</v>
      </c>
      <c r="C83" s="56">
        <v>0</v>
      </c>
    </row>
    <row r="84" spans="1:3" ht="15">
      <c r="A84" s="14" t="s">
        <v>132</v>
      </c>
      <c r="B84" s="66">
        <v>453.89881639935317</v>
      </c>
      <c r="C84" s="56">
        <v>0</v>
      </c>
    </row>
    <row r="85" spans="1:3" ht="15">
      <c r="A85" s="14" t="s">
        <v>133</v>
      </c>
      <c r="B85" s="66">
        <v>466.02859985186615</v>
      </c>
      <c r="C85" s="56">
        <v>0</v>
      </c>
    </row>
    <row r="86" spans="1:3" ht="15">
      <c r="A86" s="14" t="s">
        <v>134</v>
      </c>
      <c r="B86" s="66">
        <v>431.1430182934735</v>
      </c>
      <c r="C86" s="56">
        <v>0</v>
      </c>
    </row>
    <row r="87" spans="1:3" ht="15">
      <c r="A87" s="14" t="s">
        <v>135</v>
      </c>
      <c r="B87" s="66">
        <v>412.6474765500375</v>
      </c>
      <c r="C87" s="56">
        <v>0</v>
      </c>
    </row>
    <row r="88" spans="1:3" ht="15">
      <c r="A88" s="14" t="s">
        <v>136</v>
      </c>
      <c r="B88" s="66">
        <v>131.7094227196449</v>
      </c>
      <c r="C88" s="56">
        <v>0</v>
      </c>
    </row>
    <row r="89" spans="1:3" ht="15">
      <c r="A89" s="12" t="s">
        <v>6</v>
      </c>
      <c r="B89" s="13">
        <f>SUM(B5:B88)</f>
        <v>21056.56050011577</v>
      </c>
      <c r="C89" s="55">
        <f>SUM(C5:C88)</f>
        <v>0</v>
      </c>
    </row>
  </sheetData>
  <sheetProtection/>
  <mergeCells count="1">
    <mergeCell ref="E25:N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F1">
      <pane ySplit="4" topLeftCell="A5" activePane="bottomLeft" state="frozen"/>
      <selection pane="topLeft" activeCell="A1" sqref="A1"/>
      <selection pane="bottomLeft" activeCell="N7" sqref="N7"/>
    </sheetView>
  </sheetViews>
  <sheetFormatPr defaultColWidth="9.140625" defaultRowHeight="15" outlineLevelCol="1"/>
  <cols>
    <col min="1" max="1" width="30.7109375" style="4" customWidth="1"/>
    <col min="2" max="2" width="25.7109375" style="4" customWidth="1"/>
    <col min="3" max="3" width="20.7109375" style="4" customWidth="1"/>
    <col min="4" max="4" width="5.7109375" style="4" customWidth="1"/>
    <col min="5" max="5" width="30.7109375" style="4" customWidth="1"/>
    <col min="6" max="6" width="25.7109375" style="4" customWidth="1"/>
    <col min="7" max="7" width="15.7109375" style="4" customWidth="1"/>
    <col min="8" max="8" width="5.7109375" style="4" customWidth="1"/>
    <col min="9" max="10" width="30.7109375" style="4" customWidth="1"/>
    <col min="11" max="11" width="15.7109375" style="4" hidden="1" customWidth="1" outlineLevel="1"/>
    <col min="12" max="12" width="30.7109375" style="4" hidden="1" customWidth="1" outlineLevel="1"/>
    <col min="13" max="13" width="30.7109375" style="4" customWidth="1" collapsed="1"/>
    <col min="14" max="14" width="30.7109375" style="4" customWidth="1"/>
    <col min="15" max="18" width="15.7109375" style="4" customWidth="1"/>
    <col min="19" max="16384" width="9.140625" style="4" customWidth="1"/>
  </cols>
  <sheetData>
    <row r="1" spans="1:14" ht="18">
      <c r="A1" s="7" t="s">
        <v>9</v>
      </c>
      <c r="B1" s="64" t="s">
        <v>162</v>
      </c>
      <c r="C1" s="8"/>
      <c r="D1" s="10"/>
      <c r="E1" s="40" t="s">
        <v>45</v>
      </c>
      <c r="F1" s="27"/>
      <c r="G1" s="27"/>
      <c r="I1" s="37" t="s">
        <v>36</v>
      </c>
      <c r="J1" s="38">
        <f>J2*44/12</f>
        <v>69.3</v>
      </c>
      <c r="K1" s="37" t="s">
        <v>35</v>
      </c>
      <c r="L1" s="39" t="s">
        <v>37</v>
      </c>
      <c r="M1" s="27"/>
      <c r="N1" s="27"/>
    </row>
    <row r="2" spans="1:14" ht="15">
      <c r="A2" s="9">
        <v>40269</v>
      </c>
      <c r="B2" s="3" t="s">
        <v>1</v>
      </c>
      <c r="C2" s="3"/>
      <c r="D2" s="6"/>
      <c r="E2" s="28"/>
      <c r="F2" s="28"/>
      <c r="G2" s="28"/>
      <c r="I2" s="5" t="s">
        <v>34</v>
      </c>
      <c r="J2" s="4">
        <v>18.9</v>
      </c>
      <c r="K2" s="5" t="s">
        <v>38</v>
      </c>
      <c r="L2" s="5" t="s">
        <v>31</v>
      </c>
      <c r="M2" s="28"/>
      <c r="N2" s="28"/>
    </row>
    <row r="3" spans="1:14" ht="15">
      <c r="A3" s="9">
        <v>40847.99930555555</v>
      </c>
      <c r="B3" s="3" t="s">
        <v>2</v>
      </c>
      <c r="C3" s="3"/>
      <c r="D3" s="6"/>
      <c r="E3" s="28"/>
      <c r="F3" s="28"/>
      <c r="G3" s="28"/>
      <c r="I3" s="5" t="s">
        <v>32</v>
      </c>
      <c r="J3" s="4">
        <f>34.66*10^-6</f>
        <v>3.466E-05</v>
      </c>
      <c r="K3" s="5" t="s">
        <v>39</v>
      </c>
      <c r="L3" s="5" t="s">
        <v>33</v>
      </c>
      <c r="M3" s="28"/>
      <c r="N3" s="28"/>
    </row>
    <row r="4" spans="1:14" s="29" customFormat="1" ht="51">
      <c r="A4" s="1" t="s">
        <v>0</v>
      </c>
      <c r="B4" s="1" t="s">
        <v>8</v>
      </c>
      <c r="C4" s="1" t="s">
        <v>30</v>
      </c>
      <c r="D4" s="11"/>
      <c r="E4" s="1" t="s">
        <v>159</v>
      </c>
      <c r="F4" s="1" t="s">
        <v>10</v>
      </c>
      <c r="G4" s="1" t="s">
        <v>30</v>
      </c>
      <c r="H4" s="11"/>
      <c r="I4" s="1" t="s">
        <v>160</v>
      </c>
      <c r="J4" s="1" t="s">
        <v>44</v>
      </c>
      <c r="K4" s="1" t="s">
        <v>40</v>
      </c>
      <c r="L4" s="1" t="s">
        <v>42</v>
      </c>
      <c r="M4" s="1" t="s">
        <v>43</v>
      </c>
      <c r="N4" s="1" t="s">
        <v>41</v>
      </c>
    </row>
    <row r="5" spans="1:14" ht="15">
      <c r="A5" s="14" t="s">
        <v>53</v>
      </c>
      <c r="B5" s="65">
        <v>0</v>
      </c>
      <c r="C5" s="56">
        <v>0</v>
      </c>
      <c r="E5" s="30" t="s">
        <v>137</v>
      </c>
      <c r="F5" s="31">
        <f>B5+B6+B7+B8+B9*6/7</f>
        <v>982.0536496417418</v>
      </c>
      <c r="G5" s="31">
        <f>C5+C6+C7+C8+C9*6/7</f>
        <v>0</v>
      </c>
      <c r="I5" s="33" t="s">
        <v>5</v>
      </c>
      <c r="J5" s="31">
        <f>SUM(F5:F13)</f>
        <v>21570.18241516547</v>
      </c>
      <c r="K5" s="32">
        <f>SUM(G5:G13)</f>
        <v>0</v>
      </c>
      <c r="L5" s="32">
        <f>K5*$J$3</f>
        <v>0</v>
      </c>
      <c r="M5" s="32">
        <f>L5*$J$1</f>
        <v>0</v>
      </c>
      <c r="N5" s="31">
        <f>J5-M5</f>
        <v>21570.18241516547</v>
      </c>
    </row>
    <row r="6" spans="1:14" ht="15">
      <c r="A6" s="14" t="s">
        <v>54</v>
      </c>
      <c r="B6" s="65">
        <v>0</v>
      </c>
      <c r="C6" s="56">
        <v>0</v>
      </c>
      <c r="E6" s="30" t="s">
        <v>138</v>
      </c>
      <c r="F6" s="31">
        <f>B9*1/7+B10+B11+B12+B13+B14*2/7</f>
        <v>2421.181828538941</v>
      </c>
      <c r="G6" s="31">
        <f>C9*1/7+C10+C11+C12+C13+C14*2/7</f>
        <v>0</v>
      </c>
      <c r="I6" s="33" t="s">
        <v>156</v>
      </c>
      <c r="J6" s="31">
        <f>SUM(F14:F23)</f>
        <v>20335.514547159502</v>
      </c>
      <c r="K6" s="32">
        <f>SUM(G14:G23)</f>
        <v>0</v>
      </c>
      <c r="L6" s="32">
        <f>K6*$J$3</f>
        <v>0</v>
      </c>
      <c r="M6" s="32">
        <f>L6*$J$1</f>
        <v>0</v>
      </c>
      <c r="N6" s="31">
        <f>J6-M6</f>
        <v>20335.514547159502</v>
      </c>
    </row>
    <row r="7" spans="1:14" ht="15">
      <c r="A7" s="14" t="s">
        <v>55</v>
      </c>
      <c r="B7" s="66">
        <v>152.513010017396</v>
      </c>
      <c r="C7" s="56">
        <v>0</v>
      </c>
      <c r="E7" s="30" t="s">
        <v>139</v>
      </c>
      <c r="F7" s="31">
        <f>B14*5/7+B15+B16+B17+B18*4/7</f>
        <v>2664.4929405451676</v>
      </c>
      <c r="G7" s="31">
        <f>C14*5/7+C15+C16+C17+C18*4/7</f>
        <v>0</v>
      </c>
      <c r="I7" s="12" t="s">
        <v>6</v>
      </c>
      <c r="J7" s="13">
        <f>SUM(J5:J6)</f>
        <v>41905.696962324975</v>
      </c>
      <c r="K7" s="26">
        <f>SUM(K5:K6)</f>
        <v>0</v>
      </c>
      <c r="L7" s="26">
        <f>SUM(L5:L6)</f>
        <v>0</v>
      </c>
      <c r="M7" s="26">
        <f>SUM(M5:M6)</f>
        <v>0</v>
      </c>
      <c r="N7" s="13">
        <f>SUM(N5:N6)</f>
        <v>41905.696962324975</v>
      </c>
    </row>
    <row r="8" spans="1:7" ht="15">
      <c r="A8" s="14" t="s">
        <v>56</v>
      </c>
      <c r="B8" s="66">
        <v>278.6402623118379</v>
      </c>
      <c r="C8" s="56">
        <v>0</v>
      </c>
      <c r="E8" s="30" t="s">
        <v>140</v>
      </c>
      <c r="F8" s="31">
        <f>B18*3/7+B19+B20+B21+B22</f>
        <v>2427.5044719071543</v>
      </c>
      <c r="G8" s="31">
        <f>C18*3/7+C19+C20+C21+C22</f>
        <v>0</v>
      </c>
    </row>
    <row r="9" spans="1:7" ht="15">
      <c r="A9" s="14" t="s">
        <v>57</v>
      </c>
      <c r="B9" s="66">
        <v>642.7171068645926</v>
      </c>
      <c r="C9" s="56">
        <v>0</v>
      </c>
      <c r="E9" s="30" t="s">
        <v>141</v>
      </c>
      <c r="F9" s="31">
        <f>B23+B24+B25+B26+B27*3/7</f>
        <v>2458.1134893578587</v>
      </c>
      <c r="G9" s="31">
        <f>C23+C24+C25+C26+C27*3/7</f>
        <v>0</v>
      </c>
    </row>
    <row r="10" spans="1:7" ht="15">
      <c r="A10" s="14" t="s">
        <v>58</v>
      </c>
      <c r="B10" s="66">
        <v>235.9639207893658</v>
      </c>
      <c r="C10" s="56">
        <v>0</v>
      </c>
      <c r="E10" s="30" t="s">
        <v>142</v>
      </c>
      <c r="F10" s="31">
        <f>B27*4/7+B28+B29+B30+B31*5/7</f>
        <v>2323.6011601043397</v>
      </c>
      <c r="G10" s="31">
        <f>C27*4/7+C28+C29+C30+C31*5/7</f>
        <v>0</v>
      </c>
    </row>
    <row r="11" spans="1:7" ht="15">
      <c r="A11" s="14" t="s">
        <v>59</v>
      </c>
      <c r="B11" s="66">
        <v>591.9057308649793</v>
      </c>
      <c r="C11" s="56">
        <v>0</v>
      </c>
      <c r="E11" s="30" t="s">
        <v>143</v>
      </c>
      <c r="F11" s="31">
        <f>B31*2/7+B32+B33+B34+B35+B36*1/7</f>
        <v>3089.3640282081583</v>
      </c>
      <c r="G11" s="31">
        <f>C31*2/7+C32+C33+C34+C35+C36*1/7</f>
        <v>0</v>
      </c>
    </row>
    <row r="12" spans="1:7" ht="15">
      <c r="A12" s="14" t="s">
        <v>60</v>
      </c>
      <c r="B12" s="66">
        <v>693.1706464680472</v>
      </c>
      <c r="C12" s="56">
        <v>0</v>
      </c>
      <c r="E12" s="30" t="s">
        <v>144</v>
      </c>
      <c r="F12" s="31">
        <f>B36*6/7+B37+B38+B39+B40*3/7</f>
        <v>2985.1488817533336</v>
      </c>
      <c r="G12" s="31">
        <f>C36*6/7+C37+C38+C39+C40*3/7</f>
        <v>0</v>
      </c>
    </row>
    <row r="13" spans="1:7" ht="15">
      <c r="A13" s="14" t="s">
        <v>61</v>
      </c>
      <c r="B13" s="66">
        <v>651.9225692628318</v>
      </c>
      <c r="C13" s="56">
        <v>0</v>
      </c>
      <c r="E13" s="30" t="s">
        <v>145</v>
      </c>
      <c r="F13" s="31">
        <f>B40*4/7+B41+B42+B43+B44*6/7</f>
        <v>2218.7219651087757</v>
      </c>
      <c r="G13" s="31">
        <f>C40*4/7+C41+C42+C43+C44*6/7</f>
        <v>0</v>
      </c>
    </row>
    <row r="14" spans="1:7" ht="15">
      <c r="A14" s="14" t="s">
        <v>62</v>
      </c>
      <c r="B14" s="66">
        <v>547.4078106057118</v>
      </c>
      <c r="C14" s="56">
        <v>0</v>
      </c>
      <c r="E14" s="30" t="s">
        <v>146</v>
      </c>
      <c r="F14" s="31">
        <f>B44*1/7+B45+B46+B47+B48+B49*2/7</f>
        <v>0</v>
      </c>
      <c r="G14" s="31">
        <f>C44*1/7+C45+C46+C47+C48+C49*2/7</f>
        <v>0</v>
      </c>
    </row>
    <row r="15" spans="1:7" ht="15">
      <c r="A15" s="14" t="s">
        <v>63</v>
      </c>
      <c r="B15" s="66">
        <v>561.7823956103538</v>
      </c>
      <c r="C15" s="56">
        <v>0</v>
      </c>
      <c r="E15" s="30" t="s">
        <v>147</v>
      </c>
      <c r="F15" s="31">
        <f>B49*5/7+B50+B51+B52+B53*2/7</f>
        <v>0</v>
      </c>
      <c r="G15" s="31">
        <f>C49*5/7+C50+C51+C52+C53*2/7</f>
        <v>0</v>
      </c>
    </row>
    <row r="16" spans="1:7" ht="15">
      <c r="A16" s="14" t="s">
        <v>64</v>
      </c>
      <c r="B16" s="66">
        <v>638.6658496391216</v>
      </c>
      <c r="C16" s="56">
        <v>0</v>
      </c>
      <c r="E16" s="30" t="s">
        <v>148</v>
      </c>
      <c r="F16" s="31">
        <f>B53*5/7+B54+B55+B56+B57*5/7</f>
        <v>0</v>
      </c>
      <c r="G16" s="31">
        <f>C53*5/7+C54+C55+C56+C57*5/7</f>
        <v>0</v>
      </c>
    </row>
    <row r="17" spans="1:7" ht="15">
      <c r="A17" s="14" t="s">
        <v>65</v>
      </c>
      <c r="B17" s="66">
        <v>672.7103665878846</v>
      </c>
      <c r="C17" s="56">
        <v>0</v>
      </c>
      <c r="E17" s="30" t="s">
        <v>149</v>
      </c>
      <c r="F17" s="31">
        <f>B57*2/7+B58+B59+B60+B61</f>
        <v>2540.7765533146176</v>
      </c>
      <c r="G17" s="31">
        <f>C57*2/7+C58+C59+C60+C61</f>
        <v>0</v>
      </c>
    </row>
    <row r="18" spans="1:7" ht="15">
      <c r="A18" s="14" t="s">
        <v>66</v>
      </c>
      <c r="B18" s="66">
        <v>700.5753119815242</v>
      </c>
      <c r="C18" s="56">
        <v>0</v>
      </c>
      <c r="E18" s="30" t="s">
        <v>150</v>
      </c>
      <c r="F18" s="31">
        <f>B62+B63+B64+B65+B66*3/7</f>
        <v>2157.921124685372</v>
      </c>
      <c r="G18" s="31">
        <f>C62+C63+C64+C65+C66*3/7</f>
        <v>0</v>
      </c>
    </row>
    <row r="19" spans="1:7" ht="15">
      <c r="A19" s="14" t="s">
        <v>67</v>
      </c>
      <c r="B19" s="66">
        <v>694.4947003039621</v>
      </c>
      <c r="C19" s="56">
        <v>0</v>
      </c>
      <c r="E19" s="30" t="s">
        <v>151</v>
      </c>
      <c r="F19" s="31">
        <f>B66*4/7+B67+B68+B69+B70*5/7</f>
        <v>3168.0097372605596</v>
      </c>
      <c r="G19" s="31">
        <f>C66*4/7+C67+C68+C69+C70*5/7</f>
        <v>0</v>
      </c>
    </row>
    <row r="20" spans="1:7" ht="15">
      <c r="A20" s="14" t="s">
        <v>68</v>
      </c>
      <c r="B20" s="66">
        <v>609.4530744914825</v>
      </c>
      <c r="C20" s="56">
        <v>0</v>
      </c>
      <c r="E20" s="30" t="s">
        <v>152</v>
      </c>
      <c r="F20" s="31">
        <f>B70*2/7+B71+B72+B73+B74+B75*1/7</f>
        <v>3291.904214101035</v>
      </c>
      <c r="G20" s="31">
        <f>C70*2/7+C71+C72+C73+C74+C75*1/7</f>
        <v>0</v>
      </c>
    </row>
    <row r="21" spans="1:7" ht="15">
      <c r="A21" s="14" t="s">
        <v>69</v>
      </c>
      <c r="B21" s="66">
        <v>404.21777696234216</v>
      </c>
      <c r="C21" s="56">
        <v>0</v>
      </c>
      <c r="E21" s="30" t="s">
        <v>153</v>
      </c>
      <c r="F21" s="31">
        <f>B75*6/7+B76+B77+B78+B79*4/7</f>
        <v>3012.608535843518</v>
      </c>
      <c r="G21" s="31">
        <f>C75*6/7+C76+C77+C78+C79*4/7</f>
        <v>0</v>
      </c>
    </row>
    <row r="22" spans="1:7" ht="15">
      <c r="A22" s="14" t="s">
        <v>70</v>
      </c>
      <c r="B22" s="66">
        <v>419.0923578715714</v>
      </c>
      <c r="C22" s="56">
        <v>0</v>
      </c>
      <c r="E22" s="30" t="s">
        <v>154</v>
      </c>
      <c r="F22" s="31">
        <f>B79*3/7+B80+B81+B82+B83*6/7</f>
        <v>3116.7402889359937</v>
      </c>
      <c r="G22" s="31">
        <f>C79*3/7+C80+C81+C82+C83*6/7</f>
        <v>0</v>
      </c>
    </row>
    <row r="23" spans="1:7" ht="15">
      <c r="A23" s="14" t="s">
        <v>71</v>
      </c>
      <c r="B23" s="66">
        <v>232.789544952985</v>
      </c>
      <c r="C23" s="56">
        <v>0</v>
      </c>
      <c r="E23" s="30" t="s">
        <v>155</v>
      </c>
      <c r="F23" s="31">
        <f>B83*1/7+B84+B85+B86+B87+B88</f>
        <v>3047.5540930184084</v>
      </c>
      <c r="G23" s="31">
        <f>C83*1/7+C84+C85+C86+C87+C88</f>
        <v>0</v>
      </c>
    </row>
    <row r="24" spans="1:7" ht="15">
      <c r="A24" s="14" t="s">
        <v>72</v>
      </c>
      <c r="B24" s="66">
        <v>578.0059724532083</v>
      </c>
      <c r="C24" s="56">
        <v>0</v>
      </c>
      <c r="E24" s="12" t="s">
        <v>6</v>
      </c>
      <c r="F24" s="13">
        <f>SUM(F5:F23)</f>
        <v>41905.696962324975</v>
      </c>
      <c r="G24" s="55">
        <f>SUM(G5:G23)</f>
        <v>0</v>
      </c>
    </row>
    <row r="25" spans="1:14" ht="15">
      <c r="A25" s="14" t="s">
        <v>73</v>
      </c>
      <c r="B25" s="66">
        <v>757.4336165628121</v>
      </c>
      <c r="C25" s="56">
        <v>0</v>
      </c>
      <c r="E25" s="75" t="s">
        <v>161</v>
      </c>
      <c r="F25" s="75"/>
      <c r="G25" s="75"/>
      <c r="H25" s="75"/>
      <c r="I25" s="75"/>
      <c r="J25" s="75"/>
      <c r="K25" s="75"/>
      <c r="L25" s="75"/>
      <c r="M25" s="75"/>
      <c r="N25" s="75"/>
    </row>
    <row r="26" spans="1:3" ht="15">
      <c r="A26" s="14" t="s">
        <v>74</v>
      </c>
      <c r="B26" s="66">
        <v>651.1610463737671</v>
      </c>
      <c r="C26" s="56">
        <v>0</v>
      </c>
    </row>
    <row r="27" spans="1:3" ht="15">
      <c r="A27" s="14" t="s">
        <v>75</v>
      </c>
      <c r="B27" s="66">
        <v>557.0210543685344</v>
      </c>
      <c r="C27" s="56">
        <v>0</v>
      </c>
    </row>
    <row r="28" spans="1:12" ht="15">
      <c r="A28" s="14" t="s">
        <v>76</v>
      </c>
      <c r="B28" s="66">
        <v>470.4149325280009</v>
      </c>
      <c r="C28" s="56">
        <v>0</v>
      </c>
      <c r="I28" s="34"/>
      <c r="J28" s="2"/>
      <c r="K28" s="2"/>
      <c r="L28" s="2"/>
    </row>
    <row r="29" spans="1:12" ht="15">
      <c r="A29" s="14" t="s">
        <v>77</v>
      </c>
      <c r="B29" s="66">
        <v>551.8939900353176</v>
      </c>
      <c r="C29" s="56">
        <v>0</v>
      </c>
      <c r="I29" s="2"/>
      <c r="J29" s="2"/>
      <c r="K29" s="2"/>
      <c r="L29" s="2"/>
    </row>
    <row r="30" spans="1:12" ht="15">
      <c r="A30" s="14" t="s">
        <v>78</v>
      </c>
      <c r="B30" s="66">
        <v>606.0418943655321</v>
      </c>
      <c r="C30" s="56">
        <v>0</v>
      </c>
      <c r="L30" s="2"/>
    </row>
    <row r="31" spans="1:12" ht="15">
      <c r="A31" s="14" t="s">
        <v>79</v>
      </c>
      <c r="B31" s="66">
        <v>527.733636950857</v>
      </c>
      <c r="C31" s="56">
        <v>0</v>
      </c>
      <c r="I31" s="35"/>
      <c r="J31" s="35"/>
      <c r="K31" s="35"/>
      <c r="L31" s="2"/>
    </row>
    <row r="32" spans="1:12" ht="15">
      <c r="A32" s="14" t="s">
        <v>80</v>
      </c>
      <c r="B32" s="66">
        <v>810.722132318676</v>
      </c>
      <c r="C32" s="56">
        <v>0</v>
      </c>
      <c r="J32" s="36"/>
      <c r="L32" s="2"/>
    </row>
    <row r="33" spans="1:12" ht="15">
      <c r="A33" s="14" t="s">
        <v>81</v>
      </c>
      <c r="B33" s="66">
        <v>520.4852287269903</v>
      </c>
      <c r="C33" s="56">
        <v>0</v>
      </c>
      <c r="L33" s="2"/>
    </row>
    <row r="34" spans="1:12" ht="15">
      <c r="A34" s="14" t="s">
        <v>82</v>
      </c>
      <c r="B34" s="66">
        <v>763.2361457678559</v>
      </c>
      <c r="C34" s="56">
        <v>0</v>
      </c>
      <c r="L34" s="2"/>
    </row>
    <row r="35" spans="1:3" ht="15">
      <c r="A35" s="14" t="s">
        <v>83</v>
      </c>
      <c r="B35" s="66">
        <v>763.590521037188</v>
      </c>
      <c r="C35" s="56">
        <v>0</v>
      </c>
    </row>
    <row r="36" spans="1:3" ht="15">
      <c r="A36" s="14" t="s">
        <v>84</v>
      </c>
      <c r="B36" s="66">
        <v>563.8427286004238</v>
      </c>
      <c r="C36" s="56">
        <v>0</v>
      </c>
    </row>
    <row r="37" spans="1:3" ht="15">
      <c r="A37" s="14" t="s">
        <v>85</v>
      </c>
      <c r="B37" s="66">
        <v>695.6083996428307</v>
      </c>
      <c r="C37" s="56">
        <v>0</v>
      </c>
    </row>
    <row r="38" spans="1:3" ht="15">
      <c r="A38" s="14" t="s">
        <v>86</v>
      </c>
      <c r="B38" s="66">
        <v>813.0032462719062</v>
      </c>
      <c r="C38" s="56">
        <v>0</v>
      </c>
    </row>
    <row r="39" spans="1:3" ht="15">
      <c r="A39" s="14" t="s">
        <v>87</v>
      </c>
      <c r="B39" s="66">
        <v>732.7881213875567</v>
      </c>
      <c r="C39" s="56">
        <v>0</v>
      </c>
    </row>
    <row r="40" spans="1:3" ht="15">
      <c r="A40" s="14" t="s">
        <v>88</v>
      </c>
      <c r="B40" s="66">
        <v>607.7291431849122</v>
      </c>
      <c r="C40" s="56">
        <v>0</v>
      </c>
    </row>
    <row r="41" spans="1:3" ht="15">
      <c r="A41" s="14" t="s">
        <v>89</v>
      </c>
      <c r="B41" s="66">
        <v>826.4910883313818</v>
      </c>
      <c r="C41" s="56">
        <v>0</v>
      </c>
    </row>
    <row r="42" spans="1:3" ht="15">
      <c r="A42" s="14" t="s">
        <v>90</v>
      </c>
      <c r="B42" s="66">
        <v>628.7411317156053</v>
      </c>
      <c r="C42" s="56">
        <v>0</v>
      </c>
    </row>
    <row r="43" spans="1:3" ht="15">
      <c r="A43" s="14" t="s">
        <v>91</v>
      </c>
      <c r="B43" s="66">
        <v>416.2159489561246</v>
      </c>
      <c r="C43" s="56">
        <v>0</v>
      </c>
    </row>
    <row r="44" spans="1:3" ht="15">
      <c r="A44" s="14" t="s">
        <v>92</v>
      </c>
      <c r="B44" s="65">
        <v>0</v>
      </c>
      <c r="C44" s="56">
        <v>0</v>
      </c>
    </row>
    <row r="45" spans="1:3" ht="15">
      <c r="A45" s="14" t="s">
        <v>93</v>
      </c>
      <c r="B45" s="65">
        <v>0</v>
      </c>
      <c r="C45" s="56">
        <v>0</v>
      </c>
    </row>
    <row r="46" spans="1:3" ht="15">
      <c r="A46" s="14" t="s">
        <v>94</v>
      </c>
      <c r="B46" s="65">
        <v>0</v>
      </c>
      <c r="C46" s="56">
        <v>0</v>
      </c>
    </row>
    <row r="47" spans="1:3" ht="15">
      <c r="A47" s="14" t="s">
        <v>95</v>
      </c>
      <c r="B47" s="65">
        <v>0</v>
      </c>
      <c r="C47" s="56">
        <v>0</v>
      </c>
    </row>
    <row r="48" spans="1:3" ht="15">
      <c r="A48" s="14" t="s">
        <v>96</v>
      </c>
      <c r="B48" s="65">
        <v>0</v>
      </c>
      <c r="C48" s="56">
        <v>0</v>
      </c>
    </row>
    <row r="49" spans="1:3" ht="15">
      <c r="A49" s="14" t="s">
        <v>97</v>
      </c>
      <c r="B49" s="65">
        <v>0</v>
      </c>
      <c r="C49" s="56">
        <v>0</v>
      </c>
    </row>
    <row r="50" spans="1:3" ht="15">
      <c r="A50" s="14" t="s">
        <v>98</v>
      </c>
      <c r="B50" s="65">
        <v>0</v>
      </c>
      <c r="C50" s="56">
        <v>0</v>
      </c>
    </row>
    <row r="51" spans="1:3" ht="15">
      <c r="A51" s="14" t="s">
        <v>99</v>
      </c>
      <c r="B51" s="65">
        <v>0</v>
      </c>
      <c r="C51" s="56">
        <v>0</v>
      </c>
    </row>
    <row r="52" spans="1:3" ht="15">
      <c r="A52" s="14" t="s">
        <v>100</v>
      </c>
      <c r="B52" s="65">
        <v>0</v>
      </c>
      <c r="C52" s="56">
        <v>0</v>
      </c>
    </row>
    <row r="53" spans="1:3" ht="15">
      <c r="A53" s="14" t="s">
        <v>101</v>
      </c>
      <c r="B53" s="65">
        <v>0</v>
      </c>
      <c r="C53" s="56">
        <v>0</v>
      </c>
    </row>
    <row r="54" spans="1:3" ht="15">
      <c r="A54" s="14" t="s">
        <v>102</v>
      </c>
      <c r="B54" s="65">
        <v>0</v>
      </c>
      <c r="C54" s="56">
        <v>0</v>
      </c>
    </row>
    <row r="55" spans="1:3" ht="15">
      <c r="A55" s="14" t="s">
        <v>103</v>
      </c>
      <c r="B55" s="65">
        <v>0</v>
      </c>
      <c r="C55" s="56">
        <v>0</v>
      </c>
    </row>
    <row r="56" spans="1:3" ht="15">
      <c r="A56" s="14" t="s">
        <v>104</v>
      </c>
      <c r="B56" s="65">
        <v>0</v>
      </c>
      <c r="C56" s="56">
        <v>0</v>
      </c>
    </row>
    <row r="57" spans="1:3" ht="15">
      <c r="A57" s="14" t="s">
        <v>105</v>
      </c>
      <c r="B57" s="65">
        <v>0</v>
      </c>
      <c r="C57" s="56">
        <v>0</v>
      </c>
    </row>
    <row r="58" spans="1:3" ht="15">
      <c r="A58" s="14" t="s">
        <v>106</v>
      </c>
      <c r="B58" s="66">
        <v>446.3284300105429</v>
      </c>
      <c r="C58" s="56">
        <v>0</v>
      </c>
    </row>
    <row r="59" spans="1:3" ht="15">
      <c r="A59" s="14" t="s">
        <v>107</v>
      </c>
      <c r="B59" s="66">
        <v>516.6547122082944</v>
      </c>
      <c r="C59" s="56">
        <v>0</v>
      </c>
    </row>
    <row r="60" spans="1:3" ht="15">
      <c r="A60" s="14" t="s">
        <v>108</v>
      </c>
      <c r="B60" s="66">
        <v>764.4641233202753</v>
      </c>
      <c r="C60" s="56">
        <v>0</v>
      </c>
    </row>
    <row r="61" spans="1:3" ht="15">
      <c r="A61" s="14" t="s">
        <v>109</v>
      </c>
      <c r="B61" s="66">
        <v>813.3292877755048</v>
      </c>
      <c r="C61" s="56">
        <v>0</v>
      </c>
    </row>
    <row r="62" spans="1:3" ht="15">
      <c r="A62" s="14" t="s">
        <v>110</v>
      </c>
      <c r="B62" s="66">
        <v>310.49963747409714</v>
      </c>
      <c r="C62" s="56">
        <v>0</v>
      </c>
    </row>
    <row r="63" spans="1:3" ht="15">
      <c r="A63" s="14" t="s">
        <v>111</v>
      </c>
      <c r="B63" s="66">
        <v>33.70656340220399</v>
      </c>
      <c r="C63" s="56">
        <v>0</v>
      </c>
    </row>
    <row r="64" spans="1:3" ht="15">
      <c r="A64" s="14" t="s">
        <v>112</v>
      </c>
      <c r="B64" s="66">
        <v>719.9584365936026</v>
      </c>
      <c r="C64" s="56">
        <v>0</v>
      </c>
    </row>
    <row r="65" spans="1:3" ht="15">
      <c r="A65" s="14" t="s">
        <v>113</v>
      </c>
      <c r="B65" s="66">
        <v>826.2195167926874</v>
      </c>
      <c r="C65" s="56">
        <v>0</v>
      </c>
    </row>
    <row r="66" spans="1:3" ht="15">
      <c r="A66" s="14" t="s">
        <v>114</v>
      </c>
      <c r="B66" s="66">
        <v>624.2529309864888</v>
      </c>
      <c r="C66" s="56">
        <v>0</v>
      </c>
    </row>
    <row r="67" spans="1:3" ht="15">
      <c r="A67" s="14" t="s">
        <v>115</v>
      </c>
      <c r="B67" s="66">
        <v>791.8954438133551</v>
      </c>
      <c r="C67" s="56">
        <v>0</v>
      </c>
    </row>
    <row r="68" spans="1:3" ht="15">
      <c r="A68" s="14" t="s">
        <v>116</v>
      </c>
      <c r="B68" s="66">
        <v>763.1406757233448</v>
      </c>
      <c r="C68" s="56">
        <v>0</v>
      </c>
    </row>
    <row r="69" spans="1:3" ht="15">
      <c r="A69" s="14" t="s">
        <v>117</v>
      </c>
      <c r="B69" s="66">
        <v>694.0548954094294</v>
      </c>
      <c r="C69" s="56">
        <v>0</v>
      </c>
    </row>
    <row r="70" spans="1:3" ht="15">
      <c r="A70" s="14" t="s">
        <v>118</v>
      </c>
      <c r="B70" s="66">
        <v>787.0838664510114</v>
      </c>
      <c r="C70" s="56">
        <v>0</v>
      </c>
    </row>
    <row r="71" spans="1:3" ht="15">
      <c r="A71" s="14" t="s">
        <v>119</v>
      </c>
      <c r="B71" s="66">
        <v>708.6445893093547</v>
      </c>
      <c r="C71" s="56">
        <v>0</v>
      </c>
    </row>
    <row r="72" spans="1:3" ht="15">
      <c r="A72" s="14" t="s">
        <v>120</v>
      </c>
      <c r="B72" s="66">
        <v>700.3958111860595</v>
      </c>
      <c r="C72" s="56">
        <v>0</v>
      </c>
    </row>
    <row r="73" spans="1:3" ht="15">
      <c r="A73" s="14" t="s">
        <v>121</v>
      </c>
      <c r="B73" s="66">
        <v>779.3453161526265</v>
      </c>
      <c r="C73" s="56">
        <v>0</v>
      </c>
    </row>
    <row r="74" spans="1:3" ht="15">
      <c r="A74" s="14" t="s">
        <v>122</v>
      </c>
      <c r="B74" s="66">
        <v>773.5383341564558</v>
      </c>
      <c r="C74" s="56">
        <v>0</v>
      </c>
    </row>
    <row r="75" spans="1:3" ht="15">
      <c r="A75" s="14" t="s">
        <v>123</v>
      </c>
      <c r="B75" s="66">
        <v>735.6934101737461</v>
      </c>
      <c r="C75" s="56">
        <v>0</v>
      </c>
    </row>
    <row r="76" spans="1:3" ht="15">
      <c r="A76" s="14" t="s">
        <v>124</v>
      </c>
      <c r="B76" s="66">
        <v>613.0256761139508</v>
      </c>
      <c r="C76" s="56">
        <v>0</v>
      </c>
    </row>
    <row r="77" spans="1:3" ht="15">
      <c r="A77" s="14" t="s">
        <v>125</v>
      </c>
      <c r="B77" s="66">
        <v>774.1699483511424</v>
      </c>
      <c r="C77" s="56">
        <v>0</v>
      </c>
    </row>
    <row r="78" spans="1:3" ht="15">
      <c r="A78" s="14" t="s">
        <v>126</v>
      </c>
      <c r="B78" s="66">
        <v>772.92187482889</v>
      </c>
      <c r="C78" s="56">
        <v>0</v>
      </c>
    </row>
    <row r="79" spans="1:3" ht="15">
      <c r="A79" s="14" t="s">
        <v>127</v>
      </c>
      <c r="B79" s="66">
        <v>388.3191987010672</v>
      </c>
      <c r="C79" s="56">
        <v>0</v>
      </c>
    </row>
    <row r="80" spans="1:3" ht="15">
      <c r="A80" s="14" t="s">
        <v>128</v>
      </c>
      <c r="B80" s="66">
        <v>733.9897749862454</v>
      </c>
      <c r="C80" s="56">
        <v>0</v>
      </c>
    </row>
    <row r="81" spans="1:3" ht="15">
      <c r="A81" s="14" t="s">
        <v>129</v>
      </c>
      <c r="B81" s="66">
        <v>764.1150242284465</v>
      </c>
      <c r="C81" s="56">
        <v>0</v>
      </c>
    </row>
    <row r="82" spans="1:3" ht="15">
      <c r="A82" s="14" t="s">
        <v>130</v>
      </c>
      <c r="B82" s="66">
        <v>764.087123512072</v>
      </c>
      <c r="C82" s="56">
        <v>0</v>
      </c>
    </row>
    <row r="83" spans="1:3" ht="15">
      <c r="A83" s="14" t="s">
        <v>131</v>
      </c>
      <c r="B83" s="66">
        <v>802.8134945602343</v>
      </c>
      <c r="C83" s="56">
        <v>0</v>
      </c>
    </row>
    <row r="84" spans="1:3" ht="15">
      <c r="A84" s="14" t="s">
        <v>132</v>
      </c>
      <c r="B84" s="66">
        <v>666.2075327833949</v>
      </c>
      <c r="C84" s="56">
        <v>0</v>
      </c>
    </row>
    <row r="85" spans="1:3" ht="15">
      <c r="A85" s="14" t="s">
        <v>133</v>
      </c>
      <c r="B85" s="66">
        <v>559.4166178830675</v>
      </c>
      <c r="C85" s="56">
        <v>0</v>
      </c>
    </row>
    <row r="86" spans="1:3" ht="15">
      <c r="A86" s="14" t="s">
        <v>134</v>
      </c>
      <c r="B86" s="66">
        <v>675.4634186306729</v>
      </c>
      <c r="C86" s="56">
        <v>0</v>
      </c>
    </row>
    <row r="87" spans="1:3" ht="15">
      <c r="A87" s="14" t="s">
        <v>135</v>
      </c>
      <c r="B87" s="66">
        <v>801.477835967085</v>
      </c>
      <c r="C87" s="56">
        <v>0</v>
      </c>
    </row>
    <row r="88" spans="1:3" ht="15">
      <c r="A88" s="14" t="s">
        <v>136</v>
      </c>
      <c r="B88" s="66">
        <v>230.30104567415466</v>
      </c>
      <c r="C88" s="56">
        <v>0</v>
      </c>
    </row>
    <row r="89" spans="1:3" ht="15">
      <c r="A89" s="12" t="s">
        <v>6</v>
      </c>
      <c r="B89" s="55">
        <f>SUM(B5:B88)</f>
        <v>41905.696962324975</v>
      </c>
      <c r="C89" s="55">
        <f>SUM(C5:C88)</f>
        <v>0</v>
      </c>
    </row>
  </sheetData>
  <sheetProtection/>
  <mergeCells count="1">
    <mergeCell ref="E25:N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C22" sqref="C22:F22"/>
    </sheetView>
  </sheetViews>
  <sheetFormatPr defaultColWidth="9.140625" defaultRowHeight="15"/>
  <cols>
    <col min="1" max="1" width="9.140625" style="15" customWidth="1"/>
    <col min="2" max="2" width="20.7109375" style="15" customWidth="1"/>
    <col min="3" max="6" width="10.7109375" style="15" customWidth="1"/>
    <col min="7" max="16384" width="9.140625" style="15" customWidth="1"/>
  </cols>
  <sheetData>
    <row r="1" ht="15"/>
    <row r="2" ht="18">
      <c r="B2" s="41" t="s">
        <v>45</v>
      </c>
    </row>
    <row r="3" ht="15.75" thickBot="1"/>
    <row r="4" spans="2:6" ht="15">
      <c r="B4" s="79" t="s">
        <v>3</v>
      </c>
      <c r="C4" s="85" t="s">
        <v>4</v>
      </c>
      <c r="D4" s="86"/>
      <c r="E4" s="86"/>
      <c r="F4" s="87"/>
    </row>
    <row r="5" spans="2:6" ht="15">
      <c r="B5" s="80"/>
      <c r="C5" s="83">
        <v>2010</v>
      </c>
      <c r="D5" s="83"/>
      <c r="E5" s="83">
        <v>2011</v>
      </c>
      <c r="F5" s="84"/>
    </row>
    <row r="6" spans="2:6" ht="15">
      <c r="B6" s="80"/>
      <c r="C6" s="54" t="s">
        <v>11</v>
      </c>
      <c r="D6" s="54" t="s">
        <v>12</v>
      </c>
      <c r="E6" s="54" t="s">
        <v>11</v>
      </c>
      <c r="F6" s="57" t="s">
        <v>12</v>
      </c>
    </row>
    <row r="7" spans="2:6" s="16" customFormat="1" ht="42.75">
      <c r="B7" s="80"/>
      <c r="C7" s="18" t="s">
        <v>13</v>
      </c>
      <c r="D7" s="18" t="s">
        <v>13</v>
      </c>
      <c r="E7" s="18" t="s">
        <v>13</v>
      </c>
      <c r="F7" s="58" t="s">
        <v>13</v>
      </c>
    </row>
    <row r="8" spans="2:6" ht="15">
      <c r="B8" s="19" t="s">
        <v>14</v>
      </c>
      <c r="C8" s="23" t="s">
        <v>26</v>
      </c>
      <c r="D8" s="23" t="s">
        <v>26</v>
      </c>
      <c r="E8" s="24">
        <f>'ALUSHTA 2PV - ER VALUES'!F14</f>
        <v>0</v>
      </c>
      <c r="F8" s="59">
        <f>'YALTA 2PV - ER VALUES'!F14</f>
        <v>0</v>
      </c>
    </row>
    <row r="9" spans="2:6" ht="15">
      <c r="B9" s="19" t="s">
        <v>15</v>
      </c>
      <c r="C9" s="23" t="s">
        <v>26</v>
      </c>
      <c r="D9" s="23" t="s">
        <v>26</v>
      </c>
      <c r="E9" s="24">
        <f>'ALUSHTA 2PV - ER VALUES'!F15</f>
        <v>0</v>
      </c>
      <c r="F9" s="59">
        <f>'YALTA 2PV - ER VALUES'!F15</f>
        <v>0</v>
      </c>
    </row>
    <row r="10" spans="2:6" ht="15">
      <c r="B10" s="19" t="s">
        <v>16</v>
      </c>
      <c r="C10" s="23" t="s">
        <v>26</v>
      </c>
      <c r="D10" s="23" t="s">
        <v>26</v>
      </c>
      <c r="E10" s="24">
        <f>'ALUSHTA 2PV - ER VALUES'!F16</f>
        <v>889.635933580068</v>
      </c>
      <c r="F10" s="59">
        <f>'YALTA 2PV - ER VALUES'!F16</f>
        <v>0</v>
      </c>
    </row>
    <row r="11" spans="2:6" ht="15">
      <c r="B11" s="19" t="s">
        <v>17</v>
      </c>
      <c r="C11" s="24">
        <f>'ALUSHTA 2PV - ER VALUES'!F5</f>
        <v>1811.450212665131</v>
      </c>
      <c r="D11" s="24">
        <f>'YALTA 2PV - ER VALUES'!F5</f>
        <v>982.0536496417418</v>
      </c>
      <c r="E11" s="24">
        <f>'ALUSHTA 2PV - ER VALUES'!F17</f>
        <v>933.9249305668545</v>
      </c>
      <c r="F11" s="59">
        <f>ROUNDUP('YALTA 2PV - ER VALUES'!F17,0)</f>
        <v>2541</v>
      </c>
    </row>
    <row r="12" spans="2:6" ht="15">
      <c r="B12" s="19" t="s">
        <v>18</v>
      </c>
      <c r="C12" s="24">
        <f>'ALUSHTA 2PV - ER VALUES'!F6</f>
        <v>1667.6788033293794</v>
      </c>
      <c r="D12" s="24">
        <f>'YALTA 2PV - ER VALUES'!F6</f>
        <v>2421.181828538941</v>
      </c>
      <c r="E12" s="24">
        <f>'ALUSHTA 2PV - ER VALUES'!F18</f>
        <v>1548.0815834358355</v>
      </c>
      <c r="F12" s="59">
        <f>'YALTA 2PV - ER VALUES'!F18</f>
        <v>2157.921124685372</v>
      </c>
    </row>
    <row r="13" spans="2:6" ht="15">
      <c r="B13" s="19" t="s">
        <v>19</v>
      </c>
      <c r="C13" s="24">
        <f>'ALUSHTA 2PV - ER VALUES'!F7</f>
        <v>1532.9597006997037</v>
      </c>
      <c r="D13" s="24">
        <f>'YALTA 2PV - ER VALUES'!F7</f>
        <v>2664.4929405451676</v>
      </c>
      <c r="E13" s="24">
        <f>'ALUSHTA 2PV - ER VALUES'!F19</f>
        <v>1448.9814348375935</v>
      </c>
      <c r="F13" s="59">
        <f>'YALTA 2PV - ER VALUES'!F19</f>
        <v>3168.0097372605596</v>
      </c>
    </row>
    <row r="14" spans="2:6" ht="15">
      <c r="B14" s="19" t="s">
        <v>20</v>
      </c>
      <c r="C14" s="24">
        <f>'ALUSHTA 2PV - ER VALUES'!F8</f>
        <v>1389.0638815728323</v>
      </c>
      <c r="D14" s="24">
        <f>'YALTA 2PV - ER VALUES'!F8</f>
        <v>2427.5044719071543</v>
      </c>
      <c r="E14" s="24">
        <f>'ALUSHTA 2PV - ER VALUES'!F20</f>
        <v>846.3267449911081</v>
      </c>
      <c r="F14" s="59">
        <f>'YALTA 2PV - ER VALUES'!F20</f>
        <v>3291.904214101035</v>
      </c>
    </row>
    <row r="15" spans="2:6" ht="15">
      <c r="B15" s="19" t="s">
        <v>21</v>
      </c>
      <c r="C15" s="24">
        <f>'ALUSHTA 2PV - ER VALUES'!F9</f>
        <v>1026.4296786978869</v>
      </c>
      <c r="D15" s="24">
        <f>'YALTA 2PV - ER VALUES'!F9</f>
        <v>2458.1134893578587</v>
      </c>
      <c r="E15" s="24">
        <f>'ALUSHTA 2PV - ER VALUES'!F21</f>
        <v>568.0226600131266</v>
      </c>
      <c r="F15" s="59">
        <f>ROUNDUP('YALTA 2PV - ER VALUES'!F21,0)</f>
        <v>3013</v>
      </c>
    </row>
    <row r="16" spans="2:6" ht="15">
      <c r="B16" s="19" t="s">
        <v>22</v>
      </c>
      <c r="C16" s="24">
        <f>'ALUSHTA 2PV - ER VALUES'!F10</f>
        <v>2148.5689437238816</v>
      </c>
      <c r="D16" s="24">
        <f>'YALTA 2PV - ER VALUES'!F10</f>
        <v>2323.6011601043397</v>
      </c>
      <c r="E16" s="24">
        <f>'ALUSHTA 2PV - ER VALUES'!F22</f>
        <v>1285.9424857621284</v>
      </c>
      <c r="F16" s="59">
        <f>'YALTA 2PV - ER VALUES'!F22</f>
        <v>3116.7402889359937</v>
      </c>
    </row>
    <row r="17" spans="2:6" ht="15">
      <c r="B17" s="19" t="s">
        <v>23</v>
      </c>
      <c r="C17" s="24">
        <f>'ALUSHTA 2PV - ER VALUES'!F11</f>
        <v>1934.1521666392982</v>
      </c>
      <c r="D17" s="24">
        <f>'YALTA 2PV - ER VALUES'!F11</f>
        <v>3089.3640282081583</v>
      </c>
      <c r="E17" s="24">
        <f>'ALUSHTA 2PV - ER VALUES'!F23</f>
        <v>1960.8027823391228</v>
      </c>
      <c r="F17" s="59">
        <f>ROUNDDOWN('YALTA 2PV - ER VALUES'!F23,0)</f>
        <v>3047</v>
      </c>
    </row>
    <row r="18" spans="2:6" ht="15">
      <c r="B18" s="19" t="s">
        <v>24</v>
      </c>
      <c r="C18" s="24">
        <f>'ALUSHTA 2PV - ER VALUES'!F12</f>
        <v>64.53855726181214</v>
      </c>
      <c r="D18" s="24">
        <f>'YALTA 2PV - ER VALUES'!F12</f>
        <v>2985.1488817533336</v>
      </c>
      <c r="E18" s="23" t="s">
        <v>26</v>
      </c>
      <c r="F18" s="60" t="s">
        <v>26</v>
      </c>
    </row>
    <row r="19" spans="2:6" ht="15">
      <c r="B19" s="19" t="s">
        <v>25</v>
      </c>
      <c r="C19" s="24">
        <f>'ALUSHTA 2PV - ER VALUES'!F13</f>
        <v>0</v>
      </c>
      <c r="D19" s="24">
        <f>'YALTA 2PV - ER VALUES'!F13</f>
        <v>2218.7219651087757</v>
      </c>
      <c r="E19" s="23" t="s">
        <v>26</v>
      </c>
      <c r="F19" s="60" t="s">
        <v>26</v>
      </c>
    </row>
    <row r="20" spans="2:6" s="17" customFormat="1" ht="28.5">
      <c r="B20" s="20" t="s">
        <v>27</v>
      </c>
      <c r="C20" s="25">
        <f>SUM(C8:C19)</f>
        <v>11574.841944589925</v>
      </c>
      <c r="D20" s="25">
        <f>SUM(D8:D19)</f>
        <v>21570.18241516547</v>
      </c>
      <c r="E20" s="25">
        <f>SUM(E8:E19)</f>
        <v>9481.718555525837</v>
      </c>
      <c r="F20" s="61">
        <f>SUM(F8:F19)</f>
        <v>20335.57536498296</v>
      </c>
    </row>
    <row r="21" spans="2:6" ht="28.5">
      <c r="B21" s="21" t="s">
        <v>28</v>
      </c>
      <c r="C21" s="81">
        <f>C20+D20</f>
        <v>33145.02435975539</v>
      </c>
      <c r="D21" s="81"/>
      <c r="E21" s="81">
        <f>ROUNDUP(E20+F20,0)</f>
        <v>29818</v>
      </c>
      <c r="F21" s="82"/>
    </row>
    <row r="22" spans="2:6" ht="27.75" thickBot="1">
      <c r="B22" s="22" t="s">
        <v>29</v>
      </c>
      <c r="C22" s="76">
        <f>C21+E21</f>
        <v>62963.02435975539</v>
      </c>
      <c r="D22" s="77"/>
      <c r="E22" s="77"/>
      <c r="F22" s="78"/>
    </row>
  </sheetData>
  <sheetProtection/>
  <mergeCells count="7">
    <mergeCell ref="C22:F22"/>
    <mergeCell ref="B4:B7"/>
    <mergeCell ref="C21:D21"/>
    <mergeCell ref="E21:F21"/>
    <mergeCell ref="C5:D5"/>
    <mergeCell ref="E5:F5"/>
    <mergeCell ref="C4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140625" style="15" customWidth="1"/>
    <col min="2" max="2" width="45.7109375" style="43" customWidth="1"/>
    <col min="3" max="5" width="30.7109375" style="15" customWidth="1"/>
    <col min="6" max="16384" width="9.140625" style="15" customWidth="1"/>
  </cols>
  <sheetData>
    <row r="3" ht="15.75" thickBot="1"/>
    <row r="4" spans="2:5" ht="15">
      <c r="B4" s="88" t="s">
        <v>47</v>
      </c>
      <c r="C4" s="44" t="s">
        <v>11</v>
      </c>
      <c r="D4" s="44" t="s">
        <v>12</v>
      </c>
      <c r="E4" s="45" t="s">
        <v>51</v>
      </c>
    </row>
    <row r="5" spans="2:5" s="16" customFormat="1" ht="54.75" customHeight="1">
      <c r="B5" s="89"/>
      <c r="C5" s="42" t="s">
        <v>46</v>
      </c>
      <c r="D5" s="42" t="s">
        <v>46</v>
      </c>
      <c r="E5" s="46" t="s">
        <v>46</v>
      </c>
    </row>
    <row r="6" spans="2:5" ht="15">
      <c r="B6" s="62" t="s">
        <v>157</v>
      </c>
      <c r="C6" s="52">
        <f>'ALUSHTA 2PV - ER VALUES'!M5</f>
        <v>0</v>
      </c>
      <c r="D6" s="52">
        <f>'YALTA 2PV - ER VALUES'!M5</f>
        <v>0</v>
      </c>
      <c r="E6" s="69">
        <f>C6+D6</f>
        <v>0</v>
      </c>
    </row>
    <row r="7" spans="2:5" ht="15">
      <c r="B7" s="62" t="s">
        <v>158</v>
      </c>
      <c r="C7" s="52">
        <f>'ALUSHTA 2PV - ER VALUES'!M6</f>
        <v>0</v>
      </c>
      <c r="D7" s="52">
        <f>'YALTA 2PV - ER VALUES'!M6</f>
        <v>0</v>
      </c>
      <c r="E7" s="69">
        <f>C7+D7</f>
        <v>0</v>
      </c>
    </row>
    <row r="8" spans="2:5" s="17" customFormat="1" ht="18.75" thickBot="1">
      <c r="B8" s="70" t="s">
        <v>52</v>
      </c>
      <c r="C8" s="71">
        <f>SUM(C6:C7)</f>
        <v>0</v>
      </c>
      <c r="D8" s="71">
        <f>SUM(D6:D7)</f>
        <v>0</v>
      </c>
      <c r="E8" s="72">
        <f>C8+D8</f>
        <v>0</v>
      </c>
    </row>
    <row r="10" ht="15">
      <c r="B10" s="53"/>
    </row>
  </sheetData>
  <sheetProtection/>
  <mergeCells count="1">
    <mergeCell ref="B4:B5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9.140625" style="15" customWidth="1"/>
    <col min="2" max="2" width="45.7109375" style="43" customWidth="1"/>
    <col min="3" max="3" width="25.7109375" style="15" customWidth="1"/>
    <col min="4" max="5" width="30.7109375" style="15" customWidth="1"/>
    <col min="6" max="16384" width="9.140625" style="15" customWidth="1"/>
  </cols>
  <sheetData>
    <row r="2" ht="15">
      <c r="B2" s="41"/>
    </row>
    <row r="3" ht="15.75" thickBot="1"/>
    <row r="4" spans="2:5" s="16" customFormat="1" ht="54.75" customHeight="1">
      <c r="B4" s="88" t="s">
        <v>47</v>
      </c>
      <c r="C4" s="67" t="s">
        <v>49</v>
      </c>
      <c r="D4" s="67" t="s">
        <v>48</v>
      </c>
      <c r="E4" s="68" t="s">
        <v>50</v>
      </c>
    </row>
    <row r="5" spans="2:5" ht="15">
      <c r="B5" s="89"/>
      <c r="C5" s="50">
        <f>'Annex 1-Table A.1.1'!C20+'Annex 1-Table A.1.1'!D20</f>
        <v>33145.02435975539</v>
      </c>
      <c r="D5" s="50">
        <f>'ALUSHTA 2PV - ER VALUES'!M5+'YALTA 2PV - ER VALUES'!M5</f>
        <v>0</v>
      </c>
      <c r="E5" s="51">
        <f>C5-D5</f>
        <v>33145.02435975539</v>
      </c>
    </row>
    <row r="6" spans="2:5" ht="15">
      <c r="B6" s="62" t="s">
        <v>158</v>
      </c>
      <c r="C6" s="50">
        <f>ROUNDUP('Annex 1-Table A.1.1'!E20+'Annex 1-Table A.1.1'!F20,0)</f>
        <v>29818</v>
      </c>
      <c r="D6" s="50">
        <f>'ALUSHTA 2PV - ER VALUES'!M6+'YALTA 2PV - ER VALUES'!M6</f>
        <v>0</v>
      </c>
      <c r="E6" s="51">
        <f>C6-D6</f>
        <v>29818</v>
      </c>
    </row>
    <row r="7" spans="2:5" s="17" customFormat="1" ht="18.75" thickBot="1">
      <c r="B7" s="47" t="s">
        <v>165</v>
      </c>
      <c r="C7" s="48">
        <f>SUM(C5:C6)</f>
        <v>62963.02435975539</v>
      </c>
      <c r="D7" s="48">
        <f>SUM(D5:D6)</f>
        <v>0</v>
      </c>
      <c r="E7" s="49">
        <f>SUM(E5:E6)</f>
        <v>62963.02435975539</v>
      </c>
    </row>
  </sheetData>
  <sheetProtection/>
  <mergeCells count="1">
    <mergeCell ref="B4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15" customWidth="1"/>
    <col min="2" max="2" width="45.7109375" style="43" customWidth="1"/>
    <col min="3" max="3" width="25.7109375" style="15" customWidth="1"/>
    <col min="4" max="5" width="30.7109375" style="15" customWidth="1"/>
    <col min="6" max="16384" width="9.140625" style="15" customWidth="1"/>
  </cols>
  <sheetData>
    <row r="2" ht="15">
      <c r="B2" s="41"/>
    </row>
    <row r="3" ht="15.75" thickBot="1"/>
    <row r="4" spans="2:5" s="16" customFormat="1" ht="54.75" customHeight="1">
      <c r="B4" s="63" t="s">
        <v>47</v>
      </c>
      <c r="C4" s="67" t="s">
        <v>169</v>
      </c>
      <c r="D4" s="67" t="s">
        <v>167</v>
      </c>
      <c r="E4" s="68" t="s">
        <v>168</v>
      </c>
    </row>
    <row r="5" spans="2:5" ht="15">
      <c r="B5" s="62" t="s">
        <v>163</v>
      </c>
      <c r="C5" s="50">
        <v>22432</v>
      </c>
      <c r="D5" s="50">
        <v>2933</v>
      </c>
      <c r="E5" s="73">
        <f>(D5-C5)/C5</f>
        <v>-0.8692492867332382</v>
      </c>
    </row>
    <row r="6" spans="2:5" ht="15">
      <c r="B6" s="62">
        <v>2009</v>
      </c>
      <c r="C6" s="50">
        <v>41074</v>
      </c>
      <c r="D6" s="50">
        <v>44758</v>
      </c>
      <c r="E6" s="73">
        <f>(D6-C6)/C6</f>
        <v>0.08969177581925306</v>
      </c>
    </row>
    <row r="7" spans="2:5" ht="15">
      <c r="B7" s="62">
        <v>2010</v>
      </c>
      <c r="C7" s="50">
        <v>43553</v>
      </c>
      <c r="D7" s="50">
        <f>6869+33145</f>
        <v>40014</v>
      </c>
      <c r="E7" s="73">
        <f>(D7-C7)/C7</f>
        <v>-0.08125731866920763</v>
      </c>
    </row>
    <row r="8" spans="2:5" ht="15">
      <c r="B8" s="62" t="s">
        <v>164</v>
      </c>
      <c r="C8" s="50">
        <f>45917*10/12</f>
        <v>38264.166666666664</v>
      </c>
      <c r="D8" s="50">
        <v>29818</v>
      </c>
      <c r="E8" s="73">
        <f>(D8-C8)/C8</f>
        <v>-0.2207330618289522</v>
      </c>
    </row>
    <row r="9" spans="2:5" s="17" customFormat="1" ht="18.75" thickBot="1">
      <c r="B9" s="47" t="s">
        <v>166</v>
      </c>
      <c r="C9" s="48">
        <f>SUM(C5:C8)</f>
        <v>145323.16666666666</v>
      </c>
      <c r="D9" s="48">
        <f>SUM(D5:D8)</f>
        <v>117523</v>
      </c>
      <c r="E9" s="74">
        <f>(D9-C9)/C9</f>
        <v>-0.19129893260881775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 SP/GAFSA/CCM</Manager>
  <Company>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2PV Yalta/Alushta ERUs FINAL SUMMARY</dc:title>
  <dc:subject>YALTA/ALUSHTA ERUs SUMMARY</dc:subject>
  <dc:creator>SP</dc:creator>
  <cp:keywords>Yalta/Alushta JI Landfill Project, JI Verification</cp:keywords>
  <dc:description>Default Approach</dc:description>
  <cp:lastModifiedBy>PSN-1</cp:lastModifiedBy>
  <cp:lastPrinted>2010-09-26T18:50:46Z</cp:lastPrinted>
  <dcterms:created xsi:type="dcterms:W3CDTF">2010-08-05T12:25:00Z</dcterms:created>
  <dcterms:modified xsi:type="dcterms:W3CDTF">2012-02-08T15:53:17Z</dcterms:modified>
  <cp:category>Methane Capture and Flaring at Yalta and Alushta Landfills</cp:category>
  <cp:version/>
  <cp:contentType/>
  <cp:contentStatus/>
</cp:coreProperties>
</file>