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  <Override PartName="/xl/embeddings/oleObject_5_17.bin" ContentType="application/vnd.openxmlformats-officedocument.oleObject"/>
  <Override PartName="/xl/embeddings/oleObject_5_18.bin" ContentType="application/vnd.openxmlformats-officedocument.oleObject"/>
  <Override PartName="/xl/embeddings/oleObject_5_19.bin" ContentType="application/vnd.openxmlformats-officedocument.oleObject"/>
  <Override PartName="/xl/embeddings/oleObject_5_20.bin" ContentType="application/vnd.openxmlformats-officedocument.oleObject"/>
  <Override PartName="/xl/embeddings/oleObject_5_21.bin" ContentType="application/vnd.openxmlformats-officedocument.oleObject"/>
  <Override PartName="/xl/embeddings/oleObject_5_22.bin" ContentType="application/vnd.openxmlformats-officedocument.oleObject"/>
  <Override PartName="/xl/embeddings/oleObject_5_23.bin" ContentType="application/vnd.openxmlformats-officedocument.oleObject"/>
  <Override PartName="/xl/embeddings/oleObject_5_24.bin" ContentType="application/vnd.openxmlformats-officedocument.oleObject"/>
  <Override PartName="/xl/embeddings/oleObject_5_25.bin" ContentType="application/vnd.openxmlformats-officedocument.oleObject"/>
  <Override PartName="/xl/embeddings/oleObject_5_26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6_13.bin" ContentType="application/vnd.openxmlformats-officedocument.oleObject"/>
  <Override PartName="/xl/embeddings/oleObject_6_14.bin" ContentType="application/vnd.openxmlformats-officedocument.oleObject"/>
  <Override PartName="/xl/embeddings/oleObject_6_15.bin" ContentType="application/vnd.openxmlformats-officedocument.oleObject"/>
  <Override PartName="/xl/embeddings/oleObject_6_16.bin" ContentType="application/vnd.openxmlformats-officedocument.oleObject"/>
  <Override PartName="/xl/embeddings/oleObject_6_17.bin" ContentType="application/vnd.openxmlformats-officedocument.oleObject"/>
  <Override PartName="/xl/embeddings/oleObject_6_18.bin" ContentType="application/vnd.openxmlformats-officedocument.oleObject"/>
  <Override PartName="/xl/embeddings/oleObject_6_19.bin" ContentType="application/vnd.openxmlformats-officedocument.oleObject"/>
  <Override PartName="/xl/embeddings/oleObject_6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35" windowWidth="19170" windowHeight="7740" tabRatio="834" activeTab="0"/>
  </bookViews>
  <sheets>
    <sheet name="Overview " sheetId="1" r:id="rId1"/>
    <sheet name="General " sheetId="2" r:id="rId2"/>
    <sheet name="CMM consump.(01.08.10-31.12.10)" sheetId="3" r:id="rId3"/>
    <sheet name="Emission factors " sheetId="4" r:id="rId4"/>
    <sheet name="Heat load" sheetId="5" r:id="rId5"/>
    <sheet name="Project emissions" sheetId="6" r:id="rId6"/>
    <sheet name="Baseline emissions" sheetId="7" r:id="rId7"/>
    <sheet name="Emission reductions" sheetId="8" r:id="rId8"/>
  </sheets>
  <externalReferences>
    <externalReference r:id="rId11"/>
    <externalReference r:id="rId12"/>
  </externalReferences>
  <definedNames>
    <definedName name="_xlnm.Print_Area" localSheetId="6">'Baseline emissions'!$A$1:$L$102</definedName>
    <definedName name="_xlnm.Print_Area" localSheetId="3">'Emission factors '!$A$1:$L$33</definedName>
    <definedName name="_xlnm.Print_Area" localSheetId="7">'Emission reductions'!$A$1:$M$25</definedName>
    <definedName name="_xlnm.Print_Area" localSheetId="1">'General '!$A$1:$J$52</definedName>
    <definedName name="_xlnm.Print_Area" localSheetId="4">'Heat load'!$A$1:$F$17</definedName>
    <definedName name="_xlnm.Print_Area" localSheetId="5">'Project emissions'!$A$1:$K$79</definedName>
  </definedNames>
  <calcPr fullCalcOnLoad="1"/>
</workbook>
</file>

<file path=xl/comments3.xml><?xml version="1.0" encoding="utf-8"?>
<comments xmlns="http://schemas.openxmlformats.org/spreadsheetml/2006/main">
  <authors>
    <author>Lennard de Klerk</author>
    <author>1</author>
    <author>valeriy</author>
  </authors>
  <commentList>
    <comment ref="B109" authorId="0">
      <text>
        <r>
          <rPr>
            <b/>
            <sz val="8"/>
            <rFont val="Tahoma"/>
            <family val="2"/>
          </rPr>
          <t>Lennard de Klerk:</t>
        </r>
        <r>
          <rPr>
            <sz val="8"/>
            <rFont val="Tahoma"/>
            <family val="2"/>
          </rPr>
          <t xml:space="preserve">
Working hours have been reduced as 12 units will be commissioned in spring 2008.</t>
        </r>
      </text>
    </comment>
    <comment ref="A132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or as it is</t>
        </r>
      </text>
    </comment>
    <comment ref="B16" authorId="2">
      <text>
        <r>
          <rPr>
            <b/>
            <sz val="8"/>
            <rFont val="Tahoma"/>
            <family val="2"/>
          </rPr>
          <t>valeriy:</t>
        </r>
        <r>
          <rPr>
            <sz val="8"/>
            <rFont val="Tahoma"/>
            <family val="2"/>
          </rPr>
          <t xml:space="preserve">
source Zasyadko mine</t>
        </r>
      </text>
    </comment>
  </commentList>
</comments>
</file>

<file path=xl/sharedStrings.xml><?xml version="1.0" encoding="utf-8"?>
<sst xmlns="http://schemas.openxmlformats.org/spreadsheetml/2006/main" count="518" uniqueCount="260">
  <si>
    <t xml:space="preserve">Mwt </t>
  </si>
  <si>
    <t>Gcal/h</t>
  </si>
  <si>
    <t>m3/h</t>
  </si>
  <si>
    <t xml:space="preserve">      CHP technical characteristics </t>
  </si>
  <si>
    <t>Table1</t>
  </si>
  <si>
    <t>%</t>
  </si>
  <si>
    <t>tC/TJ</t>
  </si>
  <si>
    <t>tCO2/GJ</t>
  </si>
  <si>
    <t>m3</t>
  </si>
  <si>
    <t>1 CHP   Unit,  MWthours</t>
  </si>
  <si>
    <t>24 CHP Units,MWthours</t>
  </si>
  <si>
    <t>Table3</t>
  </si>
  <si>
    <t xml:space="preserve">  1 CHP   Unit,   Gcal</t>
  </si>
  <si>
    <t>24 CHP   Units,  Gcal</t>
  </si>
  <si>
    <t>Table4</t>
  </si>
  <si>
    <t>Methan consumption ,m3/year 100% load</t>
  </si>
  <si>
    <t xml:space="preserve"> 1 CHP  Unit</t>
  </si>
  <si>
    <t>24 CHP Units</t>
  </si>
  <si>
    <t>Table5</t>
  </si>
  <si>
    <t>Methan consumption ,t/year</t>
  </si>
  <si>
    <t xml:space="preserve">  1 CHP  Unit</t>
  </si>
  <si>
    <t>24 CHP  Units</t>
  </si>
  <si>
    <t>Table6</t>
  </si>
  <si>
    <t>CO2 emissions t/year</t>
  </si>
  <si>
    <t>Vostochnaya Mine</t>
  </si>
  <si>
    <r>
      <t>P</t>
    </r>
    <r>
      <rPr>
        <b/>
        <sz val="10"/>
        <rFont val="Times New Roman"/>
        <family val="1"/>
      </rPr>
      <t>el</t>
    </r>
  </si>
  <si>
    <r>
      <t>P</t>
    </r>
    <r>
      <rPr>
        <b/>
        <sz val="10"/>
        <rFont val="Times New Roman"/>
        <family val="1"/>
      </rPr>
      <t>ht</t>
    </r>
  </si>
  <si>
    <t>Total</t>
  </si>
  <si>
    <t>Consumption</t>
  </si>
  <si>
    <t>Gas-filling compressor plant AGFCP-45</t>
  </si>
  <si>
    <t>Value</t>
  </si>
  <si>
    <t>Units</t>
  </si>
  <si>
    <t>Gas capacity</t>
  </si>
  <si>
    <t>Nm3/day</t>
  </si>
  <si>
    <t>Suction presure</t>
  </si>
  <si>
    <t>Mpa</t>
  </si>
  <si>
    <t>Number of automobiles to be filled up</t>
  </si>
  <si>
    <t>unit/day</t>
  </si>
  <si>
    <t xml:space="preserve"> max </t>
  </si>
  <si>
    <t xml:space="preserve">min    </t>
  </si>
  <si>
    <t>Number of compressors</t>
  </si>
  <si>
    <t>unit</t>
  </si>
  <si>
    <t>Number of compression stages</t>
  </si>
  <si>
    <t>Total Power requirements</t>
  </si>
  <si>
    <t>kw</t>
  </si>
  <si>
    <t>250 working days in a year</t>
  </si>
  <si>
    <r>
      <t>Where:</t>
    </r>
    <r>
      <rPr>
        <vertAlign val="superscript"/>
        <sz val="11"/>
        <rFont val="Times New Roman"/>
        <family val="1"/>
      </rPr>
      <t xml:space="preserve"> </t>
    </r>
  </si>
  <si>
    <t>y (tCO2e)</t>
  </si>
  <si>
    <t>(tCO2e)</t>
  </si>
  <si>
    <t xml:space="preserve">Project emission in year </t>
  </si>
  <si>
    <t xml:space="preserve">Project emissions from un-combusted methane </t>
  </si>
  <si>
    <t xml:space="preserve">Project emissions from methane destroyed </t>
  </si>
  <si>
    <t>Formula:</t>
  </si>
  <si>
    <t>Yakovlevskaya</t>
  </si>
  <si>
    <t xml:space="preserve">Total </t>
  </si>
  <si>
    <t>tCH4</t>
  </si>
  <si>
    <t>Power genearation and CH4 consumption</t>
  </si>
  <si>
    <t>The project emissions from methane destroyed</t>
  </si>
  <si>
    <r>
      <t>The project emissions from methane destroyed are given by the following equation. All methane will be destroyed in CHPs. Therefore MD</t>
    </r>
    <r>
      <rPr>
        <vertAlign val="subscript"/>
        <sz val="11"/>
        <rFont val="Times New Roman"/>
        <family val="1"/>
      </rPr>
      <t>ELEC</t>
    </r>
    <r>
      <rPr>
        <sz val="11"/>
        <rFont val="Times New Roman"/>
        <family val="1"/>
      </rPr>
      <t xml:space="preserve"> and MD</t>
    </r>
    <r>
      <rPr>
        <vertAlign val="subscript"/>
        <sz val="11"/>
        <rFont val="Times New Roman"/>
        <family val="1"/>
      </rPr>
      <t>HEAT</t>
    </r>
    <r>
      <rPr>
        <sz val="11"/>
        <rFont val="Times New Roman"/>
        <family val="1"/>
      </rPr>
      <t xml:space="preserve"> are combined into MD</t>
    </r>
    <r>
      <rPr>
        <vertAlign val="subscript"/>
        <sz val="11"/>
        <rFont val="Times New Roman"/>
        <family val="1"/>
      </rPr>
      <t>CHP</t>
    </r>
    <r>
      <rPr>
        <sz val="11"/>
        <rFont val="Times New Roman"/>
        <family val="1"/>
      </rPr>
      <t>. No flaring takes place so MD</t>
    </r>
    <r>
      <rPr>
        <vertAlign val="subscript"/>
        <sz val="11"/>
        <rFont val="Times New Roman"/>
        <family val="1"/>
      </rPr>
      <t>FL</t>
    </r>
    <r>
      <rPr>
        <sz val="11"/>
        <rFont val="Times New Roman"/>
        <family val="1"/>
      </rPr>
      <t xml:space="preserve"> = 0</t>
    </r>
  </si>
  <si>
    <r>
      <t>PE</t>
    </r>
    <r>
      <rPr>
        <i/>
        <vertAlign val="subscript"/>
        <sz val="11"/>
        <rFont val="Times New Roman"/>
        <family val="1"/>
      </rPr>
      <t>MD</t>
    </r>
  </si>
  <si>
    <t>Emissions of CHP</t>
  </si>
  <si>
    <t>The emissions of the CHPs are given by the following equation</t>
  </si>
  <si>
    <t xml:space="preserve">  </t>
  </si>
  <si>
    <t>where:</t>
  </si>
  <si>
    <t>Methane destroyed through power and heat generation (tCH4)</t>
  </si>
  <si>
    <t>Methane measured sent to power plant (tCH4)</t>
  </si>
  <si>
    <t xml:space="preserve"> </t>
  </si>
  <si>
    <t>Efficiency of methane destruction/oxidation in power plant (taken as 99.5% from IPCC)</t>
  </si>
  <si>
    <t>where</t>
  </si>
  <si>
    <t>The Methane consumption for power and heat generation( tCH4):</t>
  </si>
  <si>
    <t>Year</t>
  </si>
  <si>
    <t>Emissions of gas utilization</t>
  </si>
  <si>
    <t>The emissions as a result are given by the following equations.</t>
  </si>
  <si>
    <t xml:space="preserve">Methane destroyed after being supplied to the gas filling stations (tCH4) </t>
  </si>
  <si>
    <r>
      <t>Methane measured supplied to gas grid for vehicle use (tCH4)</t>
    </r>
    <r>
      <rPr>
        <sz val="11"/>
        <rFont val="Times New Roman"/>
        <family val="1"/>
      </rPr>
      <t xml:space="preserve"> </t>
    </r>
  </si>
  <si>
    <t>Overall efficiency of methane destruction/oxidation through gas grid</t>
  </si>
  <si>
    <t>(taken as 98.5% from IPCC)</t>
  </si>
  <si>
    <t>=</t>
  </si>
  <si>
    <r>
      <t>CEF</t>
    </r>
    <r>
      <rPr>
        <vertAlign val="subscript"/>
        <sz val="11"/>
        <rFont val="Times New Roman"/>
        <family val="1"/>
      </rPr>
      <t>CH4</t>
    </r>
  </si>
  <si>
    <t>Emissions from un-combusted methane</t>
  </si>
  <si>
    <t>1-</t>
  </si>
  <si>
    <t xml:space="preserve">  1-</t>
  </si>
  <si>
    <r>
      <t>PE</t>
    </r>
    <r>
      <rPr>
        <i/>
        <vertAlign val="subscript"/>
        <sz val="11"/>
        <color indexed="8"/>
        <rFont val="Times New Roman"/>
        <family val="1"/>
      </rPr>
      <t>um</t>
    </r>
  </si>
  <si>
    <r>
      <t>MM</t>
    </r>
    <r>
      <rPr>
        <i/>
        <vertAlign val="subscript"/>
        <sz val="11"/>
        <color indexed="8"/>
        <rFont val="Times New Roman"/>
        <family val="1"/>
      </rPr>
      <t>GAS</t>
    </r>
  </si>
  <si>
    <r>
      <t>PE</t>
    </r>
    <r>
      <rPr>
        <i/>
        <vertAlign val="subscript"/>
        <sz val="11"/>
        <color indexed="8"/>
        <rFont val="Times New Roman"/>
        <family val="1"/>
      </rPr>
      <t>Y</t>
    </r>
  </si>
  <si>
    <t>Description</t>
  </si>
  <si>
    <r>
      <t>BE</t>
    </r>
    <r>
      <rPr>
        <i/>
        <vertAlign val="subscript"/>
        <sz val="11"/>
        <rFont val="Times New Roman"/>
        <family val="1"/>
      </rPr>
      <t>y</t>
    </r>
  </si>
  <si>
    <r>
      <t>BE</t>
    </r>
    <r>
      <rPr>
        <i/>
        <vertAlign val="subscript"/>
        <sz val="11"/>
        <rFont val="Times New Roman"/>
        <family val="1"/>
      </rPr>
      <t>MR,y</t>
    </r>
  </si>
  <si>
    <r>
      <t>BE</t>
    </r>
    <r>
      <rPr>
        <i/>
        <vertAlign val="subscript"/>
        <sz val="11"/>
        <rFont val="Times New Roman"/>
        <family val="1"/>
      </rPr>
      <t>Use,y</t>
    </r>
  </si>
  <si>
    <t>Baseline emissions in year y</t>
  </si>
  <si>
    <t>tCO2e</t>
  </si>
  <si>
    <t>Baseline emissions from release of methane into the atmosphere in year y that is avoided by the project activity</t>
  </si>
  <si>
    <t>Baseline emissions from the production of power, heat or supply to gas grid replaced by the project activity in year y</t>
  </si>
  <si>
    <t>Total baseline emissions from the production of power replaced by the project activity in year y</t>
  </si>
  <si>
    <t>Net electricity generated by the project activity by the CHP plants</t>
  </si>
  <si>
    <t>Emissions factor of electricity of displaced grid electricity production by the project activity</t>
  </si>
  <si>
    <t>Emissions factor of electricity of displace grid electricity consumption by the project activity</t>
  </si>
  <si>
    <t xml:space="preserve">Net electricity consumed by the mine on-site </t>
  </si>
  <si>
    <r>
      <t>tCO</t>
    </r>
    <r>
      <rPr>
        <vertAlign val="subscript"/>
        <sz val="11"/>
        <rFont val="Times New Roman"/>
        <family val="1"/>
      </rPr>
      <t>2</t>
    </r>
  </si>
  <si>
    <t>MWh</t>
  </si>
  <si>
    <t>Zasyadko Mine</t>
  </si>
  <si>
    <t>Source: Ministry of Economic Affairs of the Netherlands, 2004, "Operational Guidelined for Project Design Documents of Joint Implementation Projects"</t>
  </si>
  <si>
    <t xml:space="preserve">Source: </t>
  </si>
  <si>
    <t xml:space="preserve">Heat generation by project activity in a year y and delivered to district heating </t>
  </si>
  <si>
    <t>(GJ)</t>
  </si>
  <si>
    <r>
      <t xml:space="preserve">Emissions factor for heat production at the District Heating system </t>
    </r>
    <r>
      <rPr>
        <sz val="11"/>
        <rFont val="TimesNewRoman"/>
        <family val="0"/>
      </rPr>
      <t xml:space="preserve">in the baseline scenario </t>
    </r>
  </si>
  <si>
    <t>(tCO2/GJ)</t>
  </si>
  <si>
    <r>
      <t xml:space="preserve">Emissions factor for heat at Vostochnaya sitein the baseline scenario </t>
    </r>
  </si>
  <si>
    <r>
      <t xml:space="preserve">Emissions factor for heat at Yakovlevskaya site in the baseline scenario </t>
    </r>
  </si>
  <si>
    <t xml:space="preserve"> (GJ)</t>
  </si>
  <si>
    <r>
      <t xml:space="preserve">Emissions factor for heat at Centralnaya site in the baseline scenario </t>
    </r>
  </si>
  <si>
    <r>
      <t>HEAT</t>
    </r>
    <r>
      <rPr>
        <i/>
        <vertAlign val="subscript"/>
        <sz val="11"/>
        <rFont val="Times New Roman"/>
        <family val="1"/>
      </rPr>
      <t>deliv,DH,y</t>
    </r>
  </si>
  <si>
    <r>
      <t>EF</t>
    </r>
    <r>
      <rPr>
        <i/>
        <vertAlign val="subscript"/>
        <sz val="11"/>
        <rFont val="Times New Roman"/>
        <family val="1"/>
      </rPr>
      <t>Heat,DH</t>
    </r>
  </si>
  <si>
    <r>
      <t>EF</t>
    </r>
    <r>
      <rPr>
        <i/>
        <vertAlign val="subscript"/>
        <sz val="11"/>
        <rFont val="Times New Roman"/>
        <family val="1"/>
      </rPr>
      <t>Heat,centr</t>
    </r>
  </si>
  <si>
    <r>
      <t>EF</t>
    </r>
    <r>
      <rPr>
        <i/>
        <vertAlign val="subscript"/>
        <sz val="11"/>
        <rFont val="Times New Roman"/>
        <family val="1"/>
      </rPr>
      <t>Heat,yak</t>
    </r>
  </si>
  <si>
    <r>
      <t>EF</t>
    </r>
    <r>
      <rPr>
        <i/>
        <vertAlign val="subscript"/>
        <sz val="11"/>
        <rFont val="Times New Roman"/>
        <family val="1"/>
      </rPr>
      <t>Heat,vost</t>
    </r>
  </si>
  <si>
    <r>
      <t>HEAT</t>
    </r>
    <r>
      <rPr>
        <i/>
        <vertAlign val="subscript"/>
        <sz val="11"/>
        <rFont val="Times New Roman"/>
        <family val="1"/>
      </rPr>
      <t>cons , vost,y</t>
    </r>
  </si>
  <si>
    <r>
      <t>HEAT</t>
    </r>
    <r>
      <rPr>
        <i/>
        <vertAlign val="subscript"/>
        <sz val="11"/>
        <rFont val="Times New Roman"/>
        <family val="1"/>
      </rPr>
      <t>cons ,yak,y</t>
    </r>
  </si>
  <si>
    <r>
      <t>HEAT</t>
    </r>
    <r>
      <rPr>
        <i/>
        <vertAlign val="subscript"/>
        <sz val="11"/>
        <rFont val="Times New Roman"/>
        <family val="1"/>
      </rPr>
      <t>cons ,centr,y</t>
    </r>
  </si>
  <si>
    <r>
      <t xml:space="preserve">BE </t>
    </r>
    <r>
      <rPr>
        <i/>
        <vertAlign val="subscript"/>
        <sz val="11"/>
        <rFont val="Times New Roman"/>
        <family val="1"/>
      </rPr>
      <t>Use,Heat, y</t>
    </r>
  </si>
  <si>
    <t>tCO2,y</t>
  </si>
  <si>
    <r>
      <t>VFUEL</t>
    </r>
    <r>
      <rPr>
        <i/>
        <vertAlign val="subscript"/>
        <sz val="11"/>
        <rFont val="TimesNewRoman"/>
        <family val="0"/>
      </rPr>
      <t>y</t>
    </r>
  </si>
  <si>
    <r>
      <t>EF</t>
    </r>
    <r>
      <rPr>
        <i/>
        <vertAlign val="subscript"/>
        <sz val="11"/>
        <rFont val="TimesNewRoman"/>
        <family val="0"/>
      </rPr>
      <t>v</t>
    </r>
  </si>
  <si>
    <t xml:space="preserve">Vehicle fuel provided by the project activity </t>
  </si>
  <si>
    <r>
      <t xml:space="preserve">Emissions factor for vehicle operation </t>
    </r>
    <r>
      <rPr>
        <sz val="11"/>
        <rFont val="TimesNewRoman"/>
        <family val="0"/>
      </rPr>
      <t xml:space="preserve">replaced by the project activity </t>
    </r>
  </si>
  <si>
    <t>Vehicle engine efficiency</t>
  </si>
  <si>
    <t>Lower Heating Value</t>
  </si>
  <si>
    <t>Lower Heating Value of Metane</t>
  </si>
  <si>
    <t>tCO2 y</t>
  </si>
  <si>
    <r>
      <t>BE</t>
    </r>
    <r>
      <rPr>
        <vertAlign val="subscript"/>
        <sz val="11"/>
        <rFont val="TimesNewRoman"/>
        <family val="0"/>
      </rPr>
      <t>Use.Gas</t>
    </r>
  </si>
  <si>
    <r>
      <t>BE</t>
    </r>
    <r>
      <rPr>
        <vertAlign val="subscript"/>
        <sz val="11"/>
        <rFont val="TimesNewRoman"/>
        <family val="0"/>
      </rPr>
      <t>y</t>
    </r>
  </si>
  <si>
    <t>Emission factors heat</t>
  </si>
  <si>
    <t>Coal at Zasaydko</t>
  </si>
  <si>
    <t>GJ/tcoal</t>
  </si>
  <si>
    <t>G grade coal</t>
  </si>
  <si>
    <t>Mass content</t>
  </si>
  <si>
    <t>EFcoal</t>
  </si>
  <si>
    <t>tC/GJ</t>
  </si>
  <si>
    <t>EFco2,coal</t>
  </si>
  <si>
    <t>Natural gas</t>
  </si>
  <si>
    <t>EFco2,ng</t>
  </si>
  <si>
    <t>Fuel type central</t>
  </si>
  <si>
    <t>coal</t>
  </si>
  <si>
    <t>Boiler efficiency central</t>
  </si>
  <si>
    <t>EFheat, cent</t>
  </si>
  <si>
    <t>Fuel type yakovlev</t>
  </si>
  <si>
    <t>natural gas</t>
  </si>
  <si>
    <t>Boiler eff yakovlev</t>
  </si>
  <si>
    <t>EFheat, yakov</t>
  </si>
  <si>
    <t>Fuel type vostochnaya</t>
  </si>
  <si>
    <t>Boiler eff vostochnaya</t>
  </si>
  <si>
    <t>EFheat,vost</t>
  </si>
  <si>
    <t>Fuel type District Heating</t>
  </si>
  <si>
    <t>Boiler eff DH</t>
  </si>
  <si>
    <t>EFheat,DH</t>
  </si>
  <si>
    <t>Emission factor fuel</t>
  </si>
  <si>
    <t>Fuel type</t>
  </si>
  <si>
    <t>EFco2,diesel</t>
  </si>
  <si>
    <t>Car efficiency is unknown, but a high number has been taken to be conservative</t>
  </si>
  <si>
    <t>EFv</t>
  </si>
  <si>
    <t xml:space="preserve">The baseline emissions of the replacement of electricity by the project activity are given by two equations. </t>
  </si>
  <si>
    <t xml:space="preserve">When the amount of electricity generated in a year by the project activity is less than the total amount </t>
  </si>
  <si>
    <t>of electricity consumed by the mine, the baseline emissions are as follows:</t>
  </si>
  <si>
    <t>When the amount of electricity generated in a year by the project activity is more than the total amount</t>
  </si>
  <si>
    <t xml:space="preserve"> of electricity consumed by the mine (i.e. electricity will be supplied to the grid), the baseline emissions are as follows:</t>
  </si>
  <si>
    <r>
      <t>tCO</t>
    </r>
    <r>
      <rPr>
        <vertAlign val="subscript"/>
        <sz val="10"/>
        <rFont val="Times New Roman"/>
        <family val="1"/>
      </rPr>
      <t>2</t>
    </r>
  </si>
  <si>
    <r>
      <t>tCO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 MWh</t>
    </r>
  </si>
  <si>
    <t>Baseline emissions</t>
  </si>
  <si>
    <t>Baseline emission from production of electricity, heat and vehicle fuel</t>
  </si>
  <si>
    <t>Total baseline emissions</t>
  </si>
  <si>
    <t>Electricity, MWh</t>
  </si>
  <si>
    <t xml:space="preserve">Amount of CHP Units, pc </t>
  </si>
  <si>
    <t>own electricity consumption CHP</t>
  </si>
  <si>
    <t>Project emissions</t>
  </si>
  <si>
    <t>Total project emissions</t>
  </si>
  <si>
    <t>GJ/1000 m3</t>
  </si>
  <si>
    <t>CH4 (m3)</t>
  </si>
  <si>
    <t>CH4 (t)</t>
  </si>
  <si>
    <t>Baseline emissions from release of methane into the atmosphere</t>
  </si>
  <si>
    <t xml:space="preserve">Heat consumed at Vostochnaya site delivered by the project year y </t>
  </si>
  <si>
    <t xml:space="preserve">Heat consumed at Yakovlevskaya site delivered by the project year y </t>
  </si>
  <si>
    <t xml:space="preserve">Heat consumed at Centralnaya site delivered by the project year y </t>
  </si>
  <si>
    <t>GJ</t>
  </si>
  <si>
    <t>Heat Loads for Vostochnaya Site</t>
  </si>
  <si>
    <t>Emission reductions</t>
  </si>
  <si>
    <t>AGFC plant CH4 Consumption</t>
  </si>
  <si>
    <t>Vostochnaya</t>
  </si>
  <si>
    <t>Title of the project: "Utilization of coal mine methane at the coal mine named after A.F. Zasyadko"</t>
  </si>
  <si>
    <t>Table 2</t>
  </si>
  <si>
    <t>Hours of operation of CHP unit</t>
  </si>
  <si>
    <t>Table7</t>
  </si>
  <si>
    <t>Hours of heat delivery</t>
  </si>
  <si>
    <t>Electricity production per year</t>
  </si>
  <si>
    <t>Heat production per year</t>
  </si>
  <si>
    <t>Gcal/year</t>
  </si>
  <si>
    <t>Of the total fossil fuel vehicle consumpiotn at Zasyadko 50% was diesel and 50% gasoline</t>
  </si>
  <si>
    <t>EFco2,mix</t>
  </si>
  <si>
    <t>EFco2,gasoline</t>
  </si>
  <si>
    <t>includes boilers at greenhouse and garage</t>
  </si>
  <si>
    <t>Emission factors boilers</t>
  </si>
  <si>
    <t>Efficiency of DH is currenlty unknown, but will be monitored. To be conservative a high number has been taken</t>
  </si>
  <si>
    <t>To be conservative 100% NG consumption has been assumed but actual fuel type will be measured</t>
  </si>
  <si>
    <t>Fixed ex-ante</t>
  </si>
  <si>
    <t>Monitored</t>
  </si>
  <si>
    <t>IPCC 2006 value</t>
  </si>
  <si>
    <t>Ignition gas consumption</t>
  </si>
  <si>
    <t>Fuel gas consumption</t>
  </si>
  <si>
    <t>Het Genaration,Gcal</t>
  </si>
  <si>
    <t>[tCO2e/yr]</t>
  </si>
  <si>
    <t>Total 2006 - 2012</t>
  </si>
  <si>
    <t>[tCO2e]</t>
  </si>
  <si>
    <t>Total VERs/ERUs</t>
  </si>
  <si>
    <t>Total 2004-2012</t>
  </si>
  <si>
    <t>Unit</t>
  </si>
  <si>
    <t>Input data</t>
  </si>
  <si>
    <t>1. CMM combustions in CHPs at:</t>
  </si>
  <si>
    <t>Ignition gas</t>
  </si>
  <si>
    <t>Fuel gas</t>
  </si>
  <si>
    <t>2. Electricity</t>
  </si>
  <si>
    <t>Net electricity generation by CHP</t>
  </si>
  <si>
    <t>Net electricity consumption delivery by CHP</t>
  </si>
  <si>
    <t>Net electricity to grid by CHP</t>
  </si>
  <si>
    <t>3. Heat supply by CHP to:</t>
  </si>
  <si>
    <t>Gcal</t>
  </si>
  <si>
    <t>Yakovlevskay</t>
  </si>
  <si>
    <t>Centralnaya</t>
  </si>
  <si>
    <t>District Heating</t>
  </si>
  <si>
    <t>4. CMM consumption AFGCP at:</t>
  </si>
  <si>
    <t>Total over Mine</t>
  </si>
  <si>
    <t>Avoided methane emissions</t>
  </si>
  <si>
    <t>Combustions of methane in CHP</t>
  </si>
  <si>
    <t>Uncombusted methane</t>
  </si>
  <si>
    <t>2. Electricity production</t>
  </si>
  <si>
    <t>Project emisisons</t>
  </si>
  <si>
    <t>3. Heat supply by CHP</t>
  </si>
  <si>
    <t>4. Methane supply to AFGCP</t>
  </si>
  <si>
    <t>Diesel emissions</t>
  </si>
  <si>
    <t>Combustion of methane in vehicles</t>
  </si>
  <si>
    <t>Uncombusted of methane in vehicles</t>
  </si>
  <si>
    <r>
      <t>CH</t>
    </r>
    <r>
      <rPr>
        <b/>
        <vertAlign val="sub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consumption, tn</t>
    </r>
  </si>
  <si>
    <r>
      <t>CH</t>
    </r>
    <r>
      <rPr>
        <b/>
        <vertAlign val="subscript"/>
        <sz val="10"/>
        <rFont val="Times New Roman"/>
        <family val="1"/>
      </rPr>
      <t xml:space="preserve">4 </t>
    </r>
    <r>
      <rPr>
        <b/>
        <sz val="10"/>
        <rFont val="Times New Roman"/>
        <family val="1"/>
      </rPr>
      <t>iginition gas, m</t>
    </r>
    <r>
      <rPr>
        <b/>
        <vertAlign val="superscript"/>
        <sz val="10"/>
        <rFont val="Times New Roman"/>
        <family val="1"/>
      </rPr>
      <t>3</t>
    </r>
  </si>
  <si>
    <r>
      <t>CH</t>
    </r>
    <r>
      <rPr>
        <b/>
        <vertAlign val="sub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fuel gas, m</t>
    </r>
    <r>
      <rPr>
        <b/>
        <vertAlign val="superscript"/>
        <sz val="10"/>
        <rFont val="Times New Roman"/>
        <family val="1"/>
      </rPr>
      <t>3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</si>
  <si>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iginition gas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</si>
  <si>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fuel gas</t>
    </r>
  </si>
  <si>
    <r>
      <t>tCO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e</t>
    </r>
  </si>
  <si>
    <t>Мonth/Years</t>
  </si>
  <si>
    <t>Month/Years</t>
  </si>
  <si>
    <t>August 2010</t>
  </si>
  <si>
    <t>September 2010</t>
  </si>
  <si>
    <t>October 2010</t>
  </si>
  <si>
    <t>November 2010</t>
  </si>
  <si>
    <t>December 2010</t>
  </si>
  <si>
    <t>Total (01/08/2010-31/12/2010)</t>
  </si>
  <si>
    <t>period 01/08/10 - 31/12/10</t>
  </si>
  <si>
    <t>From 01.08.2010 to 31.12.2010</t>
  </si>
  <si>
    <t>Total reductions (01/08/2010-31/12/2010)</t>
  </si>
  <si>
    <t>Total  (01/08/2010-31/12/2010)</t>
  </si>
  <si>
    <r>
      <t>СM</t>
    </r>
    <r>
      <rPr>
        <i/>
        <vertAlign val="subscript"/>
        <sz val="11"/>
        <rFont val="Times New Roman"/>
        <family val="1"/>
      </rPr>
      <t xml:space="preserve">PJ,CHP,y </t>
    </r>
  </si>
  <si>
    <r>
      <t>СMM</t>
    </r>
    <r>
      <rPr>
        <i/>
        <vertAlign val="subscript"/>
        <sz val="11"/>
        <rFont val="Times New Roman"/>
        <family val="1"/>
      </rPr>
      <t>PJ,GAS,y</t>
    </r>
  </si>
  <si>
    <t>version 2.0. of 31/01/2011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</si>
</sst>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00000000"/>
    <numFmt numFmtId="187" formatCode="#,##0.000"/>
    <numFmt numFmtId="188" formatCode="0.00000"/>
    <numFmt numFmtId="189" formatCode="0.0"/>
    <numFmt numFmtId="190" formatCode="_-* #,##0.000_-;_-* #,##0.000\-;_-* &quot;-&quot;??_-;_-@_-"/>
    <numFmt numFmtId="191" formatCode="_-* #,##0.0000_-;_-* #,##0.0000\-;_-* &quot;-&quot;??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&quot;р.&quot;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"/>
    <numFmt numFmtId="202" formatCode="#,##0;[Red]#,##0"/>
  </numFmts>
  <fonts count="62">
    <font>
      <sz val="10"/>
      <name val="Times New Roman"/>
      <family val="0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NewRoman"/>
      <family val="0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i/>
      <sz val="12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name val="TimesNewRoman"/>
      <family val="0"/>
    </font>
    <font>
      <vertAlign val="subscript"/>
      <sz val="11"/>
      <name val="TimesNewRoman"/>
      <family val="0"/>
    </font>
    <font>
      <i/>
      <sz val="10"/>
      <name val="Times New Roman"/>
      <family val="1"/>
    </font>
    <font>
      <sz val="12"/>
      <color indexed="8"/>
      <name val="TimesNewRoman"/>
      <family val="0"/>
    </font>
    <font>
      <sz val="10"/>
      <color indexed="8"/>
      <name val="Times New Roman"/>
      <family val="1"/>
    </font>
    <font>
      <i/>
      <sz val="11"/>
      <name val="TimesNewRoman"/>
      <family val="0"/>
    </font>
    <font>
      <i/>
      <vertAlign val="subscript"/>
      <sz val="11"/>
      <name val="TimesNewRoman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9"/>
      <name val="Bookman Old Styl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54" fillId="7" borderId="1" applyNumberFormat="0" applyAlignment="0" applyProtection="0"/>
    <xf numFmtId="0" fontId="57" fillId="20" borderId="2" applyNumberFormat="0" applyAlignment="0" applyProtection="0"/>
    <xf numFmtId="0" fontId="47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48" fillId="21" borderId="7" applyNumberFormat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30" fillId="0" borderId="0">
      <alignment/>
      <protection/>
    </xf>
    <xf numFmtId="0" fontId="36" fillId="0" borderId="0">
      <alignment/>
      <protection/>
    </xf>
    <xf numFmtId="0" fontId="17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right"/>
    </xf>
    <xf numFmtId="2" fontId="0" fillId="0" borderId="17" xfId="0" applyNumberFormat="1" applyBorder="1" applyAlignment="1">
      <alignment/>
    </xf>
    <xf numFmtId="0" fontId="4" fillId="0" borderId="12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4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0" fillId="0" borderId="1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21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justify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left" vertical="justify" wrapText="1"/>
    </xf>
    <xf numFmtId="1" fontId="0" fillId="0" borderId="17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0" borderId="0" xfId="0" applyNumberFormat="1" applyFill="1" applyBorder="1" applyAlignment="1">
      <alignment horizontal="right"/>
    </xf>
    <xf numFmtId="0" fontId="11" fillId="0" borderId="0" xfId="0" applyFont="1" applyFill="1" applyAlignment="1">
      <alignment/>
    </xf>
    <xf numFmtId="9" fontId="0" fillId="11" borderId="26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20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4" xfId="0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9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9" fillId="0" borderId="0" xfId="0" applyFont="1" applyFill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11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9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 horizontal="center"/>
    </xf>
    <xf numFmtId="0" fontId="32" fillId="0" borderId="0" xfId="53" applyFont="1">
      <alignment/>
      <protection/>
    </xf>
    <xf numFmtId="0" fontId="30" fillId="0" borderId="0" xfId="53">
      <alignment/>
      <protection/>
    </xf>
    <xf numFmtId="185" fontId="30" fillId="0" borderId="0" xfId="53" applyNumberFormat="1">
      <alignment/>
      <protection/>
    </xf>
    <xf numFmtId="189" fontId="30" fillId="0" borderId="0" xfId="53" applyNumberFormat="1">
      <alignment/>
      <protection/>
    </xf>
    <xf numFmtId="0" fontId="30" fillId="0" borderId="0" xfId="53" applyFont="1">
      <alignment/>
      <protection/>
    </xf>
    <xf numFmtId="0" fontId="33" fillId="0" borderId="0" xfId="53" applyFont="1">
      <alignment/>
      <protection/>
    </xf>
    <xf numFmtId="180" fontId="30" fillId="0" borderId="0" xfId="53" applyNumberFormat="1">
      <alignment/>
      <protection/>
    </xf>
    <xf numFmtId="180" fontId="33" fillId="0" borderId="0" xfId="53" applyNumberFormat="1" applyFont="1">
      <alignment/>
      <protection/>
    </xf>
    <xf numFmtId="9" fontId="30" fillId="0" borderId="0" xfId="59" applyFont="1" applyFill="1" applyAlignment="1">
      <alignment/>
    </xf>
    <xf numFmtId="190" fontId="30" fillId="0" borderId="0" xfId="64" applyNumberFormat="1" applyAlignment="1">
      <alignment/>
    </xf>
    <xf numFmtId="3" fontId="0" fillId="0" borderId="25" xfId="0" applyNumberFormat="1" applyBorder="1" applyAlignment="1">
      <alignment/>
    </xf>
    <xf numFmtId="3" fontId="4" fillId="4" borderId="34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4" fillId="4" borderId="35" xfId="0" applyNumberFormat="1" applyFont="1" applyFill="1" applyBorder="1" applyAlignment="1">
      <alignment/>
    </xf>
    <xf numFmtId="0" fontId="0" fillId="7" borderId="0" xfId="0" applyFill="1" applyAlignment="1">
      <alignment/>
    </xf>
    <xf numFmtId="3" fontId="0" fillId="0" borderId="17" xfId="0" applyNumberFormat="1" applyFont="1" applyFill="1" applyBorder="1" applyAlignment="1">
      <alignment/>
    </xf>
    <xf numFmtId="0" fontId="30" fillId="0" borderId="0" xfId="53" applyFill="1">
      <alignment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4" fillId="0" borderId="21" xfId="0" applyFont="1" applyBorder="1" applyAlignment="1">
      <alignment/>
    </xf>
    <xf numFmtId="0" fontId="0" fillId="0" borderId="29" xfId="0" applyBorder="1" applyAlignment="1">
      <alignment horizontal="left"/>
    </xf>
    <xf numFmtId="0" fontId="30" fillId="0" borderId="0" xfId="53" applyFont="1">
      <alignment/>
      <protection/>
    </xf>
    <xf numFmtId="0" fontId="0" fillId="0" borderId="36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left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37" xfId="0" applyBorder="1" applyAlignment="1">
      <alignment/>
    </xf>
    <xf numFmtId="180" fontId="0" fillId="0" borderId="14" xfId="0" applyNumberFormat="1" applyBorder="1" applyAlignment="1">
      <alignment horizontal="left"/>
    </xf>
    <xf numFmtId="180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180" fontId="0" fillId="0" borderId="12" xfId="0" applyNumberFormat="1" applyBorder="1" applyAlignment="1">
      <alignment horizontal="left"/>
    </xf>
    <xf numFmtId="1" fontId="0" fillId="0" borderId="25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Border="1" applyAlignment="1">
      <alignment horizontal="left"/>
    </xf>
    <xf numFmtId="10" fontId="30" fillId="0" borderId="0" xfId="59" applyNumberFormat="1" applyFont="1" applyFill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37" fillId="0" borderId="0" xfId="0" applyFont="1" applyFill="1" applyBorder="1" applyAlignment="1">
      <alignment horizontal="right" vertical="center" wrapText="1"/>
    </xf>
    <xf numFmtId="1" fontId="37" fillId="0" borderId="0" xfId="54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9" fontId="0" fillId="11" borderId="0" xfId="0" applyNumberFormat="1" applyFill="1" applyBorder="1" applyAlignment="1">
      <alignment/>
    </xf>
    <xf numFmtId="0" fontId="4" fillId="0" borderId="43" xfId="0" applyFont="1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96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/>
    </xf>
    <xf numFmtId="0" fontId="4" fillId="24" borderId="16" xfId="0" applyFont="1" applyFill="1" applyBorder="1" applyAlignment="1">
      <alignment/>
    </xf>
    <xf numFmtId="3" fontId="4" fillId="24" borderId="33" xfId="0" applyNumberFormat="1" applyFont="1" applyFill="1" applyBorder="1" applyAlignment="1">
      <alignment horizontal="right"/>
    </xf>
    <xf numFmtId="0" fontId="4" fillId="24" borderId="17" xfId="0" applyFont="1" applyFill="1" applyBorder="1" applyAlignment="1">
      <alignment horizontal="right"/>
    </xf>
    <xf numFmtId="3" fontId="4" fillId="24" borderId="17" xfId="0" applyNumberFormat="1" applyFont="1" applyFill="1" applyBorder="1" applyAlignment="1">
      <alignment horizontal="right"/>
    </xf>
    <xf numFmtId="3" fontId="4" fillId="24" borderId="25" xfId="0" applyNumberFormat="1" applyFont="1" applyFill="1" applyBorder="1" applyAlignment="1">
      <alignment horizontal="right"/>
    </xf>
    <xf numFmtId="3" fontId="4" fillId="24" borderId="44" xfId="0" applyNumberFormat="1" applyFont="1" applyFill="1" applyBorder="1" applyAlignment="1">
      <alignment/>
    </xf>
    <xf numFmtId="0" fontId="25" fillId="4" borderId="4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0" fillId="0" borderId="46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38" fillId="25" borderId="48" xfId="0" applyFont="1" applyFill="1" applyBorder="1" applyAlignment="1">
      <alignment vertical="center"/>
    </xf>
    <xf numFmtId="0" fontId="38" fillId="25" borderId="35" xfId="0" applyFont="1" applyFill="1" applyBorder="1" applyAlignment="1">
      <alignment horizontal="center" vertical="center"/>
    </xf>
    <xf numFmtId="0" fontId="39" fillId="25" borderId="49" xfId="0" applyFont="1" applyFill="1" applyBorder="1" applyAlignment="1">
      <alignment horizontal="center" vertical="center"/>
    </xf>
    <xf numFmtId="0" fontId="39" fillId="25" borderId="49" xfId="0" applyFont="1" applyFill="1" applyBorder="1" applyAlignment="1">
      <alignment horizontal="center" vertical="center"/>
    </xf>
    <xf numFmtId="0" fontId="38" fillId="26" borderId="21" xfId="0" applyFont="1" applyFill="1" applyBorder="1" applyAlignment="1">
      <alignment vertical="center"/>
    </xf>
    <xf numFmtId="0" fontId="38" fillId="26" borderId="32" xfId="0" applyFont="1" applyFill="1" applyBorder="1" applyAlignment="1">
      <alignment horizontal="center" vertical="center"/>
    </xf>
    <xf numFmtId="3" fontId="38" fillId="0" borderId="40" xfId="0" applyNumberFormat="1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/>
    </xf>
    <xf numFmtId="0" fontId="38" fillId="26" borderId="43" xfId="0" applyFont="1" applyFill="1" applyBorder="1" applyAlignment="1">
      <alignment vertical="center"/>
    </xf>
    <xf numFmtId="0" fontId="38" fillId="26" borderId="13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27" borderId="0" xfId="0" applyNumberFormat="1" applyFont="1" applyFill="1" applyBorder="1" applyAlignment="1">
      <alignment horizontal="right" vertical="center"/>
    </xf>
    <xf numFmtId="3" fontId="0" fillId="27" borderId="0" xfId="0" applyNumberFormat="1" applyFont="1" applyFill="1" applyBorder="1" applyAlignment="1">
      <alignment horizontal="center" vertical="center"/>
    </xf>
    <xf numFmtId="0" fontId="38" fillId="26" borderId="48" xfId="0" applyFont="1" applyFill="1" applyBorder="1" applyAlignment="1">
      <alignment vertical="center"/>
    </xf>
    <xf numFmtId="0" fontId="38" fillId="26" borderId="35" xfId="0" applyFont="1" applyFill="1" applyBorder="1" applyAlignment="1">
      <alignment horizontal="center" vertical="center"/>
    </xf>
    <xf numFmtId="0" fontId="38" fillId="26" borderId="39" xfId="0" applyFont="1" applyFill="1" applyBorder="1" applyAlignment="1">
      <alignment vertical="center"/>
    </xf>
    <xf numFmtId="0" fontId="0" fillId="0" borderId="51" xfId="0" applyBorder="1" applyAlignment="1">
      <alignment/>
    </xf>
    <xf numFmtId="0" fontId="4" fillId="0" borderId="5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8" fillId="25" borderId="46" xfId="0" applyFont="1" applyFill="1" applyBorder="1" applyAlignment="1">
      <alignment vertical="center"/>
    </xf>
    <xf numFmtId="0" fontId="38" fillId="25" borderId="10" xfId="0" applyFont="1" applyFill="1" applyBorder="1" applyAlignment="1">
      <alignment horizontal="center" vertical="center"/>
    </xf>
    <xf numFmtId="3" fontId="38" fillId="0" borderId="53" xfId="0" applyNumberFormat="1" applyFont="1" applyFill="1" applyBorder="1" applyAlignment="1">
      <alignment horizontal="center" vertical="center"/>
    </xf>
    <xf numFmtId="3" fontId="38" fillId="27" borderId="53" xfId="0" applyNumberFormat="1" applyFont="1" applyFill="1" applyBorder="1" applyAlignment="1">
      <alignment horizontal="center" vertical="center"/>
    </xf>
    <xf numFmtId="3" fontId="38" fillId="27" borderId="54" xfId="0" applyNumberFormat="1" applyFont="1" applyFill="1" applyBorder="1" applyAlignment="1">
      <alignment horizontal="center" vertical="center"/>
    </xf>
    <xf numFmtId="3" fontId="0" fillId="7" borderId="11" xfId="0" applyNumberFormat="1" applyFill="1" applyBorder="1" applyAlignment="1">
      <alignment/>
    </xf>
    <xf numFmtId="0" fontId="39" fillId="25" borderId="39" xfId="0" applyFont="1" applyFill="1" applyBorder="1" applyAlignment="1">
      <alignment vertical="center"/>
    </xf>
    <xf numFmtId="0" fontId="39" fillId="25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39" fillId="25" borderId="43" xfId="0" applyFont="1" applyFill="1" applyBorder="1" applyAlignment="1">
      <alignment vertical="center"/>
    </xf>
    <xf numFmtId="0" fontId="39" fillId="25" borderId="42" xfId="0" applyFont="1" applyFill="1" applyBorder="1" applyAlignment="1">
      <alignment horizontal="center" vertical="center"/>
    </xf>
    <xf numFmtId="0" fontId="38" fillId="26" borderId="55" xfId="0" applyFont="1" applyFill="1" applyBorder="1" applyAlignment="1">
      <alignment horizontal="center" vertical="center"/>
    </xf>
    <xf numFmtId="3" fontId="0" fillId="24" borderId="44" xfId="0" applyNumberFormat="1" applyFont="1" applyFill="1" applyBorder="1" applyAlignment="1">
      <alignment/>
    </xf>
    <xf numFmtId="0" fontId="38" fillId="26" borderId="42" xfId="0" applyFont="1" applyFill="1" applyBorder="1" applyAlignment="1">
      <alignment horizontal="center" vertical="center"/>
    </xf>
    <xf numFmtId="3" fontId="0" fillId="24" borderId="44" xfId="0" applyNumberFormat="1" applyFill="1" applyBorder="1" applyAlignment="1">
      <alignment/>
    </xf>
    <xf numFmtId="3" fontId="4" fillId="24" borderId="26" xfId="0" applyNumberFormat="1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/>
    </xf>
    <xf numFmtId="0" fontId="0" fillId="0" borderId="17" xfId="0" applyBorder="1" applyAlignment="1">
      <alignment/>
    </xf>
    <xf numFmtId="0" fontId="11" fillId="25" borderId="15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3" fontId="0" fillId="0" borderId="16" xfId="0" applyNumberFormat="1" applyBorder="1" applyAlignment="1">
      <alignment/>
    </xf>
    <xf numFmtId="0" fontId="4" fillId="28" borderId="15" xfId="0" applyFont="1" applyFill="1" applyBorder="1" applyAlignment="1">
      <alignment/>
    </xf>
    <xf numFmtId="0" fontId="0" fillId="28" borderId="16" xfId="0" applyFill="1" applyBorder="1" applyAlignment="1">
      <alignment/>
    </xf>
    <xf numFmtId="3" fontId="0" fillId="28" borderId="16" xfId="0" applyNumberFormat="1" applyFill="1" applyBorder="1" applyAlignment="1">
      <alignment/>
    </xf>
    <xf numFmtId="0" fontId="0" fillId="28" borderId="17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/>
    </xf>
    <xf numFmtId="3" fontId="0" fillId="25" borderId="16" xfId="0" applyNumberFormat="1" applyFill="1" applyBorder="1" applyAlignment="1">
      <alignment/>
    </xf>
    <xf numFmtId="0" fontId="0" fillId="28" borderId="16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0" borderId="16" xfId="0" applyBorder="1" applyAlignment="1">
      <alignment/>
    </xf>
    <xf numFmtId="0" fontId="4" fillId="28" borderId="15" xfId="0" applyFont="1" applyFill="1" applyBorder="1" applyAlignment="1">
      <alignment horizontal="left"/>
    </xf>
    <xf numFmtId="0" fontId="0" fillId="28" borderId="16" xfId="0" applyFill="1" applyBorder="1" applyAlignment="1">
      <alignment/>
    </xf>
    <xf numFmtId="3" fontId="4" fillId="10" borderId="16" xfId="0" applyNumberFormat="1" applyFont="1" applyFill="1" applyBorder="1" applyAlignment="1">
      <alignment/>
    </xf>
    <xf numFmtId="0" fontId="11" fillId="7" borderId="15" xfId="0" applyFont="1" applyFill="1" applyBorder="1" applyAlignment="1">
      <alignment/>
    </xf>
    <xf numFmtId="0" fontId="0" fillId="7" borderId="16" xfId="0" applyFill="1" applyBorder="1" applyAlignment="1">
      <alignment/>
    </xf>
    <xf numFmtId="3" fontId="0" fillId="7" borderId="16" xfId="0" applyNumberFormat="1" applyFill="1" applyBorder="1" applyAlignment="1">
      <alignment/>
    </xf>
    <xf numFmtId="0" fontId="0" fillId="7" borderId="17" xfId="0" applyFill="1" applyBorder="1" applyAlignment="1">
      <alignment/>
    </xf>
    <xf numFmtId="0" fontId="4" fillId="14" borderId="15" xfId="0" applyFont="1" applyFill="1" applyBorder="1" applyAlignment="1">
      <alignment/>
    </xf>
    <xf numFmtId="0" fontId="0" fillId="14" borderId="16" xfId="0" applyFill="1" applyBorder="1" applyAlignment="1">
      <alignment/>
    </xf>
    <xf numFmtId="3" fontId="0" fillId="14" borderId="16" xfId="0" applyNumberFormat="1" applyFill="1" applyBorder="1" applyAlignment="1">
      <alignment/>
    </xf>
    <xf numFmtId="0" fontId="0" fillId="14" borderId="17" xfId="0" applyFill="1" applyBorder="1" applyAlignment="1">
      <alignment/>
    </xf>
    <xf numFmtId="0" fontId="25" fillId="0" borderId="15" xfId="0" applyFont="1" applyBorder="1" applyAlignment="1">
      <alignment/>
    </xf>
    <xf numFmtId="0" fontId="4" fillId="15" borderId="15" xfId="0" applyFont="1" applyFill="1" applyBorder="1" applyAlignment="1">
      <alignment/>
    </xf>
    <xf numFmtId="0" fontId="4" fillId="15" borderId="16" xfId="0" applyFont="1" applyFill="1" applyBorder="1" applyAlignment="1">
      <alignment/>
    </xf>
    <xf numFmtId="3" fontId="4" fillId="24" borderId="16" xfId="0" applyNumberFormat="1" applyFont="1" applyFill="1" applyBorder="1" applyAlignment="1">
      <alignment/>
    </xf>
    <xf numFmtId="3" fontId="4" fillId="7" borderId="16" xfId="0" applyNumberFormat="1" applyFont="1" applyFill="1" applyBorder="1" applyAlignment="1">
      <alignment/>
    </xf>
    <xf numFmtId="0" fontId="4" fillId="15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2" xfId="0" applyBorder="1" applyAlignment="1">
      <alignment/>
    </xf>
    <xf numFmtId="0" fontId="6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35" fillId="0" borderId="0" xfId="0" applyFont="1" applyAlignment="1">
      <alignment/>
    </xf>
    <xf numFmtId="3" fontId="5" fillId="24" borderId="16" xfId="0" applyNumberFormat="1" applyFont="1" applyFill="1" applyBorder="1" applyAlignment="1">
      <alignment horizontal="center" vertical="center"/>
    </xf>
    <xf numFmtId="3" fontId="5" fillId="24" borderId="44" xfId="0" applyNumberFormat="1" applyFont="1" applyFill="1" applyBorder="1" applyAlignment="1">
      <alignment horizontal="center" vertical="center"/>
    </xf>
    <xf numFmtId="3" fontId="5" fillId="24" borderId="58" xfId="0" applyNumberFormat="1" applyFont="1" applyFill="1" applyBorder="1" applyAlignment="1">
      <alignment horizontal="center" vertical="center"/>
    </xf>
    <xf numFmtId="3" fontId="4" fillId="25" borderId="49" xfId="0" applyNumberFormat="1" applyFont="1" applyFill="1" applyBorder="1" applyAlignment="1">
      <alignment horizontal="center"/>
    </xf>
    <xf numFmtId="3" fontId="0" fillId="24" borderId="16" xfId="0" applyNumberFormat="1" applyFont="1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16" xfId="0" applyFont="1" applyFill="1" applyBorder="1" applyAlignment="1">
      <alignment/>
    </xf>
    <xf numFmtId="3" fontId="0" fillId="24" borderId="53" xfId="0" applyNumberFormat="1" applyFont="1" applyFill="1" applyBorder="1" applyAlignment="1">
      <alignment/>
    </xf>
    <xf numFmtId="3" fontId="0" fillId="24" borderId="59" xfId="0" applyNumberFormat="1" applyFont="1" applyFill="1" applyBorder="1" applyAlignment="1">
      <alignment/>
    </xf>
    <xf numFmtId="3" fontId="4" fillId="28" borderId="34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0" fillId="24" borderId="61" xfId="0" applyNumberFormat="1" applyFont="1" applyFill="1" applyBorder="1" applyAlignment="1">
      <alignment/>
    </xf>
    <xf numFmtId="180" fontId="0" fillId="24" borderId="16" xfId="0" applyNumberFormat="1" applyFont="1" applyFill="1" applyBorder="1" applyAlignment="1">
      <alignment/>
    </xf>
    <xf numFmtId="180" fontId="0" fillId="24" borderId="17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187" fontId="0" fillId="24" borderId="16" xfId="54" applyNumberFormat="1" applyFont="1" applyFill="1" applyBorder="1" applyAlignment="1">
      <alignment horizontal="center" vertical="center" wrapText="1"/>
      <protection/>
    </xf>
    <xf numFmtId="187" fontId="0" fillId="24" borderId="16" xfId="0" applyNumberFormat="1" applyFont="1" applyFill="1" applyBorder="1" applyAlignment="1">
      <alignment horizontal="center" vertical="center"/>
    </xf>
    <xf numFmtId="3" fontId="0" fillId="24" borderId="61" xfId="0" applyNumberFormat="1" applyFont="1" applyFill="1" applyBorder="1" applyAlignment="1">
      <alignment horizontal="right"/>
    </xf>
    <xf numFmtId="3" fontId="0" fillId="24" borderId="24" xfId="0" applyNumberFormat="1" applyFont="1" applyFill="1" applyBorder="1" applyAlignment="1">
      <alignment horizontal="right"/>
    </xf>
    <xf numFmtId="0" fontId="5" fillId="0" borderId="61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187" fontId="0" fillId="24" borderId="10" xfId="54" applyNumberFormat="1" applyFont="1" applyFill="1" applyBorder="1" applyAlignment="1">
      <alignment horizontal="center" vertical="center" wrapText="1"/>
      <protection/>
    </xf>
    <xf numFmtId="187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/>
    </xf>
    <xf numFmtId="3" fontId="0" fillId="24" borderId="11" xfId="0" applyNumberFormat="1" applyFont="1" applyFill="1" applyBorder="1" applyAlignment="1">
      <alignment horizontal="right"/>
    </xf>
    <xf numFmtId="0" fontId="25" fillId="4" borderId="48" xfId="0" applyFont="1" applyFill="1" applyBorder="1" applyAlignment="1">
      <alignment/>
    </xf>
    <xf numFmtId="3" fontId="4" fillId="4" borderId="34" xfId="0" applyNumberFormat="1" applyFont="1" applyFill="1" applyBorder="1" applyAlignment="1">
      <alignment horizontal="center" vertical="center"/>
    </xf>
    <xf numFmtId="187" fontId="4" fillId="4" borderId="34" xfId="0" applyNumberFormat="1" applyFont="1" applyFill="1" applyBorder="1" applyAlignment="1">
      <alignment horizontal="center" vertical="center"/>
    </xf>
    <xf numFmtId="3" fontId="0" fillId="24" borderId="62" xfId="0" applyNumberFormat="1" applyFont="1" applyFill="1" applyBorder="1" applyAlignment="1">
      <alignment horizontal="center" vertical="center"/>
    </xf>
    <xf numFmtId="3" fontId="0" fillId="24" borderId="63" xfId="0" applyNumberFormat="1" applyFont="1" applyFill="1" applyBorder="1" applyAlignment="1">
      <alignment horizontal="center" vertical="center"/>
    </xf>
    <xf numFmtId="3" fontId="0" fillId="24" borderId="17" xfId="0" applyNumberFormat="1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3" fontId="43" fillId="4" borderId="49" xfId="0" applyNumberFormat="1" applyFont="1" applyFill="1" applyBorder="1" applyAlignment="1">
      <alignment/>
    </xf>
    <xf numFmtId="3" fontId="0" fillId="24" borderId="16" xfId="0" applyNumberFormat="1" applyFont="1" applyFill="1" applyBorder="1" applyAlignment="1">
      <alignment horizontal="right" vertical="center" wrapText="1"/>
    </xf>
    <xf numFmtId="3" fontId="0" fillId="24" borderId="44" xfId="0" applyNumberFormat="1" applyFont="1" applyFill="1" applyBorder="1" applyAlignment="1">
      <alignment horizontal="right" vertical="center"/>
    </xf>
    <xf numFmtId="3" fontId="0" fillId="24" borderId="47" xfId="0" applyNumberFormat="1" applyFont="1" applyFill="1" applyBorder="1" applyAlignment="1">
      <alignment horizontal="right" vertical="center"/>
    </xf>
    <xf numFmtId="3" fontId="0" fillId="24" borderId="29" xfId="0" applyNumberFormat="1" applyFont="1" applyFill="1" applyBorder="1" applyAlignment="1">
      <alignment horizontal="right" vertical="center"/>
    </xf>
    <xf numFmtId="3" fontId="0" fillId="24" borderId="28" xfId="0" applyNumberFormat="1" applyFont="1" applyFill="1" applyBorder="1" applyAlignment="1">
      <alignment horizontal="right" vertical="center"/>
    </xf>
    <xf numFmtId="3" fontId="0" fillId="24" borderId="58" xfId="0" applyNumberFormat="1" applyFont="1" applyFill="1" applyBorder="1" applyAlignment="1">
      <alignment horizontal="right" vertical="center"/>
    </xf>
    <xf numFmtId="3" fontId="0" fillId="24" borderId="30" xfId="0" applyNumberFormat="1" applyFont="1" applyFill="1" applyBorder="1" applyAlignment="1">
      <alignment horizontal="right" vertical="center"/>
    </xf>
    <xf numFmtId="3" fontId="0" fillId="24" borderId="30" xfId="0" applyNumberFormat="1" applyFont="1" applyFill="1" applyBorder="1" applyAlignment="1">
      <alignment horizontal="right" vertical="center" wrapText="1"/>
    </xf>
    <xf numFmtId="3" fontId="0" fillId="24" borderId="30" xfId="0" applyNumberFormat="1" applyFont="1" applyFill="1" applyBorder="1" applyAlignment="1">
      <alignment/>
    </xf>
    <xf numFmtId="202" fontId="0" fillId="24" borderId="16" xfId="0" applyNumberFormat="1" applyFont="1" applyFill="1" applyBorder="1" applyAlignment="1">
      <alignment horizontal="right" vertical="center" wrapText="1"/>
    </xf>
    <xf numFmtId="202" fontId="0" fillId="24" borderId="30" xfId="0" applyNumberFormat="1" applyFont="1" applyFill="1" applyBorder="1" applyAlignment="1">
      <alignment horizontal="right" vertical="center"/>
    </xf>
    <xf numFmtId="169" fontId="0" fillId="24" borderId="16" xfId="0" applyNumberFormat="1" applyFont="1" applyFill="1" applyBorder="1" applyAlignment="1">
      <alignment horizontal="right" vertical="center" wrapText="1"/>
    </xf>
    <xf numFmtId="1" fontId="0" fillId="24" borderId="44" xfId="0" applyNumberFormat="1" applyFont="1" applyFill="1" applyBorder="1" applyAlignment="1">
      <alignment/>
    </xf>
    <xf numFmtId="3" fontId="0" fillId="24" borderId="47" xfId="0" applyNumberFormat="1" applyFont="1" applyFill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24" borderId="28" xfId="0" applyNumberFormat="1" applyFont="1" applyFill="1" applyBorder="1" applyAlignment="1">
      <alignment/>
    </xf>
    <xf numFmtId="3" fontId="0" fillId="24" borderId="58" xfId="0" applyNumberFormat="1" applyFont="1" applyFill="1" applyBorder="1" applyAlignment="1">
      <alignment/>
    </xf>
    <xf numFmtId="169" fontId="0" fillId="24" borderId="16" xfId="54" applyNumberFormat="1" applyFont="1" applyFill="1" applyBorder="1" applyAlignment="1">
      <alignment horizontal="right" vertical="center" wrapText="1"/>
      <protection/>
    </xf>
    <xf numFmtId="3" fontId="0" fillId="24" borderId="24" xfId="0" applyNumberFormat="1" applyFont="1" applyFill="1" applyBorder="1" applyAlignment="1">
      <alignment/>
    </xf>
    <xf numFmtId="3" fontId="43" fillId="4" borderId="25" xfId="0" applyNumberFormat="1" applyFont="1" applyFill="1" applyBorder="1" applyAlignment="1">
      <alignment/>
    </xf>
    <xf numFmtId="0" fontId="4" fillId="4" borderId="13" xfId="0" applyFont="1" applyFill="1" applyBorder="1" applyAlignment="1">
      <alignment/>
    </xf>
    <xf numFmtId="2" fontId="0" fillId="24" borderId="16" xfId="0" applyNumberFormat="1" applyFont="1" applyFill="1" applyBorder="1" applyAlignment="1">
      <alignment/>
    </xf>
    <xf numFmtId="3" fontId="4" fillId="4" borderId="64" xfId="0" applyNumberFormat="1" applyFont="1" applyFill="1" applyBorder="1" applyAlignment="1">
      <alignment/>
    </xf>
    <xf numFmtId="0" fontId="4" fillId="4" borderId="64" xfId="0" applyFont="1" applyFill="1" applyBorder="1" applyAlignment="1">
      <alignment/>
    </xf>
    <xf numFmtId="3" fontId="4" fillId="4" borderId="65" xfId="0" applyNumberFormat="1" applyFont="1" applyFill="1" applyBorder="1" applyAlignment="1">
      <alignment/>
    </xf>
    <xf numFmtId="0" fontId="0" fillId="4" borderId="64" xfId="0" applyFill="1" applyBorder="1" applyAlignment="1">
      <alignment/>
    </xf>
    <xf numFmtId="1" fontId="0" fillId="24" borderId="54" xfId="0" applyNumberFormat="1" applyFont="1" applyFill="1" applyBorder="1" applyAlignment="1">
      <alignment/>
    </xf>
    <xf numFmtId="3" fontId="0" fillId="24" borderId="66" xfId="0" applyNumberFormat="1" applyFont="1" applyFill="1" applyBorder="1" applyAlignment="1">
      <alignment/>
    </xf>
    <xf numFmtId="3" fontId="0" fillId="24" borderId="44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25" fillId="4" borderId="49" xfId="0" applyFont="1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9" fontId="4" fillId="4" borderId="48" xfId="0" applyNumberFormat="1" applyFont="1" applyFill="1" applyBorder="1" applyAlignment="1">
      <alignment horizontal="left"/>
    </xf>
    <xf numFmtId="0" fontId="0" fillId="4" borderId="70" xfId="0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5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3" fontId="39" fillId="27" borderId="13" xfId="0" applyNumberFormat="1" applyFont="1" applyFill="1" applyBorder="1" applyAlignment="1">
      <alignment horizontal="center" vertical="center"/>
    </xf>
    <xf numFmtId="3" fontId="39" fillId="27" borderId="42" xfId="0" applyNumberFormat="1" applyFont="1" applyFill="1" applyBorder="1" applyAlignment="1">
      <alignment horizontal="center" vertical="center"/>
    </xf>
    <xf numFmtId="3" fontId="38" fillId="27" borderId="42" xfId="0" applyNumberFormat="1" applyFont="1" applyFill="1" applyBorder="1" applyAlignment="1">
      <alignment horizontal="center" vertical="center"/>
    </xf>
    <xf numFmtId="3" fontId="38" fillId="27" borderId="72" xfId="0" applyNumberFormat="1" applyFont="1" applyFill="1" applyBorder="1" applyAlignment="1">
      <alignment horizontal="center" vertical="center"/>
    </xf>
    <xf numFmtId="3" fontId="38" fillId="27" borderId="51" xfId="0" applyNumberFormat="1" applyFont="1" applyFill="1" applyBorder="1" applyAlignment="1">
      <alignment horizontal="center" vertical="center"/>
    </xf>
    <xf numFmtId="3" fontId="39" fillId="27" borderId="16" xfId="0" applyNumberFormat="1" applyFont="1" applyFill="1" applyBorder="1" applyAlignment="1">
      <alignment horizontal="center" vertical="center"/>
    </xf>
    <xf numFmtId="3" fontId="39" fillId="27" borderId="41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mission factors Zasyadko" xfId="53"/>
    <cellStyle name="Обычный_Object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Emission factors Zasyadko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7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10.wmf" /><Relationship Id="rId9" Type="http://schemas.openxmlformats.org/officeDocument/2006/relationships/image" Target="../media/image11.wmf" /><Relationship Id="rId10" Type="http://schemas.openxmlformats.org/officeDocument/2006/relationships/image" Target="../media/image12.wmf" /><Relationship Id="rId11" Type="http://schemas.openxmlformats.org/officeDocument/2006/relationships/image" Target="../media/image11.wmf" /><Relationship Id="rId12" Type="http://schemas.openxmlformats.org/officeDocument/2006/relationships/image" Target="../media/image10.wmf" /><Relationship Id="rId13" Type="http://schemas.openxmlformats.org/officeDocument/2006/relationships/image" Target="../media/image12.wmf" /><Relationship Id="rId14" Type="http://schemas.openxmlformats.org/officeDocument/2006/relationships/image" Target="../media/image6.wmf" /><Relationship Id="rId15" Type="http://schemas.openxmlformats.org/officeDocument/2006/relationships/image" Target="../media/image13.wmf" /><Relationship Id="rId16" Type="http://schemas.openxmlformats.org/officeDocument/2006/relationships/image" Target="../media/image14.wmf" /><Relationship Id="rId17" Type="http://schemas.openxmlformats.org/officeDocument/2006/relationships/image" Target="../media/image15.wmf" /><Relationship Id="rId18" Type="http://schemas.openxmlformats.org/officeDocument/2006/relationships/image" Target="../media/image14.wmf" /><Relationship Id="rId19" Type="http://schemas.openxmlformats.org/officeDocument/2006/relationships/image" Target="../media/image15.wmf" /><Relationship Id="rId20" Type="http://schemas.openxmlformats.org/officeDocument/2006/relationships/image" Target="../media/image13.wmf" /><Relationship Id="rId21" Type="http://schemas.openxmlformats.org/officeDocument/2006/relationships/image" Target="../media/image13.wmf" /><Relationship Id="rId22" Type="http://schemas.openxmlformats.org/officeDocument/2006/relationships/image" Target="../media/image10.wmf" /><Relationship Id="rId23" Type="http://schemas.openxmlformats.org/officeDocument/2006/relationships/image" Target="../media/image16.wmf" /><Relationship Id="rId24" Type="http://schemas.openxmlformats.org/officeDocument/2006/relationships/image" Target="../media/image12.wmf" /><Relationship Id="rId25" Type="http://schemas.openxmlformats.org/officeDocument/2006/relationships/image" Target="../media/image15.wmf" /><Relationship Id="rId26" Type="http://schemas.openxmlformats.org/officeDocument/2006/relationships/image" Target="../media/image11.wmf" /><Relationship Id="rId27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wmf" /><Relationship Id="rId2" Type="http://schemas.openxmlformats.org/officeDocument/2006/relationships/image" Target="../media/image2.emf" /><Relationship Id="rId3" Type="http://schemas.openxmlformats.org/officeDocument/2006/relationships/image" Target="../media/image18.wmf" /><Relationship Id="rId4" Type="http://schemas.openxmlformats.org/officeDocument/2006/relationships/image" Target="../media/image19.wmf" /><Relationship Id="rId5" Type="http://schemas.openxmlformats.org/officeDocument/2006/relationships/image" Target="../media/image20.wmf" /><Relationship Id="rId6" Type="http://schemas.openxmlformats.org/officeDocument/2006/relationships/image" Target="../media/image21.wmf" /><Relationship Id="rId7" Type="http://schemas.openxmlformats.org/officeDocument/2006/relationships/image" Target="../media/image22.wmf" /><Relationship Id="rId8" Type="http://schemas.openxmlformats.org/officeDocument/2006/relationships/image" Target="../media/image23.wmf" /><Relationship Id="rId9" Type="http://schemas.openxmlformats.org/officeDocument/2006/relationships/image" Target="../media/image24.wmf" /><Relationship Id="rId10" Type="http://schemas.openxmlformats.org/officeDocument/2006/relationships/image" Target="../media/image25.wmf" /><Relationship Id="rId11" Type="http://schemas.openxmlformats.org/officeDocument/2006/relationships/image" Target="../media/image26.wmf" /><Relationship Id="rId12" Type="http://schemas.openxmlformats.org/officeDocument/2006/relationships/image" Target="../media/image22.wmf" /><Relationship Id="rId13" Type="http://schemas.openxmlformats.org/officeDocument/2006/relationships/image" Target="../media/image23.wmf" /><Relationship Id="rId14" Type="http://schemas.openxmlformats.org/officeDocument/2006/relationships/image" Target="../media/image25.wmf" /><Relationship Id="rId15" Type="http://schemas.openxmlformats.org/officeDocument/2006/relationships/image" Target="../media/image24.wmf" /><Relationship Id="rId16" Type="http://schemas.openxmlformats.org/officeDocument/2006/relationships/image" Target="../media/image26.wmf" /><Relationship Id="rId17" Type="http://schemas.openxmlformats.org/officeDocument/2006/relationships/image" Target="../media/image28.wmf" /><Relationship Id="rId18" Type="http://schemas.openxmlformats.org/officeDocument/2006/relationships/image" Target="../media/image29.wmf" /><Relationship Id="rId19" Type="http://schemas.openxmlformats.org/officeDocument/2006/relationships/image" Target="../media/image22.wmf" /><Relationship Id="rId20" Type="http://schemas.openxmlformats.org/officeDocument/2006/relationships/image" Target="../media/image17.wmf" /><Relationship Id="rId21" Type="http://schemas.openxmlformats.org/officeDocument/2006/relationships/image" Target="../media/image27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nnard\My%20Documents\CMM\Zasyadko\5%20Monitoring\MR2008Q4\MR_Zasyadko2008Q4_CO2%20calculation_ver2.5_en_17Feb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%20(3)\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"/>
      <sheetName val="CMM consumption"/>
      <sheetName val="Emission factors "/>
      <sheetName val="Heat load"/>
      <sheetName val="Project emissions"/>
      <sheetName val="Baseline emissions"/>
      <sheetName val="Emission reductions"/>
    </sheetNames>
    <sheetDataSet>
      <sheetData sheetId="4">
        <row r="104">
          <cell r="D104">
            <v>4811.207215567875</v>
          </cell>
        </row>
        <row r="105">
          <cell r="D105">
            <v>4756.160159171251</v>
          </cell>
        </row>
        <row r="106">
          <cell r="D106">
            <v>53584.831439325004</v>
          </cell>
        </row>
        <row r="107">
          <cell r="D107">
            <v>121756.674505752</v>
          </cell>
        </row>
        <row r="108">
          <cell r="D108">
            <v>21190.11830158571</v>
          </cell>
        </row>
        <row r="110">
          <cell r="D110">
            <v>785.7452824409999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</sheetData>
      <sheetData sheetId="5">
        <row r="119">
          <cell r="B119">
            <v>39139.62710634</v>
          </cell>
        </row>
        <row r="120">
          <cell r="B120">
            <v>38691.8140806</v>
          </cell>
        </row>
        <row r="121">
          <cell r="B121">
            <v>481898.314123</v>
          </cell>
        </row>
        <row r="122">
          <cell r="B122">
            <v>1085696.50884952</v>
          </cell>
        </row>
        <row r="123">
          <cell r="B123">
            <v>187012.5816780364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_H12008"/>
      <sheetName val="General "/>
      <sheetName val="CMM consumption_H12008"/>
      <sheetName val="Emission factors "/>
      <sheetName val="Heat load_H12008"/>
      <sheetName val="Project emissions_H12008"/>
      <sheetName val="Baseline emissions_H12008"/>
    </sheetNames>
    <sheetDataSet>
      <sheetData sheetId="6">
        <row r="67">
          <cell r="C67">
            <v>0</v>
          </cell>
          <cell r="G67">
            <v>0</v>
          </cell>
          <cell r="I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oleObject" Target="../embeddings/oleObject_5_17.bin" /><Relationship Id="rId19" Type="http://schemas.openxmlformats.org/officeDocument/2006/relationships/oleObject" Target="../embeddings/oleObject_5_18.bin" /><Relationship Id="rId20" Type="http://schemas.openxmlformats.org/officeDocument/2006/relationships/oleObject" Target="../embeddings/oleObject_5_19.bin" /><Relationship Id="rId21" Type="http://schemas.openxmlformats.org/officeDocument/2006/relationships/oleObject" Target="../embeddings/oleObject_5_20.bin" /><Relationship Id="rId22" Type="http://schemas.openxmlformats.org/officeDocument/2006/relationships/oleObject" Target="../embeddings/oleObject_5_21.bin" /><Relationship Id="rId23" Type="http://schemas.openxmlformats.org/officeDocument/2006/relationships/oleObject" Target="../embeddings/oleObject_5_22.bin" /><Relationship Id="rId24" Type="http://schemas.openxmlformats.org/officeDocument/2006/relationships/oleObject" Target="../embeddings/oleObject_5_23.bin" /><Relationship Id="rId25" Type="http://schemas.openxmlformats.org/officeDocument/2006/relationships/oleObject" Target="../embeddings/oleObject_5_24.bin" /><Relationship Id="rId26" Type="http://schemas.openxmlformats.org/officeDocument/2006/relationships/oleObject" Target="../embeddings/oleObject_5_25.bin" /><Relationship Id="rId27" Type="http://schemas.openxmlformats.org/officeDocument/2006/relationships/oleObject" Target="../embeddings/oleObject_5_26.bin" /><Relationship Id="rId28" Type="http://schemas.openxmlformats.org/officeDocument/2006/relationships/vmlDrawing" Target="../drawings/vmlDrawing2.vml" /><Relationship Id="rId2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oleObject" Target="../embeddings/oleObject_6_13.bin" /><Relationship Id="rId15" Type="http://schemas.openxmlformats.org/officeDocument/2006/relationships/oleObject" Target="../embeddings/oleObject_6_14.bin" /><Relationship Id="rId16" Type="http://schemas.openxmlformats.org/officeDocument/2006/relationships/oleObject" Target="../embeddings/oleObject_6_15.bin" /><Relationship Id="rId17" Type="http://schemas.openxmlformats.org/officeDocument/2006/relationships/oleObject" Target="../embeddings/oleObject_6_16.bin" /><Relationship Id="rId18" Type="http://schemas.openxmlformats.org/officeDocument/2006/relationships/oleObject" Target="../embeddings/oleObject_6_17.bin" /><Relationship Id="rId19" Type="http://schemas.openxmlformats.org/officeDocument/2006/relationships/oleObject" Target="../embeddings/oleObject_6_18.bin" /><Relationship Id="rId20" Type="http://schemas.openxmlformats.org/officeDocument/2006/relationships/oleObject" Target="../embeddings/oleObject_6_19.bin" /><Relationship Id="rId21" Type="http://schemas.openxmlformats.org/officeDocument/2006/relationships/oleObject" Target="../embeddings/oleObject_6_20.bin" /><Relationship Id="rId22" Type="http://schemas.openxmlformats.org/officeDocument/2006/relationships/vmlDrawing" Target="../drawings/vmlDrawing3.vml" /><Relationship Id="rId2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74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41.16015625" style="0" customWidth="1"/>
    <col min="2" max="2" width="7.5" style="0" customWidth="1"/>
    <col min="3" max="3" width="24.16015625" style="0" bestFit="1" customWidth="1"/>
    <col min="4" max="4" width="12.83203125" style="0" hidden="1" customWidth="1"/>
    <col min="5" max="5" width="17.33203125" style="0" hidden="1" customWidth="1"/>
    <col min="6" max="6" width="17.33203125" style="47" customWidth="1"/>
    <col min="7" max="10" width="17.33203125" style="0" customWidth="1"/>
    <col min="11" max="11" width="17.83203125" style="0" customWidth="1"/>
    <col min="12" max="12" width="23.5" style="0" customWidth="1"/>
    <col min="13" max="13" width="15.5" style="0" customWidth="1"/>
  </cols>
  <sheetData>
    <row r="1" spans="1:2" ht="18.75">
      <c r="A1" s="42" t="s">
        <v>187</v>
      </c>
      <c r="B1" s="42"/>
    </row>
    <row r="2" spans="1:2" ht="13.5" thickBot="1">
      <c r="A2" s="7" t="s">
        <v>259</v>
      </c>
      <c r="B2" s="7"/>
    </row>
    <row r="3" spans="1:5" ht="12.75">
      <c r="A3" s="249" t="s">
        <v>70</v>
      </c>
      <c r="B3" s="250" t="s">
        <v>213</v>
      </c>
      <c r="C3" s="360" t="s">
        <v>253</v>
      </c>
      <c r="D3" s="251" t="s">
        <v>27</v>
      </c>
      <c r="E3" s="252"/>
    </row>
    <row r="4" spans="1:5" ht="12.75">
      <c r="A4" s="40"/>
      <c r="B4" s="24"/>
      <c r="C4" s="24"/>
      <c r="D4" s="36"/>
      <c r="E4" s="253"/>
    </row>
    <row r="5" spans="1:5" ht="18.75">
      <c r="A5" s="254" t="s">
        <v>214</v>
      </c>
      <c r="B5" s="255"/>
      <c r="C5" s="255"/>
      <c r="D5" s="255"/>
      <c r="E5" s="256"/>
    </row>
    <row r="6" spans="1:5" ht="12.75">
      <c r="A6" s="40"/>
      <c r="B6" s="24"/>
      <c r="C6" s="24"/>
      <c r="D6" s="257"/>
      <c r="E6" s="253"/>
    </row>
    <row r="7" spans="1:5" ht="12.75">
      <c r="A7" s="258" t="s">
        <v>215</v>
      </c>
      <c r="B7" s="259"/>
      <c r="C7" s="259"/>
      <c r="D7" s="260"/>
      <c r="E7" s="261"/>
    </row>
    <row r="8" spans="1:5" ht="12.75">
      <c r="A8" s="262" t="s">
        <v>186</v>
      </c>
      <c r="B8" s="24"/>
      <c r="C8" s="24"/>
      <c r="D8" s="257"/>
      <c r="E8" s="253"/>
    </row>
    <row r="9" spans="1:5" ht="12.75">
      <c r="A9" s="263" t="s">
        <v>216</v>
      </c>
      <c r="B9" s="255" t="s">
        <v>8</v>
      </c>
      <c r="C9" s="182">
        <f>'CMM consump.(01.08.10-31.12.10)'!H12</f>
        <v>827348.46</v>
      </c>
      <c r="D9" s="257">
        <f>SUM(C9:C9)</f>
        <v>827348.46</v>
      </c>
      <c r="E9" s="253"/>
    </row>
    <row r="10" spans="1:5" ht="12.75">
      <c r="A10" s="263" t="s">
        <v>217</v>
      </c>
      <c r="B10" s="255" t="s">
        <v>8</v>
      </c>
      <c r="C10" s="182">
        <f>'CMM consump.(01.08.10-31.12.10)'!H13</f>
        <v>18887098.17</v>
      </c>
      <c r="D10" s="257">
        <f>SUM(C10:C10)</f>
        <v>18887098.17</v>
      </c>
      <c r="E10" s="253"/>
    </row>
    <row r="11" spans="1:5" ht="12.75">
      <c r="A11" s="263" t="s">
        <v>27</v>
      </c>
      <c r="B11" s="255" t="s">
        <v>55</v>
      </c>
      <c r="C11" s="182">
        <f>'CMM consump.(01.08.10-31.12.10)'!H14</f>
        <v>14129.343899721</v>
      </c>
      <c r="D11" s="257">
        <f>SUM(C11:C11)</f>
        <v>14129.343899721</v>
      </c>
      <c r="E11" s="253"/>
    </row>
    <row r="12" spans="1:5" ht="12.75">
      <c r="A12" s="264" t="s">
        <v>53</v>
      </c>
      <c r="B12" s="255"/>
      <c r="C12" s="182"/>
      <c r="D12" s="257"/>
      <c r="E12" s="253"/>
    </row>
    <row r="13" spans="1:5" ht="12.75">
      <c r="A13" s="263" t="s">
        <v>216</v>
      </c>
      <c r="B13" s="255" t="s">
        <v>8</v>
      </c>
      <c r="C13" s="182"/>
      <c r="D13" s="257">
        <f>SUM(C13:C13)</f>
        <v>0</v>
      </c>
      <c r="E13" s="253"/>
    </row>
    <row r="14" spans="1:5" ht="12.75">
      <c r="A14" s="263" t="s">
        <v>217</v>
      </c>
      <c r="B14" s="255" t="s">
        <v>8</v>
      </c>
      <c r="C14" s="182"/>
      <c r="D14" s="257">
        <f>SUM(C14:C14)</f>
        <v>0</v>
      </c>
      <c r="E14" s="253"/>
    </row>
    <row r="15" spans="1:5" ht="12.75">
      <c r="A15" s="263" t="s">
        <v>27</v>
      </c>
      <c r="B15" s="255" t="s">
        <v>55</v>
      </c>
      <c r="C15" s="182"/>
      <c r="D15" s="257">
        <f>SUM(C15:C15)</f>
        <v>0</v>
      </c>
      <c r="E15" s="253"/>
    </row>
    <row r="16" spans="1:5" ht="12.75">
      <c r="A16" s="264" t="s">
        <v>27</v>
      </c>
      <c r="B16" s="255" t="s">
        <v>8</v>
      </c>
      <c r="C16" s="182">
        <f>ROUND((C9+C10+C12+C13),1)</f>
        <v>19714446.6</v>
      </c>
      <c r="D16" s="257">
        <f>SUM(C16:C16)</f>
        <v>19714446.6</v>
      </c>
      <c r="E16" s="253"/>
    </row>
    <row r="17" spans="1:5" ht="12.75">
      <c r="A17" s="40"/>
      <c r="B17" s="255" t="s">
        <v>55</v>
      </c>
      <c r="C17" s="182">
        <f>C11+C15</f>
        <v>14129.343899721</v>
      </c>
      <c r="D17" s="257">
        <f>SUM(C17:C17)</f>
        <v>14129.343899721</v>
      </c>
      <c r="E17" s="253"/>
    </row>
    <row r="18" spans="1:5" ht="12.75">
      <c r="A18" s="40"/>
      <c r="B18" s="24"/>
      <c r="C18" s="24"/>
      <c r="D18" s="257"/>
      <c r="E18" s="253"/>
    </row>
    <row r="19" spans="1:5" ht="12.75">
      <c r="A19" s="258" t="s">
        <v>218</v>
      </c>
      <c r="B19" s="259"/>
      <c r="C19" s="259"/>
      <c r="D19" s="260"/>
      <c r="E19" s="261"/>
    </row>
    <row r="20" spans="1:5" ht="12.75">
      <c r="A20" s="40" t="s">
        <v>219</v>
      </c>
      <c r="B20" s="255" t="s">
        <v>99</v>
      </c>
      <c r="C20" s="182">
        <f>C21</f>
        <v>65990.2724</v>
      </c>
      <c r="D20" s="257">
        <f>SUM(C20:C20)</f>
        <v>65990.2724</v>
      </c>
      <c r="E20" s="253"/>
    </row>
    <row r="21" spans="1:5" ht="12.75">
      <c r="A21" s="40" t="s">
        <v>220</v>
      </c>
      <c r="B21" s="255" t="s">
        <v>99</v>
      </c>
      <c r="C21" s="182">
        <f>'Baseline emissions'!C54</f>
        <v>65990.2724</v>
      </c>
      <c r="D21" s="257">
        <f>SUM(C21:C21)</f>
        <v>65990.2724</v>
      </c>
      <c r="E21" s="253"/>
    </row>
    <row r="22" spans="1:5" ht="12.75">
      <c r="A22" s="40" t="s">
        <v>221</v>
      </c>
      <c r="B22" s="255" t="s">
        <v>99</v>
      </c>
      <c r="C22" s="265"/>
      <c r="D22" s="257">
        <f>SUM(C22:C22)</f>
        <v>0</v>
      </c>
      <c r="E22" s="253"/>
    </row>
    <row r="23" spans="1:5" ht="12.75">
      <c r="A23" s="40"/>
      <c r="B23" s="24"/>
      <c r="C23" s="24"/>
      <c r="D23" s="257"/>
      <c r="E23" s="253"/>
    </row>
    <row r="24" spans="1:5" ht="12.75">
      <c r="A24" s="258" t="s">
        <v>222</v>
      </c>
      <c r="B24" s="266"/>
      <c r="C24" s="259"/>
      <c r="D24" s="260"/>
      <c r="E24" s="261"/>
    </row>
    <row r="25" spans="1:5" ht="12.75">
      <c r="A25" s="264" t="s">
        <v>186</v>
      </c>
      <c r="B25" s="267" t="s">
        <v>182</v>
      </c>
      <c r="C25" s="182">
        <f>'Heat load'!B8</f>
        <v>62881.21425600001</v>
      </c>
      <c r="D25" s="257">
        <f>C25</f>
        <v>62881.21425600001</v>
      </c>
      <c r="E25" s="253"/>
    </row>
    <row r="26" spans="1:5" ht="12.75">
      <c r="A26" s="264"/>
      <c r="B26" s="267" t="s">
        <v>223</v>
      </c>
      <c r="C26" s="182">
        <f>'Heat load'!C8</f>
        <v>15018.92</v>
      </c>
      <c r="D26" s="257">
        <f>SUM(C26:C26)</f>
        <v>15018.92</v>
      </c>
      <c r="E26" s="253"/>
    </row>
    <row r="27" spans="1:5" ht="12.75">
      <c r="A27" s="264" t="s">
        <v>224</v>
      </c>
      <c r="B27" s="267" t="s">
        <v>182</v>
      </c>
      <c r="C27" s="182">
        <f>'[2]Baseline emissions_H12008'!G67</f>
        <v>0</v>
      </c>
      <c r="D27" s="257">
        <f>SUM(C27:C27)</f>
        <v>0</v>
      </c>
      <c r="E27" s="253"/>
    </row>
    <row r="28" spans="1:5" ht="12.75">
      <c r="A28" s="264"/>
      <c r="B28" s="267" t="s">
        <v>223</v>
      </c>
      <c r="C28" s="182">
        <f>C27/4.184</f>
        <v>0</v>
      </c>
      <c r="D28" s="257">
        <f>D27/4.184</f>
        <v>0</v>
      </c>
      <c r="E28" s="253"/>
    </row>
    <row r="29" spans="1:5" ht="12.75">
      <c r="A29" s="264" t="s">
        <v>225</v>
      </c>
      <c r="B29" s="267" t="s">
        <v>182</v>
      </c>
      <c r="C29" s="182">
        <f>'[2]Baseline emissions_H12008'!I67</f>
        <v>0</v>
      </c>
      <c r="D29" s="257">
        <f>SUM(C29:C29)</f>
        <v>0</v>
      </c>
      <c r="E29" s="253"/>
    </row>
    <row r="30" spans="1:5" ht="12.75">
      <c r="A30" s="264"/>
      <c r="B30" s="267" t="s">
        <v>223</v>
      </c>
      <c r="C30" s="182">
        <f>C29/4.184</f>
        <v>0</v>
      </c>
      <c r="D30" s="257">
        <f>D29/4.184</f>
        <v>0</v>
      </c>
      <c r="E30" s="253"/>
    </row>
    <row r="31" spans="1:5" ht="12.75">
      <c r="A31" s="264" t="s">
        <v>226</v>
      </c>
      <c r="B31" s="267" t="s">
        <v>182</v>
      </c>
      <c r="C31" s="182">
        <f>'[2]Baseline emissions_H12008'!C67</f>
        <v>0</v>
      </c>
      <c r="D31" s="257">
        <f>SUM(C31:C31)</f>
        <v>0</v>
      </c>
      <c r="E31" s="253"/>
    </row>
    <row r="32" spans="1:5" ht="12.75">
      <c r="A32" s="40"/>
      <c r="B32" s="267" t="s">
        <v>223</v>
      </c>
      <c r="C32" s="182">
        <f>C31/4.184</f>
        <v>0</v>
      </c>
      <c r="D32" s="257">
        <f>D31/4.184</f>
        <v>0</v>
      </c>
      <c r="E32" s="253"/>
    </row>
    <row r="33" spans="1:5" ht="12.75">
      <c r="A33" s="40" t="s">
        <v>27</v>
      </c>
      <c r="B33" s="267" t="s">
        <v>182</v>
      </c>
      <c r="C33" s="182">
        <f>C25</f>
        <v>62881.21425600001</v>
      </c>
      <c r="D33" s="257">
        <f>C33</f>
        <v>62881.21425600001</v>
      </c>
      <c r="E33" s="253"/>
    </row>
    <row r="34" spans="1:8" ht="12.75">
      <c r="A34" s="40"/>
      <c r="B34" s="267" t="s">
        <v>223</v>
      </c>
      <c r="C34" s="182">
        <f>C26</f>
        <v>15018.92</v>
      </c>
      <c r="D34" s="257">
        <f>SUM(C34:C34)</f>
        <v>15018.92</v>
      </c>
      <c r="E34" s="253"/>
      <c r="H34" s="13"/>
    </row>
    <row r="35" spans="1:5" ht="12.75">
      <c r="A35" s="40"/>
      <c r="B35" s="268"/>
      <c r="C35" s="24"/>
      <c r="D35" s="257"/>
      <c r="E35" s="253"/>
    </row>
    <row r="36" spans="1:5" ht="12.75">
      <c r="A36" s="269" t="s">
        <v>227</v>
      </c>
      <c r="B36" s="270"/>
      <c r="C36" s="259"/>
      <c r="D36" s="260"/>
      <c r="E36" s="261"/>
    </row>
    <row r="37" spans="1:5" ht="12.75">
      <c r="A37" s="264" t="s">
        <v>225</v>
      </c>
      <c r="B37" s="267" t="s">
        <v>8</v>
      </c>
      <c r="C37" s="182">
        <f>'CMM consump.(01.08.10-31.12.10)'!B27</f>
        <v>785875.1</v>
      </c>
      <c r="D37" s="257">
        <f>C37</f>
        <v>785875.1</v>
      </c>
      <c r="E37" s="253"/>
    </row>
    <row r="38" spans="1:5" ht="12.75">
      <c r="A38" s="264"/>
      <c r="B38" s="267" t="s">
        <v>55</v>
      </c>
      <c r="C38" s="182">
        <f>'CMM consump.(01.08.10-31.12.10)'!C27</f>
        <v>563.236691337</v>
      </c>
      <c r="D38" s="257">
        <f>C38</f>
        <v>563.236691337</v>
      </c>
      <c r="E38" s="253"/>
    </row>
    <row r="39" spans="1:5" ht="12.75">
      <c r="A39" s="264" t="s">
        <v>53</v>
      </c>
      <c r="B39" s="267" t="s">
        <v>8</v>
      </c>
      <c r="C39" s="182"/>
      <c r="D39" s="257">
        <v>0</v>
      </c>
      <c r="E39" s="253"/>
    </row>
    <row r="40" spans="1:5" ht="12.75">
      <c r="A40" s="263"/>
      <c r="B40" s="267" t="s">
        <v>55</v>
      </c>
      <c r="C40" s="182"/>
      <c r="D40" s="257">
        <v>0</v>
      </c>
      <c r="E40" s="253"/>
    </row>
    <row r="41" spans="1:5" ht="12.75">
      <c r="A41" s="264" t="s">
        <v>27</v>
      </c>
      <c r="B41" s="267" t="s">
        <v>8</v>
      </c>
      <c r="C41" s="182">
        <f>C37</f>
        <v>785875.1</v>
      </c>
      <c r="D41" s="257">
        <f>D37</f>
        <v>785875.1</v>
      </c>
      <c r="E41" s="253"/>
    </row>
    <row r="42" spans="1:5" ht="12.75">
      <c r="A42" s="263"/>
      <c r="B42" s="267" t="s">
        <v>55</v>
      </c>
      <c r="C42" s="182">
        <f>C38</f>
        <v>563.236691337</v>
      </c>
      <c r="D42" s="257">
        <f>D38</f>
        <v>563.236691337</v>
      </c>
      <c r="E42" s="253"/>
    </row>
    <row r="43" spans="1:5" ht="12.75">
      <c r="A43" s="40" t="s">
        <v>228</v>
      </c>
      <c r="B43" s="24"/>
      <c r="C43" s="271">
        <f>C41+C16</f>
        <v>20500321.700000003</v>
      </c>
      <c r="D43" s="257"/>
      <c r="E43" s="253"/>
    </row>
    <row r="44" spans="1:5" ht="18.75">
      <c r="A44" s="272" t="s">
        <v>184</v>
      </c>
      <c r="B44" s="273"/>
      <c r="C44" s="273"/>
      <c r="D44" s="274"/>
      <c r="E44" s="275"/>
    </row>
    <row r="45" spans="1:5" ht="12.75">
      <c r="A45" s="276" t="s">
        <v>215</v>
      </c>
      <c r="B45" s="277"/>
      <c r="C45" s="277"/>
      <c r="D45" s="278"/>
      <c r="E45" s="279"/>
    </row>
    <row r="46" spans="1:5" ht="12.75">
      <c r="A46" s="280" t="s">
        <v>167</v>
      </c>
      <c r="B46" s="24"/>
      <c r="C46" s="24"/>
      <c r="D46" s="257"/>
      <c r="E46" s="253"/>
    </row>
    <row r="47" spans="1:5" ht="12.75">
      <c r="A47" s="263" t="s">
        <v>229</v>
      </c>
      <c r="B47" s="255" t="s">
        <v>90</v>
      </c>
      <c r="C47" s="182">
        <f>21*C17</f>
        <v>296716.221894141</v>
      </c>
      <c r="D47" s="257">
        <f>SUM(C47:C47)</f>
        <v>296716.221894141</v>
      </c>
      <c r="E47" s="253"/>
    </row>
    <row r="48" spans="1:5" ht="12.75">
      <c r="A48" s="280" t="s">
        <v>173</v>
      </c>
      <c r="B48" s="255"/>
      <c r="C48" s="183"/>
      <c r="D48" s="257"/>
      <c r="E48" s="253"/>
    </row>
    <row r="49" spans="1:5" ht="12.75">
      <c r="A49" s="263" t="s">
        <v>230</v>
      </c>
      <c r="B49" s="255" t="s">
        <v>90</v>
      </c>
      <c r="C49" s="182">
        <f>2.75*0.995*C17</f>
        <v>38661.417245611585</v>
      </c>
      <c r="D49" s="257">
        <f>SUM(C49:C49)</f>
        <v>38661.417245611585</v>
      </c>
      <c r="E49" s="253"/>
    </row>
    <row r="50" spans="1:5" ht="12.75">
      <c r="A50" s="263" t="s">
        <v>231</v>
      </c>
      <c r="B50" s="255" t="s">
        <v>90</v>
      </c>
      <c r="C50" s="182">
        <f>0.005*21*C17</f>
        <v>1483.5811094707049</v>
      </c>
      <c r="D50" s="257">
        <f>SUM(C50:C50)</f>
        <v>1483.5811094707049</v>
      </c>
      <c r="E50" s="253"/>
    </row>
    <row r="51" spans="1:5" ht="12.75">
      <c r="A51" s="264" t="s">
        <v>184</v>
      </c>
      <c r="B51" s="255" t="s">
        <v>90</v>
      </c>
      <c r="C51" s="182">
        <f>C47-C49-C50</f>
        <v>256571.2235390587</v>
      </c>
      <c r="D51" s="257">
        <f>SUM(C51:C51)</f>
        <v>256571.2235390587</v>
      </c>
      <c r="E51" s="253"/>
    </row>
    <row r="52" spans="1:5" ht="12.75">
      <c r="A52" s="40"/>
      <c r="B52" s="24"/>
      <c r="C52" s="24"/>
      <c r="D52" s="257"/>
      <c r="E52" s="253"/>
    </row>
    <row r="53" spans="1:5" ht="12.75">
      <c r="A53" s="276" t="s">
        <v>232</v>
      </c>
      <c r="B53" s="277"/>
      <c r="C53" s="277"/>
      <c r="D53" s="278"/>
      <c r="E53" s="279"/>
    </row>
    <row r="54" spans="1:5" ht="12.75">
      <c r="A54" s="40" t="s">
        <v>167</v>
      </c>
      <c r="B54" s="255" t="s">
        <v>90</v>
      </c>
      <c r="C54" s="182">
        <f>'Baseline emissions'!B54</f>
        <v>59127.2840704</v>
      </c>
      <c r="D54" s="257">
        <f>SUM(C54:C54)</f>
        <v>59127.2840704</v>
      </c>
      <c r="E54" s="253"/>
    </row>
    <row r="55" spans="1:5" ht="12.75">
      <c r="A55" s="40" t="s">
        <v>233</v>
      </c>
      <c r="B55" s="255" t="s">
        <v>90</v>
      </c>
      <c r="C55" s="183"/>
      <c r="D55" s="257"/>
      <c r="E55" s="253"/>
    </row>
    <row r="56" spans="1:5" ht="12.75">
      <c r="A56" s="40" t="s">
        <v>184</v>
      </c>
      <c r="B56" s="255" t="s">
        <v>90</v>
      </c>
      <c r="C56" s="182">
        <f>C54</f>
        <v>59127.2840704</v>
      </c>
      <c r="D56" s="257">
        <f>SUM(C56:C56)</f>
        <v>59127.2840704</v>
      </c>
      <c r="E56" s="253"/>
    </row>
    <row r="57" spans="1:5" ht="12.75">
      <c r="A57" s="40"/>
      <c r="B57" s="24"/>
      <c r="C57" s="24"/>
      <c r="D57" s="257"/>
      <c r="E57" s="253"/>
    </row>
    <row r="58" spans="1:5" ht="12.75">
      <c r="A58" s="276" t="s">
        <v>234</v>
      </c>
      <c r="B58" s="277"/>
      <c r="C58" s="277"/>
      <c r="D58" s="278"/>
      <c r="E58" s="279"/>
    </row>
    <row r="59" spans="1:5" ht="12.75">
      <c r="A59" s="40" t="s">
        <v>167</v>
      </c>
      <c r="B59" s="255" t="s">
        <v>90</v>
      </c>
      <c r="C59" s="182">
        <f>'Baseline emissions'!B74</f>
        <v>3961.5164981280004</v>
      </c>
      <c r="D59" s="257">
        <f>SUM(C59:C59)</f>
        <v>3961.5164981280004</v>
      </c>
      <c r="E59" s="253"/>
    </row>
    <row r="60" spans="1:5" ht="12.75">
      <c r="A60" s="40" t="s">
        <v>173</v>
      </c>
      <c r="B60" s="255" t="s">
        <v>90</v>
      </c>
      <c r="C60" s="183"/>
      <c r="D60" s="257"/>
      <c r="E60" s="253"/>
    </row>
    <row r="61" spans="1:5" ht="12.75">
      <c r="A61" s="40" t="s">
        <v>184</v>
      </c>
      <c r="B61" s="255" t="s">
        <v>90</v>
      </c>
      <c r="C61" s="182">
        <f>C59-C60</f>
        <v>3961.5164981280004</v>
      </c>
      <c r="D61" s="257">
        <f>SUM(C61:C61)</f>
        <v>3961.5164981280004</v>
      </c>
      <c r="E61" s="253"/>
    </row>
    <row r="62" spans="1:5" ht="12.75">
      <c r="A62" s="40"/>
      <c r="B62" s="24"/>
      <c r="C62" s="24"/>
      <c r="D62" s="257"/>
      <c r="E62" s="253"/>
    </row>
    <row r="63" spans="1:5" ht="12.75">
      <c r="A63" s="276" t="s">
        <v>235</v>
      </c>
      <c r="B63" s="277"/>
      <c r="C63" s="277"/>
      <c r="D63" s="278"/>
      <c r="E63" s="279"/>
    </row>
    <row r="64" spans="1:5" ht="12.75">
      <c r="A64" s="40" t="s">
        <v>167</v>
      </c>
      <c r="B64" s="24"/>
      <c r="C64" s="24"/>
      <c r="D64" s="257"/>
      <c r="E64" s="253"/>
    </row>
    <row r="65" spans="1:5" ht="12.75">
      <c r="A65" s="263" t="s">
        <v>229</v>
      </c>
      <c r="B65" s="255" t="s">
        <v>90</v>
      </c>
      <c r="C65" s="182">
        <f>21*C42</f>
        <v>11827.970518077</v>
      </c>
      <c r="D65" s="257">
        <f>SUM(C65:C65)</f>
        <v>11827.970518077</v>
      </c>
      <c r="E65" s="253"/>
    </row>
    <row r="66" spans="1:5" ht="12.75">
      <c r="A66" s="263" t="s">
        <v>236</v>
      </c>
      <c r="B66" s="255" t="s">
        <v>90</v>
      </c>
      <c r="C66" s="182">
        <f>'Baseline emissions'!B84</f>
        <v>2026.8033179039996</v>
      </c>
      <c r="D66" s="257">
        <f>SUM(C66:C66)</f>
        <v>2026.8033179039996</v>
      </c>
      <c r="E66" s="253"/>
    </row>
    <row r="67" spans="1:5" ht="12.75">
      <c r="A67" s="40" t="s">
        <v>173</v>
      </c>
      <c r="B67" s="255"/>
      <c r="C67" s="183"/>
      <c r="D67" s="257"/>
      <c r="E67" s="253"/>
    </row>
    <row r="68" spans="1:5" ht="12.75">
      <c r="A68" s="263" t="s">
        <v>237</v>
      </c>
      <c r="B68" s="255" t="s">
        <v>90</v>
      </c>
      <c r="C68" s="182">
        <f>2.75*0.985*C42</f>
        <v>1525.6673876590987</v>
      </c>
      <c r="D68" s="257">
        <f>SUM(C68:C68)</f>
        <v>1525.6673876590987</v>
      </c>
      <c r="E68" s="253"/>
    </row>
    <row r="69" spans="1:5" ht="12.75">
      <c r="A69" s="263" t="s">
        <v>238</v>
      </c>
      <c r="B69" s="255" t="s">
        <v>90</v>
      </c>
      <c r="C69" s="182">
        <f>0.015*21*C42</f>
        <v>177.419557771155</v>
      </c>
      <c r="D69" s="257">
        <f>SUM(C69:C69)</f>
        <v>177.419557771155</v>
      </c>
      <c r="E69" s="253"/>
    </row>
    <row r="70" spans="1:5" ht="12.75">
      <c r="A70" s="264" t="s">
        <v>184</v>
      </c>
      <c r="B70" s="255" t="s">
        <v>90</v>
      </c>
      <c r="C70" s="182">
        <f>C65+C66-C68-C69</f>
        <v>12151.686890550745</v>
      </c>
      <c r="D70" s="257">
        <f>SUM(C70:C70)</f>
        <v>12151.686890550745</v>
      </c>
      <c r="E70" s="253"/>
    </row>
    <row r="71" spans="1:5" ht="12.75">
      <c r="A71" s="40"/>
      <c r="B71" s="24"/>
      <c r="C71" s="24"/>
      <c r="D71" s="257"/>
      <c r="E71" s="253"/>
    </row>
    <row r="72" spans="1:6" s="132" customFormat="1" ht="12.75">
      <c r="A72" s="281" t="s">
        <v>255</v>
      </c>
      <c r="B72" s="282" t="s">
        <v>90</v>
      </c>
      <c r="C72" s="283">
        <f>C51+C56+C61+C70</f>
        <v>331811.7109981375</v>
      </c>
      <c r="D72" s="284">
        <f>D51+D56+D61+D70</f>
        <v>331811.7109981375</v>
      </c>
      <c r="E72" s="285"/>
      <c r="F72" s="286"/>
    </row>
    <row r="73" spans="1:5" ht="12.75">
      <c r="A73" s="40"/>
      <c r="B73" s="24"/>
      <c r="C73" s="24"/>
      <c r="D73" s="24"/>
      <c r="E73" s="253"/>
    </row>
    <row r="74" spans="1:5" ht="13.5" thickBot="1">
      <c r="A74" s="287"/>
      <c r="B74" s="26"/>
      <c r="C74" s="26"/>
      <c r="D74" s="26"/>
      <c r="E74" s="105"/>
    </row>
  </sheetData>
  <sheetProtection/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0">
      <selection activeCell="F37" sqref="F37"/>
    </sheetView>
  </sheetViews>
  <sheetFormatPr defaultColWidth="9.33203125" defaultRowHeight="12.75"/>
  <cols>
    <col min="1" max="1" width="16.33203125" style="0" customWidth="1"/>
    <col min="2" max="2" width="21.83203125" style="0" customWidth="1"/>
    <col min="3" max="3" width="12.5" style="0" customWidth="1"/>
    <col min="4" max="4" width="13" style="0" customWidth="1"/>
    <col min="5" max="5" width="13.5" style="0" customWidth="1"/>
    <col min="7" max="7" width="9.66015625" style="0" customWidth="1"/>
    <col min="8" max="10" width="9.66015625" style="0" bestFit="1" customWidth="1"/>
    <col min="13" max="13" width="10.66015625" style="0" bestFit="1" customWidth="1"/>
    <col min="14" max="14" width="9.66015625" style="0" bestFit="1" customWidth="1"/>
  </cols>
  <sheetData>
    <row r="1" ht="18.75">
      <c r="A1" s="42" t="s">
        <v>187</v>
      </c>
    </row>
    <row r="3" ht="13.5" thickBot="1">
      <c r="A3" t="s">
        <v>4</v>
      </c>
    </row>
    <row r="4" spans="1:4" ht="12.75">
      <c r="A4" s="15" t="s">
        <v>3</v>
      </c>
      <c r="B4" s="3"/>
      <c r="C4" s="65"/>
      <c r="D4" s="4"/>
    </row>
    <row r="5" spans="1:4" ht="27.75" customHeight="1">
      <c r="A5" s="16" t="s">
        <v>25</v>
      </c>
      <c r="B5" s="17" t="s">
        <v>26</v>
      </c>
      <c r="C5" s="159" t="s">
        <v>205</v>
      </c>
      <c r="D5" s="162" t="s">
        <v>206</v>
      </c>
    </row>
    <row r="6" spans="1:4" s="1" customFormat="1" ht="12.75" customHeight="1">
      <c r="A6" s="18" t="s">
        <v>0</v>
      </c>
      <c r="B6" s="19" t="s">
        <v>1</v>
      </c>
      <c r="C6" s="160" t="s">
        <v>2</v>
      </c>
      <c r="D6" s="163" t="s">
        <v>2</v>
      </c>
    </row>
    <row r="7" spans="1:11" ht="13.5" thickBot="1">
      <c r="A7" s="5">
        <v>3.035</v>
      </c>
      <c r="B7" s="6">
        <v>2.63</v>
      </c>
      <c r="C7" s="161">
        <v>35.37</v>
      </c>
      <c r="D7" s="167">
        <v>707.43</v>
      </c>
      <c r="E7" s="20"/>
      <c r="F7" s="2"/>
      <c r="G7" s="2"/>
      <c r="H7" s="2"/>
      <c r="I7" s="2"/>
      <c r="J7" s="2"/>
      <c r="K7" s="2"/>
    </row>
    <row r="8" spans="1:11" ht="12.75">
      <c r="A8" s="21"/>
      <c r="B8" s="21"/>
      <c r="C8" s="21"/>
      <c r="F8" s="2"/>
      <c r="G8" s="2"/>
      <c r="H8" s="2"/>
      <c r="I8" s="2"/>
      <c r="J8" s="2"/>
      <c r="K8" s="2"/>
    </row>
    <row r="9" spans="1:11" ht="13.5" thickBot="1">
      <c r="A9" s="144" t="s">
        <v>188</v>
      </c>
      <c r="B9" s="21"/>
      <c r="C9" s="21"/>
      <c r="F9" s="2"/>
      <c r="G9" s="2"/>
      <c r="H9" s="2"/>
      <c r="I9" s="2"/>
      <c r="J9" s="2"/>
      <c r="K9" s="2"/>
    </row>
    <row r="10" spans="1:11" ht="12.75">
      <c r="A10" s="150" t="s">
        <v>189</v>
      </c>
      <c r="B10" s="151"/>
      <c r="C10" s="152">
        <v>6800</v>
      </c>
      <c r="F10" s="2"/>
      <c r="G10" s="2"/>
      <c r="H10" s="2"/>
      <c r="I10" s="2"/>
      <c r="J10" s="2"/>
      <c r="K10" s="2"/>
    </row>
    <row r="11" spans="1:11" ht="13.5" thickBot="1">
      <c r="A11" s="153" t="s">
        <v>191</v>
      </c>
      <c r="B11" s="6"/>
      <c r="C11" s="154">
        <v>4360</v>
      </c>
      <c r="F11" s="2"/>
      <c r="G11" s="2"/>
      <c r="H11" s="2"/>
      <c r="I11" s="2"/>
      <c r="J11" s="2"/>
      <c r="K11" s="2"/>
    </row>
    <row r="12" spans="1:11" ht="12.75">
      <c r="A12" s="144"/>
      <c r="B12" s="21"/>
      <c r="C12" s="21"/>
      <c r="F12" s="2"/>
      <c r="G12" s="2"/>
      <c r="H12" s="2"/>
      <c r="I12" s="2"/>
      <c r="J12" s="2"/>
      <c r="K12" s="2"/>
    </row>
    <row r="13" ht="13.5" thickBot="1">
      <c r="A13" t="s">
        <v>11</v>
      </c>
    </row>
    <row r="14" spans="1:6" ht="18.75">
      <c r="A14" s="22" t="s">
        <v>192</v>
      </c>
      <c r="B14" s="3"/>
      <c r="C14" s="4"/>
      <c r="E14" s="73"/>
      <c r="F14" s="47"/>
    </row>
    <row r="15" spans="1:3" ht="12.75">
      <c r="A15" s="23" t="s">
        <v>9</v>
      </c>
      <c r="B15" s="24"/>
      <c r="C15" s="155">
        <f>A7*C10</f>
        <v>20638</v>
      </c>
    </row>
    <row r="16" spans="1:3" ht="13.5" thickBot="1">
      <c r="A16" s="25" t="s">
        <v>10</v>
      </c>
      <c r="B16" s="26"/>
      <c r="C16" s="156">
        <f>C15*24</f>
        <v>495312</v>
      </c>
    </row>
    <row r="17" spans="1:5" ht="12.75">
      <c r="A17" s="27"/>
      <c r="B17" s="27"/>
      <c r="C17" s="28"/>
      <c r="D17" s="28"/>
      <c r="E17" s="28"/>
    </row>
    <row r="18" ht="13.5" thickBot="1">
      <c r="A18" t="s">
        <v>14</v>
      </c>
    </row>
    <row r="19" spans="1:11" ht="12.75">
      <c r="A19" s="22" t="s">
        <v>193</v>
      </c>
      <c r="B19" s="3"/>
      <c r="C19" s="4"/>
      <c r="F19" s="47"/>
      <c r="G19" s="47"/>
      <c r="H19" s="47"/>
      <c r="I19" s="47"/>
      <c r="J19" s="47"/>
      <c r="K19" s="47"/>
    </row>
    <row r="20" spans="1:3" ht="12.75">
      <c r="A20" s="29" t="s">
        <v>12</v>
      </c>
      <c r="B20" s="24"/>
      <c r="C20" s="155">
        <f>B7*C11</f>
        <v>11466.8</v>
      </c>
    </row>
    <row r="21" spans="1:3" ht="13.5" thickBot="1">
      <c r="A21" s="30" t="s">
        <v>13</v>
      </c>
      <c r="B21" s="26"/>
      <c r="C21" s="156">
        <f>C20*24</f>
        <v>275203.19999999995</v>
      </c>
    </row>
    <row r="22" spans="1:4" ht="12.75">
      <c r="A22" s="27"/>
      <c r="B22" s="27"/>
      <c r="C22" s="28"/>
      <c r="D22" s="28"/>
    </row>
    <row r="23" ht="13.5" thickBot="1">
      <c r="A23" t="s">
        <v>18</v>
      </c>
    </row>
    <row r="24" spans="1:3" ht="12.75">
      <c r="A24" s="22" t="s">
        <v>15</v>
      </c>
      <c r="B24" s="3"/>
      <c r="C24" s="4"/>
    </row>
    <row r="25" spans="1:3" ht="12.75">
      <c r="A25" s="31" t="s">
        <v>16</v>
      </c>
      <c r="B25" s="24"/>
      <c r="C25" s="45">
        <f>(C7+D7)*C10</f>
        <v>5051040</v>
      </c>
    </row>
    <row r="26" spans="1:3" ht="13.5" thickBot="1">
      <c r="A26" s="33" t="s">
        <v>17</v>
      </c>
      <c r="B26" s="26"/>
      <c r="C26" s="125">
        <f>C25*24</f>
        <v>121224960</v>
      </c>
    </row>
    <row r="27" spans="1:3" ht="12.75">
      <c r="A27" s="27"/>
      <c r="B27" s="27"/>
      <c r="C27" s="34"/>
    </row>
    <row r="28" ht="13.5" thickBot="1">
      <c r="A28" s="35" t="s">
        <v>22</v>
      </c>
    </row>
    <row r="29" spans="1:3" ht="12.75">
      <c r="A29" s="22" t="s">
        <v>19</v>
      </c>
      <c r="B29" s="3"/>
      <c r="C29" s="4"/>
    </row>
    <row r="30" spans="1:4" ht="18.75">
      <c r="A30" s="31" t="s">
        <v>20</v>
      </c>
      <c r="B30" s="24"/>
      <c r="C30" s="130">
        <f>C25*0.7167/1000</f>
        <v>3620.0803680000004</v>
      </c>
      <c r="D30" s="73"/>
    </row>
    <row r="31" spans="1:3" ht="13.5" thickBot="1">
      <c r="A31" s="33" t="s">
        <v>21</v>
      </c>
      <c r="B31" s="26"/>
      <c r="C31" s="125">
        <f>C30*24</f>
        <v>86881.928832</v>
      </c>
    </row>
    <row r="32" ht="12.75">
      <c r="C32" s="11"/>
    </row>
    <row r="33" spans="1:3" ht="13.5" thickBot="1">
      <c r="A33" s="35" t="s">
        <v>190</v>
      </c>
      <c r="C33" s="11"/>
    </row>
    <row r="34" spans="1:3" ht="12.75">
      <c r="A34" s="22" t="s">
        <v>23</v>
      </c>
      <c r="B34" s="3"/>
      <c r="C34" s="4"/>
    </row>
    <row r="35" spans="1:3" ht="12.75">
      <c r="A35" s="29" t="s">
        <v>20</v>
      </c>
      <c r="B35" s="24"/>
      <c r="C35" s="45">
        <f>C30*21</f>
        <v>76021.687728</v>
      </c>
    </row>
    <row r="36" spans="1:3" s="132" customFormat="1" ht="13.5" thickBot="1">
      <c r="A36" s="164" t="s">
        <v>21</v>
      </c>
      <c r="B36" s="165"/>
      <c r="C36" s="166">
        <f>C35*24</f>
        <v>1824520.5054720002</v>
      </c>
    </row>
    <row r="37" spans="1:3" ht="12.75">
      <c r="A37" s="27"/>
      <c r="B37" s="27"/>
      <c r="C37" s="34"/>
    </row>
    <row r="40" ht="19.5" customHeight="1" thickBot="1">
      <c r="A40" t="s">
        <v>29</v>
      </c>
    </row>
    <row r="41" spans="1:4" ht="19.5" customHeight="1">
      <c r="A41" s="41" t="s">
        <v>85</v>
      </c>
      <c r="B41" s="3" t="s">
        <v>31</v>
      </c>
      <c r="C41" s="65" t="s">
        <v>30</v>
      </c>
      <c r="D41" s="66"/>
    </row>
    <row r="42" spans="1:4" ht="15" customHeight="1">
      <c r="A42" s="372" t="s">
        <v>32</v>
      </c>
      <c r="B42" s="62" t="s">
        <v>33</v>
      </c>
      <c r="C42" s="64" t="s">
        <v>39</v>
      </c>
      <c r="D42" s="45">
        <v>2640</v>
      </c>
    </row>
    <row r="43" spans="1:4" ht="11.25" customHeight="1">
      <c r="A43" s="373"/>
      <c r="B43" s="62"/>
      <c r="C43" s="64" t="s">
        <v>38</v>
      </c>
      <c r="D43" s="45">
        <v>5472</v>
      </c>
    </row>
    <row r="44" spans="1:4" ht="12.75">
      <c r="A44" s="372" t="s">
        <v>34</v>
      </c>
      <c r="B44" s="369" t="s">
        <v>35</v>
      </c>
      <c r="C44" s="64" t="s">
        <v>39</v>
      </c>
      <c r="D44" s="32">
        <v>0.05</v>
      </c>
    </row>
    <row r="45" spans="1:4" ht="15" customHeight="1">
      <c r="A45" s="373"/>
      <c r="B45" s="371"/>
      <c r="C45" s="64" t="s">
        <v>38</v>
      </c>
      <c r="D45" s="32">
        <v>0.3</v>
      </c>
    </row>
    <row r="46" spans="1:4" ht="20.25" customHeight="1">
      <c r="A46" s="367" t="s">
        <v>36</v>
      </c>
      <c r="B46" s="369" t="s">
        <v>37</v>
      </c>
      <c r="C46" s="64" t="s">
        <v>39</v>
      </c>
      <c r="D46" s="68">
        <v>45</v>
      </c>
    </row>
    <row r="47" spans="1:4" ht="21.75" customHeight="1">
      <c r="A47" s="374"/>
      <c r="B47" s="371"/>
      <c r="C47" s="64" t="s">
        <v>38</v>
      </c>
      <c r="D47" s="68">
        <v>110</v>
      </c>
    </row>
    <row r="48" spans="1:4" ht="25.5" customHeight="1">
      <c r="A48" s="67" t="s">
        <v>40</v>
      </c>
      <c r="B48" s="62" t="s">
        <v>41</v>
      </c>
      <c r="C48" s="64"/>
      <c r="D48" s="68">
        <v>1</v>
      </c>
    </row>
    <row r="49" spans="1:4" ht="38.25">
      <c r="A49" s="63" t="s">
        <v>42</v>
      </c>
      <c r="B49" s="62" t="s">
        <v>41</v>
      </c>
      <c r="C49" s="64"/>
      <c r="D49" s="68">
        <v>5</v>
      </c>
    </row>
    <row r="50" spans="1:4" ht="13.5" customHeight="1">
      <c r="A50" s="367" t="s">
        <v>43</v>
      </c>
      <c r="B50" s="369" t="s">
        <v>44</v>
      </c>
      <c r="C50" s="64" t="s">
        <v>39</v>
      </c>
      <c r="D50" s="69">
        <v>33</v>
      </c>
    </row>
    <row r="51" spans="1:4" ht="13.5" thickBot="1">
      <c r="A51" s="368"/>
      <c r="B51" s="370"/>
      <c r="C51" s="71" t="s">
        <v>38</v>
      </c>
      <c r="D51" s="70">
        <v>61</v>
      </c>
    </row>
  </sheetData>
  <sheetProtection/>
  <mergeCells count="7">
    <mergeCell ref="A50:A51"/>
    <mergeCell ref="B50:B51"/>
    <mergeCell ref="B46:B47"/>
    <mergeCell ref="A42:A43"/>
    <mergeCell ref="B44:B45"/>
    <mergeCell ref="A46:A47"/>
    <mergeCell ref="A44:A4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45"/>
  <sheetViews>
    <sheetView zoomScalePageLayoutView="0" workbookViewId="0" topLeftCell="A52">
      <selection activeCell="C58" sqref="C58"/>
    </sheetView>
  </sheetViews>
  <sheetFormatPr defaultColWidth="9.33203125" defaultRowHeight="12.75"/>
  <cols>
    <col min="1" max="1" width="36.83203125" style="0" customWidth="1"/>
    <col min="2" max="3" width="27.83203125" style="0" customWidth="1"/>
    <col min="4" max="4" width="28.16015625" style="0" customWidth="1"/>
    <col min="5" max="5" width="21.33203125" style="0" customWidth="1"/>
    <col min="6" max="6" width="17.33203125" style="0" customWidth="1"/>
    <col min="7" max="7" width="26" style="0" customWidth="1"/>
    <col min="8" max="10" width="17.33203125" style="0" customWidth="1"/>
    <col min="11" max="11" width="17.33203125" style="47" customWidth="1"/>
    <col min="12" max="15" width="17.33203125" style="0" customWidth="1"/>
    <col min="16" max="16" width="17.83203125" style="0" customWidth="1"/>
    <col min="17" max="17" width="23.5" style="0" customWidth="1"/>
    <col min="18" max="18" width="15.5" style="0" customWidth="1"/>
  </cols>
  <sheetData>
    <row r="1" ht="18.75">
      <c r="A1" s="42" t="s">
        <v>187</v>
      </c>
    </row>
    <row r="2" ht="12.75">
      <c r="A2" s="7"/>
    </row>
    <row r="3" ht="12.75">
      <c r="D3" s="7" t="s">
        <v>56</v>
      </c>
    </row>
    <row r="4" spans="10:11" ht="12.75">
      <c r="J4" s="47"/>
      <c r="K4"/>
    </row>
    <row r="5" spans="1:11" ht="12.75">
      <c r="A5" s="177"/>
      <c r="B5" s="177"/>
      <c r="J5" s="47"/>
      <c r="K5"/>
    </row>
    <row r="6" spans="1:11" ht="12.75">
      <c r="A6" s="27"/>
      <c r="B6" s="27"/>
      <c r="J6" s="47"/>
      <c r="K6"/>
    </row>
    <row r="7" spans="1:14" ht="13.5" thickBot="1">
      <c r="A7" s="177"/>
      <c r="B7" s="177"/>
      <c r="C7" s="27"/>
      <c r="D7" s="177"/>
      <c r="E7" s="177"/>
      <c r="F7" s="27"/>
      <c r="G7" s="59" t="s">
        <v>253</v>
      </c>
      <c r="H7" s="132" t="s">
        <v>24</v>
      </c>
      <c r="I7" s="35"/>
      <c r="J7" s="27"/>
      <c r="K7" s="27"/>
      <c r="L7" s="27"/>
      <c r="M7" s="27"/>
      <c r="N7" s="27"/>
    </row>
    <row r="8" spans="1:13" ht="13.5" thickBot="1">
      <c r="A8" s="178"/>
      <c r="B8" s="27"/>
      <c r="C8" s="50"/>
      <c r="D8" s="178"/>
      <c r="E8" s="27"/>
      <c r="F8" s="50"/>
      <c r="G8" s="376" t="s">
        <v>254</v>
      </c>
      <c r="H8" s="377"/>
      <c r="I8" s="50"/>
      <c r="J8" s="50"/>
      <c r="K8" s="50"/>
      <c r="L8" s="50"/>
      <c r="M8" s="51"/>
    </row>
    <row r="9" spans="1:13" ht="12.75">
      <c r="A9" s="59"/>
      <c r="B9" s="180"/>
      <c r="C9" s="52"/>
      <c r="D9" s="59"/>
      <c r="E9" s="181"/>
      <c r="F9" s="52"/>
      <c r="G9" s="39" t="s">
        <v>170</v>
      </c>
      <c r="H9" s="184">
        <f>'Baseline emissions'!C54</f>
        <v>65990.2724</v>
      </c>
      <c r="I9" s="168"/>
      <c r="J9" s="52"/>
      <c r="K9" s="52"/>
      <c r="L9" s="52"/>
      <c r="M9" s="53"/>
    </row>
    <row r="10" spans="1:13" ht="12.75">
      <c r="A10" s="59"/>
      <c r="B10" s="54"/>
      <c r="C10" s="54"/>
      <c r="D10" s="59"/>
      <c r="E10" s="190"/>
      <c r="F10" s="54"/>
      <c r="G10" s="29" t="s">
        <v>171</v>
      </c>
      <c r="H10" s="185">
        <v>12</v>
      </c>
      <c r="I10" s="169"/>
      <c r="J10" s="54"/>
      <c r="K10" s="54"/>
      <c r="L10" s="54"/>
      <c r="M10" s="27"/>
    </row>
    <row r="11" spans="1:13" ht="12.75">
      <c r="A11" s="59"/>
      <c r="B11" s="55"/>
      <c r="C11" s="54"/>
      <c r="D11" s="59"/>
      <c r="E11" s="181"/>
      <c r="F11" s="54"/>
      <c r="G11" s="29" t="s">
        <v>207</v>
      </c>
      <c r="H11" s="186">
        <f>'Heat load'!C8</f>
        <v>15018.92</v>
      </c>
      <c r="I11" s="169"/>
      <c r="J11" s="54"/>
      <c r="K11" s="54"/>
      <c r="L11" s="54"/>
      <c r="M11" s="27"/>
    </row>
    <row r="12" spans="1:15" ht="15.75">
      <c r="A12" s="59"/>
      <c r="B12" s="55"/>
      <c r="C12" s="72"/>
      <c r="D12" s="59"/>
      <c r="E12" s="181"/>
      <c r="F12" s="55"/>
      <c r="G12" s="57" t="s">
        <v>240</v>
      </c>
      <c r="H12" s="186">
        <f>B38</f>
        <v>827348.46</v>
      </c>
      <c r="I12" s="169"/>
      <c r="J12" s="55"/>
      <c r="K12" s="55"/>
      <c r="L12" s="55"/>
      <c r="M12" s="53"/>
      <c r="O12" s="49"/>
    </row>
    <row r="13" spans="1:15" ht="15.75">
      <c r="A13" s="172"/>
      <c r="B13" s="72"/>
      <c r="C13" s="72"/>
      <c r="D13" s="172"/>
      <c r="E13" s="181"/>
      <c r="F13" s="55"/>
      <c r="G13" s="137" t="s">
        <v>241</v>
      </c>
      <c r="H13" s="186">
        <f>B48</f>
        <v>18887098.17</v>
      </c>
      <c r="I13" s="169"/>
      <c r="J13" s="55"/>
      <c r="K13" s="55"/>
      <c r="L13" s="55"/>
      <c r="M13" s="53"/>
      <c r="O13" s="49"/>
    </row>
    <row r="14" spans="1:13" ht="15" thickBot="1">
      <c r="A14" s="59"/>
      <c r="B14" s="55"/>
      <c r="C14" s="56"/>
      <c r="D14" s="59"/>
      <c r="E14" s="181"/>
      <c r="F14" s="56"/>
      <c r="G14" s="175" t="s">
        <v>239</v>
      </c>
      <c r="H14" s="187">
        <f>G48+G38</f>
        <v>14129.343899721</v>
      </c>
      <c r="I14" s="169"/>
      <c r="J14" s="56"/>
      <c r="K14" s="56"/>
      <c r="L14" s="56"/>
      <c r="M14" s="53"/>
    </row>
    <row r="15" spans="1:2" ht="12.75">
      <c r="A15" s="138" t="s">
        <v>172</v>
      </c>
      <c r="B15" s="176"/>
    </row>
    <row r="16" spans="1:2" ht="13.5" thickBot="1">
      <c r="A16" s="74">
        <v>0.05</v>
      </c>
      <c r="B16" s="179">
        <v>0.035</v>
      </c>
    </row>
    <row r="17" ht="12.75"/>
    <row r="18" ht="12.75">
      <c r="A18" t="s">
        <v>185</v>
      </c>
    </row>
    <row r="19" ht="13.5" thickBot="1">
      <c r="A19" t="s">
        <v>45</v>
      </c>
    </row>
    <row r="20" spans="1:7" ht="12.75">
      <c r="A20" s="378" t="s">
        <v>245</v>
      </c>
      <c r="B20" s="85" t="s">
        <v>176</v>
      </c>
      <c r="C20" s="48" t="s">
        <v>177</v>
      </c>
      <c r="D20" s="48" t="s">
        <v>176</v>
      </c>
      <c r="E20" s="48" t="s">
        <v>177</v>
      </c>
      <c r="F20" s="48" t="s">
        <v>27</v>
      </c>
      <c r="G20" s="48" t="s">
        <v>54</v>
      </c>
    </row>
    <row r="21" spans="1:7" ht="13.5" thickBot="1">
      <c r="A21" s="379"/>
      <c r="B21" s="291" t="s">
        <v>186</v>
      </c>
      <c r="C21" s="291" t="s">
        <v>186</v>
      </c>
      <c r="D21" s="291" t="s">
        <v>53</v>
      </c>
      <c r="E21" s="291" t="s">
        <v>53</v>
      </c>
      <c r="F21" s="291" t="s">
        <v>8</v>
      </c>
      <c r="G21" s="291" t="s">
        <v>55</v>
      </c>
    </row>
    <row r="22" spans="1:7" s="47" customFormat="1" ht="15">
      <c r="A22" s="363" t="s">
        <v>247</v>
      </c>
      <c r="B22" s="343">
        <v>147880.23</v>
      </c>
      <c r="C22" s="344">
        <f>0.7167*B22/1000</f>
        <v>105.98576084100002</v>
      </c>
      <c r="D22" s="345">
        <v>0</v>
      </c>
      <c r="E22" s="346">
        <f>0.7167*D22/1000</f>
        <v>0</v>
      </c>
      <c r="F22" s="347">
        <f>B22+D22</f>
        <v>147880.23</v>
      </c>
      <c r="G22" s="348">
        <f>C22+D22</f>
        <v>105.98576084100002</v>
      </c>
    </row>
    <row r="23" spans="1:7" s="47" customFormat="1" ht="15">
      <c r="A23" s="362" t="s">
        <v>248</v>
      </c>
      <c r="B23" s="349">
        <v>152259.6</v>
      </c>
      <c r="C23" s="344">
        <f>0.7167*B23/1000</f>
        <v>109.12445532000001</v>
      </c>
      <c r="D23" s="340">
        <v>0</v>
      </c>
      <c r="E23" s="245">
        <f>0.7167*D23/1000</f>
        <v>0</v>
      </c>
      <c r="F23" s="347">
        <f>B23+D23</f>
        <v>152259.6</v>
      </c>
      <c r="G23" s="348">
        <f>C23+D23</f>
        <v>109.12445532000001</v>
      </c>
    </row>
    <row r="24" spans="1:7" s="47" customFormat="1" ht="15">
      <c r="A24" s="362" t="s">
        <v>249</v>
      </c>
      <c r="B24" s="349">
        <v>171204.63</v>
      </c>
      <c r="C24" s="344">
        <f>0.7167*B24/1000</f>
        <v>122.702358321</v>
      </c>
      <c r="D24" s="340">
        <v>0</v>
      </c>
      <c r="E24" s="245">
        <f>0.7167*D24/1000</f>
        <v>0</v>
      </c>
      <c r="F24" s="347">
        <f>B24+D24</f>
        <v>171204.63</v>
      </c>
      <c r="G24" s="348">
        <f>C24+D24</f>
        <v>122.702358321</v>
      </c>
    </row>
    <row r="25" spans="1:7" s="47" customFormat="1" ht="15">
      <c r="A25" s="362" t="s">
        <v>250</v>
      </c>
      <c r="B25" s="338">
        <v>155997.27</v>
      </c>
      <c r="C25" s="344">
        <f>0.7167*B25/1000</f>
        <v>111.80324340899999</v>
      </c>
      <c r="D25" s="340">
        <v>0</v>
      </c>
      <c r="E25" s="245">
        <f>0.7167*D25/1000</f>
        <v>0</v>
      </c>
      <c r="F25" s="347">
        <f>B25+D25</f>
        <v>155997.27</v>
      </c>
      <c r="G25" s="348">
        <f>C25+D25</f>
        <v>111.80324340899999</v>
      </c>
    </row>
    <row r="26" spans="1:7" s="47" customFormat="1" ht="15.75" thickBot="1">
      <c r="A26" s="364" t="s">
        <v>251</v>
      </c>
      <c r="B26" s="340">
        <v>158533.38</v>
      </c>
      <c r="C26" s="344">
        <f>0.7167*B26/1000</f>
        <v>113.620873446</v>
      </c>
      <c r="D26" s="340">
        <v>0</v>
      </c>
      <c r="E26" s="245">
        <f>0.7167*D26/1000</f>
        <v>0</v>
      </c>
      <c r="F26" s="347">
        <f>B26+D26</f>
        <v>158533.38</v>
      </c>
      <c r="G26" s="348">
        <f>C26+D26</f>
        <v>113.620873446</v>
      </c>
    </row>
    <row r="27" spans="1:14" ht="14.25" thickBot="1">
      <c r="A27" s="365" t="s">
        <v>252</v>
      </c>
      <c r="B27" s="331">
        <f>ROUND(SUM(B22:B26),1)</f>
        <v>785875.1</v>
      </c>
      <c r="C27" s="331">
        <f>SUM(C22:C26)</f>
        <v>563.236691337</v>
      </c>
      <c r="D27" s="331">
        <f>SUM(D22:D26)</f>
        <v>0</v>
      </c>
      <c r="E27" s="331">
        <f>SUM(E22:E26)</f>
        <v>0</v>
      </c>
      <c r="F27" s="331">
        <f>SUM(F22:F26)</f>
        <v>785875.11</v>
      </c>
      <c r="G27" s="331">
        <f>SUM(G22:G26)</f>
        <v>563.236691337</v>
      </c>
      <c r="K27"/>
      <c r="N27" s="47"/>
    </row>
    <row r="28" ht="12.75"/>
    <row r="29" ht="12.75"/>
    <row r="30" ht="19.5" thickBot="1">
      <c r="A30" s="292" t="s">
        <v>242</v>
      </c>
    </row>
    <row r="31" spans="1:7" ht="12.75">
      <c r="A31" s="378" t="s">
        <v>245</v>
      </c>
      <c r="B31" s="85" t="s">
        <v>176</v>
      </c>
      <c r="C31" s="48" t="s">
        <v>177</v>
      </c>
      <c r="D31" s="48" t="s">
        <v>176</v>
      </c>
      <c r="E31" s="48" t="s">
        <v>177</v>
      </c>
      <c r="F31" s="48" t="s">
        <v>27</v>
      </c>
      <c r="G31" s="48" t="s">
        <v>54</v>
      </c>
    </row>
    <row r="32" spans="1:7" ht="13.5" thickBot="1">
      <c r="A32" s="379"/>
      <c r="B32" s="291" t="s">
        <v>186</v>
      </c>
      <c r="C32" s="291" t="s">
        <v>186</v>
      </c>
      <c r="D32" s="291" t="s">
        <v>53</v>
      </c>
      <c r="E32" s="291" t="s">
        <v>53</v>
      </c>
      <c r="F32" s="291" t="s">
        <v>8</v>
      </c>
      <c r="G32" s="291" t="s">
        <v>55</v>
      </c>
    </row>
    <row r="33" spans="1:7" ht="15">
      <c r="A33" s="363" t="s">
        <v>247</v>
      </c>
      <c r="B33" s="341">
        <v>188972.28</v>
      </c>
      <c r="C33" s="333">
        <f>0.7167*B33/1000</f>
        <v>135.436433076</v>
      </c>
      <c r="D33" s="334">
        <v>0</v>
      </c>
      <c r="E33" s="335">
        <f>0.7167*D33/1000</f>
        <v>0</v>
      </c>
      <c r="F33" s="336">
        <f>B33+D33</f>
        <v>188972.28</v>
      </c>
      <c r="G33" s="337">
        <f>C33+D33</f>
        <v>135.436433076</v>
      </c>
    </row>
    <row r="34" spans="1:7" ht="15">
      <c r="A34" s="362" t="s">
        <v>248</v>
      </c>
      <c r="B34" s="341">
        <v>203867.16</v>
      </c>
      <c r="C34" s="333">
        <f>0.7167*B34/1000</f>
        <v>146.111593572</v>
      </c>
      <c r="D34" s="338">
        <v>0</v>
      </c>
      <c r="E34" s="333">
        <f>0.7167*D34/1000</f>
        <v>0</v>
      </c>
      <c r="F34" s="336">
        <f>B34+D34</f>
        <v>203867.16</v>
      </c>
      <c r="G34" s="337">
        <f>C34+D34</f>
        <v>146.111593572</v>
      </c>
    </row>
    <row r="35" spans="1:7" ht="15">
      <c r="A35" s="362" t="s">
        <v>249</v>
      </c>
      <c r="B35" s="341">
        <v>130060.5</v>
      </c>
      <c r="C35" s="333">
        <f>0.7167*B35/1000</f>
        <v>93.21436035</v>
      </c>
      <c r="D35" s="338">
        <v>0</v>
      </c>
      <c r="E35" s="333">
        <f>0.7167*D35/1000</f>
        <v>0</v>
      </c>
      <c r="F35" s="336">
        <f>B35+D35</f>
        <v>130060.5</v>
      </c>
      <c r="G35" s="337">
        <f>C35+D35</f>
        <v>93.21436035</v>
      </c>
    </row>
    <row r="36" spans="1:7" ht="15">
      <c r="A36" s="362" t="s">
        <v>250</v>
      </c>
      <c r="B36" s="342">
        <v>165580.92</v>
      </c>
      <c r="C36" s="333">
        <f>0.7167*B36/1000</f>
        <v>118.671845364</v>
      </c>
      <c r="D36" s="338">
        <v>0</v>
      </c>
      <c r="E36" s="333">
        <f>0.7167*D36/1000</f>
        <v>0</v>
      </c>
      <c r="F36" s="336">
        <f>B36+D36</f>
        <v>165580.92</v>
      </c>
      <c r="G36" s="337">
        <f>C36+D36</f>
        <v>118.671845364</v>
      </c>
    </row>
    <row r="37" spans="1:7" ht="15.75" thickBot="1">
      <c r="A37" s="364" t="s">
        <v>251</v>
      </c>
      <c r="B37" s="342">
        <v>138867.6</v>
      </c>
      <c r="C37" s="333">
        <f>0.7167*B37/1000</f>
        <v>99.52640892000001</v>
      </c>
      <c r="D37" s="338">
        <v>0</v>
      </c>
      <c r="E37" s="333">
        <f>0.7167*D37/1000</f>
        <v>0</v>
      </c>
      <c r="F37" s="336">
        <f>B37+D37</f>
        <v>138867.6</v>
      </c>
      <c r="G37" s="337">
        <f>C37+D37</f>
        <v>99.52640892000001</v>
      </c>
    </row>
    <row r="38" spans="1:7" ht="14.25" thickBot="1">
      <c r="A38" s="365" t="s">
        <v>252</v>
      </c>
      <c r="B38" s="331">
        <f aca="true" t="shared" si="0" ref="B38:G38">SUM(B33:B37)</f>
        <v>827348.46</v>
      </c>
      <c r="C38" s="331">
        <f t="shared" si="0"/>
        <v>592.960641282</v>
      </c>
      <c r="D38" s="331">
        <f t="shared" si="0"/>
        <v>0</v>
      </c>
      <c r="E38" s="331">
        <f t="shared" si="0"/>
        <v>0</v>
      </c>
      <c r="F38" s="331">
        <f t="shared" si="0"/>
        <v>827348.46</v>
      </c>
      <c r="G38" s="331">
        <f t="shared" si="0"/>
        <v>592.960641282</v>
      </c>
    </row>
    <row r="39" ht="12.75"/>
    <row r="40" ht="19.5" thickBot="1">
      <c r="A40" s="292" t="s">
        <v>243</v>
      </c>
    </row>
    <row r="41" spans="1:7" ht="12.75">
      <c r="A41" s="378" t="s">
        <v>245</v>
      </c>
      <c r="B41" s="85" t="s">
        <v>176</v>
      </c>
      <c r="C41" s="48" t="s">
        <v>177</v>
      </c>
      <c r="D41" s="48" t="s">
        <v>176</v>
      </c>
      <c r="E41" s="48" t="s">
        <v>177</v>
      </c>
      <c r="F41" s="48" t="s">
        <v>27</v>
      </c>
      <c r="G41" s="48" t="s">
        <v>54</v>
      </c>
    </row>
    <row r="42" spans="1:7" ht="13.5" thickBot="1">
      <c r="A42" s="379"/>
      <c r="B42" s="291" t="s">
        <v>186</v>
      </c>
      <c r="C42" s="291" t="s">
        <v>186</v>
      </c>
      <c r="D42" s="291" t="s">
        <v>53</v>
      </c>
      <c r="E42" s="291" t="s">
        <v>53</v>
      </c>
      <c r="F42" s="291" t="s">
        <v>8</v>
      </c>
      <c r="G42" s="291" t="s">
        <v>55</v>
      </c>
    </row>
    <row r="43" spans="1:7" ht="15">
      <c r="A43" s="363" t="s">
        <v>247</v>
      </c>
      <c r="B43" s="332">
        <v>4372849.85</v>
      </c>
      <c r="C43" s="333">
        <f>0.7167*B43/1000</f>
        <v>3134.0214874949997</v>
      </c>
      <c r="D43" s="334">
        <v>0</v>
      </c>
      <c r="E43" s="335">
        <f>0.7167*D43/1000</f>
        <v>0</v>
      </c>
      <c r="F43" s="336">
        <f>B43+D43</f>
        <v>4372849.85</v>
      </c>
      <c r="G43" s="337">
        <f>C43+D43</f>
        <v>3134.0214874949997</v>
      </c>
    </row>
    <row r="44" spans="1:7" ht="15">
      <c r="A44" s="362" t="s">
        <v>248</v>
      </c>
      <c r="B44" s="332">
        <v>4560217.42</v>
      </c>
      <c r="C44" s="333">
        <f>0.7167*B44/1000</f>
        <v>3268.307824914</v>
      </c>
      <c r="D44" s="338">
        <v>0</v>
      </c>
      <c r="E44" s="333">
        <f>0.7167*D44/1000</f>
        <v>0</v>
      </c>
      <c r="F44" s="336">
        <f>B44+D44</f>
        <v>4560217.42</v>
      </c>
      <c r="G44" s="337">
        <f>C44+D44</f>
        <v>3268.307824914</v>
      </c>
    </row>
    <row r="45" spans="1:7" ht="15">
      <c r="A45" s="362" t="s">
        <v>249</v>
      </c>
      <c r="B45" s="332">
        <v>3020597.93</v>
      </c>
      <c r="C45" s="333">
        <f>0.7167*B45/1000</f>
        <v>2164.862536431</v>
      </c>
      <c r="D45" s="338">
        <v>0</v>
      </c>
      <c r="E45" s="333">
        <f>0.7167*D45/1000</f>
        <v>0</v>
      </c>
      <c r="F45" s="336">
        <f>B45+D45</f>
        <v>3020597.93</v>
      </c>
      <c r="G45" s="337">
        <f>C45+D45</f>
        <v>2164.862536431</v>
      </c>
    </row>
    <row r="46" spans="1:7" ht="15">
      <c r="A46" s="362" t="s">
        <v>250</v>
      </c>
      <c r="B46" s="339">
        <v>3766775.55</v>
      </c>
      <c r="C46" s="333">
        <f>0.7167*B46/1000</f>
        <v>2699.6480366849996</v>
      </c>
      <c r="D46" s="338">
        <v>0</v>
      </c>
      <c r="E46" s="333">
        <f>0.7167*D46/1000</f>
        <v>0</v>
      </c>
      <c r="F46" s="336">
        <f>B46+D46</f>
        <v>3766775.55</v>
      </c>
      <c r="G46" s="337">
        <f>C46+D46</f>
        <v>2699.6480366849996</v>
      </c>
    </row>
    <row r="47" spans="1:7" ht="15.75" thickBot="1">
      <c r="A47" s="364" t="s">
        <v>251</v>
      </c>
      <c r="B47" s="340">
        <v>3166657.42</v>
      </c>
      <c r="C47" s="333">
        <f>0.7167*B47/1000</f>
        <v>2269.543372914</v>
      </c>
      <c r="D47" s="338">
        <v>0</v>
      </c>
      <c r="E47" s="333">
        <f>0.7167*D47/1000</f>
        <v>0</v>
      </c>
      <c r="F47" s="336">
        <f>B47+D47</f>
        <v>3166657.42</v>
      </c>
      <c r="G47" s="337">
        <f>C47+D47</f>
        <v>2269.543372914</v>
      </c>
    </row>
    <row r="48" spans="1:7" ht="14.25" thickBot="1">
      <c r="A48" s="365" t="s">
        <v>252</v>
      </c>
      <c r="B48" s="331">
        <f aca="true" t="shared" si="1" ref="B48:G48">SUM(B43:B47)</f>
        <v>18887098.17</v>
      </c>
      <c r="C48" s="331">
        <f t="shared" si="1"/>
        <v>13536.383258439</v>
      </c>
      <c r="D48" s="331">
        <f t="shared" si="1"/>
        <v>0</v>
      </c>
      <c r="E48" s="331">
        <f t="shared" si="1"/>
        <v>0</v>
      </c>
      <c r="F48" s="331">
        <f t="shared" si="1"/>
        <v>18887098.17</v>
      </c>
      <c r="G48" s="331">
        <f t="shared" si="1"/>
        <v>13536.383258439</v>
      </c>
    </row>
    <row r="49" ht="12.75"/>
    <row r="50" ht="12.75"/>
    <row r="51" ht="12.75"/>
    <row r="52" ht="12.75"/>
    <row r="53" ht="12.75">
      <c r="A53" t="s">
        <v>69</v>
      </c>
    </row>
    <row r="54" ht="13.5" thickBot="1"/>
    <row r="55" spans="1:2" ht="12.75">
      <c r="A55" s="375" t="s">
        <v>70</v>
      </c>
      <c r="B55" s="85" t="s">
        <v>28</v>
      </c>
    </row>
    <row r="56" spans="1:2" ht="12.75">
      <c r="A56" s="373"/>
      <c r="B56" s="86" t="s">
        <v>55</v>
      </c>
    </row>
    <row r="57" spans="1:3" ht="12.75">
      <c r="A57" s="360" t="s">
        <v>253</v>
      </c>
      <c r="B57" s="350">
        <f>G48+G38+G27</f>
        <v>14692.580591058</v>
      </c>
      <c r="C57" s="13"/>
    </row>
    <row r="58" spans="1:2" ht="14.25" thickBot="1">
      <c r="A58" s="189" t="s">
        <v>252</v>
      </c>
      <c r="B58" s="351">
        <f>SUM(B57:B57)</f>
        <v>14692.580591058</v>
      </c>
    </row>
    <row r="60" spans="1:2" ht="12.75">
      <c r="A60" s="177"/>
      <c r="B60" s="177"/>
    </row>
    <row r="61" spans="1:2" ht="12.75">
      <c r="A61" s="178"/>
      <c r="B61" s="27"/>
    </row>
    <row r="62" spans="1:2" ht="12.75">
      <c r="A62" s="59"/>
      <c r="B62" s="170"/>
    </row>
    <row r="63" spans="1:2" ht="12.75">
      <c r="A63" s="59"/>
      <c r="B63" s="54"/>
    </row>
    <row r="64" spans="1:2" ht="12.75">
      <c r="A64" s="59"/>
      <c r="B64" s="55"/>
    </row>
    <row r="65" spans="1:2" ht="12.75">
      <c r="A65" s="59"/>
      <c r="B65" s="55"/>
    </row>
    <row r="66" spans="1:2" ht="12.75">
      <c r="A66" s="172"/>
      <c r="B66" s="72"/>
    </row>
    <row r="67" spans="1:2" ht="12.75">
      <c r="A67" s="59"/>
      <c r="B67" s="55"/>
    </row>
    <row r="70" spans="1:2" ht="15.75">
      <c r="A70" s="58"/>
      <c r="B70" s="50"/>
    </row>
    <row r="71" spans="1:2" ht="12.75">
      <c r="A71" s="59"/>
      <c r="B71" s="170"/>
    </row>
    <row r="72" spans="1:2" ht="12.75">
      <c r="A72" s="59"/>
      <c r="B72" s="171"/>
    </row>
    <row r="73" spans="1:2" ht="12.75">
      <c r="A73" s="59"/>
      <c r="B73" s="171"/>
    </row>
    <row r="74" spans="1:2" ht="12.75">
      <c r="A74" s="172"/>
      <c r="B74" s="72"/>
    </row>
    <row r="75" spans="1:2" ht="12.75">
      <c r="A75" s="172"/>
      <c r="B75" s="72"/>
    </row>
    <row r="76" spans="1:2" ht="12.75">
      <c r="A76" s="59"/>
      <c r="B76" s="55"/>
    </row>
    <row r="77" spans="1:2" ht="12.75">
      <c r="A77" s="27"/>
      <c r="B77" s="27"/>
    </row>
    <row r="78" spans="1:2" ht="15.75">
      <c r="A78" s="58"/>
      <c r="B78" s="50"/>
    </row>
    <row r="79" spans="1:2" ht="12.75">
      <c r="A79" s="59"/>
      <c r="B79" s="173"/>
    </row>
    <row r="80" spans="1:2" ht="12.75">
      <c r="A80" s="59"/>
      <c r="B80" s="55"/>
    </row>
    <row r="81" spans="1:2" ht="12.75">
      <c r="A81" s="59"/>
      <c r="B81" s="55"/>
    </row>
    <row r="82" spans="1:2" ht="12.75">
      <c r="A82" s="172"/>
      <c r="B82" s="55"/>
    </row>
    <row r="83" spans="1:2" ht="12.75">
      <c r="A83" s="172"/>
      <c r="B83" s="55"/>
    </row>
    <row r="84" spans="1:2" ht="12.75">
      <c r="A84" s="59"/>
      <c r="B84" s="55"/>
    </row>
    <row r="85" spans="1:2" ht="12.75">
      <c r="A85" s="27"/>
      <c r="B85" s="27"/>
    </row>
    <row r="86" spans="1:2" ht="15.75">
      <c r="A86" s="58"/>
      <c r="B86" s="50"/>
    </row>
    <row r="87" spans="1:2" ht="12.75">
      <c r="A87" s="59"/>
      <c r="B87" s="170"/>
    </row>
    <row r="88" spans="1:2" ht="12.75">
      <c r="A88" s="59"/>
      <c r="B88" s="60"/>
    </row>
    <row r="89" spans="1:2" ht="12.75">
      <c r="A89" s="59"/>
      <c r="B89" s="55"/>
    </row>
    <row r="90" spans="1:2" ht="12.75">
      <c r="A90" s="172"/>
      <c r="B90" s="55"/>
    </row>
    <row r="91" spans="1:2" ht="12.75">
      <c r="A91" s="172"/>
      <c r="B91" s="55"/>
    </row>
    <row r="92" spans="1:2" ht="12.75">
      <c r="A92" s="59"/>
      <c r="B92" s="55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172"/>
      <c r="B96" s="172"/>
    </row>
    <row r="97" spans="1:2" ht="12.75">
      <c r="A97" s="59"/>
      <c r="B97" s="59"/>
    </row>
    <row r="98" spans="1:2" ht="12.75">
      <c r="A98" s="59"/>
      <c r="B98" s="59"/>
    </row>
    <row r="99" spans="1:2" ht="12.75">
      <c r="A99" s="59"/>
      <c r="B99" s="59"/>
    </row>
    <row r="100" spans="1:2" ht="12.75">
      <c r="A100" s="172"/>
      <c r="B100" s="172"/>
    </row>
    <row r="101" spans="1:2" ht="12.75">
      <c r="A101" s="172"/>
      <c r="B101" s="172"/>
    </row>
    <row r="102" spans="1:2" ht="12.75">
      <c r="A102" s="59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5.75">
      <c r="A106" s="58"/>
      <c r="B106" s="50"/>
    </row>
    <row r="107" spans="1:2" ht="12.75">
      <c r="A107" s="59"/>
      <c r="B107" s="170"/>
    </row>
    <row r="108" spans="1:2" ht="12.75">
      <c r="A108" s="59"/>
      <c r="B108" s="55"/>
    </row>
    <row r="109" spans="1:2" ht="12.75">
      <c r="A109" s="59"/>
      <c r="B109" s="55"/>
    </row>
    <row r="110" spans="1:2" ht="12.75">
      <c r="A110" s="172"/>
      <c r="B110" s="55"/>
    </row>
    <row r="111" spans="1:2" ht="12.75">
      <c r="A111" s="172"/>
      <c r="B111" s="55"/>
    </row>
    <row r="112" spans="1:2" ht="12.75">
      <c r="A112" s="59"/>
      <c r="B112" s="55"/>
    </row>
    <row r="113" spans="1:2" ht="12.75">
      <c r="A113" s="27"/>
      <c r="B113" s="27"/>
    </row>
    <row r="114" spans="1:2" ht="15.75">
      <c r="A114" s="58"/>
      <c r="B114" s="50"/>
    </row>
    <row r="115" spans="1:2" ht="12.75">
      <c r="A115" s="59"/>
      <c r="B115" s="173"/>
    </row>
    <row r="116" spans="1:2" ht="12.75">
      <c r="A116" s="59"/>
      <c r="B116" s="55"/>
    </row>
    <row r="117" spans="1:2" ht="12.75">
      <c r="A117" s="59"/>
      <c r="B117" s="55"/>
    </row>
    <row r="118" spans="1:2" ht="12.75">
      <c r="A118" s="172"/>
      <c r="B118" s="55"/>
    </row>
    <row r="119" spans="1:2" ht="12.75">
      <c r="A119" s="172"/>
      <c r="B119" s="55"/>
    </row>
    <row r="120" spans="1:2" ht="12.75">
      <c r="A120" s="59"/>
      <c r="B120" s="55"/>
    </row>
    <row r="121" spans="1:2" ht="12.75">
      <c r="A121" s="27"/>
      <c r="B121" s="27"/>
    </row>
    <row r="122" spans="1:2" ht="15.75">
      <c r="A122" s="58"/>
      <c r="B122" s="50"/>
    </row>
    <row r="123" spans="1:2" ht="12.75">
      <c r="A123" s="59"/>
      <c r="B123" s="170"/>
    </row>
    <row r="124" spans="1:2" ht="12.75">
      <c r="A124" s="59"/>
      <c r="B124" s="55"/>
    </row>
    <row r="125" spans="1:2" ht="12.75">
      <c r="A125" s="59"/>
      <c r="B125" s="55"/>
    </row>
    <row r="126" spans="1:2" ht="12.75">
      <c r="A126" s="172"/>
      <c r="B126" s="55"/>
    </row>
    <row r="127" spans="1:2" ht="12.75">
      <c r="A127" s="172"/>
      <c r="B127" s="55"/>
    </row>
    <row r="128" spans="1:2" ht="12.75">
      <c r="A128" s="59"/>
      <c r="B128" s="55"/>
    </row>
    <row r="129" spans="1:2" ht="12.75">
      <c r="A129" s="27"/>
      <c r="B129" s="27"/>
    </row>
    <row r="130" spans="1:2" ht="12.75">
      <c r="A130" s="27"/>
      <c r="B130" s="27"/>
    </row>
    <row r="131" spans="1:2" ht="12.75">
      <c r="A131" s="157"/>
      <c r="B131" s="27"/>
    </row>
    <row r="132" spans="1:2" ht="12.75">
      <c r="A132" s="174"/>
      <c r="B132" s="27"/>
    </row>
    <row r="133" spans="1:2" ht="12.75">
      <c r="A133" s="27"/>
      <c r="B133" s="27"/>
    </row>
    <row r="134" spans="1:2" ht="12.75">
      <c r="A134" s="27"/>
      <c r="B134" s="27"/>
    </row>
    <row r="135" spans="1:2" ht="12.75">
      <c r="A135" s="27"/>
      <c r="B135" s="27"/>
    </row>
    <row r="136" spans="1:2" ht="12.75">
      <c r="A136" s="27"/>
      <c r="B136" s="27"/>
    </row>
    <row r="137" spans="1:2" ht="12.75">
      <c r="A137" s="27"/>
      <c r="B137" s="27"/>
    </row>
    <row r="138" spans="1:2" ht="12.75">
      <c r="A138" s="27"/>
      <c r="B138" s="27"/>
    </row>
    <row r="139" spans="1:2" ht="12.75">
      <c r="A139" s="27"/>
      <c r="B139" s="27"/>
    </row>
    <row r="140" spans="1:2" ht="12.75">
      <c r="A140" s="27"/>
      <c r="B140" s="27"/>
    </row>
    <row r="141" spans="1:2" ht="12.75">
      <c r="A141" s="27"/>
      <c r="B141" s="27"/>
    </row>
    <row r="142" spans="1:2" ht="12.75">
      <c r="A142" s="27"/>
      <c r="B142" s="27"/>
    </row>
    <row r="143" spans="1:2" ht="12.75">
      <c r="A143" s="27"/>
      <c r="B143" s="27"/>
    </row>
    <row r="144" spans="1:2" ht="12.75">
      <c r="A144" s="27"/>
      <c r="B144" s="27"/>
    </row>
    <row r="145" spans="1:2" ht="12.75">
      <c r="A145" s="27"/>
      <c r="B145" s="27"/>
    </row>
  </sheetData>
  <sheetProtection/>
  <mergeCells count="5">
    <mergeCell ref="A55:A56"/>
    <mergeCell ref="G8:H8"/>
    <mergeCell ref="A20:A21"/>
    <mergeCell ref="A31:A32"/>
    <mergeCell ref="A41:A42"/>
  </mergeCells>
  <printOptions/>
  <pageMargins left="0.75" right="0.75" top="1" bottom="1" header="0.5" footer="0.5"/>
  <pageSetup horizontalDpi="300" verticalDpi="300" orientation="landscape" paperSize="9" scale="72" r:id="rId3"/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31" sqref="K31"/>
    </sheetView>
  </sheetViews>
  <sheetFormatPr defaultColWidth="10.66015625" defaultRowHeight="12.75"/>
  <cols>
    <col min="1" max="1" width="28.83203125" style="116" customWidth="1"/>
    <col min="2" max="2" width="13.16015625" style="116" customWidth="1"/>
    <col min="3" max="16384" width="10.66015625" style="116" customWidth="1"/>
  </cols>
  <sheetData>
    <row r="1" ht="12.75">
      <c r="A1" s="115" t="s">
        <v>131</v>
      </c>
    </row>
    <row r="3" ht="12.75">
      <c r="A3" s="115" t="s">
        <v>132</v>
      </c>
    </row>
    <row r="4" spans="1:4" ht="12.75">
      <c r="A4" s="116" t="s">
        <v>126</v>
      </c>
      <c r="B4" s="116">
        <v>28.047</v>
      </c>
      <c r="C4" s="116" t="s">
        <v>133</v>
      </c>
      <c r="D4" s="116" t="s">
        <v>134</v>
      </c>
    </row>
    <row r="5" spans="1:4" ht="12.75">
      <c r="A5" s="116" t="s">
        <v>135</v>
      </c>
      <c r="B5" s="158">
        <v>0.8779</v>
      </c>
      <c r="C5" s="116" t="s">
        <v>5</v>
      </c>
      <c r="D5" s="116" t="s">
        <v>134</v>
      </c>
    </row>
    <row r="6" spans="1:3" ht="12.75">
      <c r="A6" s="116" t="s">
        <v>136</v>
      </c>
      <c r="B6" s="117">
        <f>B5/B4</f>
        <v>0.031301030413234926</v>
      </c>
      <c r="C6" s="116" t="s">
        <v>137</v>
      </c>
    </row>
    <row r="7" spans="1:3" ht="12.75">
      <c r="A7" s="116" t="s">
        <v>138</v>
      </c>
      <c r="B7" s="118">
        <f>1000*B6</f>
        <v>31.301030413234926</v>
      </c>
      <c r="C7" s="116" t="s">
        <v>6</v>
      </c>
    </row>
    <row r="9" ht="12.75">
      <c r="A9" s="115" t="s">
        <v>139</v>
      </c>
    </row>
    <row r="10" spans="1:4" ht="12.75">
      <c r="A10" s="119" t="s">
        <v>140</v>
      </c>
      <c r="B10" s="116">
        <f>15.3</f>
        <v>15.3</v>
      </c>
      <c r="C10" s="116" t="s">
        <v>6</v>
      </c>
      <c r="D10" s="139" t="s">
        <v>204</v>
      </c>
    </row>
    <row r="11" ht="12.75">
      <c r="A11" s="115"/>
    </row>
    <row r="12" ht="12.75">
      <c r="A12" s="115" t="s">
        <v>199</v>
      </c>
    </row>
    <row r="13" spans="1:3" ht="12.75">
      <c r="A13" s="120" t="s">
        <v>141</v>
      </c>
      <c r="B13" s="120" t="s">
        <v>142</v>
      </c>
      <c r="C13" s="139" t="s">
        <v>198</v>
      </c>
    </row>
    <row r="14" spans="1:2" ht="12.75">
      <c r="A14" s="116" t="s">
        <v>143</v>
      </c>
      <c r="B14" s="123">
        <v>0.8</v>
      </c>
    </row>
    <row r="15" spans="1:8" ht="12.75">
      <c r="A15" s="116" t="s">
        <v>144</v>
      </c>
      <c r="B15" s="121">
        <f>44/12*B7/B14/1000</f>
        <v>0.14346305606066004</v>
      </c>
      <c r="C15" s="116" t="s">
        <v>7</v>
      </c>
      <c r="D15" s="139" t="s">
        <v>202</v>
      </c>
      <c r="H15" s="131"/>
    </row>
    <row r="16" spans="1:2" ht="12.75">
      <c r="A16" s="120" t="s">
        <v>145</v>
      </c>
      <c r="B16" s="122" t="s">
        <v>146</v>
      </c>
    </row>
    <row r="17" spans="1:2" ht="12.75">
      <c r="A17" s="116" t="s">
        <v>147</v>
      </c>
      <c r="B17" s="123">
        <v>0.9</v>
      </c>
    </row>
    <row r="18" spans="1:4" ht="12.75">
      <c r="A18" s="116" t="s">
        <v>148</v>
      </c>
      <c r="B18" s="121">
        <f>ROUNDUP(44/12*B10/B17/1000,3)</f>
        <v>0.063</v>
      </c>
      <c r="C18" s="116" t="s">
        <v>7</v>
      </c>
      <c r="D18" s="139" t="s">
        <v>202</v>
      </c>
    </row>
    <row r="19" spans="1:2" s="120" customFormat="1" ht="12.75">
      <c r="A19" s="120" t="s">
        <v>149</v>
      </c>
      <c r="B19" s="120" t="s">
        <v>146</v>
      </c>
    </row>
    <row r="20" spans="1:2" ht="12.75">
      <c r="A20" s="116" t="s">
        <v>150</v>
      </c>
      <c r="B20" s="123">
        <v>0.9</v>
      </c>
    </row>
    <row r="21" spans="1:4" ht="12.75">
      <c r="A21" s="116" t="s">
        <v>151</v>
      </c>
      <c r="B21" s="116">
        <f>ROUNDUP(44/12*B10/B20/1000,3)</f>
        <v>0.063</v>
      </c>
      <c r="C21" s="116" t="s">
        <v>7</v>
      </c>
      <c r="D21" s="139" t="s">
        <v>202</v>
      </c>
    </row>
    <row r="22" spans="1:3" ht="12.75">
      <c r="A22" s="120" t="s">
        <v>152</v>
      </c>
      <c r="B22" s="120" t="s">
        <v>146</v>
      </c>
      <c r="C22" s="139" t="s">
        <v>201</v>
      </c>
    </row>
    <row r="23" spans="1:3" ht="12.75">
      <c r="A23" s="116" t="s">
        <v>153</v>
      </c>
      <c r="B23" s="123">
        <v>0.9</v>
      </c>
      <c r="C23" s="139" t="s">
        <v>200</v>
      </c>
    </row>
    <row r="24" spans="1:4" ht="12.75">
      <c r="A24" s="116" t="s">
        <v>154</v>
      </c>
      <c r="B24" s="124">
        <f>ROUNDUP(44/12*B10/B23/1000,3)</f>
        <v>0.063</v>
      </c>
      <c r="C24" s="116" t="s">
        <v>7</v>
      </c>
      <c r="D24" s="139" t="s">
        <v>203</v>
      </c>
    </row>
    <row r="26" ht="12.75">
      <c r="A26" s="115" t="s">
        <v>155</v>
      </c>
    </row>
    <row r="27" spans="1:2" ht="12.75">
      <c r="A27" s="120" t="s">
        <v>156</v>
      </c>
      <c r="B27" s="139" t="s">
        <v>195</v>
      </c>
    </row>
    <row r="28" spans="1:3" ht="12.75">
      <c r="A28" s="119" t="s">
        <v>197</v>
      </c>
      <c r="B28" s="139">
        <v>18.9</v>
      </c>
      <c r="C28" s="139" t="s">
        <v>6</v>
      </c>
    </row>
    <row r="29" spans="1:3" ht="12.75">
      <c r="A29" s="116" t="s">
        <v>157</v>
      </c>
      <c r="B29" s="139">
        <v>20.2</v>
      </c>
      <c r="C29" s="139" t="s">
        <v>6</v>
      </c>
    </row>
    <row r="30" spans="1:3" ht="12.75">
      <c r="A30" s="139" t="s">
        <v>196</v>
      </c>
      <c r="B30" s="116">
        <f>(B28+B29)/2</f>
        <v>19.549999999999997</v>
      </c>
      <c r="C30" s="116" t="s">
        <v>6</v>
      </c>
    </row>
    <row r="31" spans="1:3" ht="12.75">
      <c r="A31" s="116" t="s">
        <v>125</v>
      </c>
      <c r="B31" s="123">
        <v>1</v>
      </c>
      <c r="C31" s="116" t="s">
        <v>158</v>
      </c>
    </row>
    <row r="32" spans="1:4" ht="12.75">
      <c r="A32" s="116" t="s">
        <v>159</v>
      </c>
      <c r="B32" s="116">
        <f>ROUNDUP(44/12*B30/B31/1000,3)</f>
        <v>0.072</v>
      </c>
      <c r="C32" s="116" t="s">
        <v>7</v>
      </c>
      <c r="D32" s="139" t="s">
        <v>202</v>
      </c>
    </row>
  </sheetData>
  <sheetProtection/>
  <printOptions/>
  <pageMargins left="0.75" right="0.75" top="1" bottom="1" header="0.5" footer="0.5"/>
  <pageSetup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PageLayoutView="0" workbookViewId="0" topLeftCell="A1">
      <selection activeCell="D22" sqref="D22"/>
    </sheetView>
  </sheetViews>
  <sheetFormatPr defaultColWidth="9.33203125" defaultRowHeight="12.75"/>
  <cols>
    <col min="1" max="1" width="31.5" style="0" customWidth="1"/>
    <col min="2" max="2" width="13.16015625" style="0" customWidth="1"/>
    <col min="3" max="3" width="20.16015625" style="0" customWidth="1"/>
    <col min="4" max="4" width="16.16015625" style="0" customWidth="1"/>
  </cols>
  <sheetData>
    <row r="1" spans="1:3" ht="15" thickBot="1">
      <c r="A1" s="288" t="s">
        <v>183</v>
      </c>
      <c r="B1" s="289"/>
      <c r="C1" s="289"/>
    </row>
    <row r="2" spans="1:3" ht="13.5" thickBot="1">
      <c r="A2" s="361" t="s">
        <v>245</v>
      </c>
      <c r="B2" s="290" t="s">
        <v>182</v>
      </c>
      <c r="C2" s="290" t="s">
        <v>194</v>
      </c>
    </row>
    <row r="3" spans="1:4" ht="15">
      <c r="A3" s="362" t="s">
        <v>247</v>
      </c>
      <c r="B3" s="295">
        <f>C3*4.1868</f>
        <v>12793.897836</v>
      </c>
      <c r="C3" s="293">
        <v>3055.77</v>
      </c>
      <c r="D3" s="13"/>
    </row>
    <row r="4" spans="1:4" ht="15">
      <c r="A4" s="362" t="s">
        <v>248</v>
      </c>
      <c r="B4" s="295">
        <f>C4*4.1868</f>
        <v>11415.896352</v>
      </c>
      <c r="C4" s="293">
        <v>2726.64</v>
      </c>
      <c r="D4" s="13"/>
    </row>
    <row r="5" spans="1:4" ht="15">
      <c r="A5" s="362" t="s">
        <v>249</v>
      </c>
      <c r="B5" s="295">
        <f>C5*4.1868</f>
        <v>12854.899512</v>
      </c>
      <c r="C5" s="293">
        <v>3070.34</v>
      </c>
      <c r="D5" s="13"/>
    </row>
    <row r="6" spans="1:4" ht="15">
      <c r="A6" s="362" t="s">
        <v>250</v>
      </c>
      <c r="B6" s="295">
        <f>C6*4.1868</f>
        <v>11386.0026</v>
      </c>
      <c r="C6" s="294">
        <v>2719.5</v>
      </c>
      <c r="D6" s="13"/>
    </row>
    <row r="7" spans="1:4" ht="15.75" thickBot="1">
      <c r="A7" s="362" t="s">
        <v>251</v>
      </c>
      <c r="B7" s="295">
        <f>C7*4.1868</f>
        <v>14430.517956</v>
      </c>
      <c r="C7" s="294">
        <v>3446.67</v>
      </c>
      <c r="D7" s="13"/>
    </row>
    <row r="8" spans="1:3" ht="13.5" thickBot="1">
      <c r="A8" s="189" t="s">
        <v>252</v>
      </c>
      <c r="B8" s="296">
        <f>SUM(B3:B7)</f>
        <v>62881.21425600001</v>
      </c>
      <c r="C8" s="296">
        <f>SUM(C3:C7)</f>
        <v>15018.92</v>
      </c>
    </row>
    <row r="14" ht="12.75">
      <c r="D1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77"/>
  <sheetViews>
    <sheetView zoomScalePageLayoutView="0" workbookViewId="0" topLeftCell="A1">
      <selection activeCell="F87" sqref="F87"/>
    </sheetView>
  </sheetViews>
  <sheetFormatPr defaultColWidth="9.33203125" defaultRowHeight="12.75"/>
  <cols>
    <col min="1" max="1" width="32.5" style="0" customWidth="1"/>
    <col min="2" max="3" width="12.5" style="0" customWidth="1"/>
    <col min="4" max="4" width="13" style="0" customWidth="1"/>
    <col min="5" max="5" width="22.5" style="0" customWidth="1"/>
    <col min="6" max="6" width="10" style="0" customWidth="1"/>
  </cols>
  <sheetData>
    <row r="1" ht="18.75">
      <c r="A1" s="133" t="s">
        <v>173</v>
      </c>
    </row>
    <row r="3" ht="12.75">
      <c r="A3" t="s">
        <v>52</v>
      </c>
    </row>
    <row r="8" spans="1:2" ht="15" customHeight="1">
      <c r="A8" s="76" t="s">
        <v>46</v>
      </c>
      <c r="B8" s="76"/>
    </row>
    <row r="9" spans="1:5" ht="15" customHeight="1">
      <c r="A9" s="77"/>
      <c r="B9" s="380" t="s">
        <v>49</v>
      </c>
      <c r="C9" s="380"/>
      <c r="D9" s="380"/>
      <c r="E9" s="78" t="s">
        <v>47</v>
      </c>
    </row>
    <row r="10" spans="1:5" ht="15" customHeight="1">
      <c r="A10" s="77"/>
      <c r="B10" s="380" t="s">
        <v>51</v>
      </c>
      <c r="C10" s="380"/>
      <c r="D10" s="380"/>
      <c r="E10" s="78" t="s">
        <v>48</v>
      </c>
    </row>
    <row r="11" spans="1:5" ht="15" customHeight="1">
      <c r="A11" s="77"/>
      <c r="B11" s="380" t="s">
        <v>50</v>
      </c>
      <c r="C11" s="380"/>
      <c r="D11" s="380"/>
      <c r="E11" s="78" t="s">
        <v>48</v>
      </c>
    </row>
    <row r="15" ht="14.25">
      <c r="A15" s="8" t="s">
        <v>57</v>
      </c>
    </row>
    <row r="16" spans="1:10" ht="36" customHeight="1">
      <c r="A16" s="380" t="s">
        <v>58</v>
      </c>
      <c r="B16" s="380"/>
      <c r="C16" s="380"/>
      <c r="D16" s="380"/>
      <c r="E16" s="380"/>
      <c r="F16" s="380"/>
      <c r="G16" s="380"/>
      <c r="H16" s="380"/>
      <c r="I16" s="380"/>
      <c r="J16" s="380"/>
    </row>
    <row r="19" ht="14.25" customHeight="1"/>
    <row r="20" spans="1:2" ht="14.25">
      <c r="A20" s="8" t="s">
        <v>60</v>
      </c>
      <c r="B20" s="9"/>
    </row>
    <row r="21" spans="1:2" ht="15">
      <c r="A21" s="75" t="s">
        <v>61</v>
      </c>
      <c r="B21" s="9"/>
    </row>
    <row r="22" spans="1:2" ht="15.75">
      <c r="A22" s="79" t="s">
        <v>62</v>
      </c>
      <c r="B22" s="9"/>
    </row>
    <row r="23" spans="1:2" ht="15.75">
      <c r="A23" s="9"/>
      <c r="B23" s="79"/>
    </row>
    <row r="24" spans="1:2" ht="14.25">
      <c r="A24" s="8"/>
      <c r="B24" s="9"/>
    </row>
    <row r="25" spans="1:2" ht="15">
      <c r="A25" s="38" t="s">
        <v>68</v>
      </c>
      <c r="B25" s="80"/>
    </row>
    <row r="26" spans="1:2" ht="16.5">
      <c r="A26" s="81"/>
      <c r="B26" s="82"/>
    </row>
    <row r="27" spans="2:9" ht="15">
      <c r="B27" s="84" t="s">
        <v>64</v>
      </c>
      <c r="C27" s="82"/>
      <c r="D27" s="82"/>
      <c r="E27" s="82"/>
      <c r="F27" s="82"/>
      <c r="G27" s="82"/>
      <c r="H27" s="82"/>
      <c r="I27" s="82"/>
    </row>
    <row r="28" spans="2:9" ht="15">
      <c r="B28" s="84" t="s">
        <v>65</v>
      </c>
      <c r="C28" s="82"/>
      <c r="D28" s="82"/>
      <c r="E28" s="82"/>
      <c r="F28" s="82"/>
      <c r="G28" s="82"/>
      <c r="H28" s="82"/>
      <c r="I28" s="82"/>
    </row>
    <row r="29" spans="1:2" ht="16.5">
      <c r="A29" s="83" t="s">
        <v>66</v>
      </c>
      <c r="B29" s="84" t="s">
        <v>67</v>
      </c>
    </row>
    <row r="31" ht="13.5" thickBot="1"/>
    <row r="32" spans="1:4" ht="15.75" customHeight="1">
      <c r="A32" s="92" t="s">
        <v>70</v>
      </c>
      <c r="B32" s="87"/>
      <c r="C32" s="3"/>
      <c r="D32" s="4"/>
    </row>
    <row r="33" spans="1:4" ht="12.75">
      <c r="A33" s="194"/>
      <c r="B33" s="195"/>
      <c r="C33" s="196"/>
      <c r="D33" s="197"/>
    </row>
    <row r="34" spans="1:4" ht="12.75">
      <c r="A34" s="360" t="s">
        <v>253</v>
      </c>
      <c r="B34" s="306">
        <f>'CMM consump.(01.08.10-31.12.10)'!H14</f>
        <v>14129.343899721</v>
      </c>
      <c r="C34" s="300">
        <v>0.995</v>
      </c>
      <c r="D34" s="329">
        <f>B34*C34</f>
        <v>14058.697180222394</v>
      </c>
    </row>
    <row r="35" spans="1:4" ht="13.5" thickBot="1">
      <c r="A35" s="189" t="s">
        <v>252</v>
      </c>
      <c r="B35" s="309">
        <f>SUM(B33:B34)</f>
        <v>14129.343899721</v>
      </c>
      <c r="C35" s="352"/>
      <c r="D35" s="330">
        <f>SUM(D33:D34)</f>
        <v>14058.697180222394</v>
      </c>
    </row>
    <row r="36" ht="14.25">
      <c r="A36" s="10" t="s">
        <v>71</v>
      </c>
    </row>
    <row r="37" ht="15">
      <c r="A37" s="84" t="s">
        <v>72</v>
      </c>
    </row>
    <row r="40" ht="12.75">
      <c r="A40" t="s">
        <v>63</v>
      </c>
    </row>
    <row r="41" ht="15">
      <c r="B41" s="84" t="s">
        <v>73</v>
      </c>
    </row>
    <row r="42" ht="15">
      <c r="B42" s="84" t="s">
        <v>74</v>
      </c>
    </row>
    <row r="43" ht="15">
      <c r="B43" s="84" t="s">
        <v>75</v>
      </c>
    </row>
    <row r="44" ht="15">
      <c r="B44" s="84" t="s">
        <v>76</v>
      </c>
    </row>
    <row r="46" ht="15">
      <c r="A46" s="88" t="s">
        <v>66</v>
      </c>
    </row>
    <row r="47" ht="16.5">
      <c r="A47" s="89" t="s">
        <v>66</v>
      </c>
    </row>
    <row r="48" ht="13.5" thickBot="1">
      <c r="A48" t="s">
        <v>70</v>
      </c>
    </row>
    <row r="49" spans="1:4" ht="12.75">
      <c r="A49" s="198"/>
      <c r="B49" s="199"/>
      <c r="C49" s="200"/>
      <c r="D49" s="201"/>
    </row>
    <row r="50" spans="1:4" ht="12.75">
      <c r="A50" s="360" t="s">
        <v>253</v>
      </c>
      <c r="B50" s="306">
        <f>'CMM consump.(01.08.10-31.12.10)'!C27</f>
        <v>563.236691337</v>
      </c>
      <c r="C50" s="300">
        <v>0.985</v>
      </c>
      <c r="D50" s="329">
        <f>C50*B50</f>
        <v>554.788140966945</v>
      </c>
    </row>
    <row r="51" spans="1:4" ht="13.5" thickBot="1">
      <c r="A51" s="189" t="s">
        <v>252</v>
      </c>
      <c r="B51" s="309">
        <f>SUM(B49:B50)</f>
        <v>563.236691337</v>
      </c>
      <c r="C51" s="352"/>
      <c r="D51" s="330">
        <f>SUM(D49:D50)</f>
        <v>554.788140966945</v>
      </c>
    </row>
    <row r="53" ht="13.5" thickBot="1"/>
    <row r="54" spans="1:5" ht="16.5">
      <c r="A54" s="149" t="s">
        <v>70</v>
      </c>
      <c r="B54" s="91" t="s">
        <v>59</v>
      </c>
      <c r="C54" s="90" t="s">
        <v>78</v>
      </c>
      <c r="D54" s="3"/>
      <c r="E54" s="4"/>
    </row>
    <row r="55" spans="1:5" ht="12.75">
      <c r="A55" s="191"/>
      <c r="B55" s="202"/>
      <c r="C55" s="203"/>
      <c r="D55" s="202"/>
      <c r="E55" s="193"/>
    </row>
    <row r="56" spans="1:5" ht="13.5" thickBot="1">
      <c r="A56" s="360" t="s">
        <v>253</v>
      </c>
      <c r="B56" s="301">
        <f>($D$56+$E$56)*C56</f>
        <v>40187.08463327068</v>
      </c>
      <c r="C56" s="353">
        <v>2.75</v>
      </c>
      <c r="D56" s="301">
        <f>D50</f>
        <v>554.788140966945</v>
      </c>
      <c r="E56" s="302">
        <f>D34</f>
        <v>14058.697180222394</v>
      </c>
    </row>
    <row r="57" spans="1:5" ht="14.25" thickBot="1" thickTop="1">
      <c r="A57" s="189" t="s">
        <v>252</v>
      </c>
      <c r="B57" s="354">
        <f>SUM(B55:B56)</f>
        <v>40187.08463327068</v>
      </c>
      <c r="C57" s="355"/>
      <c r="D57" s="354">
        <f>SUM(D55:D56)</f>
        <v>554.788140966945</v>
      </c>
      <c r="E57" s="356">
        <f>SUM(E55:E56)</f>
        <v>14058.697180222394</v>
      </c>
    </row>
    <row r="60" ht="14.25">
      <c r="A60" s="8" t="s">
        <v>79</v>
      </c>
    </row>
    <row r="64" ht="13.5" thickBot="1"/>
    <row r="65" spans="1:6" ht="16.5">
      <c r="A65" s="92" t="s">
        <v>70</v>
      </c>
      <c r="B65" s="3"/>
      <c r="C65" s="3" t="s">
        <v>81</v>
      </c>
      <c r="D65" s="93" t="s">
        <v>83</v>
      </c>
      <c r="E65" s="3" t="s">
        <v>80</v>
      </c>
      <c r="F65" s="94" t="s">
        <v>82</v>
      </c>
    </row>
    <row r="66" spans="1:6" ht="12.75">
      <c r="A66" s="191"/>
      <c r="B66" s="202"/>
      <c r="C66" s="204"/>
      <c r="D66" s="202"/>
      <c r="E66" s="204"/>
      <c r="F66" s="193"/>
    </row>
    <row r="67" spans="1:6" ht="13.5" thickBot="1">
      <c r="A67" s="360" t="s">
        <v>253</v>
      </c>
      <c r="B67" s="301">
        <f>'CMM consump.(01.08.10-31.12.10)'!H14</f>
        <v>14129.343899721</v>
      </c>
      <c r="C67" s="307">
        <v>0.005</v>
      </c>
      <c r="D67" s="301">
        <f>'CMM consump.(01.08.10-31.12.10)'!C27</f>
        <v>563.236691337</v>
      </c>
      <c r="E67" s="307">
        <v>0.015</v>
      </c>
      <c r="F67" s="302">
        <f>($B$67*C67+$D$67*E67)*21</f>
        <v>1661.00066724186</v>
      </c>
    </row>
    <row r="68" spans="1:6" ht="14.25" thickBot="1" thickTop="1">
      <c r="A68" s="189" t="s">
        <v>252</v>
      </c>
      <c r="B68" s="354">
        <f>SUM(B66:B67)</f>
        <v>14129.343899721</v>
      </c>
      <c r="C68" s="355"/>
      <c r="D68" s="354">
        <f>D66+D67</f>
        <v>563.236691337</v>
      </c>
      <c r="E68" s="355"/>
      <c r="F68" s="356">
        <f>SUM(F66:F67)</f>
        <v>1661.00066724186</v>
      </c>
    </row>
    <row r="71" ht="15.75">
      <c r="A71" s="136" t="s">
        <v>174</v>
      </c>
    </row>
    <row r="72" ht="12.75">
      <c r="N72" s="14"/>
    </row>
    <row r="73" ht="13.5" thickBot="1"/>
    <row r="74" spans="1:4" ht="16.5">
      <c r="A74" s="92" t="s">
        <v>70</v>
      </c>
      <c r="B74" s="91" t="s">
        <v>59</v>
      </c>
      <c r="C74" s="94" t="s">
        <v>82</v>
      </c>
      <c r="D74" s="95" t="s">
        <v>84</v>
      </c>
    </row>
    <row r="75" spans="1:4" ht="12.75">
      <c r="A75" s="191"/>
      <c r="B75" s="202"/>
      <c r="C75" s="205"/>
      <c r="D75" s="192"/>
    </row>
    <row r="76" spans="1:4" ht="13.5" thickBot="1">
      <c r="A76" s="360" t="s">
        <v>253</v>
      </c>
      <c r="B76" s="301">
        <f>B57</f>
        <v>40187.08463327068</v>
      </c>
      <c r="C76" s="358">
        <f>F68</f>
        <v>1661.00066724186</v>
      </c>
      <c r="D76" s="359">
        <f>ROUND(SUM(B76:C76),0)</f>
        <v>41848</v>
      </c>
    </row>
    <row r="77" spans="1:4" ht="14.25" thickBot="1" thickTop="1">
      <c r="A77" s="189" t="s">
        <v>252</v>
      </c>
      <c r="B77" s="357"/>
      <c r="C77" s="357"/>
      <c r="D77" s="356">
        <f>ROUNDUP((D75+D76),0)</f>
        <v>41848</v>
      </c>
    </row>
  </sheetData>
  <sheetProtection/>
  <mergeCells count="4">
    <mergeCell ref="B9:D9"/>
    <mergeCell ref="B10:D10"/>
    <mergeCell ref="B11:D11"/>
    <mergeCell ref="A16:J16"/>
  </mergeCells>
  <printOptions/>
  <pageMargins left="0.75" right="0.75" top="1" bottom="1" header="0.5" footer="0.5"/>
  <pageSetup horizontalDpi="600" verticalDpi="600" orientation="landscape" paperSize="9" scale="81" r:id="rId29"/>
  <rowBreaks count="2" manualBreakCount="2">
    <brk id="35" max="10" man="1"/>
    <brk id="53" max="10" man="1"/>
  </rowBreaks>
  <legacyDrawing r:id="rId28"/>
  <oleObjects>
    <oleObject progId="Equation.3" shapeId="216849" r:id="rId1"/>
    <oleObject progId="Equation.3" shapeId="222479" r:id="rId2"/>
    <oleObject progId="Equation.3" shapeId="222480" r:id="rId3"/>
    <oleObject progId="Equation.3" shapeId="222481" r:id="rId4"/>
    <oleObject progId="Equation.3" shapeId="785308" r:id="rId5"/>
    <oleObject progId="Equation.3" shapeId="807053" r:id="rId6"/>
    <oleObject progId="Equation.3" shapeId="812033" r:id="rId7"/>
    <oleObject progId="Equation.3" shapeId="820984" r:id="rId8"/>
    <oleObject progId="Equation.3" shapeId="821958" r:id="rId9"/>
    <oleObject progId="Equation.3" shapeId="822990" r:id="rId10"/>
    <oleObject progId="Equation.3" shapeId="877256" r:id="rId11"/>
    <oleObject progId="Equation.3" shapeId="879457" r:id="rId12"/>
    <oleObject progId="Equation.3" shapeId="881289" r:id="rId13"/>
    <oleObject progId="Equation.3" shapeId="937884" r:id="rId14"/>
    <oleObject progId="Equation.3" shapeId="940040" r:id="rId15"/>
    <oleObject progId="Equation.3" shapeId="940964" r:id="rId16"/>
    <oleObject progId="Equation.3" shapeId="942000" r:id="rId17"/>
    <oleObject progId="Equation.3" shapeId="991500" r:id="rId18"/>
    <oleObject progId="Equation.3" shapeId="993117" r:id="rId19"/>
    <oleObject progId="Equation.3" shapeId="994826" r:id="rId20"/>
    <oleObject progId="Equation.3" shapeId="1579623" r:id="rId21"/>
    <oleObject progId="Equation.3" shapeId="1588540" r:id="rId22"/>
    <oleObject progId="Equation.3" shapeId="1652996" r:id="rId23"/>
    <oleObject progId="Equation.3" shapeId="1878062" r:id="rId24"/>
    <oleObject progId="Equation.3" shapeId="1880267" r:id="rId25"/>
    <oleObject progId="Equation.3" shapeId="1884687" r:id="rId26"/>
    <oleObject progId="Equation.3" shapeId="1946400" r:id="rId27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N104"/>
  <sheetViews>
    <sheetView zoomScalePageLayoutView="0" workbookViewId="0" topLeftCell="A1">
      <selection activeCell="G17" sqref="G17"/>
    </sheetView>
  </sheetViews>
  <sheetFormatPr defaultColWidth="9.33203125" defaultRowHeight="12.75"/>
  <cols>
    <col min="1" max="1" width="31.33203125" style="0" customWidth="1"/>
    <col min="2" max="2" width="15.83203125" style="0" customWidth="1"/>
    <col min="3" max="3" width="14.66015625" style="0" customWidth="1"/>
    <col min="4" max="4" width="15.33203125" style="0" customWidth="1"/>
    <col min="5" max="5" width="16.16015625" style="0" customWidth="1"/>
    <col min="6" max="6" width="26.16015625" style="0" customWidth="1"/>
    <col min="7" max="7" width="16.83203125" style="0" customWidth="1"/>
    <col min="8" max="8" width="11.5" style="0" customWidth="1"/>
    <col min="9" max="9" width="15.5" style="0" customWidth="1"/>
    <col min="10" max="10" width="13" style="0" customWidth="1"/>
    <col min="11" max="11" width="10.83203125" style="0" bestFit="1" customWidth="1"/>
  </cols>
  <sheetData>
    <row r="1" ht="18.75">
      <c r="A1" s="133" t="s">
        <v>167</v>
      </c>
    </row>
    <row r="4" ht="12.75">
      <c r="A4" t="s">
        <v>52</v>
      </c>
    </row>
    <row r="9" spans="1:10" ht="16.5" customHeight="1">
      <c r="A9" s="12" t="s">
        <v>86</v>
      </c>
      <c r="B9" s="9" t="s">
        <v>89</v>
      </c>
      <c r="C9" s="9"/>
      <c r="J9" s="75" t="s">
        <v>244</v>
      </c>
    </row>
    <row r="10" spans="1:13" ht="12.75" customHeight="1">
      <c r="A10" s="12" t="s">
        <v>87</v>
      </c>
      <c r="B10" s="9" t="s">
        <v>91</v>
      </c>
      <c r="C10" s="9"/>
      <c r="J10" s="75" t="s">
        <v>244</v>
      </c>
      <c r="M10" s="75"/>
    </row>
    <row r="11" spans="1:13" ht="16.5">
      <c r="A11" s="12" t="s">
        <v>88</v>
      </c>
      <c r="B11" s="9" t="s">
        <v>92</v>
      </c>
      <c r="C11" s="9"/>
      <c r="J11" s="75" t="s">
        <v>244</v>
      </c>
      <c r="M11" s="75"/>
    </row>
    <row r="12" spans="1:13" ht="15">
      <c r="A12" s="134" t="s">
        <v>178</v>
      </c>
      <c r="B12" s="9"/>
      <c r="C12" s="9"/>
      <c r="J12" s="75"/>
      <c r="M12" s="75"/>
    </row>
    <row r="14" s="132" customFormat="1" ht="12.75"/>
    <row r="15" s="132" customFormat="1" ht="15" thickBot="1">
      <c r="A15" s="134"/>
    </row>
    <row r="16" spans="1:5" ht="16.5">
      <c r="A16" s="145" t="s">
        <v>70</v>
      </c>
      <c r="B16" s="146"/>
      <c r="C16" s="107" t="s">
        <v>257</v>
      </c>
      <c r="D16" s="107" t="s">
        <v>258</v>
      </c>
      <c r="E16" s="109" t="s">
        <v>87</v>
      </c>
    </row>
    <row r="17" spans="1:5" ht="15">
      <c r="A17" s="147"/>
      <c r="B17" s="148"/>
      <c r="C17" s="108" t="s">
        <v>55</v>
      </c>
      <c r="D17" s="108" t="s">
        <v>55</v>
      </c>
      <c r="E17" s="110" t="s">
        <v>90</v>
      </c>
    </row>
    <row r="18" spans="1:5" ht="12.75">
      <c r="A18" s="191"/>
      <c r="B18" s="206"/>
      <c r="C18" s="202"/>
      <c r="D18" s="202"/>
      <c r="E18" s="193"/>
    </row>
    <row r="19" spans="1:7" ht="12.75">
      <c r="A19" s="360" t="s">
        <v>253</v>
      </c>
      <c r="B19" s="300">
        <v>21</v>
      </c>
      <c r="C19" s="306">
        <f>'CMM consump.(01.08.10-31.12.10)'!H14</f>
        <v>14129.343899721</v>
      </c>
      <c r="D19" s="306">
        <f>'CMM consump.(01.08.10-31.12.10)'!C27</f>
        <v>563.236691337</v>
      </c>
      <c r="E19" s="329">
        <f>B19*(C19+D19)</f>
        <v>308544.192412218</v>
      </c>
      <c r="G19" s="13"/>
    </row>
    <row r="20" spans="1:5" ht="13.5" thickBot="1">
      <c r="A20" s="189" t="s">
        <v>252</v>
      </c>
      <c r="B20" s="311"/>
      <c r="C20" s="310">
        <f>SUM(C18:C19)</f>
        <v>14129.343899721</v>
      </c>
      <c r="D20" s="310">
        <f>SUM(D18:D19)</f>
        <v>563.236691337</v>
      </c>
      <c r="E20" s="330">
        <f>SUM(E18:E19)</f>
        <v>308544.192412218</v>
      </c>
    </row>
    <row r="21" spans="1:5" ht="12.75">
      <c r="A21" s="54"/>
      <c r="B21" s="27"/>
      <c r="C21" s="44"/>
      <c r="D21" s="44"/>
      <c r="E21" s="46"/>
    </row>
    <row r="22" spans="1:5" ht="15.75">
      <c r="A22" s="135" t="s">
        <v>168</v>
      </c>
      <c r="B22" s="27"/>
      <c r="C22" s="44"/>
      <c r="D22" s="44"/>
      <c r="E22" s="46"/>
    </row>
    <row r="24" ht="12.75">
      <c r="B24" s="37" t="s">
        <v>77</v>
      </c>
    </row>
    <row r="26" ht="12.75">
      <c r="A26" s="9" t="s">
        <v>160</v>
      </c>
    </row>
    <row r="28" ht="12.75">
      <c r="A28" s="9" t="s">
        <v>161</v>
      </c>
    </row>
    <row r="29" ht="12.75">
      <c r="A29" t="s">
        <v>162</v>
      </c>
    </row>
    <row r="35" ht="12.75">
      <c r="A35" s="9" t="s">
        <v>163</v>
      </c>
    </row>
    <row r="36" ht="12.75">
      <c r="A36" t="s">
        <v>164</v>
      </c>
    </row>
    <row r="38" ht="12.75">
      <c r="B38" s="37" t="s">
        <v>77</v>
      </c>
    </row>
    <row r="41" spans="1:9" ht="15.75">
      <c r="A41" s="97"/>
      <c r="C41" t="s">
        <v>93</v>
      </c>
      <c r="I41" s="9" t="s">
        <v>165</v>
      </c>
    </row>
    <row r="42" spans="1:14" ht="15">
      <c r="A42" s="76"/>
      <c r="C42" t="s">
        <v>94</v>
      </c>
      <c r="I42" s="9" t="s">
        <v>99</v>
      </c>
      <c r="M42" s="12" t="s">
        <v>102</v>
      </c>
      <c r="N42" s="96" t="s">
        <v>100</v>
      </c>
    </row>
    <row r="43" spans="1:13" ht="15">
      <c r="A43" s="76"/>
      <c r="C43" t="s">
        <v>95</v>
      </c>
      <c r="I43" s="9" t="s">
        <v>166</v>
      </c>
      <c r="M43" s="99" t="s">
        <v>101</v>
      </c>
    </row>
    <row r="44" spans="1:14" ht="15">
      <c r="A44" s="38"/>
      <c r="C44" t="s">
        <v>97</v>
      </c>
      <c r="I44" s="9" t="s">
        <v>99</v>
      </c>
      <c r="M44" s="12" t="s">
        <v>101</v>
      </c>
      <c r="N44" s="12" t="s">
        <v>100</v>
      </c>
    </row>
    <row r="45" spans="1:13" ht="15">
      <c r="A45" s="98"/>
      <c r="C45" t="s">
        <v>96</v>
      </c>
      <c r="I45" s="9" t="s">
        <v>166</v>
      </c>
      <c r="M45" s="99" t="s">
        <v>101</v>
      </c>
    </row>
    <row r="46" ht="13.5" thickBot="1"/>
    <row r="47" spans="1:6" ht="17.25" customHeight="1">
      <c r="A47" s="378" t="s">
        <v>246</v>
      </c>
      <c r="B47" s="3"/>
      <c r="C47" s="3"/>
      <c r="D47" s="3"/>
      <c r="E47" s="43"/>
      <c r="F47" s="106"/>
    </row>
    <row r="48" spans="1:6" ht="17.25" customHeight="1" thickBot="1">
      <c r="A48" s="381"/>
      <c r="B48" s="317" t="s">
        <v>98</v>
      </c>
      <c r="C48" s="317" t="s">
        <v>99</v>
      </c>
      <c r="D48" s="317" t="s">
        <v>99</v>
      </c>
      <c r="E48" s="318"/>
      <c r="F48" s="319"/>
    </row>
    <row r="49" spans="1:6" ht="15">
      <c r="A49" s="362" t="s">
        <v>247</v>
      </c>
      <c r="B49" s="327">
        <f>(C49)*F49/1000</f>
        <v>13469.543897599999</v>
      </c>
      <c r="C49" s="320">
        <v>15032.9731</v>
      </c>
      <c r="D49" s="321">
        <v>16682.448</v>
      </c>
      <c r="E49" s="322">
        <v>807</v>
      </c>
      <c r="F49" s="323">
        <v>896</v>
      </c>
    </row>
    <row r="50" spans="1:6" ht="15">
      <c r="A50" s="362" t="s">
        <v>248</v>
      </c>
      <c r="B50" s="328">
        <f>(C50)*F50/1000</f>
        <v>14326.3601152</v>
      </c>
      <c r="C50" s="313">
        <v>15989.2412</v>
      </c>
      <c r="D50" s="314">
        <v>16092.161</v>
      </c>
      <c r="E50" s="315">
        <v>807</v>
      </c>
      <c r="F50" s="316">
        <v>896</v>
      </c>
    </row>
    <row r="51" spans="1:6" ht="15">
      <c r="A51" s="362" t="s">
        <v>249</v>
      </c>
      <c r="B51" s="328">
        <f>(C51)*F51/1000</f>
        <v>9594.6839296</v>
      </c>
      <c r="C51" s="313">
        <v>10708.3526</v>
      </c>
      <c r="D51" s="314">
        <v>16529.77</v>
      </c>
      <c r="E51" s="315">
        <v>807</v>
      </c>
      <c r="F51" s="316">
        <v>896</v>
      </c>
    </row>
    <row r="52" spans="1:6" ht="15">
      <c r="A52" s="362" t="s">
        <v>250</v>
      </c>
      <c r="B52" s="328">
        <f>(C52)*F52/1000</f>
        <v>11743.1326208</v>
      </c>
      <c r="C52" s="314">
        <v>13106.1748</v>
      </c>
      <c r="D52" s="314">
        <v>15718.279</v>
      </c>
      <c r="E52" s="315">
        <v>807</v>
      </c>
      <c r="F52" s="316">
        <v>896</v>
      </c>
    </row>
    <row r="53" spans="1:6" ht="15.75" thickBot="1">
      <c r="A53" s="362" t="s">
        <v>251</v>
      </c>
      <c r="B53" s="328">
        <f>(C53)*F53/1000</f>
        <v>9993.563507199999</v>
      </c>
      <c r="C53" s="313">
        <v>11153.5307</v>
      </c>
      <c r="D53" s="314">
        <v>16954.11</v>
      </c>
      <c r="E53" s="315">
        <v>807</v>
      </c>
      <c r="F53" s="316">
        <v>896</v>
      </c>
    </row>
    <row r="54" spans="1:6" ht="13.5" thickBot="1">
      <c r="A54" s="324" t="s">
        <v>252</v>
      </c>
      <c r="B54" s="325">
        <f>SUM(B49:B53)</f>
        <v>59127.2840704</v>
      </c>
      <c r="C54" s="326">
        <f>SUM(C49:C53)</f>
        <v>65990.2724</v>
      </c>
      <c r="D54" s="326">
        <f>SUM(D49:D53)</f>
        <v>81976.76800000001</v>
      </c>
      <c r="E54" s="304"/>
      <c r="F54" s="305"/>
    </row>
    <row r="60" spans="2:9" ht="16.5">
      <c r="B60" s="12" t="s">
        <v>111</v>
      </c>
      <c r="C60" s="75" t="s">
        <v>103</v>
      </c>
      <c r="I60" t="s">
        <v>104</v>
      </c>
    </row>
    <row r="61" spans="2:9" ht="16.5">
      <c r="B61" s="12" t="s">
        <v>112</v>
      </c>
      <c r="C61" s="75" t="s">
        <v>105</v>
      </c>
      <c r="I61" t="s">
        <v>106</v>
      </c>
    </row>
    <row r="62" spans="2:9" ht="16.5">
      <c r="B62" s="12" t="s">
        <v>116</v>
      </c>
      <c r="C62" s="75" t="s">
        <v>179</v>
      </c>
      <c r="I62" t="s">
        <v>104</v>
      </c>
    </row>
    <row r="63" spans="2:9" ht="16.5">
      <c r="B63" s="12" t="s">
        <v>115</v>
      </c>
      <c r="C63" s="75" t="s">
        <v>107</v>
      </c>
      <c r="I63" t="s">
        <v>106</v>
      </c>
    </row>
    <row r="64" spans="2:9" ht="18" customHeight="1">
      <c r="B64" s="12" t="s">
        <v>117</v>
      </c>
      <c r="C64" s="75" t="s">
        <v>180</v>
      </c>
      <c r="I64" t="s">
        <v>104</v>
      </c>
    </row>
    <row r="65" spans="2:9" ht="16.5">
      <c r="B65" s="12" t="s">
        <v>114</v>
      </c>
      <c r="C65" s="75" t="s">
        <v>108</v>
      </c>
      <c r="I65" t="s">
        <v>106</v>
      </c>
    </row>
    <row r="66" spans="2:9" ht="16.5">
      <c r="B66" s="12" t="s">
        <v>118</v>
      </c>
      <c r="C66" s="75" t="s">
        <v>181</v>
      </c>
      <c r="I66" t="s">
        <v>109</v>
      </c>
    </row>
    <row r="67" spans="2:9" ht="16.5">
      <c r="B67" s="12" t="s">
        <v>113</v>
      </c>
      <c r="C67" s="75" t="s">
        <v>110</v>
      </c>
      <c r="I67" t="s">
        <v>106</v>
      </c>
    </row>
    <row r="69" ht="13.5" thickBot="1"/>
    <row r="70" spans="1:10" ht="16.5">
      <c r="A70" s="375" t="s">
        <v>70</v>
      </c>
      <c r="B70" s="91" t="s">
        <v>119</v>
      </c>
      <c r="C70" s="91" t="s">
        <v>111</v>
      </c>
      <c r="D70" s="91" t="s">
        <v>112</v>
      </c>
      <c r="E70" s="91" t="s">
        <v>116</v>
      </c>
      <c r="F70" s="91" t="s">
        <v>115</v>
      </c>
      <c r="G70" s="91" t="s">
        <v>117</v>
      </c>
      <c r="H70" s="91" t="s">
        <v>114</v>
      </c>
      <c r="I70" s="91" t="s">
        <v>118</v>
      </c>
      <c r="J70" s="103" t="s">
        <v>113</v>
      </c>
    </row>
    <row r="71" spans="1:10" ht="12.75">
      <c r="A71" s="373"/>
      <c r="B71" s="36" t="s">
        <v>120</v>
      </c>
      <c r="C71" s="36" t="s">
        <v>104</v>
      </c>
      <c r="D71" s="36" t="s">
        <v>106</v>
      </c>
      <c r="E71" s="36" t="s">
        <v>104</v>
      </c>
      <c r="F71" s="36" t="s">
        <v>106</v>
      </c>
      <c r="G71" s="36" t="s">
        <v>104</v>
      </c>
      <c r="H71" s="36" t="s">
        <v>106</v>
      </c>
      <c r="I71" s="36" t="s">
        <v>104</v>
      </c>
      <c r="J71" s="104" t="s">
        <v>106</v>
      </c>
    </row>
    <row r="72" spans="1:10" ht="12.75">
      <c r="A72" s="191"/>
      <c r="B72" s="202"/>
      <c r="C72" s="202"/>
      <c r="D72" s="204"/>
      <c r="E72" s="202"/>
      <c r="F72" s="204"/>
      <c r="G72" s="202"/>
      <c r="H72" s="204"/>
      <c r="I72" s="202"/>
      <c r="J72" s="209"/>
    </row>
    <row r="73" spans="1:10" ht="12.75">
      <c r="A73" s="360" t="s">
        <v>253</v>
      </c>
      <c r="B73" s="297">
        <f>C73*D73+E73*F73+G73*H73+I73*J73</f>
        <v>3961.5164981280004</v>
      </c>
      <c r="C73" s="306"/>
      <c r="D73" s="307">
        <v>0.063</v>
      </c>
      <c r="E73" s="306">
        <f>'Heat load'!B8</f>
        <v>62881.21425600001</v>
      </c>
      <c r="F73" s="307">
        <v>0.063</v>
      </c>
      <c r="G73" s="306">
        <v>0</v>
      </c>
      <c r="H73" s="307">
        <f>'Emission factors '!B21</f>
        <v>0.063</v>
      </c>
      <c r="I73" s="306">
        <v>0</v>
      </c>
      <c r="J73" s="308">
        <f>J72</f>
        <v>0</v>
      </c>
    </row>
    <row r="74" spans="1:10" ht="13.5" thickBot="1">
      <c r="A74" s="189" t="s">
        <v>252</v>
      </c>
      <c r="B74" s="309">
        <f>SUM(B72:B73)</f>
        <v>3961.5164981280004</v>
      </c>
      <c r="C74" s="310">
        <f>SUM(C72:C72)</f>
        <v>0</v>
      </c>
      <c r="D74" s="311"/>
      <c r="E74" s="309">
        <f>SUM(E72:E73)</f>
        <v>62881.21425600001</v>
      </c>
      <c r="F74" s="311"/>
      <c r="G74" s="309">
        <f>SUM(G72:G72)</f>
        <v>0</v>
      </c>
      <c r="H74" s="311"/>
      <c r="I74" s="309">
        <f>SUM(I72:I72)</f>
        <v>0</v>
      </c>
      <c r="J74" s="312"/>
    </row>
    <row r="75" spans="1:10" ht="12.75">
      <c r="A75" s="54"/>
      <c r="B75" s="61"/>
      <c r="C75" s="111"/>
      <c r="D75" s="27"/>
      <c r="E75" s="111"/>
      <c r="F75" s="27"/>
      <c r="G75" s="111"/>
      <c r="H75" s="27"/>
      <c r="I75" s="111"/>
      <c r="J75" s="27"/>
    </row>
    <row r="76" spans="1:10" ht="12.75">
      <c r="A76" s="54"/>
      <c r="B76" s="61"/>
      <c r="C76" s="111"/>
      <c r="D76" s="27"/>
      <c r="E76" s="111"/>
      <c r="F76" s="27"/>
      <c r="G76" s="111"/>
      <c r="H76" s="27"/>
      <c r="I76" s="111"/>
      <c r="J76" s="27"/>
    </row>
    <row r="77" spans="1:10" ht="16.5">
      <c r="A77" s="54"/>
      <c r="B77" s="112" t="s">
        <v>121</v>
      </c>
      <c r="C77" s="75" t="s">
        <v>123</v>
      </c>
      <c r="H77" t="s">
        <v>104</v>
      </c>
      <c r="I77" s="111"/>
      <c r="J77" s="27"/>
    </row>
    <row r="78" spans="2:8" ht="16.5">
      <c r="B78" s="112" t="s">
        <v>122</v>
      </c>
      <c r="C78" s="75" t="s">
        <v>124</v>
      </c>
      <c r="H78" t="s">
        <v>106</v>
      </c>
    </row>
    <row r="79" ht="13.5" thickBot="1">
      <c r="B79" s="102"/>
    </row>
    <row r="80" spans="1:5" ht="51">
      <c r="A80" s="140" t="s">
        <v>70</v>
      </c>
      <c r="B80" s="141" t="s">
        <v>129</v>
      </c>
      <c r="C80" s="142" t="s">
        <v>127</v>
      </c>
      <c r="D80" s="142" t="s">
        <v>123</v>
      </c>
      <c r="E80" s="143" t="s">
        <v>122</v>
      </c>
    </row>
    <row r="81" spans="1:5" ht="16.5" customHeight="1">
      <c r="A81" s="40"/>
      <c r="B81" s="101" t="s">
        <v>128</v>
      </c>
      <c r="C81" s="101" t="s">
        <v>175</v>
      </c>
      <c r="D81" s="100" t="s">
        <v>8</v>
      </c>
      <c r="E81" s="101" t="s">
        <v>106</v>
      </c>
    </row>
    <row r="82" spans="1:5" ht="12.75">
      <c r="A82" s="191"/>
      <c r="B82" s="202"/>
      <c r="C82" s="207"/>
      <c r="D82" s="208"/>
      <c r="E82" s="206"/>
    </row>
    <row r="83" spans="1:5" ht="13.5" thickBot="1">
      <c r="A83" s="360" t="s">
        <v>253</v>
      </c>
      <c r="B83" s="297">
        <f>C83*D83*E83/1000</f>
        <v>2026.8033179039996</v>
      </c>
      <c r="C83" s="298">
        <v>35.82</v>
      </c>
      <c r="D83" s="299">
        <f>'CMM consump.(01.08.10-31.12.10)'!B27</f>
        <v>785875.1</v>
      </c>
      <c r="E83" s="300">
        <f>'Emission factors '!$B$32</f>
        <v>0.072</v>
      </c>
    </row>
    <row r="84" spans="1:5" ht="13.5" thickBot="1">
      <c r="A84" s="189" t="s">
        <v>252</v>
      </c>
      <c r="B84" s="126">
        <f>SUM(B82:B83)</f>
        <v>2026.8033179039996</v>
      </c>
      <c r="C84" s="127"/>
      <c r="D84" s="128">
        <f>SUM(D82:D83)</f>
        <v>785875.1</v>
      </c>
      <c r="E84" s="113"/>
    </row>
    <row r="85" ht="12.75">
      <c r="D85" s="13"/>
    </row>
    <row r="87" ht="15.75">
      <c r="A87" s="136" t="s">
        <v>169</v>
      </c>
    </row>
    <row r="91" spans="1:7" ht="13.5" thickBot="1">
      <c r="A91" s="129"/>
      <c r="B91" s="129"/>
      <c r="C91" s="129"/>
      <c r="D91" s="129"/>
      <c r="E91" s="129"/>
      <c r="F91" s="129"/>
      <c r="G91" s="129"/>
    </row>
    <row r="92" spans="1:7" ht="16.5" customHeight="1">
      <c r="A92" s="375" t="s">
        <v>70</v>
      </c>
      <c r="B92" s="385" t="s">
        <v>130</v>
      </c>
      <c r="C92" s="385" t="s">
        <v>129</v>
      </c>
      <c r="D92" s="366" t="s">
        <v>119</v>
      </c>
      <c r="E92" s="388"/>
      <c r="F92" s="383" t="s">
        <v>87</v>
      </c>
      <c r="G92" s="129"/>
    </row>
    <row r="93" spans="1:7" ht="15" customHeight="1">
      <c r="A93" s="382"/>
      <c r="B93" s="386"/>
      <c r="C93" s="386"/>
      <c r="D93" s="387"/>
      <c r="E93" s="389"/>
      <c r="F93" s="384"/>
      <c r="G93" s="129"/>
    </row>
    <row r="94" spans="1:7" ht="16.5" customHeight="1">
      <c r="A94" s="373"/>
      <c r="B94" s="101" t="s">
        <v>128</v>
      </c>
      <c r="C94" s="101" t="s">
        <v>128</v>
      </c>
      <c r="D94" s="101" t="s">
        <v>128</v>
      </c>
      <c r="E94" s="101" t="s">
        <v>128</v>
      </c>
      <c r="F94" s="114" t="s">
        <v>128</v>
      </c>
      <c r="G94" s="129"/>
    </row>
    <row r="95" spans="1:7" ht="12.75">
      <c r="A95" s="191"/>
      <c r="B95" s="202"/>
      <c r="C95" s="202"/>
      <c r="D95" s="202"/>
      <c r="E95" s="202"/>
      <c r="F95" s="193"/>
      <c r="G95" s="129"/>
    </row>
    <row r="96" spans="1:7" ht="13.5" thickBot="1">
      <c r="A96" s="360" t="s">
        <v>253</v>
      </c>
      <c r="B96" s="297">
        <f>ROUND((C96+D96+E96+F96),0)</f>
        <v>373660</v>
      </c>
      <c r="C96" s="301">
        <f>$B$83</f>
        <v>2026.8033179039996</v>
      </c>
      <c r="D96" s="301">
        <f>$B$73</f>
        <v>3961.5164981280004</v>
      </c>
      <c r="E96" s="301">
        <f>$B$54</f>
        <v>59127.2840704</v>
      </c>
      <c r="F96" s="302">
        <f>$E$19</f>
        <v>308544.192412218</v>
      </c>
      <c r="G96" s="129"/>
    </row>
    <row r="97" spans="1:7" ht="13.5" thickBot="1">
      <c r="A97" s="189" t="s">
        <v>252</v>
      </c>
      <c r="B97" s="303">
        <f>SUM(B95:B96)</f>
        <v>373660</v>
      </c>
      <c r="C97" s="304">
        <f>SUM(C95:C96)</f>
        <v>2026.8033179039996</v>
      </c>
      <c r="D97" s="304">
        <f>SUM(D95:D96)</f>
        <v>3961.5164981280004</v>
      </c>
      <c r="E97" s="304">
        <f>SUM(E95:E96)</f>
        <v>59127.2840704</v>
      </c>
      <c r="F97" s="305">
        <f>SUM(F95:F96)</f>
        <v>308544.192412218</v>
      </c>
      <c r="G97" s="129"/>
    </row>
    <row r="98" spans="1:7" ht="12.75">
      <c r="A98" s="129"/>
      <c r="B98" s="129"/>
      <c r="C98" s="129"/>
      <c r="D98" s="129"/>
      <c r="E98" s="129"/>
      <c r="F98" s="129"/>
      <c r="G98" s="129"/>
    </row>
    <row r="104" ht="12.75">
      <c r="C104" s="13"/>
    </row>
  </sheetData>
  <sheetProtection/>
  <mergeCells count="8">
    <mergeCell ref="A70:A71"/>
    <mergeCell ref="A47:A48"/>
    <mergeCell ref="A92:A94"/>
    <mergeCell ref="F92:F93"/>
    <mergeCell ref="B92:B93"/>
    <mergeCell ref="C92:C93"/>
    <mergeCell ref="D92:D93"/>
    <mergeCell ref="E92:E93"/>
  </mergeCells>
  <printOptions/>
  <pageMargins left="0.75" right="0.75" top="1" bottom="1" header="0.5" footer="0.5"/>
  <pageSetup horizontalDpi="600" verticalDpi="600" orientation="landscape" paperSize="9" scale="65" r:id="rId23"/>
  <rowBreaks count="2" manualBreakCount="2">
    <brk id="46" max="255" man="1"/>
    <brk id="90" max="255" man="1"/>
  </rowBreaks>
  <legacyDrawing r:id="rId22"/>
  <oleObjects>
    <oleObject progId="Equation.3" shapeId="2238168" r:id="rId1"/>
    <oleObject progId="Equation.3" shapeId="2279137" r:id="rId2"/>
    <oleObject progId="Equation.3" shapeId="2387618" r:id="rId3"/>
    <oleObject progId="Equation.3" shapeId="2390625" r:id="rId4"/>
    <oleObject progId="Equation.3" shapeId="2396114" r:id="rId5"/>
    <oleObject progId="Equation.3" shapeId="2399946" r:id="rId6"/>
    <oleObject progId="Equation.3" shapeId="2404626" r:id="rId7"/>
    <oleObject progId="Equation.3" shapeId="2405621" r:id="rId8"/>
    <oleObject progId="Equation.3" shapeId="2407177" r:id="rId9"/>
    <oleObject progId="Equation.3" shapeId="2414902" r:id="rId10"/>
    <oleObject progId="Equation.3" shapeId="2417321" r:id="rId11"/>
    <oleObject progId="Equation.3" shapeId="2782091" r:id="rId12"/>
    <oleObject progId="Equation.3" shapeId="2782741" r:id="rId13"/>
    <oleObject progId="Equation.3" shapeId="2783458" r:id="rId14"/>
    <oleObject progId="Equation.3" shapeId="2783973" r:id="rId15"/>
    <oleObject progId="Equation.3" shapeId="2784668" r:id="rId16"/>
    <oleObject progId="Equation.3" shapeId="733217" r:id="rId17"/>
    <oleObject progId="Equation.3" shapeId="1868908" r:id="rId18"/>
    <oleObject progId="Equation.3" shapeId="2127500" r:id="rId19"/>
    <oleObject progId="Equation.3" shapeId="2201650" r:id="rId20"/>
    <oleObject progId="Equation.3" shapeId="69473" r:id="rId2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33"/>
  <sheetViews>
    <sheetView zoomScalePageLayoutView="0" workbookViewId="0" topLeftCell="A13">
      <selection activeCell="C34" sqref="C34"/>
    </sheetView>
  </sheetViews>
  <sheetFormatPr defaultColWidth="9.33203125" defaultRowHeight="12.75"/>
  <cols>
    <col min="1" max="1" width="34.83203125" style="0" customWidth="1"/>
    <col min="3" max="3" width="24.16015625" style="0" bestFit="1" customWidth="1"/>
    <col min="4" max="5" width="8.83203125" style="0" customWidth="1"/>
    <col min="6" max="11" width="0" style="0" hidden="1" customWidth="1"/>
    <col min="12" max="12" width="10.16015625" style="0" bestFit="1" customWidth="1"/>
  </cols>
  <sheetData>
    <row r="1" spans="1:12" ht="13.5" hidden="1" thickBot="1">
      <c r="A1" s="210"/>
      <c r="B1" s="211"/>
      <c r="C1" s="212">
        <v>2004</v>
      </c>
      <c r="D1" s="212">
        <v>2005</v>
      </c>
      <c r="E1" s="213">
        <v>2006</v>
      </c>
      <c r="F1" s="213">
        <v>2007</v>
      </c>
      <c r="G1" s="213">
        <v>2008</v>
      </c>
      <c r="H1" s="213">
        <v>2009</v>
      </c>
      <c r="I1" s="213">
        <v>2010</v>
      </c>
      <c r="J1" s="213">
        <v>2011</v>
      </c>
      <c r="K1" s="213">
        <v>2012</v>
      </c>
      <c r="L1" s="213">
        <v>2007</v>
      </c>
    </row>
    <row r="2" spans="1:12" ht="12.75" hidden="1">
      <c r="A2" s="214" t="s">
        <v>173</v>
      </c>
      <c r="B2" s="215" t="s">
        <v>208</v>
      </c>
      <c r="C2" s="216">
        <f>'[1]Project emissions'!$D104</f>
        <v>4811.207215567875</v>
      </c>
      <c r="D2" s="216">
        <f>'[1]Project emissions'!$D105</f>
        <v>4756.160159171251</v>
      </c>
      <c r="E2" s="216">
        <f>'[1]Project emissions'!$D106</f>
        <v>53584.831439325004</v>
      </c>
      <c r="F2" s="216">
        <f>'[1]Project emissions'!$D107</f>
        <v>121756.674505752</v>
      </c>
      <c r="G2" s="216">
        <f>'[1]Project emissions'!$D108</f>
        <v>21190.11830158571</v>
      </c>
      <c r="H2" s="216">
        <f>'[1]Project emissions'!$D110</f>
        <v>785.7452824409999</v>
      </c>
      <c r="I2" s="216">
        <f>'[1]Project emissions'!$D111</f>
        <v>0</v>
      </c>
      <c r="J2" s="216">
        <f>'[1]Project emissions'!$D112</f>
        <v>0</v>
      </c>
      <c r="K2" s="217">
        <f>'[1]Project emissions'!$D113</f>
        <v>0</v>
      </c>
      <c r="L2" s="218">
        <f>'[1]Project emissions'!$D$107</f>
        <v>121756.674505752</v>
      </c>
    </row>
    <row r="3" spans="1:12" ht="13.5" hidden="1" thickBot="1">
      <c r="A3" s="219" t="s">
        <v>209</v>
      </c>
      <c r="B3" s="220" t="s">
        <v>210</v>
      </c>
      <c r="C3" s="392">
        <f>SUM(C2:K2)</f>
        <v>206884.73690384286</v>
      </c>
      <c r="D3" s="393"/>
      <c r="E3" s="393"/>
      <c r="F3" s="393"/>
      <c r="G3" s="393"/>
      <c r="H3" s="393"/>
      <c r="I3" s="393"/>
      <c r="J3" s="393"/>
      <c r="K3" s="394"/>
      <c r="L3" s="221"/>
    </row>
    <row r="4" spans="1:11" ht="12.75" hidden="1">
      <c r="A4" s="222"/>
      <c r="B4" s="223"/>
      <c r="C4" s="223"/>
      <c r="D4" s="223"/>
      <c r="E4" s="224"/>
      <c r="F4" s="224"/>
      <c r="G4" s="225"/>
      <c r="H4" s="225"/>
      <c r="I4" s="225"/>
      <c r="J4" s="225"/>
      <c r="K4" s="225"/>
    </row>
    <row r="5" spans="1:12" ht="13.5" hidden="1" thickBot="1">
      <c r="A5" s="226"/>
      <c r="B5" s="227"/>
      <c r="C5" s="212">
        <v>2004</v>
      </c>
      <c r="D5" s="212">
        <v>2005</v>
      </c>
      <c r="E5" s="213">
        <v>2006</v>
      </c>
      <c r="F5" s="213">
        <v>2007</v>
      </c>
      <c r="G5" s="213">
        <v>2008</v>
      </c>
      <c r="H5" s="213">
        <v>2009</v>
      </c>
      <c r="I5" s="213">
        <v>2010</v>
      </c>
      <c r="J5" s="213">
        <v>2011</v>
      </c>
      <c r="K5" s="213">
        <v>2012</v>
      </c>
      <c r="L5" s="213">
        <v>2007</v>
      </c>
    </row>
    <row r="6" spans="1:12" ht="12.75" hidden="1">
      <c r="A6" s="228" t="s">
        <v>167</v>
      </c>
      <c r="B6" s="215" t="s">
        <v>208</v>
      </c>
      <c r="C6" s="216">
        <f>'[1]Baseline emissions'!$B119</f>
        <v>39139.62710634</v>
      </c>
      <c r="D6" s="216">
        <f>'[1]Baseline emissions'!$B120</f>
        <v>38691.8140806</v>
      </c>
      <c r="E6" s="216">
        <f>'[1]Baseline emissions'!$B121</f>
        <v>481898.314123</v>
      </c>
      <c r="F6" s="216">
        <f>'[1]Baseline emissions'!$B122</f>
        <v>1085696.50884952</v>
      </c>
      <c r="G6" s="216">
        <f>'[1]Baseline emissions'!$B123</f>
        <v>187012.5816780364</v>
      </c>
      <c r="H6" s="216">
        <f>'[1]Baseline emissions'!$B125</f>
        <v>0</v>
      </c>
      <c r="I6" s="216">
        <f>'[1]Baseline emissions'!$B126</f>
        <v>0</v>
      </c>
      <c r="J6" s="216">
        <f>'[1]Baseline emissions'!$B127</f>
        <v>0</v>
      </c>
      <c r="K6" s="217">
        <f>'[1]Baseline emissions'!$B128</f>
        <v>0</v>
      </c>
      <c r="L6" s="218">
        <f>'[1]Baseline emissions'!$B122</f>
        <v>1085696.50884952</v>
      </c>
    </row>
    <row r="7" spans="1:12" ht="13.5" hidden="1" thickBot="1">
      <c r="A7" s="219" t="s">
        <v>209</v>
      </c>
      <c r="B7" s="220" t="s">
        <v>210</v>
      </c>
      <c r="C7" s="392">
        <f>SUM(C6:K6)</f>
        <v>1832438.8458374965</v>
      </c>
      <c r="D7" s="393"/>
      <c r="E7" s="393"/>
      <c r="F7" s="393"/>
      <c r="G7" s="393"/>
      <c r="H7" s="393"/>
      <c r="I7" s="393"/>
      <c r="J7" s="393"/>
      <c r="K7" s="394"/>
      <c r="L7" s="229"/>
    </row>
    <row r="8" spans="1:11" ht="13.5" hidden="1" thickBot="1">
      <c r="A8" s="230"/>
      <c r="B8" s="231"/>
      <c r="C8" s="231"/>
      <c r="D8" s="231"/>
      <c r="E8" s="232"/>
      <c r="F8" s="232"/>
      <c r="G8" s="232"/>
      <c r="H8" s="232"/>
      <c r="I8" s="232"/>
      <c r="J8" s="232"/>
      <c r="K8" s="232"/>
    </row>
    <row r="9" spans="1:12" ht="13.5" hidden="1" thickBot="1">
      <c r="A9" s="210"/>
      <c r="B9" s="211"/>
      <c r="C9" s="212">
        <v>2004</v>
      </c>
      <c r="D9" s="212">
        <v>2005</v>
      </c>
      <c r="E9" s="213">
        <v>2006</v>
      </c>
      <c r="F9" s="213">
        <v>2007</v>
      </c>
      <c r="G9" s="213">
        <v>2008</v>
      </c>
      <c r="H9" s="213">
        <v>2009</v>
      </c>
      <c r="I9" s="213">
        <v>2010</v>
      </c>
      <c r="J9" s="213">
        <v>2011</v>
      </c>
      <c r="K9" s="213">
        <v>2012</v>
      </c>
      <c r="L9" s="213">
        <v>2007</v>
      </c>
    </row>
    <row r="10" spans="1:12" ht="12.75" hidden="1">
      <c r="A10" s="233" t="s">
        <v>184</v>
      </c>
      <c r="B10" s="234" t="s">
        <v>208</v>
      </c>
      <c r="C10" s="235">
        <f>C6-C2</f>
        <v>34328.41989077212</v>
      </c>
      <c r="D10" s="235">
        <f>D6-D2</f>
        <v>33935.65392142875</v>
      </c>
      <c r="E10" s="236">
        <f>E6-E2</f>
        <v>428313.482683675</v>
      </c>
      <c r="F10" s="236">
        <f aca="true" t="shared" si="0" ref="F10:K10">F6-F2</f>
        <v>963939.834343768</v>
      </c>
      <c r="G10" s="236">
        <f t="shared" si="0"/>
        <v>165822.4633764507</v>
      </c>
      <c r="H10" s="236">
        <f t="shared" si="0"/>
        <v>-785.7452824409999</v>
      </c>
      <c r="I10" s="236">
        <f t="shared" si="0"/>
        <v>0</v>
      </c>
      <c r="J10" s="236">
        <f t="shared" si="0"/>
        <v>0</v>
      </c>
      <c r="K10" s="237">
        <f t="shared" si="0"/>
        <v>0</v>
      </c>
      <c r="L10" s="238">
        <f>L6-L2</f>
        <v>963939.834343768</v>
      </c>
    </row>
    <row r="11" spans="1:12" ht="12.75" hidden="1">
      <c r="A11" s="239" t="s">
        <v>211</v>
      </c>
      <c r="B11" s="240" t="s">
        <v>210</v>
      </c>
      <c r="C11" s="395">
        <f>E10+F10+C10+D10</f>
        <v>1460517.390839644</v>
      </c>
      <c r="D11" s="395"/>
      <c r="E11" s="395"/>
      <c r="F11" s="395"/>
      <c r="G11" s="395">
        <f>SUM(G10:K10)</f>
        <v>165036.7180940097</v>
      </c>
      <c r="H11" s="395"/>
      <c r="I11" s="395"/>
      <c r="J11" s="395"/>
      <c r="K11" s="396"/>
      <c r="L11" s="241"/>
    </row>
    <row r="12" spans="1:12" ht="13.5" hidden="1" thickBot="1">
      <c r="A12" s="242" t="s">
        <v>212</v>
      </c>
      <c r="B12" s="243" t="s">
        <v>210</v>
      </c>
      <c r="C12" s="390">
        <f>SUM(C10:K10)</f>
        <v>1625554.1089336537</v>
      </c>
      <c r="D12" s="390"/>
      <c r="E12" s="390"/>
      <c r="F12" s="390"/>
      <c r="G12" s="390"/>
      <c r="H12" s="390"/>
      <c r="I12" s="390"/>
      <c r="J12" s="390"/>
      <c r="K12" s="391"/>
      <c r="L12" s="229"/>
    </row>
    <row r="13" ht="13.5" thickBot="1"/>
    <row r="14" spans="1:3" ht="13.5" thickBot="1">
      <c r="A14" s="226"/>
      <c r="B14" s="227"/>
      <c r="C14" s="360" t="s">
        <v>253</v>
      </c>
    </row>
    <row r="15" spans="1:3" ht="12.75">
      <c r="A15" s="228" t="s">
        <v>173</v>
      </c>
      <c r="B15" s="244" t="s">
        <v>208</v>
      </c>
      <c r="C15" s="245">
        <f>'Project emissions'!D77</f>
        <v>41848</v>
      </c>
    </row>
    <row r="16" spans="1:3" ht="13.5" thickBot="1">
      <c r="A16" s="219" t="s">
        <v>256</v>
      </c>
      <c r="B16" s="246" t="s">
        <v>210</v>
      </c>
      <c r="C16" s="188">
        <f>C15</f>
        <v>41848</v>
      </c>
    </row>
    <row r="17" ht="13.5" thickBot="1"/>
    <row r="18" spans="1:3" ht="13.5" thickBot="1">
      <c r="A18" s="226"/>
      <c r="B18" s="227"/>
      <c r="C18" s="360" t="s">
        <v>253</v>
      </c>
    </row>
    <row r="19" spans="1:3" ht="12.75">
      <c r="A19" s="228" t="s">
        <v>167</v>
      </c>
      <c r="B19" s="215" t="s">
        <v>208</v>
      </c>
      <c r="C19" s="247">
        <f>'Baseline emissions'!B97</f>
        <v>373660</v>
      </c>
    </row>
    <row r="20" spans="1:3" ht="13.5" thickBot="1">
      <c r="A20" s="219" t="s">
        <v>256</v>
      </c>
      <c r="B20" s="220" t="s">
        <v>210</v>
      </c>
      <c r="C20" s="248">
        <f>C19</f>
        <v>373660</v>
      </c>
    </row>
    <row r="21" ht="13.5" thickBot="1"/>
    <row r="22" spans="1:3" ht="13.5" thickBot="1">
      <c r="A22" s="210"/>
      <c r="B22" s="211"/>
      <c r="C22" s="360" t="s">
        <v>253</v>
      </c>
    </row>
    <row r="23" spans="1:3" ht="12.75">
      <c r="A23" s="233" t="s">
        <v>184</v>
      </c>
      <c r="B23" s="234" t="s">
        <v>208</v>
      </c>
      <c r="C23" s="247">
        <f>C19-C15</f>
        <v>331812</v>
      </c>
    </row>
    <row r="24" spans="1:3" ht="13.5" thickBot="1">
      <c r="A24" s="219" t="s">
        <v>256</v>
      </c>
      <c r="B24" s="240" t="s">
        <v>210</v>
      </c>
      <c r="C24" s="248">
        <f>C23</f>
        <v>331812</v>
      </c>
    </row>
    <row r="33" ht="12.75">
      <c r="C33">
        <v>59293</v>
      </c>
    </row>
  </sheetData>
  <sheetProtection/>
  <mergeCells count="5">
    <mergeCell ref="C12:K12"/>
    <mergeCell ref="C3:K3"/>
    <mergeCell ref="C7:K7"/>
    <mergeCell ref="C11:F11"/>
    <mergeCell ref="G11:K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semeyka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Gariyenchyk</cp:lastModifiedBy>
  <cp:lastPrinted>2010-01-11T07:58:12Z</cp:lastPrinted>
  <dcterms:created xsi:type="dcterms:W3CDTF">2006-09-26T05:52:16Z</dcterms:created>
  <dcterms:modified xsi:type="dcterms:W3CDTF">2011-02-04T15:01:19Z</dcterms:modified>
  <cp:category/>
  <cp:version/>
  <cp:contentType/>
  <cp:contentStatus/>
</cp:coreProperties>
</file>