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9120" activeTab="0"/>
  </bookViews>
  <sheets>
    <sheet name="Input Parameters" sheetId="1" r:id="rId1"/>
    <sheet name="Actual costs" sheetId="2" r:id="rId2"/>
    <sheet name="Production" sheetId="3" r:id="rId3"/>
    <sheet name="Cashflow1" sheetId="4" r:id="rId4"/>
    <sheet name="Financing" sheetId="5" r:id="rId5"/>
    <sheet name="Taxes" sheetId="6" r:id="rId6"/>
    <sheet name="Sensitivity_data" sheetId="7" r:id="rId7"/>
    <sheet name="Sensitivity_Diagram1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<sst xmlns="http://schemas.openxmlformats.org/spreadsheetml/2006/main" count="214" uniqueCount="137">
  <si>
    <t>Investment</t>
  </si>
  <si>
    <t>Cashflow</t>
  </si>
  <si>
    <t>Revenues:</t>
  </si>
  <si>
    <t>Power</t>
  </si>
  <si>
    <t>Heat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</si>
  <si>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</si>
  <si>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</si>
  <si>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</si>
  <si>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</si>
  <si>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</si>
  <si>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</si>
  <si>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</si>
  <si>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</si>
  <si>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</si>
  <si>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</si>
  <si>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</si>
  <si>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</si>
  <si>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</si>
  <si>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</si>
  <si>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</si>
  <si>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</si>
  <si>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</si>
  <si>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</si>
  <si>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</si>
  <si>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</si>
  <si>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</si>
  <si>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</si>
  <si>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</si>
  <si>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</si>
  <si>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</si>
  <si>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</si>
  <si>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</si>
  <si>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</si>
  <si>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</si>
  <si>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</si>
  <si>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</si>
  <si>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</si>
  <si>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</si>
  <si>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Efficiency
[%]</t>
  </si>
  <si>
    <t>Volume CH4 
[m3]</t>
  </si>
  <si>
    <t xml:space="preserve">GHP 21 in Calculation= 
because 1 t CH4 produces  2,75 t CO2 </t>
  </si>
  <si>
    <t>spec. Emissons
[kg CO2 / kWh]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</si>
  <si>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</si>
  <si>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</si>
  <si>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</si>
  <si>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</si>
  <si>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</si>
  <si>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</si>
  <si>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</si>
  <si>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</si>
  <si>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</si>
  <si>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</si>
  <si>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</si>
  <si>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</si>
  <si>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</si>
  <si>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</si>
  <si>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</si>
  <si>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</si>
  <si>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</si>
  <si>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</si>
  <si>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</si>
  <si>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↑</t>
  </si>
  <si>
    <t>cumulated</t>
  </si>
  <si>
    <t>Revenues from ERUs</t>
  </si>
  <si>
    <t>ERU Price [EUR/t]</t>
  </si>
  <si>
    <t>Rev. ERU</t>
  </si>
  <si>
    <t>Surplus ERU</t>
  </si>
  <si>
    <t>efficiency</t>
  </si>
  <si>
    <t>CO2eq [t]</t>
  </si>
  <si>
    <t>CO2-Equivalent by power generation 
(Avoided emissons in power stations)</t>
  </si>
  <si>
    <t>CO2-Equivalent by heat generation 
(Avoided emissions in heat plants)</t>
  </si>
  <si>
    <t>Capex flaring</t>
  </si>
  <si>
    <t>Opex flaring</t>
  </si>
  <si>
    <t>Opex total</t>
  </si>
  <si>
    <t>Capex heat production</t>
  </si>
  <si>
    <t>firing capacity [MWh]</t>
  </si>
  <si>
    <t>produced power [MWh]</t>
  </si>
  <si>
    <t>power consumption</t>
  </si>
  <si>
    <t xml:space="preserve">Capex CHP unit </t>
  </si>
  <si>
    <t>Opex CHP (EUR/kWh)</t>
  </si>
  <si>
    <t>Opex heat production (EUR/kWh)</t>
  </si>
  <si>
    <t>ERU Volume</t>
  </si>
  <si>
    <t>ERU revenue</t>
  </si>
  <si>
    <t>produced heat [MWh]</t>
  </si>
  <si>
    <t>calorific value Methane 9,979 KWh/m3</t>
  </si>
  <si>
    <t>Weight CH4 
[t]</t>
  </si>
  <si>
    <t xml:space="preserve"> </t>
  </si>
  <si>
    <t>EUR/kWh</t>
  </si>
  <si>
    <t>gained environmental effect in t CO2</t>
  </si>
  <si>
    <t>Shcheglovskaya-Glubokaya Input Economics
Avoided CO2-Emissions by using Coal Mine Methane</t>
  </si>
  <si>
    <t>run macro with Ctrl+Shift+G</t>
  </si>
  <si>
    <r>
      <t>capex = "CAP</t>
    </r>
    <r>
      <rPr>
        <sz val="10"/>
        <rFont val="Arial"/>
        <family val="0"/>
      </rPr>
      <t xml:space="preserve">ital </t>
    </r>
    <r>
      <rPr>
        <i/>
        <sz val="10"/>
        <rFont val="Arial"/>
        <family val="0"/>
      </rPr>
      <t>EX</t>
    </r>
    <r>
      <rPr>
        <sz val="10"/>
        <rFont val="Arial"/>
        <family val="0"/>
      </rPr>
      <t>penditure"</t>
    </r>
  </si>
  <si>
    <t>Opex = "OPErational eXpenditure"</t>
  </si>
  <si>
    <t>run sensitivity macro using Ctrl+Shift+G</t>
  </si>
  <si>
    <t>Economic Parameters - Shcheglovskaya</t>
  </si>
  <si>
    <t>Cost / Unit</t>
  </si>
  <si>
    <t>Already installed equipment</t>
  </si>
  <si>
    <t>Boilers, VAH</t>
  </si>
  <si>
    <t>Monitoring equipment (estimation)</t>
  </si>
  <si>
    <t>Diesel Generator</t>
  </si>
  <si>
    <t>General Overhaul (estimation)</t>
  </si>
  <si>
    <t>Flares</t>
  </si>
  <si>
    <t>Installation (estimation)</t>
  </si>
  <si>
    <t>remained 2nd flare</t>
  </si>
  <si>
    <t>Cogeneration</t>
  </si>
  <si>
    <t>equipment ready for shipping</t>
  </si>
  <si>
    <t>Total</t>
  </si>
  <si>
    <t>Actual costs Shcheglovskaya Glubokaya</t>
  </si>
  <si>
    <t>heat production</t>
  </si>
  <si>
    <t>power production</t>
  </si>
  <si>
    <t>total</t>
  </si>
  <si>
    <t>flaring</t>
  </si>
  <si>
    <t>Actual costs</t>
  </si>
  <si>
    <t>approval, transformer, current entry station, baseplate, piping, gas drying system, electric installation, initial operation</t>
  </si>
  <si>
    <t>approval, piping, electric installation, initial operation</t>
  </si>
  <si>
    <t>Already spent</t>
  </si>
  <si>
    <t>included in 2</t>
  </si>
  <si>
    <t>Green</t>
  </si>
  <si>
    <t>real costs</t>
  </si>
  <si>
    <t>red</t>
  </si>
  <si>
    <t>estimates</t>
  </si>
  <si>
    <t>NPV (15 %)</t>
  </si>
  <si>
    <t>Production of the project</t>
  </si>
  <si>
    <t>power</t>
  </si>
  <si>
    <t>heat</t>
  </si>
  <si>
    <t>kWh</t>
  </si>
  <si>
    <t>real production</t>
  </si>
  <si>
    <t>opex</t>
  </si>
  <si>
    <t xml:space="preserve">heat </t>
  </si>
  <si>
    <t>ER</t>
  </si>
  <si>
    <t>t CO2eq</t>
  </si>
  <si>
    <t xml:space="preserve">yellow </t>
  </si>
  <si>
    <t>generates no income</t>
  </si>
  <si>
    <t>average</t>
  </si>
  <si>
    <t>crediting period only</t>
  </si>
  <si>
    <t>N</t>
  </si>
  <si>
    <t>No impact of inflation rate on the real costs for passed years!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</si>
</sst>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#,##0.000"/>
    <numFmt numFmtId="187" formatCode="0.0000000000"/>
    <numFmt numFmtId="188" formatCode="0.000000000"/>
    <numFmt numFmtId="189" formatCode="0.00000000"/>
    <numFmt numFmtId="190" formatCode="0.000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9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2" fontId="0" fillId="5" borderId="7" xfId="0" applyNumberForma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19" applyAlignment="1">
      <alignment/>
    </xf>
    <xf numFmtId="0" fontId="5" fillId="0" borderId="0" xfId="0" applyFont="1" applyFill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3" fillId="0" borderId="0" xfId="0" applyNumberFormat="1" applyFont="1" applyAlignment="1">
      <alignment/>
    </xf>
    <xf numFmtId="185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0" fillId="2" borderId="6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7" fillId="0" borderId="0" xfId="0" applyFont="1" applyAlignment="1">
      <alignment/>
    </xf>
    <xf numFmtId="195" fontId="0" fillId="2" borderId="0" xfId="0" applyNumberFormat="1" applyFill="1" applyAlignment="1">
      <alignment/>
    </xf>
    <xf numFmtId="3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8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9" xfId="0" applyFill="1" applyBorder="1" applyAlignment="1">
      <alignment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1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3" fontId="0" fillId="8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182" fontId="0" fillId="2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" borderId="0" xfId="0" applyNumberFormat="1" applyFont="1" applyFill="1" applyAlignment="1">
      <alignment/>
    </xf>
    <xf numFmtId="4" fontId="0" fillId="8" borderId="0" xfId="0" applyNumberFormat="1" applyFont="1" applyFill="1" applyAlignment="1">
      <alignment/>
    </xf>
    <xf numFmtId="4" fontId="0" fillId="8" borderId="6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0" fillId="3" borderId="0" xfId="0" applyFill="1" applyAlignment="1">
      <alignment/>
    </xf>
    <xf numFmtId="0" fontId="3" fillId="0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18" fillId="0" borderId="0" xfId="0" applyFont="1" applyAlignment="1">
      <alignment/>
    </xf>
    <xf numFmtId="4" fontId="0" fillId="0" borderId="6" xfId="0" applyNumberFormat="1" applyBorder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4" borderId="0" xfId="0" applyNumberForma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3" fontId="0" fillId="8" borderId="0" xfId="0" applyNumberFormat="1" applyFill="1" applyBorder="1" applyAlignment="1">
      <alignment/>
    </xf>
    <xf numFmtId="3" fontId="0" fillId="5" borderId="0" xfId="0" applyNumberFormat="1" applyFill="1" applyAlignment="1">
      <alignment/>
    </xf>
    <xf numFmtId="3" fontId="0" fillId="8" borderId="6" xfId="0" applyNumberFormat="1" applyFill="1" applyBorder="1" applyAlignment="1">
      <alignment/>
    </xf>
    <xf numFmtId="0" fontId="3" fillId="0" borderId="0" xfId="0" applyFont="1" applyBorder="1" applyAlignment="1">
      <alignment/>
    </xf>
    <xf numFmtId="3" fontId="3" fillId="5" borderId="0" xfId="0" applyNumberFormat="1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CMM Utilisation on the coal mine  Shcheglovskaya-Glubokaya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85"/>
          <c:w val="0.954"/>
          <c:h val="0.70975"/>
        </c:manualLayout>
      </c:layout>
      <c:scatterChart>
        <c:scatterStyle val="line"/>
        <c:varyColors val="0"/>
        <c:ser>
          <c:idx val="0"/>
          <c:order val="0"/>
          <c:tx>
            <c:strRef>
              <c:f>Sensitivity_data!$C$14</c:f>
              <c:strCache>
                <c:ptCount val="1"/>
                <c:pt idx="0">
                  <c:v>Opex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Sensitivity_data!$C$15:$C$23</c:f>
              <c:numCache>
                <c:ptCount val="9"/>
                <c:pt idx="0">
                  <c:v>21.23491162407615</c:v>
                </c:pt>
                <c:pt idx="1">
                  <c:v>19.413553013469333</c:v>
                </c:pt>
                <c:pt idx="2">
                  <c:v>17.458697763893667</c:v>
                </c:pt>
                <c:pt idx="3">
                  <c:v>15.37082930105084</c:v>
                </c:pt>
                <c:pt idx="4">
                  <c:v>13.145102641161262</c:v>
                </c:pt>
                <c:pt idx="5">
                  <c:v>10.273804816781183</c:v>
                </c:pt>
                <c:pt idx="6">
                  <c:v>6.947316563149307</c:v>
                </c:pt>
                <c:pt idx="7">
                  <c:v>3.2638661047386877</c:v>
                </c:pt>
                <c:pt idx="8">
                  <c:v>-0.9040749499293745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Sensitivity_data!$B$14</c:f>
              <c:strCache>
                <c:ptCount val="1"/>
                <c:pt idx="0">
                  <c:v>Capex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Sensitivity_data!$B$15:$B$23</c:f>
              <c:numCache>
                <c:ptCount val="9"/>
                <c:pt idx="0">
                  <c:v>19.19371853023459</c:v>
                </c:pt>
                <c:pt idx="1">
                  <c:v>17.463385559056363</c:v>
                </c:pt>
                <c:pt idx="2">
                  <c:v>15.886790941397122</c:v>
                </c:pt>
                <c:pt idx="3">
                  <c:v>14.452959751475133</c:v>
                </c:pt>
                <c:pt idx="4">
                  <c:v>13.145102641161262</c:v>
                </c:pt>
                <c:pt idx="5">
                  <c:v>11.865672173385882</c:v>
                </c:pt>
                <c:pt idx="6">
                  <c:v>10.520143447922901</c:v>
                </c:pt>
                <c:pt idx="7">
                  <c:v>9.273223104157191</c:v>
                </c:pt>
                <c:pt idx="8">
                  <c:v>8.112752438048117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Sensitivity_data!$D$14</c:f>
              <c:strCache>
                <c:ptCount val="1"/>
                <c:pt idx="0">
                  <c:v>Production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Sensitivity_data!$D$15:$D$23</c:f>
              <c:numCache>
                <c:ptCount val="9"/>
                <c:pt idx="0">
                  <c:v>5.680450463531235</c:v>
                </c:pt>
                <c:pt idx="1">
                  <c:v>7.726923259384735</c:v>
                </c:pt>
                <c:pt idx="2">
                  <c:v>9.674716346227234</c:v>
                </c:pt>
                <c:pt idx="3">
                  <c:v>11.537057416576596</c:v>
                </c:pt>
                <c:pt idx="4">
                  <c:v>13.145102641161262</c:v>
                </c:pt>
                <c:pt idx="5">
                  <c:v>14.511820986576165</c:v>
                </c:pt>
                <c:pt idx="6">
                  <c:v>15.82756820771731</c:v>
                </c:pt>
                <c:pt idx="7">
                  <c:v>17.087733197585404</c:v>
                </c:pt>
                <c:pt idx="8">
                  <c:v>18.295895987851093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Sensitivity_data!$F$14</c:f>
              <c:strCache>
                <c:ptCount val="1"/>
                <c:pt idx="0">
                  <c:v>Opex ERU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43.40435689699172</c:v>
                </c:pt>
                <c:pt idx="1">
                  <c:v>42.22028426394554</c:v>
                </c:pt>
                <c:pt idx="2">
                  <c:v>41.00530194048015</c:v>
                </c:pt>
                <c:pt idx="3">
                  <c:v>39.756911984446106</c:v>
                </c:pt>
                <c:pt idx="4">
                  <c:v>38.472259007825016</c:v>
                </c:pt>
                <c:pt idx="5">
                  <c:v>37.148055018704994</c:v>
                </c:pt>
                <c:pt idx="6">
                  <c:v>35.77293546500523</c:v>
                </c:pt>
                <c:pt idx="7">
                  <c:v>34.287500050857204</c:v>
                </c:pt>
                <c:pt idx="8">
                  <c:v>32.61942335848699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Sensitivity_data!$E$14</c:f>
              <c:strCache>
                <c:ptCount val="1"/>
                <c:pt idx="0">
                  <c:v>Capex ERU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48.39387092396381</c:v>
                </c:pt>
                <c:pt idx="1">
                  <c:v>45.5219591668608</c:v>
                </c:pt>
                <c:pt idx="2">
                  <c:v>42.93946572273665</c:v>
                </c:pt>
                <c:pt idx="3">
                  <c:v>40.60146788949518</c:v>
                </c:pt>
                <c:pt idx="4">
                  <c:v>38.472259007825016</c:v>
                </c:pt>
                <c:pt idx="5">
                  <c:v>36.52304382042765</c:v>
                </c:pt>
                <c:pt idx="6">
                  <c:v>34.73030304852377</c:v>
                </c:pt>
                <c:pt idx="7">
                  <c:v>33.07460858596115</c:v>
                </c:pt>
                <c:pt idx="8">
                  <c:v>31.539749279407804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Sensitivity_data!$G$14</c:f>
              <c:strCache>
                <c:ptCount val="1"/>
                <c:pt idx="0">
                  <c:v>Production ERU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Sensitivity_data!$G$15:$G$23</c:f>
              <c:numCache>
                <c:ptCount val="9"/>
                <c:pt idx="0">
                  <c:v>30.673610186379506</c:v>
                </c:pt>
                <c:pt idx="1">
                  <c:v>32.732894723627844</c:v>
                </c:pt>
                <c:pt idx="2">
                  <c:v>34.71082320211565</c:v>
                </c:pt>
                <c:pt idx="3">
                  <c:v>36.62153888196044</c:v>
                </c:pt>
                <c:pt idx="4">
                  <c:v>38.472259007825016</c:v>
                </c:pt>
                <c:pt idx="5">
                  <c:v>40.26756148235075</c:v>
                </c:pt>
                <c:pt idx="6">
                  <c:v>42.011468966902314</c:v>
                </c:pt>
                <c:pt idx="7">
                  <c:v>43.707539464820016</c:v>
                </c:pt>
                <c:pt idx="8">
                  <c:v>45.35893869887706</c:v>
                </c:pt>
              </c:numCache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crossBetween val="midCat"/>
        <c:dispUnits/>
      </c:valAx>
      <c:valAx>
        <c:axId val="3885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65"/>
          <c:y val="0.11975"/>
          <c:w val="0.80375"/>
          <c:h val="0.06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973455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issions-Reduction-Shcheglovska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Shcheglovskaya\Monitoring-SG\VER+\ER-SG-2006-11-06-2007-12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A\Lokale%20Einstellungen\Temporary%20Internet%20Files\OLK25\Calculation%20ERUs\Emissions_Reduction_Shcheglovskaya-2009-05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E.1."/>
      <sheetName val="PDD-Tab_A-2_E-2"/>
      <sheetName val="Tab-Einzel"/>
    </sheetNames>
    <sheetDataSet>
      <sheetData sheetId="2">
        <row r="61">
          <cell r="AX61">
            <v>382200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9">
          <cell r="J9">
            <v>14668.900473634963</v>
          </cell>
          <cell r="AM9">
            <v>8010.733871986545</v>
          </cell>
        </row>
        <row r="22">
          <cell r="J22">
            <v>49630.043590377034</v>
          </cell>
          <cell r="AM22">
            <v>27103.126916170502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A-4"/>
      <sheetName val="E.1."/>
      <sheetName val="E.3."/>
      <sheetName val="E.6."/>
      <sheetName val="Figures"/>
      <sheetName val="Figures-CO2"/>
    </sheetNames>
    <definedNames>
      <definedName name="Methan_verwendet_2012" refersTo="=Consumption-Table!$AS$8"/>
      <definedName name="Projekt_reduction_2010" refersTo="=Consumption-Table!$AQ$20"/>
      <definedName name="Projekt_reduction_2011" refersTo="=Consumption-Table!$AR$20"/>
      <definedName name="Projekt_reduction_2012" refersTo="=Consumption-Table!$AS$20"/>
    </definedNames>
    <sheetDataSet>
      <sheetData sheetId="2">
        <row r="8">
          <cell r="AS8">
            <v>11122294.318067942</v>
          </cell>
        </row>
        <row r="20">
          <cell r="AQ20">
            <v>172691.88452571622</v>
          </cell>
          <cell r="AR20">
            <v>172555.49528571623</v>
          </cell>
          <cell r="AS20">
            <v>172419.1060457162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7"/>
  <sheetViews>
    <sheetView tabSelected="1" workbookViewId="0" topLeftCell="A1">
      <selection activeCell="D41" sqref="D41"/>
    </sheetView>
  </sheetViews>
  <sheetFormatPr defaultColWidth="11.42187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</cols>
  <sheetData>
    <row r="1" spans="1:5" ht="33.75" customHeight="1">
      <c r="A1" s="141" t="s">
        <v>89</v>
      </c>
      <c r="B1" s="142"/>
      <c r="C1" s="142"/>
      <c r="D1" s="142"/>
      <c r="E1" s="143"/>
    </row>
    <row r="2" spans="1:5" ht="15.75" customHeight="1">
      <c r="A2" s="56" t="s">
        <v>75</v>
      </c>
      <c r="B2" s="68" t="s">
        <v>38</v>
      </c>
      <c r="C2" s="1" t="s">
        <v>39</v>
      </c>
      <c r="D2" s="1" t="s">
        <v>85</v>
      </c>
      <c r="E2" s="1" t="s">
        <v>68</v>
      </c>
    </row>
    <row r="3" spans="1:7" ht="15" customHeight="1">
      <c r="A3" s="69">
        <f>C3*9.979/1000</f>
        <v>110989.37499999999</v>
      </c>
      <c r="B3" s="13">
        <v>100</v>
      </c>
      <c r="C3" s="2">
        <f>[3]!Methan_verwendet_2012*E42</f>
        <v>11122294.318067942</v>
      </c>
      <c r="D3" s="2">
        <f>C3*0.717/1000</f>
        <v>7974.6850260547135</v>
      </c>
      <c r="E3" s="48">
        <f>E16-E12+E9-E7</f>
        <v>110392.09534292678</v>
      </c>
      <c r="G3" s="5"/>
    </row>
    <row r="4" spans="1:5" ht="15" customHeight="1">
      <c r="A4" s="144" t="s">
        <v>40</v>
      </c>
      <c r="B4" s="145"/>
      <c r="C4" s="145"/>
      <c r="D4" s="145"/>
      <c r="E4" s="59">
        <v>18.25</v>
      </c>
    </row>
    <row r="5" spans="1:5" ht="29.25" customHeight="1">
      <c r="A5" s="146" t="s">
        <v>69</v>
      </c>
      <c r="B5" s="147"/>
      <c r="C5" s="147"/>
      <c r="D5" s="147"/>
      <c r="E5" s="148"/>
    </row>
    <row r="6" spans="1:5" ht="15" customHeight="1">
      <c r="A6" s="56" t="s">
        <v>76</v>
      </c>
      <c r="B6" s="1" t="s">
        <v>41</v>
      </c>
      <c r="C6" s="3"/>
      <c r="D6" s="3"/>
      <c r="E6" s="1" t="s">
        <v>68</v>
      </c>
    </row>
    <row r="7" spans="1:5" ht="15" customHeight="1">
      <c r="A7" s="2">
        <f>Production!C19/1000*E42</f>
        <v>6009.709090909091</v>
      </c>
      <c r="B7" s="4">
        <v>0.896</v>
      </c>
      <c r="C7" s="3"/>
      <c r="D7" s="3"/>
      <c r="E7" s="48">
        <f>A7*B7</f>
        <v>5384.699345454545</v>
      </c>
    </row>
    <row r="8" spans="1:5" ht="15" customHeight="1">
      <c r="A8" s="48" t="s">
        <v>77</v>
      </c>
      <c r="B8" s="4"/>
      <c r="C8" s="3"/>
      <c r="D8" s="3"/>
      <c r="E8" s="48"/>
    </row>
    <row r="9" spans="1:5" ht="15" customHeight="1">
      <c r="A9" s="2">
        <f>'[1]Consumption-Table'!$AX$61/1000*E42</f>
        <v>382.2</v>
      </c>
      <c r="B9" s="4">
        <v>0.807</v>
      </c>
      <c r="C9" s="55"/>
      <c r="D9" s="55"/>
      <c r="E9" s="58">
        <f>A9*B9</f>
        <v>308.4354</v>
      </c>
    </row>
    <row r="10" spans="1:5" ht="30.75" customHeight="1">
      <c r="A10" s="138" t="s">
        <v>70</v>
      </c>
      <c r="B10" s="139"/>
      <c r="C10" s="139"/>
      <c r="D10" s="139"/>
      <c r="E10" s="140"/>
    </row>
    <row r="11" spans="1:5" ht="15" customHeight="1">
      <c r="A11" s="57" t="s">
        <v>83</v>
      </c>
      <c r="B11" s="1" t="s">
        <v>41</v>
      </c>
      <c r="C11" s="3" t="s">
        <v>67</v>
      </c>
      <c r="D11" s="3"/>
      <c r="E11" s="1" t="s">
        <v>68</v>
      </c>
    </row>
    <row r="12" spans="1:7" ht="15" customHeight="1">
      <c r="A12" s="2">
        <f>Production!B19/1000*E42</f>
        <v>38983.350980741554</v>
      </c>
      <c r="B12" s="13">
        <v>0.3406</v>
      </c>
      <c r="C12" s="3">
        <v>73.5</v>
      </c>
      <c r="D12" s="3"/>
      <c r="E12" s="53">
        <f>A12/(C12/100)*B12</f>
        <v>18064.937883048402</v>
      </c>
      <c r="F12" s="131"/>
      <c r="G12" s="46"/>
    </row>
    <row r="13" spans="1:5" ht="15" customHeight="1">
      <c r="A13" s="60" t="s">
        <v>86</v>
      </c>
      <c r="B13" s="54"/>
      <c r="C13" s="54"/>
      <c r="D13" s="54"/>
      <c r="E13" s="61"/>
    </row>
    <row r="14" spans="1:5" ht="15" customHeight="1">
      <c r="A14" s="62" t="s">
        <v>84</v>
      </c>
      <c r="B14" s="63"/>
      <c r="C14" s="63"/>
      <c r="D14" s="63"/>
      <c r="E14" s="64"/>
    </row>
    <row r="15" spans="1:5" ht="15" customHeight="1" thickBot="1">
      <c r="A15" s="65"/>
      <c r="B15" s="63"/>
      <c r="C15" s="63"/>
      <c r="D15" s="63"/>
      <c r="E15" s="150"/>
    </row>
    <row r="16" spans="1:5" ht="15" customHeight="1">
      <c r="A16" s="66" t="s">
        <v>88</v>
      </c>
      <c r="B16" s="67"/>
      <c r="C16" s="67"/>
      <c r="D16" s="67"/>
      <c r="E16" s="149">
        <f>Production!D21*E42</f>
        <v>133533.29717142973</v>
      </c>
    </row>
    <row r="17" ht="8.25" customHeight="1"/>
    <row r="18" ht="6" customHeight="1"/>
    <row r="19" spans="1:3" ht="15">
      <c r="A19" s="7" t="s">
        <v>2</v>
      </c>
      <c r="B19" s="6" t="s">
        <v>87</v>
      </c>
      <c r="C19" t="s">
        <v>14</v>
      </c>
    </row>
    <row r="20" ht="12.75">
      <c r="B20" s="6"/>
    </row>
    <row r="21" spans="1:3" ht="12.75">
      <c r="A21" t="s">
        <v>4</v>
      </c>
      <c r="B21" s="114">
        <f>0.008</f>
        <v>0.008</v>
      </c>
      <c r="C21" s="5">
        <f>$A$12*B21*1000</f>
        <v>311866.80784593243</v>
      </c>
    </row>
    <row r="22" spans="1:3" ht="12.75">
      <c r="A22" t="s">
        <v>3</v>
      </c>
      <c r="B22" s="82">
        <f>0.035</f>
        <v>0.035</v>
      </c>
      <c r="C22" s="5">
        <f>$A$7*B22*1000</f>
        <v>210339.8181818182</v>
      </c>
    </row>
    <row r="23" spans="2:3" ht="12.75">
      <c r="B23" s="49"/>
      <c r="C23" s="5"/>
    </row>
    <row r="24" spans="1:2" ht="12.75">
      <c r="A24" s="6" t="s">
        <v>7</v>
      </c>
      <c r="B24" s="84" t="s">
        <v>8</v>
      </c>
    </row>
    <row r="25" ht="12.75">
      <c r="B25" s="84"/>
    </row>
    <row r="26" spans="1:3" ht="12.75">
      <c r="A26" t="s">
        <v>9</v>
      </c>
      <c r="B26" s="82">
        <v>2006</v>
      </c>
      <c r="C26" s="8"/>
    </row>
    <row r="27" spans="1:2" ht="12.75">
      <c r="A27" t="s">
        <v>10</v>
      </c>
      <c r="B27" s="82">
        <v>2006</v>
      </c>
    </row>
    <row r="28" spans="1:2" ht="12.75">
      <c r="A28" t="s">
        <v>11</v>
      </c>
      <c r="B28" s="82">
        <v>2016</v>
      </c>
    </row>
    <row r="29" ht="5.25" customHeight="1">
      <c r="B29" s="52"/>
    </row>
    <row r="30" ht="5.25" customHeight="1"/>
    <row r="31" spans="1:5" ht="13.5" thickBot="1">
      <c r="A31" s="72"/>
      <c r="B31" s="72" t="s">
        <v>95</v>
      </c>
      <c r="C31" s="108" t="s">
        <v>112</v>
      </c>
      <c r="D31" s="72"/>
      <c r="E31" s="72"/>
    </row>
    <row r="32" spans="1:7" ht="12.75">
      <c r="A32" t="s">
        <v>71</v>
      </c>
      <c r="B32" s="71">
        <f>300000</f>
        <v>300000</v>
      </c>
      <c r="C32" s="5">
        <f>'Actual costs'!C24</f>
        <v>600000</v>
      </c>
      <c r="D32" t="s">
        <v>12</v>
      </c>
      <c r="E32" s="79" t="s">
        <v>56</v>
      </c>
      <c r="G32" s="92" t="s">
        <v>91</v>
      </c>
    </row>
    <row r="33" spans="1:5" ht="12.75">
      <c r="A33" t="s">
        <v>74</v>
      </c>
      <c r="B33" s="71">
        <v>900000</v>
      </c>
      <c r="C33" s="5">
        <f>'Actual costs'!C25</f>
        <v>375377.99</v>
      </c>
      <c r="D33" t="s">
        <v>12</v>
      </c>
      <c r="E33" s="80">
        <v>1</v>
      </c>
    </row>
    <row r="34" spans="1:4" ht="12.75">
      <c r="A34" s="85" t="s">
        <v>78</v>
      </c>
      <c r="B34" s="86">
        <v>1000000</v>
      </c>
      <c r="C34" s="87">
        <f>'Actual costs'!C26</f>
        <v>1175373.85</v>
      </c>
      <c r="D34" s="46" t="s">
        <v>12</v>
      </c>
    </row>
    <row r="35" spans="1:4" ht="12.75">
      <c r="A35" s="6" t="s">
        <v>15</v>
      </c>
      <c r="B35" s="6"/>
      <c r="C35" s="74">
        <f>'Actual costs'!C27</f>
        <v>2150751.84</v>
      </c>
      <c r="D35" t="s">
        <v>12</v>
      </c>
    </row>
    <row r="36" spans="1:5" ht="13.5" thickBot="1">
      <c r="A36" s="72"/>
      <c r="B36" s="73"/>
      <c r="C36" s="108" t="s">
        <v>13</v>
      </c>
      <c r="D36" s="72"/>
      <c r="E36" s="72"/>
    </row>
    <row r="37" spans="1:7" ht="12.75">
      <c r="A37" t="s">
        <v>72</v>
      </c>
      <c r="B37" s="70">
        <v>35000</v>
      </c>
      <c r="C37" s="5">
        <f>B37*2</f>
        <v>70000</v>
      </c>
      <c r="D37" t="s">
        <v>12</v>
      </c>
      <c r="E37" s="79" t="s">
        <v>57</v>
      </c>
      <c r="G37" t="s">
        <v>92</v>
      </c>
    </row>
    <row r="38" spans="1:5" ht="12.75">
      <c r="A38" t="s">
        <v>80</v>
      </c>
      <c r="B38" s="93">
        <v>0.003</v>
      </c>
      <c r="C38" s="5">
        <f>A12*B38*1000</f>
        <v>116950.05294222466</v>
      </c>
      <c r="D38" t="s">
        <v>12</v>
      </c>
      <c r="E38" s="80">
        <v>1</v>
      </c>
    </row>
    <row r="39" spans="1:4" ht="12.75">
      <c r="A39" s="85" t="s">
        <v>79</v>
      </c>
      <c r="B39" s="88">
        <f>0.03</f>
        <v>0.03</v>
      </c>
      <c r="C39" s="87">
        <f>A7*B39*1000</f>
        <v>180291.27272727274</v>
      </c>
      <c r="D39" t="s">
        <v>12</v>
      </c>
    </row>
    <row r="40" spans="1:4" ht="12.75">
      <c r="A40" s="6" t="s">
        <v>73</v>
      </c>
      <c r="B40" s="75"/>
      <c r="C40" s="74">
        <f>SUM(C37:C39)*E38</f>
        <v>367241.32566949737</v>
      </c>
      <c r="D40" t="s">
        <v>12</v>
      </c>
    </row>
    <row r="41" ht="12.75">
      <c r="E41" s="115" t="s">
        <v>55</v>
      </c>
    </row>
    <row r="42" ht="12.75">
      <c r="E42" s="80">
        <v>1</v>
      </c>
    </row>
    <row r="43" spans="1:2" ht="12.75">
      <c r="A43" t="s">
        <v>54</v>
      </c>
      <c r="B43" s="82">
        <v>10</v>
      </c>
    </row>
    <row r="44" spans="1:2" ht="12.75">
      <c r="A44" t="s">
        <v>16</v>
      </c>
      <c r="B44" s="83">
        <v>0.15</v>
      </c>
    </row>
    <row r="45" spans="1:2" ht="12.75">
      <c r="A45" t="s">
        <v>44</v>
      </c>
      <c r="B45" s="83">
        <v>1</v>
      </c>
    </row>
    <row r="46" spans="1:2" ht="12.75">
      <c r="A46" t="s">
        <v>45</v>
      </c>
      <c r="B46" s="82">
        <v>10</v>
      </c>
    </row>
    <row r="47" spans="1:2" ht="12.75">
      <c r="A47" t="s">
        <v>27</v>
      </c>
      <c r="B47" s="83">
        <v>0.33</v>
      </c>
    </row>
    <row r="48" spans="1:2" ht="12.75">
      <c r="A48" t="s">
        <v>46</v>
      </c>
      <c r="B48" s="83">
        <v>0.11</v>
      </c>
    </row>
    <row r="50" spans="1:3" ht="12.75">
      <c r="A50" s="21" t="s">
        <v>94</v>
      </c>
      <c r="B50" s="21"/>
      <c r="C50" s="21"/>
    </row>
    <row r="51" spans="1:5" ht="12.75">
      <c r="A51" s="18" t="str">
        <f>Cashflow1!M26</f>
        <v>IRR</v>
      </c>
      <c r="B51" s="19">
        <f>Cashflow1!N26*100</f>
        <v>38.472259007825016</v>
      </c>
      <c r="C51" s="18" t="s">
        <v>20</v>
      </c>
      <c r="D51" s="6" t="s">
        <v>63</v>
      </c>
      <c r="E51" s="5">
        <f>E60</f>
        <v>325000</v>
      </c>
    </row>
    <row r="52" spans="1:5" ht="12.75">
      <c r="A52" s="18" t="str">
        <f>Cashflow1!M27</f>
        <v>NPV (0 %)</v>
      </c>
      <c r="B52" s="20">
        <f>Cashflow1!N27</f>
        <v>4183808.974062317</v>
      </c>
      <c r="C52" s="18" t="s">
        <v>12</v>
      </c>
      <c r="D52" s="6" t="s">
        <v>81</v>
      </c>
      <c r="E52" s="81">
        <f>E16</f>
        <v>133533.29717142973</v>
      </c>
    </row>
    <row r="53" spans="1:5" ht="12.75">
      <c r="A53" s="18" t="str">
        <f>Cashflow1!M28</f>
        <v>NPV (15 %)</v>
      </c>
      <c r="B53" s="20">
        <f>Cashflow1!N28</f>
        <v>1076969.287921218</v>
      </c>
      <c r="C53" s="18" t="s">
        <v>12</v>
      </c>
      <c r="D53" s="6" t="s">
        <v>64</v>
      </c>
      <c r="E53" s="14">
        <v>6.5</v>
      </c>
    </row>
    <row r="54" ht="12.75">
      <c r="D54" s="52"/>
    </row>
    <row r="56" spans="4:6" ht="12.75">
      <c r="D56" s="89" t="s">
        <v>8</v>
      </c>
      <c r="E56" s="90" t="s">
        <v>82</v>
      </c>
      <c r="F56" s="6"/>
    </row>
    <row r="57" spans="4:5" ht="13.5" thickBot="1">
      <c r="D57">
        <f>B26</f>
        <v>2006</v>
      </c>
      <c r="E57" s="91">
        <v>0</v>
      </c>
    </row>
    <row r="58" spans="1:5" ht="13.5" thickBot="1">
      <c r="A58" s="27" t="s">
        <v>93</v>
      </c>
      <c r="B58" s="26"/>
      <c r="D58">
        <f>IF(D57=0,0,IF(D57&lt;=$B$28,D57+1,0))</f>
        <v>2007</v>
      </c>
      <c r="E58" s="91">
        <f>IF(D58&lt;=2008,0,$E$52*$E$53)</f>
        <v>0</v>
      </c>
    </row>
    <row r="59" spans="4:5" ht="12.75">
      <c r="D59">
        <f aca="true" t="shared" si="0" ref="D59:D68">IF(D58=0,0,IF(D58&lt;=$B$28,D58+1,0))</f>
        <v>2008</v>
      </c>
      <c r="E59" s="91">
        <f>IF(D59&lt;=2008,0,$E$52*$E$53)</f>
        <v>0</v>
      </c>
    </row>
    <row r="60" spans="1:5" ht="12.75">
      <c r="A60" s="46"/>
      <c r="B60" s="46"/>
      <c r="D60">
        <f t="shared" si="0"/>
        <v>2009</v>
      </c>
      <c r="E60" s="91">
        <f>Cashflow1!I8</f>
        <v>325000</v>
      </c>
    </row>
    <row r="61" spans="1:5" ht="12.75">
      <c r="A61" s="46"/>
      <c r="B61" s="47"/>
      <c r="D61">
        <f t="shared" si="0"/>
        <v>2010</v>
      </c>
      <c r="E61" s="91">
        <f>Cashflow1!I9</f>
        <v>650000</v>
      </c>
    </row>
    <row r="62" spans="4:6" ht="12.75">
      <c r="D62">
        <f t="shared" si="0"/>
        <v>2011</v>
      </c>
      <c r="E62" s="91">
        <f>Cashflow1!I10</f>
        <v>1122497.2494171555</v>
      </c>
      <c r="F62" s="12"/>
    </row>
    <row r="63" spans="4:6" ht="12.75">
      <c r="D63">
        <f t="shared" si="0"/>
        <v>2012</v>
      </c>
      <c r="E63" s="91">
        <f>Cashflow1!I11</f>
        <v>1121610.7193571555</v>
      </c>
      <c r="F63" s="12"/>
    </row>
    <row r="64" spans="4:6" ht="12.75">
      <c r="D64">
        <f t="shared" si="0"/>
        <v>2013</v>
      </c>
      <c r="E64" s="91">
        <f>Cashflow1!I12</f>
        <v>1120724.1892971555</v>
      </c>
      <c r="F64" s="12"/>
    </row>
    <row r="65" spans="1:6" ht="12.75">
      <c r="A65" s="46"/>
      <c r="B65" s="47"/>
      <c r="C65" s="46"/>
      <c r="D65">
        <f t="shared" si="0"/>
        <v>2014</v>
      </c>
      <c r="E65" s="91">
        <f>Cashflow1!I13</f>
        <v>0</v>
      </c>
      <c r="F65" s="12"/>
    </row>
    <row r="66" spans="1:6" ht="12.75">
      <c r="A66" s="46"/>
      <c r="B66" s="46"/>
      <c r="C66" s="46"/>
      <c r="D66">
        <f t="shared" si="0"/>
        <v>2015</v>
      </c>
      <c r="E66" s="91">
        <f>Cashflow1!I14</f>
        <v>0</v>
      </c>
      <c r="F66" s="12"/>
    </row>
    <row r="67" spans="1:6" ht="12.75">
      <c r="A67" s="46"/>
      <c r="B67" s="46"/>
      <c r="C67" s="46"/>
      <c r="D67">
        <f t="shared" si="0"/>
        <v>2016</v>
      </c>
      <c r="E67" s="91">
        <f>Cashflow1!I15</f>
        <v>0</v>
      </c>
      <c r="F67" s="12"/>
    </row>
    <row r="68" spans="4:6" ht="12.75">
      <c r="D68">
        <f t="shared" si="0"/>
        <v>2017</v>
      </c>
      <c r="E68" s="91">
        <f>Cashflow1!I16</f>
        <v>0</v>
      </c>
      <c r="F68" s="12"/>
    </row>
    <row r="69" spans="5:6" ht="12.75">
      <c r="E69" s="91"/>
      <c r="F69" s="12"/>
    </row>
    <row r="70" spans="4:6" ht="12.75">
      <c r="D70" s="76"/>
      <c r="E70" s="77"/>
      <c r="F70" s="78"/>
    </row>
    <row r="71" spans="4:6" ht="12.75">
      <c r="D71" s="76"/>
      <c r="E71" s="77"/>
      <c r="F71" s="78"/>
    </row>
    <row r="72" spans="4:6" ht="12.75">
      <c r="D72" s="76"/>
      <c r="E72" s="77"/>
      <c r="F72" s="78"/>
    </row>
    <row r="73" spans="4:6" ht="12.75">
      <c r="D73" s="76"/>
      <c r="E73" s="77"/>
      <c r="F73" s="78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0:E10"/>
    <mergeCell ref="A1:E1"/>
    <mergeCell ref="A4:D4"/>
    <mergeCell ref="A5:E5"/>
  </mergeCells>
  <printOptions/>
  <pageMargins left="0.75" right="0.75" top="1" bottom="1" header="0.4921259845" footer="0.4921259845"/>
  <pageSetup horizontalDpi="355" verticalDpi="355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27" sqref="F27"/>
    </sheetView>
  </sheetViews>
  <sheetFormatPr defaultColWidth="11.421875" defaultRowHeight="12.75"/>
  <cols>
    <col min="1" max="1" width="3.140625" style="0" customWidth="1"/>
    <col min="2" max="2" width="29.421875" style="0" bestFit="1" customWidth="1"/>
    <col min="3" max="3" width="11.7109375" style="0" bestFit="1" customWidth="1"/>
    <col min="7" max="8" width="11.7109375" style="0" bestFit="1" customWidth="1"/>
  </cols>
  <sheetData>
    <row r="1" spans="1:10" ht="20.25">
      <c r="A1" s="127" t="s">
        <v>107</v>
      </c>
      <c r="I1" s="124" t="s">
        <v>117</v>
      </c>
      <c r="J1" s="124" t="s">
        <v>118</v>
      </c>
    </row>
    <row r="2" spans="1:10" ht="20.25">
      <c r="A2" s="127"/>
      <c r="I2" s="132" t="s">
        <v>119</v>
      </c>
      <c r="J2" s="132" t="s">
        <v>120</v>
      </c>
    </row>
    <row r="4" spans="1:7" ht="12.75">
      <c r="A4" s="85"/>
      <c r="B4" s="122" t="s">
        <v>97</v>
      </c>
      <c r="C4" s="123" t="s">
        <v>106</v>
      </c>
      <c r="D4" s="122">
        <v>2006</v>
      </c>
      <c r="E4" s="122">
        <v>2007</v>
      </c>
      <c r="F4" s="122">
        <v>2008</v>
      </c>
      <c r="G4" s="125">
        <v>2009</v>
      </c>
    </row>
    <row r="5" spans="1:7" ht="12.75">
      <c r="A5">
        <v>1</v>
      </c>
      <c r="B5" t="s">
        <v>96</v>
      </c>
      <c r="C5" s="119">
        <f>SUM(D5:G5)</f>
        <v>275377.99</v>
      </c>
      <c r="D5" s="119">
        <f>188642.79</f>
        <v>188642.79</v>
      </c>
      <c r="E5" s="119">
        <v>13870.58</v>
      </c>
      <c r="F5" s="119">
        <v>72864.62</v>
      </c>
      <c r="G5" s="124">
        <v>0</v>
      </c>
    </row>
    <row r="6" spans="1:7" ht="12.75">
      <c r="A6">
        <v>2</v>
      </c>
      <c r="B6" t="s">
        <v>98</v>
      </c>
      <c r="C6" s="120">
        <f>SUM(D6:G6)</f>
        <v>100000</v>
      </c>
      <c r="D6" s="124">
        <v>0</v>
      </c>
      <c r="E6" s="124">
        <v>0</v>
      </c>
      <c r="F6" s="124">
        <v>0</v>
      </c>
      <c r="G6" s="120">
        <v>100000</v>
      </c>
    </row>
    <row r="7" spans="2:3" ht="12.75">
      <c r="B7" s="6" t="s">
        <v>99</v>
      </c>
      <c r="C7" s="117"/>
    </row>
    <row r="8" spans="1:7" ht="12.75">
      <c r="A8">
        <v>3</v>
      </c>
      <c r="B8" t="s">
        <v>96</v>
      </c>
      <c r="C8" s="119">
        <f>SUM(D8:G8)</f>
        <v>82373.85</v>
      </c>
      <c r="D8" s="119">
        <v>82373.85</v>
      </c>
      <c r="E8" s="124">
        <v>0</v>
      </c>
      <c r="F8" s="124">
        <v>0</v>
      </c>
      <c r="G8" s="124">
        <v>0</v>
      </c>
    </row>
    <row r="9" spans="1:8" ht="12.75">
      <c r="A9">
        <v>4</v>
      </c>
      <c r="B9" t="s">
        <v>98</v>
      </c>
      <c r="C9" s="120">
        <f>SUM(D9:G9)</f>
        <v>0</v>
      </c>
      <c r="D9" s="124">
        <v>0</v>
      </c>
      <c r="E9" s="124">
        <v>0</v>
      </c>
      <c r="F9" s="124">
        <v>0</v>
      </c>
      <c r="G9" s="120">
        <v>0</v>
      </c>
      <c r="H9" t="s">
        <v>116</v>
      </c>
    </row>
    <row r="10" spans="1:7" ht="12.75">
      <c r="A10">
        <v>5</v>
      </c>
      <c r="B10" t="s">
        <v>100</v>
      </c>
      <c r="C10" s="120">
        <f>SUM(D10:G10)</f>
        <v>400000</v>
      </c>
      <c r="D10" s="124">
        <v>0</v>
      </c>
      <c r="E10" s="124">
        <v>0</v>
      </c>
      <c r="F10" s="124">
        <v>0</v>
      </c>
      <c r="G10" s="120">
        <v>400000</v>
      </c>
    </row>
    <row r="11" spans="2:3" ht="12.75">
      <c r="B11" s="6" t="s">
        <v>101</v>
      </c>
      <c r="C11" s="117"/>
    </row>
    <row r="12" spans="1:7" ht="12.75">
      <c r="A12">
        <v>6</v>
      </c>
      <c r="B12" t="s">
        <v>96</v>
      </c>
      <c r="C12" s="119">
        <f>SUM(D12:G12)</f>
        <v>285000</v>
      </c>
      <c r="D12" s="124">
        <v>0</v>
      </c>
      <c r="E12" s="124">
        <v>0</v>
      </c>
      <c r="F12" s="119">
        <v>285000</v>
      </c>
      <c r="G12" s="124">
        <v>0</v>
      </c>
    </row>
    <row r="13" spans="1:8" ht="12.75">
      <c r="A13">
        <v>7</v>
      </c>
      <c r="B13" t="s">
        <v>102</v>
      </c>
      <c r="C13" s="120">
        <f>SUM(D13:G13)</f>
        <v>15000</v>
      </c>
      <c r="D13" s="124">
        <v>0</v>
      </c>
      <c r="E13" s="124">
        <v>0</v>
      </c>
      <c r="F13" s="124">
        <v>0</v>
      </c>
      <c r="G13" s="120">
        <v>15000</v>
      </c>
      <c r="H13" t="s">
        <v>114</v>
      </c>
    </row>
    <row r="14" spans="1:7" ht="12.75">
      <c r="A14">
        <v>8</v>
      </c>
      <c r="B14" t="s">
        <v>103</v>
      </c>
      <c r="C14" s="120">
        <f>SUM(D14:G14)</f>
        <v>300000</v>
      </c>
      <c r="D14" s="124">
        <v>0</v>
      </c>
      <c r="E14" s="124">
        <v>0</v>
      </c>
      <c r="F14" s="124">
        <v>0</v>
      </c>
      <c r="G14" s="120">
        <v>300000</v>
      </c>
    </row>
    <row r="15" spans="2:3" ht="12.75">
      <c r="B15" s="6" t="s">
        <v>104</v>
      </c>
      <c r="C15" s="117"/>
    </row>
    <row r="16" spans="1:7" ht="12.75">
      <c r="A16">
        <v>7</v>
      </c>
      <c r="B16" t="s">
        <v>105</v>
      </c>
      <c r="C16" s="119">
        <f>SUM(D16:G16)</f>
        <v>518000</v>
      </c>
      <c r="D16" s="124">
        <v>0</v>
      </c>
      <c r="E16" s="124">
        <v>0</v>
      </c>
      <c r="F16" s="119">
        <v>518000</v>
      </c>
      <c r="G16" s="124">
        <v>0</v>
      </c>
    </row>
    <row r="17" spans="1:8" ht="12.75">
      <c r="A17" s="85">
        <v>8</v>
      </c>
      <c r="B17" s="85" t="s">
        <v>102</v>
      </c>
      <c r="C17" s="121">
        <f>SUM(D17:G17)</f>
        <v>175000</v>
      </c>
      <c r="D17" s="126">
        <v>0</v>
      </c>
      <c r="E17" s="126">
        <v>0</v>
      </c>
      <c r="F17" s="126">
        <v>0</v>
      </c>
      <c r="G17" s="121">
        <v>175000</v>
      </c>
      <c r="H17" s="85" t="s">
        <v>113</v>
      </c>
    </row>
    <row r="18" spans="2:8" ht="12.75">
      <c r="B18" s="6" t="s">
        <v>106</v>
      </c>
      <c r="C18" s="118">
        <f>SUM(C5:C17)</f>
        <v>2150751.84</v>
      </c>
      <c r="D18" s="118">
        <f>SUM(D5:D17)</f>
        <v>271016.64</v>
      </c>
      <c r="E18" s="118">
        <f>SUM(E5:E17)</f>
        <v>13870.58</v>
      </c>
      <c r="F18" s="118">
        <f>SUM(F5:F17)</f>
        <v>875864.62</v>
      </c>
      <c r="G18" s="118">
        <f>SUM(G5:G17)</f>
        <v>990000</v>
      </c>
      <c r="H18" s="116">
        <f>SUM(D18:G18)</f>
        <v>2150751.84</v>
      </c>
    </row>
    <row r="19" ht="12.75">
      <c r="H19" s="5">
        <f>C18-H18</f>
        <v>0</v>
      </c>
    </row>
    <row r="20" spans="2:3" ht="12.75">
      <c r="B20" t="s">
        <v>115</v>
      </c>
      <c r="C20" s="116">
        <f>SUM(D18:F18)</f>
        <v>1160751.84</v>
      </c>
    </row>
    <row r="24" spans="2:3" ht="12.75">
      <c r="B24" t="s">
        <v>111</v>
      </c>
      <c r="C24" s="116">
        <f>SUM(C12:C14)</f>
        <v>600000</v>
      </c>
    </row>
    <row r="25" spans="2:3" ht="12.75">
      <c r="B25" t="s">
        <v>108</v>
      </c>
      <c r="C25" s="116">
        <f>SUM(C5:C6)</f>
        <v>375377.99</v>
      </c>
    </row>
    <row r="26" spans="2:3" ht="12.75">
      <c r="B26" s="85" t="s">
        <v>109</v>
      </c>
      <c r="C26" s="128">
        <f>SUM(C8:C10)+SUM(C16:C17)</f>
        <v>1175373.85</v>
      </c>
    </row>
    <row r="27" spans="2:3" ht="12.75">
      <c r="B27" t="s">
        <v>110</v>
      </c>
      <c r="C27" s="116">
        <f>SUM(C24:C26)</f>
        <v>2150751.84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0" sqref="H10"/>
    </sheetView>
  </sheetViews>
  <sheetFormatPr defaultColWidth="11.421875" defaultRowHeight="12.75"/>
  <sheetData>
    <row r="1" spans="1:5" ht="12.75">
      <c r="A1" t="s">
        <v>122</v>
      </c>
      <c r="D1" s="124" t="s">
        <v>117</v>
      </c>
      <c r="E1" s="124" t="s">
        <v>126</v>
      </c>
    </row>
    <row r="2" spans="4:5" ht="12.75">
      <c r="D2" s="132" t="s">
        <v>119</v>
      </c>
      <c r="E2" s="132" t="s">
        <v>120</v>
      </c>
    </row>
    <row r="3" spans="4:5" ht="12.75">
      <c r="D3" s="25" t="s">
        <v>131</v>
      </c>
      <c r="E3" s="25" t="s">
        <v>132</v>
      </c>
    </row>
    <row r="5" spans="1:8" ht="12.75">
      <c r="A5" s="136" t="s">
        <v>8</v>
      </c>
      <c r="B5" s="136" t="s">
        <v>124</v>
      </c>
      <c r="C5" s="136" t="s">
        <v>123</v>
      </c>
      <c r="D5" s="136" t="s">
        <v>129</v>
      </c>
      <c r="E5" s="136" t="s">
        <v>127</v>
      </c>
      <c r="F5" s="46"/>
      <c r="G5" s="46"/>
      <c r="H5" s="46"/>
    </row>
    <row r="6" spans="1:8" ht="12.75">
      <c r="A6" s="85"/>
      <c r="B6" s="122" t="s">
        <v>125</v>
      </c>
      <c r="C6" s="122" t="s">
        <v>125</v>
      </c>
      <c r="D6" s="122" t="s">
        <v>130</v>
      </c>
      <c r="E6" s="122" t="s">
        <v>111</v>
      </c>
      <c r="F6" s="122" t="s">
        <v>128</v>
      </c>
      <c r="G6" s="122" t="s">
        <v>123</v>
      </c>
      <c r="H6" s="122" t="s">
        <v>110</v>
      </c>
    </row>
    <row r="7" spans="1:8" ht="12.75">
      <c r="A7">
        <v>2006</v>
      </c>
      <c r="B7" s="112">
        <f>'[2]Tabelle1'!$AM$9*1000</f>
        <v>8010733.871986545</v>
      </c>
      <c r="C7">
        <v>0</v>
      </c>
      <c r="D7" s="134">
        <f>'[2]Tabelle1'!$J$9</f>
        <v>14668.900473634963</v>
      </c>
      <c r="E7">
        <v>0</v>
      </c>
      <c r="F7" s="112">
        <f>B7*'Input Parameters'!$B$38</f>
        <v>24032.201615959635</v>
      </c>
      <c r="G7" s="5">
        <v>0</v>
      </c>
      <c r="H7" s="111">
        <f>SUM(E7:G7)</f>
        <v>24032.201615959635</v>
      </c>
    </row>
    <row r="8" spans="1:8" ht="12.75">
      <c r="A8">
        <v>2007</v>
      </c>
      <c r="B8" s="112">
        <f>'[2]Tabelle1'!$AM$22*1000</f>
        <v>27103126.916170504</v>
      </c>
      <c r="C8">
        <v>0</v>
      </c>
      <c r="D8" s="134">
        <f>'[2]Tabelle1'!$J$22</f>
        <v>49630.043590377034</v>
      </c>
      <c r="E8">
        <v>0</v>
      </c>
      <c r="F8" s="112">
        <f>B8*'Input Parameters'!$B$38</f>
        <v>81309.38074851151</v>
      </c>
      <c r="G8" s="5">
        <v>0</v>
      </c>
      <c r="H8" s="111">
        <f aca="true" t="shared" si="0" ref="H8:H17">SUM(E8:G8)</f>
        <v>81309.38074851151</v>
      </c>
    </row>
    <row r="9" spans="1:8" ht="12.75">
      <c r="A9">
        <v>2008</v>
      </c>
      <c r="B9" s="133">
        <f>35000000</f>
        <v>35000000</v>
      </c>
      <c r="C9">
        <v>0</v>
      </c>
      <c r="D9" s="133">
        <v>50000</v>
      </c>
      <c r="E9">
        <v>0</v>
      </c>
      <c r="F9" s="111">
        <f>B9*'Input Parameters'!$B$38</f>
        <v>105000</v>
      </c>
      <c r="G9" s="5">
        <v>0</v>
      </c>
      <c r="H9" s="111">
        <f t="shared" si="0"/>
        <v>105000</v>
      </c>
    </row>
    <row r="10" spans="1:8" ht="12.75">
      <c r="A10">
        <v>2009</v>
      </c>
      <c r="B10" s="133">
        <f>40000000*'Input Parameters'!E42</f>
        <v>40000000</v>
      </c>
      <c r="C10" s="133">
        <f>150000*'Input Parameters'!E42</f>
        <v>150000</v>
      </c>
      <c r="D10" s="133">
        <f>100000*'Input Parameters'!E42</f>
        <v>100000</v>
      </c>
      <c r="E10" s="111">
        <f>'Input Parameters'!$B$37*7/12*'Input Parameters'!E38</f>
        <v>20416.666666666668</v>
      </c>
      <c r="F10" s="111">
        <f>B10*'Input Parameters'!$B$38*'Input Parameters'!E$38</f>
        <v>120000</v>
      </c>
      <c r="G10" s="111">
        <f>C10*'Input Parameters'!$B$39*'Input Parameters'!E$38</f>
        <v>4500</v>
      </c>
      <c r="H10" s="111">
        <f t="shared" si="0"/>
        <v>144916.66666666666</v>
      </c>
    </row>
    <row r="11" spans="1:8" ht="12.75">
      <c r="A11">
        <v>2010</v>
      </c>
      <c r="B11" s="133">
        <f>45529000*'Input Parameters'!E$42</f>
        <v>45529000</v>
      </c>
      <c r="C11" s="133">
        <f>9422400*'Input Parameters'!E$42</f>
        <v>9422400</v>
      </c>
      <c r="D11" s="133">
        <f>[3]!Projekt_reduction_2010*'Input Parameters'!E$42</f>
        <v>172691.88452571622</v>
      </c>
      <c r="E11" s="111">
        <f>'Input Parameters'!$B$37*2*'Input Parameters'!E$38</f>
        <v>70000</v>
      </c>
      <c r="F11" s="111">
        <f>B11*'Input Parameters'!$B$38*'Input Parameters'!E$38</f>
        <v>136587</v>
      </c>
      <c r="G11" s="111">
        <f>C11*'Input Parameters'!$B$39*'Input Parameters'!E$38</f>
        <v>282672</v>
      </c>
      <c r="H11" s="111">
        <f t="shared" si="0"/>
        <v>489259</v>
      </c>
    </row>
    <row r="12" spans="1:8" ht="12.75">
      <c r="A12">
        <v>2011</v>
      </c>
      <c r="B12" s="133">
        <f>45529000*'Input Parameters'!E$42</f>
        <v>45529000</v>
      </c>
      <c r="C12" s="133">
        <f>9422400*'Input Parameters'!E$42</f>
        <v>9422400</v>
      </c>
      <c r="D12" s="133">
        <f>[3]!Projekt_reduction_2011*'Input Parameters'!E42</f>
        <v>172555.49528571623</v>
      </c>
      <c r="E12" s="111">
        <f>'Input Parameters'!$B$37*2*'Input Parameters'!E$38</f>
        <v>70000</v>
      </c>
      <c r="F12" s="111">
        <f>B12*'Input Parameters'!$B$38*'Input Parameters'!E$38</f>
        <v>136587</v>
      </c>
      <c r="G12" s="111">
        <f>C12*'Input Parameters'!$B$39*'Input Parameters'!E$38</f>
        <v>282672</v>
      </c>
      <c r="H12" s="111">
        <f t="shared" si="0"/>
        <v>489259</v>
      </c>
    </row>
    <row r="13" spans="1:8" ht="12.75">
      <c r="A13">
        <v>2012</v>
      </c>
      <c r="B13" s="133">
        <f>45529000*'Input Parameters'!E$42</f>
        <v>45529000</v>
      </c>
      <c r="C13" s="133">
        <f>9422400*'Input Parameters'!E$42</f>
        <v>9422400</v>
      </c>
      <c r="D13" s="133">
        <f>[3]!Projekt_reduction_2012*'Input Parameters'!E42</f>
        <v>172419.1060457162</v>
      </c>
      <c r="E13" s="111">
        <f>'Input Parameters'!$B$37*2*'Input Parameters'!E$38</f>
        <v>70000</v>
      </c>
      <c r="F13" s="111">
        <f>B13*'Input Parameters'!$B$38*'Input Parameters'!E$38</f>
        <v>136587</v>
      </c>
      <c r="G13" s="111">
        <f>C13*'Input Parameters'!$B$39*'Input Parameters'!E$38</f>
        <v>282672</v>
      </c>
      <c r="H13" s="111">
        <f t="shared" si="0"/>
        <v>489259</v>
      </c>
    </row>
    <row r="14" spans="1:8" ht="12.75">
      <c r="A14">
        <v>2013</v>
      </c>
      <c r="B14" s="133">
        <f>45529000*'Input Parameters'!E$42</f>
        <v>45529000</v>
      </c>
      <c r="C14" s="133">
        <f>9422400*'Input Parameters'!E$42</f>
        <v>9422400</v>
      </c>
      <c r="D14" s="25"/>
      <c r="E14" s="111">
        <f>'Input Parameters'!$B$37*2*'Input Parameters'!E$38</f>
        <v>70000</v>
      </c>
      <c r="F14" s="111">
        <f>B14*'Input Parameters'!$B$38*'Input Parameters'!E$38</f>
        <v>136587</v>
      </c>
      <c r="G14" s="111">
        <f>C14*'Input Parameters'!$B$39*'Input Parameters'!E$38</f>
        <v>282672</v>
      </c>
      <c r="H14" s="111">
        <f t="shared" si="0"/>
        <v>489259</v>
      </c>
    </row>
    <row r="15" spans="1:8" ht="12.75">
      <c r="A15">
        <v>2014</v>
      </c>
      <c r="B15" s="133">
        <f>45529000*'Input Parameters'!E$42</f>
        <v>45529000</v>
      </c>
      <c r="C15" s="133">
        <f>9422400*'Input Parameters'!E$42</f>
        <v>9422400</v>
      </c>
      <c r="D15" s="25"/>
      <c r="E15" s="111">
        <f>'Input Parameters'!$B$37*2*'Input Parameters'!E$38</f>
        <v>70000</v>
      </c>
      <c r="F15" s="111">
        <f>B15*'Input Parameters'!$B$38*'Input Parameters'!E$38</f>
        <v>136587</v>
      </c>
      <c r="G15" s="111">
        <f>C15*'Input Parameters'!$B$39*'Input Parameters'!E$38</f>
        <v>282672</v>
      </c>
      <c r="H15" s="111">
        <f t="shared" si="0"/>
        <v>489259</v>
      </c>
    </row>
    <row r="16" spans="1:8" ht="12.75">
      <c r="A16">
        <v>2015</v>
      </c>
      <c r="B16" s="133">
        <f>45529000*'Input Parameters'!E$42</f>
        <v>45529000</v>
      </c>
      <c r="C16" s="133">
        <f>9422400*'Input Parameters'!E$42</f>
        <v>9422400</v>
      </c>
      <c r="D16" s="25"/>
      <c r="E16" s="111">
        <f>'Input Parameters'!$B$37*2*'Input Parameters'!E$38</f>
        <v>70000</v>
      </c>
      <c r="F16" s="111">
        <f>B16*'Input Parameters'!$B$38*'Input Parameters'!E$38</f>
        <v>136587</v>
      </c>
      <c r="G16" s="111">
        <f>C16*'Input Parameters'!$B$39*'Input Parameters'!E$38</f>
        <v>282672</v>
      </c>
      <c r="H16" s="111">
        <f t="shared" si="0"/>
        <v>489259</v>
      </c>
    </row>
    <row r="17" spans="1:8" ht="12.75">
      <c r="A17" s="85">
        <v>2016</v>
      </c>
      <c r="B17" s="135">
        <f>45529000*'Input Parameters'!E$42</f>
        <v>45529000</v>
      </c>
      <c r="C17" s="135">
        <f>9422400*'Input Parameters'!E$42</f>
        <v>9422400</v>
      </c>
      <c r="D17" s="29"/>
      <c r="E17" s="135">
        <f>'Input Parameters'!$B$37*2*'Input Parameters'!E$38</f>
        <v>70000</v>
      </c>
      <c r="F17" s="135">
        <f>B17*'Input Parameters'!$B$38*'Input Parameters'!E$38</f>
        <v>136587</v>
      </c>
      <c r="G17" s="135">
        <f>C17*'Input Parameters'!$B$39*'Input Parameters'!E$38</f>
        <v>282672</v>
      </c>
      <c r="H17" s="135">
        <f t="shared" si="0"/>
        <v>489259</v>
      </c>
    </row>
    <row r="18" spans="1:8" ht="12.75">
      <c r="A18" s="6" t="s">
        <v>106</v>
      </c>
      <c r="B18" s="74">
        <f>SUM(B7:B17)</f>
        <v>428816860.78815705</v>
      </c>
      <c r="C18" s="74">
        <f aca="true" t="shared" si="1" ref="C18:H18">SUM(C7:C17)</f>
        <v>66106800</v>
      </c>
      <c r="D18" s="137">
        <f>SUM(D7:D17)</f>
        <v>731965.4299211607</v>
      </c>
      <c r="E18" s="74">
        <f t="shared" si="1"/>
        <v>510416.6666666667</v>
      </c>
      <c r="F18" s="74">
        <f t="shared" si="1"/>
        <v>1286450.5823644712</v>
      </c>
      <c r="G18" s="74">
        <f t="shared" si="1"/>
        <v>1983204</v>
      </c>
      <c r="H18" s="74">
        <f t="shared" si="1"/>
        <v>3780071.2490311377</v>
      </c>
    </row>
    <row r="19" spans="1:8" ht="12.75">
      <c r="A19" s="6" t="s">
        <v>133</v>
      </c>
      <c r="B19" s="74">
        <f aca="true" t="shared" si="2" ref="B19:H19">AVERAGE(B7:B17)</f>
        <v>38983350.98074155</v>
      </c>
      <c r="C19" s="74">
        <f t="shared" si="2"/>
        <v>6009709.090909091</v>
      </c>
      <c r="D19" s="137">
        <f t="shared" si="2"/>
        <v>104566.48998873724</v>
      </c>
      <c r="E19" s="74">
        <f t="shared" si="2"/>
        <v>46401.51515151515</v>
      </c>
      <c r="F19" s="74">
        <f t="shared" si="2"/>
        <v>116950.05294222465</v>
      </c>
      <c r="G19" s="74">
        <f t="shared" si="2"/>
        <v>180291.27272727274</v>
      </c>
      <c r="H19" s="74">
        <f t="shared" si="2"/>
        <v>343642.8408210125</v>
      </c>
    </row>
    <row r="20" spans="4:5" ht="12.75">
      <c r="D20" s="5">
        <f>SUM(D9:D13)</f>
        <v>667666.4858571487</v>
      </c>
      <c r="E20" t="s">
        <v>134</v>
      </c>
    </row>
    <row r="21" spans="4:5" ht="12.75">
      <c r="D21" s="5">
        <f>AVERAGE(D9:D13)</f>
        <v>133533.29717142973</v>
      </c>
      <c r="E21" t="s">
        <v>133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P28"/>
  <sheetViews>
    <sheetView zoomScale="125" zoomScaleNormal="125" workbookViewId="0" topLeftCell="A1">
      <selection activeCell="A8" sqref="A8"/>
    </sheetView>
  </sheetViews>
  <sheetFormatPr defaultColWidth="11.42187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10.421875" style="0" bestFit="1" customWidth="1"/>
    <col min="10" max="10" width="10.28125" style="0" customWidth="1"/>
    <col min="11" max="11" width="10.00390625" style="0" customWidth="1"/>
    <col min="14" max="14" width="15.140625" style="0" bestFit="1" customWidth="1"/>
  </cols>
  <sheetData>
    <row r="2" spans="1:16" ht="12.75">
      <c r="A2" s="97"/>
      <c r="B2" s="98"/>
      <c r="C2" s="98"/>
      <c r="D2" s="98"/>
      <c r="E2" s="99" t="s">
        <v>43</v>
      </c>
      <c r="F2" s="98"/>
      <c r="G2" s="98"/>
      <c r="H2" s="98"/>
      <c r="I2" s="100"/>
      <c r="J2" s="100"/>
      <c r="K2" s="97"/>
      <c r="L2" s="99" t="s">
        <v>17</v>
      </c>
      <c r="M2" s="99" t="s">
        <v>17</v>
      </c>
      <c r="N2" s="99" t="s">
        <v>1</v>
      </c>
      <c r="O2" s="99" t="s">
        <v>1</v>
      </c>
      <c r="P2" s="101" t="s">
        <v>36</v>
      </c>
    </row>
    <row r="3" spans="1:16" ht="12.75">
      <c r="A3" s="102" t="s">
        <v>8</v>
      </c>
      <c r="B3" s="103" t="s">
        <v>0</v>
      </c>
      <c r="C3" s="103" t="s">
        <v>31</v>
      </c>
      <c r="D3" s="103" t="s">
        <v>16</v>
      </c>
      <c r="E3" s="103" t="s">
        <v>52</v>
      </c>
      <c r="F3" s="103" t="s">
        <v>21</v>
      </c>
      <c r="G3" s="103" t="s">
        <v>5</v>
      </c>
      <c r="H3" s="103" t="s">
        <v>6</v>
      </c>
      <c r="I3" s="104" t="s">
        <v>65</v>
      </c>
      <c r="J3" s="104" t="s">
        <v>66</v>
      </c>
      <c r="K3" s="102" t="s">
        <v>8</v>
      </c>
      <c r="L3" s="103" t="s">
        <v>18</v>
      </c>
      <c r="M3" s="103" t="s">
        <v>19</v>
      </c>
      <c r="N3" s="103" t="s">
        <v>42</v>
      </c>
      <c r="O3" s="103" t="s">
        <v>62</v>
      </c>
      <c r="P3" s="104" t="s">
        <v>37</v>
      </c>
    </row>
    <row r="4" spans="1:16" ht="12.75">
      <c r="A4" s="105"/>
      <c r="B4" s="106" t="s">
        <v>12</v>
      </c>
      <c r="C4" s="106" t="s">
        <v>12</v>
      </c>
      <c r="D4" s="106" t="s">
        <v>12</v>
      </c>
      <c r="E4" s="106" t="s">
        <v>12</v>
      </c>
      <c r="F4" s="106" t="s">
        <v>12</v>
      </c>
      <c r="G4" s="106" t="s">
        <v>12</v>
      </c>
      <c r="H4" s="106" t="s">
        <v>12</v>
      </c>
      <c r="I4" s="107" t="s">
        <v>12</v>
      </c>
      <c r="J4" s="107" t="s">
        <v>12</v>
      </c>
      <c r="K4" s="105"/>
      <c r="L4" s="106" t="s">
        <v>12</v>
      </c>
      <c r="M4" s="106" t="s">
        <v>12</v>
      </c>
      <c r="N4" s="106" t="s">
        <v>12</v>
      </c>
      <c r="O4" s="106" t="s">
        <v>12</v>
      </c>
      <c r="P4" s="107" t="s">
        <v>12</v>
      </c>
    </row>
    <row r="5" spans="1:16" ht="12.75">
      <c r="A5" s="96">
        <f>'Input Parameters'!$B$26</f>
        <v>2006</v>
      </c>
      <c r="B5" s="50">
        <f>Financing!B8</f>
        <v>271016.64</v>
      </c>
      <c r="C5" s="50">
        <f>Production!H7</f>
        <v>24032.201615959635</v>
      </c>
      <c r="D5" s="50">
        <f>Financing!L8</f>
        <v>0</v>
      </c>
      <c r="E5" s="50">
        <f>Financing!J8</f>
        <v>0</v>
      </c>
      <c r="F5" s="50">
        <f>Taxes!J8</f>
        <v>13217.7108887778</v>
      </c>
      <c r="G5" s="15">
        <f>Production!C7*'Input Parameters'!$B$22*(1+'Input Parameters'!$B$48)^(A5-'Input Parameters'!$B$26)</f>
        <v>0</v>
      </c>
      <c r="H5" s="15">
        <f>Production!B7*'Input Parameters'!$B$21</f>
        <v>64085.87097589236</v>
      </c>
      <c r="I5" s="15">
        <v>0</v>
      </c>
      <c r="J5" s="15">
        <f>'Input Parameters'!F57</f>
        <v>0</v>
      </c>
      <c r="K5" s="96">
        <f>'Input Parameters'!$B$26</f>
        <v>2006</v>
      </c>
      <c r="L5" s="94">
        <f>SUM(B5:F5)-E5-D5</f>
        <v>308266.55250473745</v>
      </c>
      <c r="M5" s="15">
        <f>SUM(G5:J5)</f>
        <v>64085.87097589236</v>
      </c>
      <c r="N5" s="50">
        <f>M5-L5</f>
        <v>-244180.6815288451</v>
      </c>
      <c r="O5" s="50">
        <f>N5</f>
        <v>-244180.6815288451</v>
      </c>
      <c r="P5" s="50"/>
    </row>
    <row r="6" spans="1:16" ht="12.75">
      <c r="A6" s="96">
        <f>IF(A5&lt;100,0,IF('Input Parameters'!$B$28=A5,0,A5+1))</f>
        <v>2007</v>
      </c>
      <c r="B6" s="50">
        <f>Financing!C9</f>
        <v>13870.58</v>
      </c>
      <c r="C6" s="50">
        <f>Production!H8</f>
        <v>81309.38074851151</v>
      </c>
      <c r="D6" s="50">
        <f>Financing!L9</f>
        <v>40652.496</v>
      </c>
      <c r="E6" s="50">
        <f>Financing!J9</f>
        <v>27101.664</v>
      </c>
      <c r="F6" s="50">
        <f>Taxes!J9</f>
        <v>22361.28661168133</v>
      </c>
      <c r="G6" s="15">
        <f>Production!C8*'Input Parameters'!$B$22*(1+'Input Parameters'!$B$48)^(A6-'Input Parameters'!$B$26)</f>
        <v>0</v>
      </c>
      <c r="H6" s="15">
        <f>Production!B8*'Input Parameters'!$B$21</f>
        <v>216825.01532936405</v>
      </c>
      <c r="I6" s="15">
        <v>0</v>
      </c>
      <c r="J6" s="15">
        <f>'Input Parameters'!F58</f>
        <v>0</v>
      </c>
      <c r="K6" s="96">
        <f>IF(K5&lt;100,0,IF('Input Parameters'!$B$28=K5,0,K5+1))</f>
        <v>2007</v>
      </c>
      <c r="L6" s="94">
        <f aca="true" t="shared" si="0" ref="L6:L17">SUM(B6:F6)-E6-D6</f>
        <v>117541.24736019287</v>
      </c>
      <c r="M6" s="15">
        <f aca="true" t="shared" si="1" ref="M6:M19">SUM(G6:J6)</f>
        <v>216825.01532936405</v>
      </c>
      <c r="N6" s="50">
        <f aca="true" t="shared" si="2" ref="N6:N19">M6-L6</f>
        <v>99283.76796917118</v>
      </c>
      <c r="O6" s="50">
        <f>IF(A5=0,0,O5+N6)</f>
        <v>-144896.91355967394</v>
      </c>
      <c r="P6" s="50">
        <f>+N6-E6</f>
        <v>72182.10396917118</v>
      </c>
    </row>
    <row r="7" spans="1:16" ht="12.75">
      <c r="A7" s="96">
        <f>IF(A6&lt;100,0,IF('Input Parameters'!$B$28=A6,0,A6+1))</f>
        <v>2008</v>
      </c>
      <c r="B7" s="50">
        <f>Financing!D10</f>
        <v>875864.62</v>
      </c>
      <c r="C7" s="50">
        <f>Production!H9</f>
        <v>105000</v>
      </c>
      <c r="D7" s="50">
        <f>Financing!L10</f>
        <v>38667.8334</v>
      </c>
      <c r="E7" s="50">
        <f>Financing!J10</f>
        <v>28488.722</v>
      </c>
      <c r="F7" s="50">
        <f>Taxes!J10</f>
        <v>142838.336718</v>
      </c>
      <c r="G7" s="15">
        <f>Production!C9*'Input Parameters'!$B$22*(1+'Input Parameters'!$B$48)^(A7-'Input Parameters'!$B$26)</f>
        <v>0</v>
      </c>
      <c r="H7" s="15">
        <f>Production!B9*'Input Parameters'!$B$21</f>
        <v>280000</v>
      </c>
      <c r="I7" s="15">
        <v>0</v>
      </c>
      <c r="J7" s="15">
        <f>'Input Parameters'!F59</f>
        <v>0</v>
      </c>
      <c r="K7" s="96">
        <f>IF(K6&lt;100,0,IF('Input Parameters'!$B$28=K6,0,K6+1))</f>
        <v>2008</v>
      </c>
      <c r="L7" s="94">
        <f t="shared" si="0"/>
        <v>1123702.9567180001</v>
      </c>
      <c r="M7" s="15">
        <f t="shared" si="1"/>
        <v>280000</v>
      </c>
      <c r="N7" s="50">
        <f t="shared" si="2"/>
        <v>-843702.9567180001</v>
      </c>
      <c r="O7" s="50">
        <f aca="true" t="shared" si="3" ref="O7:O24">IF(A6=0,0,O6+N7)</f>
        <v>-988599.870277674</v>
      </c>
      <c r="P7" s="50">
        <f aca="true" t="shared" si="4" ref="P7:P19">+N7-E7</f>
        <v>-872191.6787180001</v>
      </c>
    </row>
    <row r="8" spans="1:16" ht="12.75">
      <c r="A8" s="96">
        <f>IF(A7&lt;100,0,IF('Input Parameters'!$B$28=A7,0,A7+1))</f>
        <v>2009</v>
      </c>
      <c r="B8" s="50">
        <f>Financing!E11</f>
        <v>990000</v>
      </c>
      <c r="C8" s="50">
        <f>Production!H10*(1+'Input Parameters'!$B$48)^(A8-'Input Parameters'!$B$26)</f>
        <v>198192.52575000003</v>
      </c>
      <c r="D8" s="50">
        <f>Financing!L11</f>
        <v>165774.21809999997</v>
      </c>
      <c r="E8" s="50">
        <f>Financing!J11</f>
        <v>116075.18400000001</v>
      </c>
      <c r="F8" s="50">
        <f>Taxes!J11</f>
        <v>95627.41811700004</v>
      </c>
      <c r="G8" s="15">
        <f>Production!C10*'Input Parameters'!$B$22*(1+'Input Parameters'!$B$48)^(A8-'Input Parameters'!$B$26)</f>
        <v>7180.062750000003</v>
      </c>
      <c r="H8" s="15">
        <f>Production!B10*'Input Parameters'!$B$21*(1+'Input Parameters'!$B$48)^(A8-'Input Parameters'!$B$26)</f>
        <v>437641.9200000001</v>
      </c>
      <c r="I8" s="15">
        <f>Production!D9*'Input Parameters'!$E$53</f>
        <v>325000</v>
      </c>
      <c r="J8" s="15">
        <f>'Input Parameters'!F60</f>
        <v>0</v>
      </c>
      <c r="K8" s="96">
        <f>IF(K7&lt;100,0,IF('Input Parameters'!$B$28=K7,0,K7+1))</f>
        <v>2009</v>
      </c>
      <c r="L8" s="94">
        <f t="shared" si="0"/>
        <v>1283819.943867</v>
      </c>
      <c r="M8" s="15">
        <f t="shared" si="1"/>
        <v>769821.9827500001</v>
      </c>
      <c r="N8" s="50">
        <f t="shared" si="2"/>
        <v>-513997.96111699997</v>
      </c>
      <c r="O8" s="50">
        <f t="shared" si="3"/>
        <v>-1502597.831394674</v>
      </c>
      <c r="P8" s="50">
        <f t="shared" si="4"/>
        <v>-630073.145117</v>
      </c>
    </row>
    <row r="9" spans="1:16" ht="12.75">
      <c r="A9" s="96">
        <f>IF(A8&lt;100,0,IF('Input Parameters'!$B$28=A8,0,A8+1))</f>
        <v>2010</v>
      </c>
      <c r="B9" s="50">
        <f>IF(A9='Input Parameters'!$B$26,'Input Parameters'!$C$35,0)</f>
        <v>0</v>
      </c>
      <c r="C9" s="50">
        <f>Production!H11*(1+'Input Parameters'!$B$48)^(A9-'Input Parameters'!$B$26)</f>
        <v>742729.6107261903</v>
      </c>
      <c r="D9" s="50">
        <f>Financing!L12</f>
        <v>296862.94049999997</v>
      </c>
      <c r="E9" s="50">
        <f>Financing!J12</f>
        <v>215075.184</v>
      </c>
      <c r="F9" s="50">
        <f>Taxes!J12</f>
        <v>148136.1480853222</v>
      </c>
      <c r="G9" s="15">
        <f>Production!C11*'Input Parameters'!$B$22*(1+'Input Parameters'!$B$48)^(A9-'Input Parameters'!$B$26)</f>
        <v>500635.3320914402</v>
      </c>
      <c r="H9" s="15">
        <f>Production!B11*'Input Parameters'!$B$21*(1+'Input Parameters'!$B$48)^(A9-'Input Parameters'!$B$26)</f>
        <v>552929.8215751202</v>
      </c>
      <c r="I9" s="15">
        <f>Production!D10*'Input Parameters'!$E$53</f>
        <v>650000</v>
      </c>
      <c r="J9" s="15">
        <f>'Input Parameters'!F61</f>
        <v>0</v>
      </c>
      <c r="K9" s="96">
        <f>IF(K8&lt;100,0,IF('Input Parameters'!$B$28=K8,0,K8+1))</f>
        <v>2010</v>
      </c>
      <c r="L9" s="94">
        <f t="shared" si="0"/>
        <v>890865.7588115125</v>
      </c>
      <c r="M9" s="15">
        <f t="shared" si="1"/>
        <v>1703565.1536665605</v>
      </c>
      <c r="N9" s="50">
        <f t="shared" si="2"/>
        <v>812699.394855048</v>
      </c>
      <c r="O9" s="50">
        <f t="shared" si="3"/>
        <v>-689898.436539626</v>
      </c>
      <c r="P9" s="50">
        <f t="shared" si="4"/>
        <v>597624.210855048</v>
      </c>
    </row>
    <row r="10" spans="1:16" ht="12.75">
      <c r="A10" s="96">
        <f>IF(A9&lt;100,0,IF('Input Parameters'!$B$28=A9,0,A9+1))</f>
        <v>2011</v>
      </c>
      <c r="B10" s="50">
        <f>IF(A10='Input Parameters'!$B$26,'Input Parameters'!$C$35,0)</f>
        <v>0</v>
      </c>
      <c r="C10" s="50">
        <f>Production!H12*(1+'Input Parameters'!$B$48)^(A10-'Input Parameters'!$B$26)</f>
        <v>824429.8679060711</v>
      </c>
      <c r="D10" s="50">
        <f>Financing!L13</f>
        <v>264601.6629</v>
      </c>
      <c r="E10" s="50">
        <f>Financing!J13</f>
        <v>215075.184</v>
      </c>
      <c r="F10" s="50">
        <f>Taxes!J13</f>
        <v>325989.79220971896</v>
      </c>
      <c r="G10" s="15">
        <f>Production!C12*'Input Parameters'!$B$22*(1+'Input Parameters'!$B$48)^(A10-'Input Parameters'!$B$26)</f>
        <v>555705.2186214987</v>
      </c>
      <c r="H10" s="15">
        <f>Production!B12*'Input Parameters'!$B$21*(1+'Input Parameters'!$B$48)^(A10-'Input Parameters'!$B$26)</f>
        <v>613752.1019483834</v>
      </c>
      <c r="I10" s="15">
        <f>Production!D11*'Input Parameters'!$E$53</f>
        <v>1122497.2494171555</v>
      </c>
      <c r="J10" s="15">
        <f>'Input Parameters'!F62</f>
        <v>0</v>
      </c>
      <c r="K10" s="96">
        <f>IF(K9&lt;100,0,IF('Input Parameters'!$B$28=K9,0,K9+1))</f>
        <v>2011</v>
      </c>
      <c r="L10" s="94">
        <f t="shared" si="0"/>
        <v>1150419.66011579</v>
      </c>
      <c r="M10" s="15">
        <f t="shared" si="1"/>
        <v>2291954.5699870377</v>
      </c>
      <c r="N10" s="50">
        <f t="shared" si="2"/>
        <v>1141534.9098712476</v>
      </c>
      <c r="O10" s="50">
        <f t="shared" si="3"/>
        <v>451636.4733316216</v>
      </c>
      <c r="P10" s="50">
        <f t="shared" si="4"/>
        <v>926459.7258712476</v>
      </c>
    </row>
    <row r="11" spans="1:16" ht="12.75">
      <c r="A11" s="96">
        <f>IF(A10&lt;100,0,IF('Input Parameters'!$B$28=A10,0,A10+1))</f>
        <v>2012</v>
      </c>
      <c r="B11" s="50">
        <f>IF(A11='Input Parameters'!$B$26,'Input Parameters'!$C$35,0)</f>
        <v>0</v>
      </c>
      <c r="C11" s="50">
        <f>Production!H13*(1+'Input Parameters'!$B$48)^(A11-'Input Parameters'!$B$26)</f>
        <v>915117.153375739</v>
      </c>
      <c r="D11" s="50">
        <f>Financing!L14</f>
        <v>232340.38530000002</v>
      </c>
      <c r="E11" s="50">
        <f>Financing!J14</f>
        <v>215075.184</v>
      </c>
      <c r="F11" s="50">
        <f>Taxes!J14</f>
        <v>348867.9554296154</v>
      </c>
      <c r="G11" s="15">
        <f>Production!C13*'Input Parameters'!$B$22*(1+'Input Parameters'!$B$48)^(A11-'Input Parameters'!$B$26)</f>
        <v>616832.7926698636</v>
      </c>
      <c r="H11" s="15">
        <f>Production!B13*'Input Parameters'!$B$21*(1+'Input Parameters'!$B$48)^(A11-'Input Parameters'!$B$26)</f>
        <v>681264.8331627056</v>
      </c>
      <c r="I11" s="15">
        <f>Production!D12*'Input Parameters'!$E$53</f>
        <v>1121610.7193571555</v>
      </c>
      <c r="J11" s="15">
        <f>'Input Parameters'!F63</f>
        <v>0</v>
      </c>
      <c r="K11" s="96">
        <f>IF(K10&lt;100,0,IF('Input Parameters'!$B$28=K10,0,K10+1))</f>
        <v>2012</v>
      </c>
      <c r="L11" s="94">
        <f t="shared" si="0"/>
        <v>1263985.1088053545</v>
      </c>
      <c r="M11" s="15">
        <f t="shared" si="1"/>
        <v>2419708.345189725</v>
      </c>
      <c r="N11" s="50">
        <f t="shared" si="2"/>
        <v>1155723.2363843706</v>
      </c>
      <c r="O11" s="50">
        <f t="shared" si="3"/>
        <v>1607359.7097159922</v>
      </c>
      <c r="P11" s="50">
        <f t="shared" si="4"/>
        <v>940648.0523843706</v>
      </c>
    </row>
    <row r="12" spans="1:16" ht="12.75">
      <c r="A12" s="96">
        <f>IF(A11&lt;100,0,IF('Input Parameters'!$B$28=A11,0,A11+1))</f>
        <v>2013</v>
      </c>
      <c r="B12" s="50">
        <f>IF(A12='Input Parameters'!$B$26,'Input Parameters'!$C$35,0)</f>
        <v>0</v>
      </c>
      <c r="C12" s="50">
        <f>Production!H14*(1+'Input Parameters'!$B$48)^(A12-'Input Parameters'!$B$26)</f>
        <v>1015780.0402470704</v>
      </c>
      <c r="D12" s="50">
        <f>Financing!L15</f>
        <v>200079.10770000005</v>
      </c>
      <c r="E12" s="50">
        <f>Financing!J15</f>
        <v>215075.184</v>
      </c>
      <c r="F12" s="50">
        <f>Taxes!J15</f>
        <v>373123.81326799816</v>
      </c>
      <c r="G12" s="15">
        <f>Production!C14*'Input Parameters'!$B$22*(1+'Input Parameters'!$B$48)^(A12-'Input Parameters'!$B$26)</f>
        <v>684684.3998635486</v>
      </c>
      <c r="H12" s="15">
        <f>Production!B14*'Input Parameters'!$B$21*(1+'Input Parameters'!$B$48)^(A12-'Input Parameters'!$B$26)</f>
        <v>756203.9648106032</v>
      </c>
      <c r="I12" s="15">
        <f>Production!D13*'Input Parameters'!$E$53</f>
        <v>1120724.1892971555</v>
      </c>
      <c r="J12" s="15">
        <f>'Input Parameters'!F64</f>
        <v>0</v>
      </c>
      <c r="K12" s="96">
        <f>IF(K11&lt;100,0,IF('Input Parameters'!$B$28=K11,0,K11+1))</f>
        <v>2013</v>
      </c>
      <c r="L12" s="94">
        <f t="shared" si="0"/>
        <v>1388903.8535150685</v>
      </c>
      <c r="M12" s="15">
        <f t="shared" si="1"/>
        <v>2561612.5539713074</v>
      </c>
      <c r="N12" s="50">
        <f t="shared" si="2"/>
        <v>1172708.7004562388</v>
      </c>
      <c r="O12" s="50">
        <f t="shared" si="3"/>
        <v>2780068.410172231</v>
      </c>
      <c r="P12" s="50">
        <f t="shared" si="4"/>
        <v>957633.5164562388</v>
      </c>
    </row>
    <row r="13" spans="1:16" ht="12.75">
      <c r="A13" s="96">
        <f>IF(A12&lt;100,0,IF('Input Parameters'!$B$28=A12,0,A12+1))</f>
        <v>2014</v>
      </c>
      <c r="B13" s="50">
        <f>IF(A13='Input Parameters'!$B$26,'Input Parameters'!$C$35,0)</f>
        <v>0</v>
      </c>
      <c r="C13" s="50">
        <f>Production!H15*(1+'Input Parameters'!$B$48)^(A13-'Input Parameters'!$B$26)</f>
        <v>1127515.8446742482</v>
      </c>
      <c r="D13" s="50">
        <f>Financing!L16</f>
        <v>167817.83010000005</v>
      </c>
      <c r="E13" s="50">
        <f>Financing!J16</f>
        <v>215075.184</v>
      </c>
      <c r="F13" s="50">
        <f>Taxes!J16</f>
        <v>29362.484584640013</v>
      </c>
      <c r="G13" s="15">
        <f>Production!C15*'Input Parameters'!$B$22*(1+'Input Parameters'!$B$48)^(A13-'Input Parameters'!$B$26)</f>
        <v>759999.6838485391</v>
      </c>
      <c r="H13" s="15">
        <f>Production!B15*'Input Parameters'!$B$21*(1+'Input Parameters'!$B$48)^(A13-'Input Parameters'!$B$26)</f>
        <v>839386.4009397698</v>
      </c>
      <c r="I13" s="15">
        <f>Production!D14*'Input Parameters'!$E$53*(1+'Input Parameters'!$B$48)^(A12-'Input Parameters'!$B$26)</f>
        <v>0</v>
      </c>
      <c r="J13" s="15">
        <f>'Input Parameters'!F65</f>
        <v>0</v>
      </c>
      <c r="K13" s="96">
        <f>IF(K12&lt;100,0,IF('Input Parameters'!$B$28=K12,0,K12+1))</f>
        <v>2014</v>
      </c>
      <c r="L13" s="94">
        <f t="shared" si="0"/>
        <v>1156878.3292588883</v>
      </c>
      <c r="M13" s="15">
        <f t="shared" si="1"/>
        <v>1599386.084788309</v>
      </c>
      <c r="N13" s="50">
        <f t="shared" si="2"/>
        <v>442507.7555294207</v>
      </c>
      <c r="O13" s="50">
        <f t="shared" si="3"/>
        <v>3222576.165701652</v>
      </c>
      <c r="P13" s="50">
        <f t="shared" si="4"/>
        <v>227432.57152942067</v>
      </c>
    </row>
    <row r="14" spans="1:16" ht="12.75">
      <c r="A14" s="96">
        <f>IF(A13&lt;100,0,IF('Input Parameters'!$B$28=A13,0,A13+1))</f>
        <v>2015</v>
      </c>
      <c r="B14" s="50">
        <f>IF(A14='Input Parameters'!$B$26,'Input Parameters'!$C$35,0)</f>
        <v>0</v>
      </c>
      <c r="C14" s="50">
        <f>Production!H16*(1+'Input Parameters'!$B$48)^(A14-'Input Parameters'!$B$26)</f>
        <v>1251542.5875884157</v>
      </c>
      <c r="D14" s="50">
        <f>Financing!L17</f>
        <v>135556.55250000005</v>
      </c>
      <c r="E14" s="50">
        <f>Financing!J17</f>
        <v>215075.184</v>
      </c>
      <c r="F14" s="50">
        <f>Taxes!J17</f>
        <v>57137.595908780386</v>
      </c>
      <c r="G14" s="15">
        <f>Production!C16*'Input Parameters'!$B$22*(1+'Input Parameters'!$B$48)^(A14-'Input Parameters'!$B$26)</f>
        <v>843599.6490718785</v>
      </c>
      <c r="H14" s="15">
        <f>Production!B16*'Input Parameters'!$B$21*(1+'Input Parameters'!$B$48)^(A14-'Input Parameters'!$B$26)</f>
        <v>931718.9050431446</v>
      </c>
      <c r="I14" s="15">
        <f>Production!D15*'Input Parameters'!$E$53*(1+'Input Parameters'!$B$48)^(A13-'Input Parameters'!$B$26)</f>
        <v>0</v>
      </c>
      <c r="J14" s="15">
        <f>'Input Parameters'!F66</f>
        <v>0</v>
      </c>
      <c r="K14" s="96">
        <f>IF(K13&lt;100,0,IF('Input Parameters'!$B$28=K13,0,K13+1))</f>
        <v>2015</v>
      </c>
      <c r="L14" s="94">
        <f t="shared" si="0"/>
        <v>1308680.1834971958</v>
      </c>
      <c r="M14" s="15">
        <f t="shared" si="1"/>
        <v>1775318.554115023</v>
      </c>
      <c r="N14" s="50">
        <f t="shared" si="2"/>
        <v>466638.37061782717</v>
      </c>
      <c r="O14" s="50">
        <f t="shared" si="3"/>
        <v>3689214.5363194793</v>
      </c>
      <c r="P14" s="50">
        <f t="shared" si="4"/>
        <v>251563.18661782716</v>
      </c>
    </row>
    <row r="15" spans="1:16" ht="12.75">
      <c r="A15" s="96">
        <f>IF(A14&lt;100,0,IF('Input Parameters'!$B$28=A14,0,A14+1))</f>
        <v>2016</v>
      </c>
      <c r="B15" s="50">
        <f>IF(A15='Input Parameters'!$B$26,'Input Parameters'!$C$35,0)</f>
        <v>0</v>
      </c>
      <c r="C15" s="50">
        <f>Production!H17*(1+'Input Parameters'!$B$48)^(A15-'Input Parameters'!$B$26)</f>
        <v>1389212.2722231417</v>
      </c>
      <c r="D15" s="50">
        <f>Financing!L18</f>
        <v>103295.27490000006</v>
      </c>
      <c r="E15" s="50">
        <f>Financing!J18</f>
        <v>215075.184</v>
      </c>
      <c r="F15" s="50">
        <f>Taxes!J18</f>
        <v>86796.88510169619</v>
      </c>
      <c r="G15" s="15">
        <f>Production!C17*'Input Parameters'!$B$22*(1+'Input Parameters'!$B$48)^(A15-'Input Parameters'!$B$26)</f>
        <v>936395.6104697852</v>
      </c>
      <c r="H15" s="15">
        <f>Production!B17*'Input Parameters'!$B$21*(1+'Input Parameters'!$B$48)^(A15-'Input Parameters'!$B$26)</f>
        <v>1034207.9845978906</v>
      </c>
      <c r="I15" s="15">
        <f>Production!D16*'Input Parameters'!$E$53*(1+'Input Parameters'!$B$48)^(A14-'Input Parameters'!$B$26)</f>
        <v>0</v>
      </c>
      <c r="J15" s="15">
        <f>'Input Parameters'!F67</f>
        <v>0</v>
      </c>
      <c r="K15" s="96">
        <f>IF(K14&lt;100,0,IF('Input Parameters'!$B$28=K14,0,K14+1))</f>
        <v>2016</v>
      </c>
      <c r="L15" s="94">
        <f t="shared" si="0"/>
        <v>1476009.157324838</v>
      </c>
      <c r="M15" s="15">
        <f t="shared" si="1"/>
        <v>1970603.5950676757</v>
      </c>
      <c r="N15" s="50">
        <f t="shared" si="2"/>
        <v>494594.4377428377</v>
      </c>
      <c r="O15" s="50">
        <f t="shared" si="3"/>
        <v>4183808.974062317</v>
      </c>
      <c r="P15" s="50">
        <f t="shared" si="4"/>
        <v>279519.2537428377</v>
      </c>
    </row>
    <row r="16" spans="1:16" ht="12.75">
      <c r="A16" s="96">
        <v>2017</v>
      </c>
      <c r="B16" s="50">
        <f>IF(A16='Input Parameters'!$B$26,'Input Parameters'!$C$35,0)</f>
        <v>0</v>
      </c>
      <c r="C16" s="50">
        <v>0</v>
      </c>
      <c r="D16" s="50">
        <f>Financing!L19</f>
        <v>71033.99730000006</v>
      </c>
      <c r="E16" s="50">
        <f>Financing!J19</f>
        <v>187973.52000000002</v>
      </c>
      <c r="F16" s="50">
        <f>Taxes!J19</f>
        <v>0</v>
      </c>
      <c r="G16" s="15">
        <v>0</v>
      </c>
      <c r="H16" s="15">
        <v>0</v>
      </c>
      <c r="I16" s="15">
        <v>0</v>
      </c>
      <c r="J16" s="15">
        <f>'Input Parameters'!F68</f>
        <v>0</v>
      </c>
      <c r="K16" s="96">
        <v>2017</v>
      </c>
      <c r="L16" s="94">
        <f t="shared" si="0"/>
        <v>0</v>
      </c>
      <c r="M16" s="15">
        <f>SUM(G16:J16)</f>
        <v>0</v>
      </c>
      <c r="N16" s="50">
        <f>M16-L16</f>
        <v>0</v>
      </c>
      <c r="O16" s="50">
        <f t="shared" si="3"/>
        <v>4183808.974062317</v>
      </c>
      <c r="P16" s="50">
        <f>+N16-E16</f>
        <v>-187973.52000000002</v>
      </c>
    </row>
    <row r="17" spans="1:16" ht="12.75">
      <c r="A17" s="96">
        <v>2018</v>
      </c>
      <c r="B17" s="50">
        <f>IF(A17='Input Parameters'!$B$26,'Input Parameters'!$C$35,0)</f>
        <v>0</v>
      </c>
      <c r="C17" s="50">
        <v>0</v>
      </c>
      <c r="D17" s="50">
        <f>Financing!L20</f>
        <v>42837.96930000006</v>
      </c>
      <c r="E17" s="50">
        <f>Financing!J20</f>
        <v>186586.462</v>
      </c>
      <c r="F17" s="50">
        <f>Taxes!J20</f>
        <v>0</v>
      </c>
      <c r="G17" s="15">
        <v>0</v>
      </c>
      <c r="H17" s="15">
        <v>0</v>
      </c>
      <c r="I17" s="15">
        <v>0</v>
      </c>
      <c r="J17" s="15">
        <f>'Input Parameters'!F69</f>
        <v>0</v>
      </c>
      <c r="K17" s="96">
        <v>2018</v>
      </c>
      <c r="L17" s="94">
        <f t="shared" si="0"/>
        <v>0</v>
      </c>
      <c r="M17" s="15">
        <f>SUM(G17:J17)</f>
        <v>0</v>
      </c>
      <c r="N17" s="50">
        <f>M17-L17</f>
        <v>0</v>
      </c>
      <c r="O17" s="50">
        <v>0</v>
      </c>
      <c r="P17" s="50">
        <f>+N17-E17</f>
        <v>-186586.462</v>
      </c>
    </row>
    <row r="18" spans="1:16" ht="12.75">
      <c r="A18" s="96">
        <v>2019</v>
      </c>
      <c r="B18" s="50">
        <f>IF(A18='Input Parameters'!$B$26,'Input Parameters'!$C$35,0)</f>
        <v>0</v>
      </c>
      <c r="C18" s="50">
        <v>0</v>
      </c>
      <c r="D18" s="50">
        <f>Financing!L21</f>
        <v>14850.00000000006</v>
      </c>
      <c r="E18" s="50">
        <f>Financing!J21</f>
        <v>99000</v>
      </c>
      <c r="F18" s="50">
        <f>Taxes!J21</f>
        <v>0</v>
      </c>
      <c r="G18" s="15">
        <f>Production!C20*'Input Parameters'!$B$22*(1+'Input Parameters'!$B$48)^(A18-'Input Parameters'!$B$26)</f>
        <v>0</v>
      </c>
      <c r="H18" s="15">
        <f>Production!B20*'Input Parameters'!$B$21*(1+'Input Parameters'!$B$48)^(A18-'Input Parameters'!$B$26)</f>
        <v>0</v>
      </c>
      <c r="I18" s="15">
        <v>0</v>
      </c>
      <c r="J18" s="15">
        <f>'Input Parameters'!F70</f>
        <v>0</v>
      </c>
      <c r="K18" s="96">
        <v>0</v>
      </c>
      <c r="L18" s="94">
        <f>SUM(B18:F18)-E18-D18</f>
        <v>0</v>
      </c>
      <c r="M18" s="15">
        <f>SUM(G18:J18)</f>
        <v>0</v>
      </c>
      <c r="N18" s="50">
        <f>M18-L18</f>
        <v>0</v>
      </c>
      <c r="O18" s="50">
        <v>0</v>
      </c>
      <c r="P18" s="50">
        <f>+N18-E18</f>
        <v>-99000</v>
      </c>
    </row>
    <row r="19" spans="1:16" ht="12.75">
      <c r="A19" s="96">
        <v>0</v>
      </c>
      <c r="B19" s="50">
        <f>IF(A19='Input Parameters'!$B$26,'Input Parameters'!$C$35,0)</f>
        <v>0</v>
      </c>
      <c r="C19" s="50">
        <f>IF(A19&gt;='Input Parameters'!$B$27,'Input Parameters'!$C$40,0)*(1+'Input Parameters'!$B$48)^(A19-'Input Parameters'!$B$26)</f>
        <v>0</v>
      </c>
      <c r="D19" s="50">
        <f>Financing!L22</f>
        <v>6.111804395914078E-11</v>
      </c>
      <c r="E19" s="50">
        <f>Financing!J22</f>
        <v>0</v>
      </c>
      <c r="F19" s="50">
        <f>Taxes!J22</f>
        <v>0</v>
      </c>
      <c r="G19" s="15">
        <f>Production!C21*'Input Parameters'!$B$22*(1+'Input Parameters'!$B$48)^(A19-'Input Parameters'!$B$26)</f>
        <v>0</v>
      </c>
      <c r="H19" s="15">
        <f>IF(A19&gt;='Input Parameters'!$B$27,'Input Parameters'!$C$23,0)</f>
        <v>0</v>
      </c>
      <c r="I19" s="15">
        <v>0</v>
      </c>
      <c r="J19" s="15">
        <f>'Input Parameters'!F68</f>
        <v>0</v>
      </c>
      <c r="K19" s="96">
        <f>IF(K18&lt;100,0,IF('Input Parameters'!$B$28=K18,0,K18+1))</f>
        <v>0</v>
      </c>
      <c r="L19" s="95">
        <f aca="true" t="shared" si="5" ref="L19:L24">SUM(B19:F19)-E19</f>
        <v>6.111804395914078E-11</v>
      </c>
      <c r="M19" s="16">
        <f t="shared" si="1"/>
        <v>0</v>
      </c>
      <c r="N19" s="17">
        <f t="shared" si="2"/>
        <v>-6.111804395914078E-11</v>
      </c>
      <c r="O19" s="17">
        <f t="shared" si="3"/>
        <v>-6.111804395914078E-11</v>
      </c>
      <c r="P19" s="17">
        <f t="shared" si="4"/>
        <v>-6.111804395914078E-11</v>
      </c>
    </row>
    <row r="20" spans="1:16" ht="12.75">
      <c r="A20" s="96">
        <f>IF(A19&lt;100,0,IF('Input Parameters'!$B$28=A19,0,A19+1))</f>
        <v>0</v>
      </c>
      <c r="B20" s="50">
        <f>IF(A20='Input Parameters'!$B$26,'Input Parameters'!$C$35,0)</f>
        <v>0</v>
      </c>
      <c r="C20" s="50">
        <f>IF(A20&gt;='Input Parameters'!$B$27,'Input Parameters'!$C$40,0)*(1+'Input Parameters'!$B$48)^(A20-'Input Parameters'!$B$26)</f>
        <v>0</v>
      </c>
      <c r="D20" s="50">
        <f>Financing!L23</f>
        <v>0</v>
      </c>
      <c r="E20" s="50">
        <f>Financing!J23</f>
        <v>0</v>
      </c>
      <c r="F20" s="50">
        <f>Taxes!J23</f>
        <v>0</v>
      </c>
      <c r="G20" s="15">
        <f>Production!C22*'Input Parameters'!$B$22*(1+'Input Parameters'!$B$48)^(A20-'Input Parameters'!$B$26)</f>
        <v>0</v>
      </c>
      <c r="H20" s="15">
        <f>IF(A20&gt;='Input Parameters'!$B$27,'Input Parameters'!$C$23,0)</f>
        <v>0</v>
      </c>
      <c r="I20" s="15">
        <v>0</v>
      </c>
      <c r="J20" s="15">
        <f>'Input Parameters'!F69</f>
        <v>0</v>
      </c>
      <c r="K20" s="96">
        <f>IF(K19&lt;100,0,IF('Input Parameters'!$B$28=K19,0,K19+1))</f>
        <v>0</v>
      </c>
      <c r="L20" s="95">
        <f t="shared" si="5"/>
        <v>0</v>
      </c>
      <c r="M20" s="16">
        <f>SUM(G20:J20)</f>
        <v>0</v>
      </c>
      <c r="N20" s="17">
        <f>M20-L20</f>
        <v>0</v>
      </c>
      <c r="O20" s="17">
        <f t="shared" si="3"/>
        <v>0</v>
      </c>
      <c r="P20" s="17">
        <f>+N20-E20</f>
        <v>0</v>
      </c>
    </row>
    <row r="21" spans="1:16" ht="12.75">
      <c r="A21" s="96">
        <f>IF(A20&lt;100,0,IF('Input Parameters'!$B$28=A20,0,A20+1))</f>
        <v>0</v>
      </c>
      <c r="B21" s="50">
        <f>IF(A21='Input Parameters'!$B$26,'Input Parameters'!$C$35,0)</f>
        <v>0</v>
      </c>
      <c r="C21" s="50">
        <f>IF(A21&gt;='Input Parameters'!$B$27,'Input Parameters'!$C$40,0)*(1+'Input Parameters'!$B$48)^(A21-'Input Parameters'!$B$26)</f>
        <v>0</v>
      </c>
      <c r="D21" s="50">
        <f>Financing!L24</f>
        <v>0</v>
      </c>
      <c r="E21" s="50">
        <f>Financing!J24</f>
        <v>0</v>
      </c>
      <c r="F21" s="50">
        <f>Taxes!J24</f>
        <v>0</v>
      </c>
      <c r="G21" s="15">
        <f>Production!C23*'Input Parameters'!$B$22*(1+'Input Parameters'!$B$48)^(A21-'Input Parameters'!$B$26)</f>
        <v>0</v>
      </c>
      <c r="H21" s="15">
        <f>IF(A21&gt;='Input Parameters'!$B$27,'Input Parameters'!$C$23,0)</f>
        <v>0</v>
      </c>
      <c r="I21" s="15">
        <v>0</v>
      </c>
      <c r="J21" s="15">
        <f>'Input Parameters'!F70</f>
        <v>0</v>
      </c>
      <c r="K21" s="96">
        <f>IF(K20&lt;100,0,IF('Input Parameters'!$B$28=K20,0,K20+1))</f>
        <v>0</v>
      </c>
      <c r="L21" s="95">
        <f t="shared" si="5"/>
        <v>0</v>
      </c>
      <c r="M21" s="16">
        <f>SUM(G21:J21)</f>
        <v>0</v>
      </c>
      <c r="N21" s="17">
        <f>M21-L21</f>
        <v>0</v>
      </c>
      <c r="O21" s="17">
        <f t="shared" si="3"/>
        <v>0</v>
      </c>
      <c r="P21" s="17">
        <f>+N21-E21</f>
        <v>0</v>
      </c>
    </row>
    <row r="22" spans="1:16" ht="12.75">
      <c r="A22" s="96">
        <f>IF(A21&lt;100,0,IF('Input Parameters'!$B$28=A21,0,A21+1))</f>
        <v>0</v>
      </c>
      <c r="B22" s="50">
        <f>IF(A22='Input Parameters'!$B$26,'Input Parameters'!$C$35,0)</f>
        <v>0</v>
      </c>
      <c r="C22" s="50">
        <f>IF(A22&gt;='Input Parameters'!$B$27,'Input Parameters'!$C$40,0)*(1+'Input Parameters'!$B$48)^(A22-'Input Parameters'!$B$26)</f>
        <v>0</v>
      </c>
      <c r="D22" s="50">
        <f>Financing!L25</f>
        <v>0</v>
      </c>
      <c r="E22" s="50">
        <f>Financing!J25</f>
        <v>0</v>
      </c>
      <c r="F22" s="50">
        <f>Taxes!J25</f>
        <v>0</v>
      </c>
      <c r="G22" s="15">
        <f>Production!C24*'Input Parameters'!$B$22*(1+'Input Parameters'!$B$48)^(A22-'Input Parameters'!$B$26)</f>
        <v>0</v>
      </c>
      <c r="H22" s="15">
        <f>IF(A22&gt;='Input Parameters'!$B$27,'Input Parameters'!$C$23,0)</f>
        <v>0</v>
      </c>
      <c r="I22" s="15">
        <v>0</v>
      </c>
      <c r="J22" s="15">
        <f>'Input Parameters'!F71</f>
        <v>0</v>
      </c>
      <c r="K22" s="96">
        <f>IF(K21&lt;100,0,IF('Input Parameters'!$B$28=K21,0,K21+1))</f>
        <v>0</v>
      </c>
      <c r="L22" s="95">
        <f t="shared" si="5"/>
        <v>0</v>
      </c>
      <c r="M22" s="16">
        <f>SUM(G22:J22)</f>
        <v>0</v>
      </c>
      <c r="N22" s="17">
        <f>M22-L22</f>
        <v>0</v>
      </c>
      <c r="O22" s="17">
        <f t="shared" si="3"/>
        <v>0</v>
      </c>
      <c r="P22" s="17">
        <f>+N22-E22</f>
        <v>0</v>
      </c>
    </row>
    <row r="23" spans="1:16" ht="12.75">
      <c r="A23" s="96">
        <f>IF(A22&lt;100,0,IF('Input Parameters'!$B$28=A22,0,A22+1))</f>
        <v>0</v>
      </c>
      <c r="B23" s="50">
        <f>IF(A23='Input Parameters'!$B$26,'Input Parameters'!$C$35,0)</f>
        <v>0</v>
      </c>
      <c r="C23" s="50">
        <f>IF(A23&gt;='Input Parameters'!$B$27,'Input Parameters'!$C$40,0)*(1+'Input Parameters'!$B$48)^(A23-'Input Parameters'!$B$26)</f>
        <v>0</v>
      </c>
      <c r="D23" s="50">
        <f>Financing!L26</f>
        <v>0</v>
      </c>
      <c r="E23" s="50">
        <f>Financing!J26</f>
        <v>0</v>
      </c>
      <c r="F23" s="50">
        <f>Taxes!J26</f>
        <v>0</v>
      </c>
      <c r="G23" s="15">
        <f>Production!C25*'Input Parameters'!$B$22*(1+'Input Parameters'!$B$48)^(A23-'Input Parameters'!$B$26)</f>
        <v>0</v>
      </c>
      <c r="H23" s="15">
        <f>IF(A23&gt;='Input Parameters'!$B$27,'Input Parameters'!$C$23,0)</f>
        <v>0</v>
      </c>
      <c r="I23" s="15">
        <v>0</v>
      </c>
      <c r="J23" s="15">
        <f>'Input Parameters'!F72</f>
        <v>0</v>
      </c>
      <c r="K23" s="96">
        <f>IF(K22&lt;100,0,IF('Input Parameters'!$B$28=K22,0,K22+1))</f>
        <v>0</v>
      </c>
      <c r="L23" s="95">
        <f t="shared" si="5"/>
        <v>0</v>
      </c>
      <c r="M23" s="16">
        <f>SUM(G23:J23)</f>
        <v>0</v>
      </c>
      <c r="N23" s="17">
        <f>M23-L23</f>
        <v>0</v>
      </c>
      <c r="O23" s="17">
        <f t="shared" si="3"/>
        <v>0</v>
      </c>
      <c r="P23" s="17">
        <f>+N23-E23</f>
        <v>0</v>
      </c>
    </row>
    <row r="24" spans="1:16" ht="12.75">
      <c r="A24" s="96">
        <f>IF(A23&lt;100,0,IF('Input Parameters'!$B$28=A23,0,A23+1))</f>
        <v>0</v>
      </c>
      <c r="B24" s="50">
        <f>IF(A24='Input Parameters'!$B$26,'Input Parameters'!$C$35,0)</f>
        <v>0</v>
      </c>
      <c r="C24" s="50">
        <f>IF(A24&gt;='Input Parameters'!$B$27,'Input Parameters'!$C$40,0)*(1+'Input Parameters'!$B$48)^(A24-'Input Parameters'!$B$26)</f>
        <v>0</v>
      </c>
      <c r="D24" s="50">
        <f>Financing!L27</f>
        <v>0</v>
      </c>
      <c r="E24" s="50">
        <f>Financing!J27</f>
        <v>0</v>
      </c>
      <c r="F24" s="50">
        <f>Taxes!J27</f>
        <v>0</v>
      </c>
      <c r="G24" s="15">
        <f>Production!C26*'Input Parameters'!$B$22*(1+'Input Parameters'!$B$48)^(A24-'Input Parameters'!$B$26)</f>
        <v>0</v>
      </c>
      <c r="H24" s="15">
        <f>IF(A24&gt;='Input Parameters'!$B$27,'Input Parameters'!$C$23,0)</f>
        <v>0</v>
      </c>
      <c r="I24" s="15">
        <v>0</v>
      </c>
      <c r="J24" s="15">
        <f>'Input Parameters'!F73</f>
        <v>0</v>
      </c>
      <c r="K24" s="96">
        <f>IF(K23&lt;100,0,IF('Input Parameters'!$B$28=K23,0,K23+1))</f>
        <v>0</v>
      </c>
      <c r="L24" s="95">
        <f t="shared" si="5"/>
        <v>0</v>
      </c>
      <c r="M24" s="16">
        <f>SUM(G24:J24)</f>
        <v>0</v>
      </c>
      <c r="N24" s="17">
        <f>M24-L24</f>
        <v>0</v>
      </c>
      <c r="O24" s="17">
        <f t="shared" si="3"/>
        <v>0</v>
      </c>
      <c r="P24" s="17">
        <f>+N24-E24</f>
        <v>0</v>
      </c>
    </row>
    <row r="25" ht="12.75">
      <c r="B25" s="5">
        <f>SUM(B5:B24)</f>
        <v>2150751.84</v>
      </c>
    </row>
    <row r="26" spans="10:14" ht="12.75">
      <c r="J26" s="51"/>
      <c r="M26" s="9" t="s">
        <v>53</v>
      </c>
      <c r="N26" s="11">
        <f>IRR(N5:N17,-0.2)</f>
        <v>0.38472259007825016</v>
      </c>
    </row>
    <row r="27" spans="1:14" ht="12.75">
      <c r="A27" t="s">
        <v>135</v>
      </c>
      <c r="C27" s="6" t="s">
        <v>136</v>
      </c>
      <c r="M27" s="9" t="s">
        <v>35</v>
      </c>
      <c r="N27" s="10">
        <f>NPV(0%,N5:N24)</f>
        <v>4183808.974062317</v>
      </c>
    </row>
    <row r="28" spans="13:14" ht="12.75">
      <c r="M28" s="9" t="s">
        <v>121</v>
      </c>
      <c r="N28" s="10">
        <f>NPV(15%,N5:N24)</f>
        <v>1076969.287921218</v>
      </c>
    </row>
  </sheetData>
  <printOptions/>
  <pageMargins left="0.34" right="0.32" top="1" bottom="1" header="0.4921259845" footer="0.492125984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3:P29"/>
  <sheetViews>
    <sheetView workbookViewId="0" topLeftCell="A1">
      <selection activeCell="E11" sqref="E11"/>
    </sheetView>
  </sheetViews>
  <sheetFormatPr defaultColWidth="11.421875" defaultRowHeight="12.75"/>
  <cols>
    <col min="16" max="16" width="0" style="0" hidden="1" customWidth="1"/>
  </cols>
  <sheetData>
    <row r="3" spans="1:13" ht="12.75">
      <c r="A3" t="s">
        <v>8</v>
      </c>
      <c r="B3" t="s">
        <v>0</v>
      </c>
      <c r="J3" s="113" t="s">
        <v>22</v>
      </c>
      <c r="K3" t="s">
        <v>43</v>
      </c>
      <c r="L3" t="s">
        <v>16</v>
      </c>
      <c r="M3" t="s">
        <v>23</v>
      </c>
    </row>
    <row r="7" spans="2:9" ht="12.75">
      <c r="B7">
        <v>2006</v>
      </c>
      <c r="C7">
        <v>2007</v>
      </c>
      <c r="D7">
        <v>2008</v>
      </c>
      <c r="E7">
        <v>2009</v>
      </c>
      <c r="F7">
        <v>2006</v>
      </c>
      <c r="G7">
        <v>2007</v>
      </c>
      <c r="H7">
        <v>2008</v>
      </c>
      <c r="I7">
        <v>2009</v>
      </c>
    </row>
    <row r="8" spans="1:13" ht="12.75">
      <c r="A8">
        <f>'Input Parameters'!$B$26</f>
        <v>2006</v>
      </c>
      <c r="B8" s="50">
        <f>'Actual costs'!D18*'Input Parameters'!E33</f>
        <v>271016.64</v>
      </c>
      <c r="C8" s="5"/>
      <c r="D8" s="5"/>
      <c r="E8" s="5"/>
      <c r="F8" s="5"/>
      <c r="G8" s="5"/>
      <c r="H8" s="5"/>
      <c r="I8" s="5"/>
      <c r="J8" s="5"/>
      <c r="K8" s="5">
        <f>B8*'Input Parameters'!B45</f>
        <v>271016.64</v>
      </c>
      <c r="L8" s="5"/>
      <c r="M8" s="5"/>
    </row>
    <row r="9" spans="1:16" ht="12.75">
      <c r="A9">
        <f>IF(A8&lt;100,0,IF('Input Parameters'!$B$28=A8,0,A8+1))</f>
        <v>2007</v>
      </c>
      <c r="C9" s="94">
        <f>'Actual costs'!E18*'Input Parameters'!E33</f>
        <v>13870.58</v>
      </c>
      <c r="D9" s="5"/>
      <c r="E9" s="5"/>
      <c r="F9" s="110">
        <f>$B$8/'Input Parameters'!$B$43</f>
        <v>27101.664</v>
      </c>
      <c r="G9" s="5"/>
      <c r="H9" s="5"/>
      <c r="I9" s="5"/>
      <c r="J9" s="5">
        <f>SUM(F9:I9)</f>
        <v>27101.664</v>
      </c>
      <c r="K9" s="5">
        <f>K8-J9+C9</f>
        <v>257785.556</v>
      </c>
      <c r="L9" s="5">
        <f>K8*'Input Parameters'!$B$44</f>
        <v>40652.496</v>
      </c>
      <c r="M9" s="5">
        <f>J9</f>
        <v>27101.664</v>
      </c>
      <c r="P9">
        <v>0</v>
      </c>
    </row>
    <row r="10" spans="1:16" ht="12.75">
      <c r="A10">
        <f>IF(A9&lt;100,0,IF('Input Parameters'!$B$28=A9,0,A9+1))</f>
        <v>2008</v>
      </c>
      <c r="C10" s="5"/>
      <c r="D10" s="15">
        <f>'Actual costs'!F18*'Input Parameters'!E33</f>
        <v>875864.62</v>
      </c>
      <c r="E10" s="109"/>
      <c r="F10" s="110">
        <f>$B$8/'Input Parameters'!$B$43</f>
        <v>27101.664</v>
      </c>
      <c r="G10" s="111">
        <f>$C$9/'Input Parameters'!$B$43</f>
        <v>1387.058</v>
      </c>
      <c r="H10" s="109"/>
      <c r="I10" s="109"/>
      <c r="J10" s="5">
        <f aca="true" t="shared" si="0" ref="J10:J22">SUM(F10:I10)</f>
        <v>28488.722</v>
      </c>
      <c r="K10" s="5">
        <f>K9-J10+D10</f>
        <v>1105161.454</v>
      </c>
      <c r="L10" s="5">
        <f>K9*'Input Parameters'!$B$44</f>
        <v>38667.8334</v>
      </c>
      <c r="M10" s="5">
        <f aca="true" t="shared" si="1" ref="M10:M22">J10</f>
        <v>28488.722</v>
      </c>
      <c r="P10">
        <f>P9+M9</f>
        <v>27101.664</v>
      </c>
    </row>
    <row r="11" spans="1:16" ht="12.75">
      <c r="A11">
        <f>IF(A10&lt;100,0,IF('Input Parameters'!$B$28=A10,0,A10+1))</f>
        <v>2009</v>
      </c>
      <c r="B11" s="5"/>
      <c r="C11" s="5"/>
      <c r="D11" s="5"/>
      <c r="E11" s="129">
        <f>'Actual costs'!G18*'Input Parameters'!E33</f>
        <v>990000</v>
      </c>
      <c r="F11" s="110">
        <f>$B$8/'Input Parameters'!$B$43</f>
        <v>27101.664</v>
      </c>
      <c r="G11" s="111">
        <f>$C$9/'Input Parameters'!$B$43</f>
        <v>1387.058</v>
      </c>
      <c r="H11" s="112">
        <f>$D$10/'Input Parameters'!$B$43</f>
        <v>87586.462</v>
      </c>
      <c r="I11" s="77"/>
      <c r="J11" s="5">
        <f t="shared" si="0"/>
        <v>116075.18400000001</v>
      </c>
      <c r="K11" s="5">
        <f>K10-J11+E11</f>
        <v>1979086.27</v>
      </c>
      <c r="L11" s="5">
        <f>K10*'Input Parameters'!$B$44</f>
        <v>165774.21809999997</v>
      </c>
      <c r="M11" s="5">
        <f t="shared" si="1"/>
        <v>116075.18400000001</v>
      </c>
      <c r="P11">
        <f aca="true" t="shared" si="2" ref="P11:P27">P10+M10</f>
        <v>55590.386</v>
      </c>
    </row>
    <row r="12" spans="1:16" ht="12.75">
      <c r="A12">
        <f>IF(A11&lt;100,0,IF('Input Parameters'!$B$28=A11,0,A11+1))</f>
        <v>2010</v>
      </c>
      <c r="B12" s="5"/>
      <c r="C12" s="5"/>
      <c r="D12" s="5"/>
      <c r="E12" s="5"/>
      <c r="F12" s="110">
        <f>$B$8/'Input Parameters'!$B$43</f>
        <v>27101.664</v>
      </c>
      <c r="G12" s="111">
        <f>$C$9/'Input Parameters'!$B$43</f>
        <v>1387.058</v>
      </c>
      <c r="H12" s="112">
        <f>$D$10/'Input Parameters'!$B$43</f>
        <v>87586.462</v>
      </c>
      <c r="I12" s="130">
        <f>$E$11/'Input Parameters'!$B$43</f>
        <v>99000</v>
      </c>
      <c r="J12" s="5">
        <f t="shared" si="0"/>
        <v>215075.184</v>
      </c>
      <c r="K12" s="5">
        <f aca="true" t="shared" si="3" ref="K12:K21">K11-J12</f>
        <v>1764011.0860000001</v>
      </c>
      <c r="L12" s="5">
        <f>K11*'Input Parameters'!$B$44</f>
        <v>296862.94049999997</v>
      </c>
      <c r="M12" s="5">
        <f t="shared" si="1"/>
        <v>215075.184</v>
      </c>
      <c r="P12">
        <f t="shared" si="2"/>
        <v>171665.57</v>
      </c>
    </row>
    <row r="13" spans="1:16" ht="12.75">
      <c r="A13">
        <f>IF(A12&lt;100,0,IF('Input Parameters'!$B$28=A12,0,A12+1))</f>
        <v>2011</v>
      </c>
      <c r="B13" s="5"/>
      <c r="C13" s="5"/>
      <c r="D13" s="5"/>
      <c r="E13" s="5"/>
      <c r="F13" s="110">
        <f>$B$8/'Input Parameters'!$B$43</f>
        <v>27101.664</v>
      </c>
      <c r="G13" s="111">
        <f>$C$9/'Input Parameters'!$B$43</f>
        <v>1387.058</v>
      </c>
      <c r="H13" s="112">
        <f>$D$10/'Input Parameters'!$B$43</f>
        <v>87586.462</v>
      </c>
      <c r="I13" s="130">
        <f>$E$11/'Input Parameters'!$B$43</f>
        <v>99000</v>
      </c>
      <c r="J13" s="5">
        <f t="shared" si="0"/>
        <v>215075.184</v>
      </c>
      <c r="K13" s="5">
        <f t="shared" si="3"/>
        <v>1548935.9020000002</v>
      </c>
      <c r="L13" s="5">
        <f>K12*'Input Parameters'!$B$44</f>
        <v>264601.6629</v>
      </c>
      <c r="M13" s="5">
        <f t="shared" si="1"/>
        <v>215075.184</v>
      </c>
      <c r="P13">
        <f t="shared" si="2"/>
        <v>386740.754</v>
      </c>
    </row>
    <row r="14" spans="1:16" ht="12.75">
      <c r="A14">
        <f>IF(A13&lt;100,0,IF('Input Parameters'!$B$28=A13,0,A13+1))</f>
        <v>2012</v>
      </c>
      <c r="B14" s="5"/>
      <c r="C14" s="5"/>
      <c r="D14" s="5"/>
      <c r="E14" s="5"/>
      <c r="F14" s="110">
        <f>$B$8/'Input Parameters'!$B$43</f>
        <v>27101.664</v>
      </c>
      <c r="G14" s="111">
        <f>$C$9/'Input Parameters'!$B$43</f>
        <v>1387.058</v>
      </c>
      <c r="H14" s="112">
        <f>$D$10/'Input Parameters'!$B$43</f>
        <v>87586.462</v>
      </c>
      <c r="I14" s="130">
        <f>$E$11/'Input Parameters'!$B$43</f>
        <v>99000</v>
      </c>
      <c r="J14" s="5">
        <f t="shared" si="0"/>
        <v>215075.184</v>
      </c>
      <c r="K14" s="5">
        <f t="shared" si="3"/>
        <v>1333860.7180000003</v>
      </c>
      <c r="L14" s="5">
        <f>K13*'Input Parameters'!$B$44</f>
        <v>232340.38530000002</v>
      </c>
      <c r="M14" s="5">
        <f t="shared" si="1"/>
        <v>215075.184</v>
      </c>
      <c r="P14">
        <f t="shared" si="2"/>
        <v>601815.9380000001</v>
      </c>
    </row>
    <row r="15" spans="1:16" ht="12.75">
      <c r="A15">
        <f>IF(A14&lt;100,0,IF('Input Parameters'!$B$28=A14,0,A14+1))</f>
        <v>2013</v>
      </c>
      <c r="B15" s="5"/>
      <c r="C15" s="5"/>
      <c r="D15" s="5"/>
      <c r="E15" s="5"/>
      <c r="F15" s="110">
        <f>$B$8/'Input Parameters'!$B$43</f>
        <v>27101.664</v>
      </c>
      <c r="G15" s="111">
        <f>$C$9/'Input Parameters'!$B$43</f>
        <v>1387.058</v>
      </c>
      <c r="H15" s="112">
        <f>$D$10/'Input Parameters'!$B$43</f>
        <v>87586.462</v>
      </c>
      <c r="I15" s="130">
        <f>$E$11/'Input Parameters'!$B$43</f>
        <v>99000</v>
      </c>
      <c r="J15" s="5">
        <f t="shared" si="0"/>
        <v>215075.184</v>
      </c>
      <c r="K15" s="5">
        <f t="shared" si="3"/>
        <v>1118785.5340000005</v>
      </c>
      <c r="L15" s="5">
        <f>K14*'Input Parameters'!$B$44</f>
        <v>200079.10770000005</v>
      </c>
      <c r="M15" s="5">
        <f t="shared" si="1"/>
        <v>215075.184</v>
      </c>
      <c r="P15">
        <f t="shared" si="2"/>
        <v>816891.1220000001</v>
      </c>
    </row>
    <row r="16" spans="1:16" ht="12.75">
      <c r="A16">
        <f>IF(A15&lt;100,0,IF('Input Parameters'!$B$28=A15,0,A15+1))</f>
        <v>2014</v>
      </c>
      <c r="B16" s="5"/>
      <c r="C16" s="5"/>
      <c r="D16" s="5"/>
      <c r="E16" s="5"/>
      <c r="F16" s="110">
        <f>$B$8/'Input Parameters'!$B$43</f>
        <v>27101.664</v>
      </c>
      <c r="G16" s="111">
        <f>$C$9/'Input Parameters'!$B$43</f>
        <v>1387.058</v>
      </c>
      <c r="H16" s="112">
        <f>$D$10/'Input Parameters'!$B$43</f>
        <v>87586.462</v>
      </c>
      <c r="I16" s="130">
        <f>$E$11/'Input Parameters'!$B$43</f>
        <v>99000</v>
      </c>
      <c r="J16" s="5">
        <f t="shared" si="0"/>
        <v>215075.184</v>
      </c>
      <c r="K16" s="5">
        <f t="shared" si="3"/>
        <v>903710.3500000004</v>
      </c>
      <c r="L16" s="5">
        <f>K15*'Input Parameters'!$B$44</f>
        <v>167817.83010000005</v>
      </c>
      <c r="M16" s="5">
        <f t="shared" si="1"/>
        <v>215075.184</v>
      </c>
      <c r="P16">
        <f t="shared" si="2"/>
        <v>1031966.3060000001</v>
      </c>
    </row>
    <row r="17" spans="1:16" ht="12.75">
      <c r="A17">
        <f>IF(A16&lt;100,0,IF('Input Parameters'!$B$28=A16,0,A16+1))</f>
        <v>2015</v>
      </c>
      <c r="B17" s="5"/>
      <c r="C17" s="5"/>
      <c r="D17" s="5"/>
      <c r="E17" s="5"/>
      <c r="F17" s="110">
        <f>$B$8/'Input Parameters'!$B$43</f>
        <v>27101.664</v>
      </c>
      <c r="G17" s="111">
        <f>$C$9/'Input Parameters'!$B$43</f>
        <v>1387.058</v>
      </c>
      <c r="H17" s="112">
        <f>$D$10/'Input Parameters'!$B$43</f>
        <v>87586.462</v>
      </c>
      <c r="I17" s="130">
        <f>$E$11/'Input Parameters'!$B$43</f>
        <v>99000</v>
      </c>
      <c r="J17" s="5">
        <f t="shared" si="0"/>
        <v>215075.184</v>
      </c>
      <c r="K17" s="5">
        <f t="shared" si="3"/>
        <v>688635.1660000004</v>
      </c>
      <c r="L17" s="5">
        <f>K16*'Input Parameters'!$B$44</f>
        <v>135556.55250000005</v>
      </c>
      <c r="M17" s="5">
        <f t="shared" si="1"/>
        <v>215075.184</v>
      </c>
      <c r="P17">
        <f t="shared" si="2"/>
        <v>1247041.4900000002</v>
      </c>
    </row>
    <row r="18" spans="1:16" ht="12.75">
      <c r="A18">
        <f>IF(A17&lt;100,0,IF('Input Parameters'!$B$28=A17,0,A17+1))</f>
        <v>2016</v>
      </c>
      <c r="B18" s="5"/>
      <c r="C18" s="5"/>
      <c r="D18" s="5"/>
      <c r="E18" s="5"/>
      <c r="F18" s="110">
        <f>$B$8/'Input Parameters'!$B$43</f>
        <v>27101.664</v>
      </c>
      <c r="G18" s="111">
        <f>$C$9/'Input Parameters'!$B$43</f>
        <v>1387.058</v>
      </c>
      <c r="H18" s="112">
        <f>$D$10/'Input Parameters'!$B$43</f>
        <v>87586.462</v>
      </c>
      <c r="I18" s="130">
        <f>$E$11/'Input Parameters'!$B$43</f>
        <v>99000</v>
      </c>
      <c r="J18" s="5">
        <f t="shared" si="0"/>
        <v>215075.184</v>
      </c>
      <c r="K18" s="5">
        <f t="shared" si="3"/>
        <v>473559.9820000004</v>
      </c>
      <c r="L18" s="5">
        <f>K17*'Input Parameters'!$B$44</f>
        <v>103295.27490000006</v>
      </c>
      <c r="M18" s="5">
        <f t="shared" si="1"/>
        <v>215075.184</v>
      </c>
      <c r="P18">
        <f t="shared" si="2"/>
        <v>1462116.674</v>
      </c>
    </row>
    <row r="19" spans="1:16" ht="12.75">
      <c r="A19">
        <f>IF(A18&lt;100,0,IF('Input Parameters'!$B$28=A18,0,A18+1))</f>
        <v>0</v>
      </c>
      <c r="B19" s="5"/>
      <c r="C19" s="5"/>
      <c r="D19" s="5"/>
      <c r="E19" s="5"/>
      <c r="F19" s="5"/>
      <c r="G19" s="111">
        <f>$C$9/'Input Parameters'!$B$43</f>
        <v>1387.058</v>
      </c>
      <c r="H19" s="112">
        <f>$D$10/'Input Parameters'!$B$43</f>
        <v>87586.462</v>
      </c>
      <c r="I19" s="130">
        <f>$E$11/'Input Parameters'!$B$43</f>
        <v>99000</v>
      </c>
      <c r="J19" s="5">
        <f t="shared" si="0"/>
        <v>187973.52000000002</v>
      </c>
      <c r="K19" s="5">
        <f t="shared" si="3"/>
        <v>285586.4620000004</v>
      </c>
      <c r="L19" s="5">
        <f>K18*'Input Parameters'!$B$44</f>
        <v>71033.99730000006</v>
      </c>
      <c r="M19" s="5">
        <f t="shared" si="1"/>
        <v>187973.52000000002</v>
      </c>
      <c r="P19">
        <f t="shared" si="2"/>
        <v>1677191.858</v>
      </c>
    </row>
    <row r="20" spans="1:16" ht="12.75">
      <c r="A20">
        <v>2018</v>
      </c>
      <c r="B20" s="5"/>
      <c r="C20" s="5"/>
      <c r="D20" s="5"/>
      <c r="E20" s="5"/>
      <c r="F20" s="5"/>
      <c r="G20" s="5"/>
      <c r="H20" s="112">
        <f>$D$10/'Input Parameters'!$B$43</f>
        <v>87586.462</v>
      </c>
      <c r="I20" s="130">
        <f>$E$11/'Input Parameters'!$B$43</f>
        <v>99000</v>
      </c>
      <c r="J20" s="5">
        <f t="shared" si="0"/>
        <v>186586.462</v>
      </c>
      <c r="K20" s="5">
        <f t="shared" si="3"/>
        <v>99000.00000000041</v>
      </c>
      <c r="L20" s="5">
        <f>K19*'Input Parameters'!$B$44</f>
        <v>42837.96930000006</v>
      </c>
      <c r="M20" s="5">
        <f t="shared" si="1"/>
        <v>186586.462</v>
      </c>
      <c r="P20">
        <f t="shared" si="2"/>
        <v>1865165.378</v>
      </c>
    </row>
    <row r="21" spans="1:16" ht="12.75">
      <c r="A21">
        <f>IF(A20&lt;100,0,IF('Input Parameters'!$B$28=A20,0,A20+1))</f>
        <v>2019</v>
      </c>
      <c r="B21" s="5"/>
      <c r="C21" s="5"/>
      <c r="D21" s="5"/>
      <c r="E21" s="5"/>
      <c r="F21" s="5"/>
      <c r="G21" s="5"/>
      <c r="H21" s="5"/>
      <c r="I21" s="130">
        <f>$E$11/'Input Parameters'!$B$43</f>
        <v>99000</v>
      </c>
      <c r="J21" s="5">
        <f t="shared" si="0"/>
        <v>99000</v>
      </c>
      <c r="K21" s="5">
        <f t="shared" si="3"/>
        <v>4.0745362639427185E-10</v>
      </c>
      <c r="L21" s="5">
        <f>K20*'Input Parameters'!$B$44</f>
        <v>14850.00000000006</v>
      </c>
      <c r="M21" s="5">
        <f t="shared" si="1"/>
        <v>99000</v>
      </c>
      <c r="P21">
        <f t="shared" si="2"/>
        <v>2051751.84</v>
      </c>
    </row>
    <row r="22" spans="1:16" ht="12.75">
      <c r="A22">
        <f>IF(A21&lt;100,0,IF('Input Parameters'!$B$28=A21,0,A21+1))</f>
        <v>2020</v>
      </c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  <c r="K22" s="5"/>
      <c r="L22" s="5">
        <f>K21*'Input Parameters'!$B$44</f>
        <v>6.111804395914078E-11</v>
      </c>
      <c r="M22" s="5">
        <f t="shared" si="1"/>
        <v>0</v>
      </c>
      <c r="P22">
        <f t="shared" si="2"/>
        <v>2150751.84</v>
      </c>
    </row>
    <row r="23" spans="1:16" ht="12.75">
      <c r="A23">
        <f>IF(A22&lt;100,0,IF('Input Parameters'!$B$28=A22,0,A22+1))</f>
        <v>2021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>
        <f t="shared" si="2"/>
        <v>2150751.84</v>
      </c>
    </row>
    <row r="24" spans="1:16" ht="12.75">
      <c r="A24">
        <f>IF(A23&lt;100,0,IF('Input Parameters'!$B$28=A23,0,A23+1))</f>
        <v>2022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>
        <f t="shared" si="2"/>
        <v>2150751.84</v>
      </c>
    </row>
    <row r="25" spans="1:16" ht="12.75">
      <c r="A25">
        <f>IF(A24&lt;100,0,IF('Input Parameters'!$B$28=A24,0,A24+1))</f>
        <v>2023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>
        <f t="shared" si="2"/>
        <v>2150751.84</v>
      </c>
    </row>
    <row r="26" spans="1:16" ht="12.75">
      <c r="A26">
        <f>IF(A25&lt;100,0,IF('Input Parameters'!$B$28=A25,0,A25+1))</f>
        <v>2024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>
        <f t="shared" si="2"/>
        <v>2150751.84</v>
      </c>
    </row>
    <row r="27" spans="1:16" ht="12.75">
      <c r="A27">
        <f>IF(A26&lt;100,0,IF('Input Parameters'!$B$28=A26,0,A26+1))</f>
        <v>2025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>
        <f t="shared" si="2"/>
        <v>2150751.84</v>
      </c>
    </row>
    <row r="28" spans="1:13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2:12" ht="12.75">
      <c r="B29" s="5">
        <f>SUM(B8:E19)</f>
        <v>2150751.84</v>
      </c>
      <c r="F29" s="5">
        <f>SUM(F9:F28)</f>
        <v>271016.63999999996</v>
      </c>
      <c r="G29" s="5">
        <f>SUM(G9:G28)</f>
        <v>13870.580000000002</v>
      </c>
      <c r="H29" s="5">
        <f>SUM(H9:H28)</f>
        <v>875864.6200000001</v>
      </c>
      <c r="I29" s="5">
        <f>SUM(I9:I28)</f>
        <v>990000</v>
      </c>
      <c r="J29" s="5">
        <f>SUM(J9:J28)</f>
        <v>2150751.84</v>
      </c>
      <c r="K29" s="5"/>
      <c r="L29" s="5">
        <f>SUM(L9:L28)</f>
        <v>1774370.2680000004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1">
      <selection activeCell="B16" sqref="B16"/>
    </sheetView>
  </sheetViews>
  <sheetFormatPr defaultColWidth="11.421875" defaultRowHeight="12.75"/>
  <cols>
    <col min="2" max="2" width="13.140625" style="0" bestFit="1" customWidth="1"/>
    <col min="3" max="3" width="9.7109375" style="0" customWidth="1"/>
    <col min="5" max="5" width="12.57421875" style="0" bestFit="1" customWidth="1"/>
    <col min="7" max="7" width="12.7109375" style="0" bestFit="1" customWidth="1"/>
    <col min="9" max="9" width="12.28125" style="0" bestFit="1" customWidth="1"/>
  </cols>
  <sheetData>
    <row r="3" spans="1:10" ht="12.75">
      <c r="A3" s="6" t="s">
        <v>8</v>
      </c>
      <c r="B3" s="40" t="s">
        <v>30</v>
      </c>
      <c r="C3" s="40" t="s">
        <v>31</v>
      </c>
      <c r="D3" s="40" t="s">
        <v>0</v>
      </c>
      <c r="E3" s="41" t="s">
        <v>23</v>
      </c>
      <c r="F3" s="40" t="s">
        <v>16</v>
      </c>
      <c r="G3" s="6" t="s">
        <v>24</v>
      </c>
      <c r="H3" s="6" t="s">
        <v>28</v>
      </c>
      <c r="I3" s="6" t="s">
        <v>33</v>
      </c>
      <c r="J3" s="6" t="s">
        <v>25</v>
      </c>
    </row>
    <row r="4" spans="1:10" ht="12.75">
      <c r="A4" s="6"/>
      <c r="B4" s="40"/>
      <c r="C4" s="40"/>
      <c r="D4" s="40"/>
      <c r="E4" s="41"/>
      <c r="F4" s="40"/>
      <c r="G4" s="6" t="s">
        <v>32</v>
      </c>
      <c r="H4" s="6" t="s">
        <v>29</v>
      </c>
      <c r="I4" s="6" t="s">
        <v>34</v>
      </c>
      <c r="J4" s="6" t="s">
        <v>26</v>
      </c>
    </row>
    <row r="5" spans="2:6" ht="12.75">
      <c r="B5" s="36"/>
      <c r="C5" s="36"/>
      <c r="D5" s="36"/>
      <c r="E5" s="38"/>
      <c r="F5" s="36"/>
    </row>
    <row r="6" spans="2:6" ht="12.75">
      <c r="B6" s="36"/>
      <c r="C6" s="36"/>
      <c r="D6" s="36"/>
      <c r="E6" s="38"/>
      <c r="F6" s="36"/>
    </row>
    <row r="7" spans="2:6" ht="12.75">
      <c r="B7" s="36"/>
      <c r="C7" s="36"/>
      <c r="D7" s="36"/>
      <c r="E7" s="38"/>
      <c r="F7" s="36"/>
    </row>
    <row r="8" spans="1:10" ht="12.75">
      <c r="A8">
        <f>'Input Parameters'!$B$26</f>
        <v>2006</v>
      </c>
      <c r="B8" s="37">
        <f>Cashflow1!G5+Cashflow1!H5+Cashflow1!I5+Cashflow1!J5</f>
        <v>64085.87097589236</v>
      </c>
      <c r="C8" s="37">
        <f>Cashflow1!C5</f>
        <v>24032.201615959635</v>
      </c>
      <c r="D8" s="37">
        <f>Cashflow1!B5</f>
        <v>271016.64</v>
      </c>
      <c r="E8" s="39">
        <f>Financing!M8</f>
        <v>0</v>
      </c>
      <c r="F8" s="37">
        <f>Cashflow1!D5</f>
        <v>0</v>
      </c>
      <c r="G8" s="5">
        <f>B8-C8-E8-F8</f>
        <v>40053.66935993273</v>
      </c>
      <c r="H8" s="5">
        <f>IF(G8&lt;0,G8,0)</f>
        <v>0</v>
      </c>
      <c r="I8" s="5">
        <f aca="true" t="shared" si="0" ref="I8:I18">IF(G8&gt;0,IF(G8+H7&gt;0,G8+H7,0),G8)</f>
        <v>40053.66935993273</v>
      </c>
      <c r="J8" s="5">
        <f>IF(I8&gt;0,I8*'Input Parameters'!$B$47,0)</f>
        <v>13217.7108887778</v>
      </c>
    </row>
    <row r="9" spans="1:10" ht="12.75">
      <c r="A9">
        <f>IF(A8&lt;100,0,IF('Input Parameters'!$B$28=A8,0,A8+1))</f>
        <v>2007</v>
      </c>
      <c r="B9" s="37">
        <f>Cashflow1!G6+Cashflow1!H6+Cashflow1!I6+Cashflow1!J6</f>
        <v>216825.01532936405</v>
      </c>
      <c r="C9" s="37">
        <f>Cashflow1!C6</f>
        <v>81309.38074851151</v>
      </c>
      <c r="D9" s="37">
        <f>Cashflow1!B6</f>
        <v>13870.58</v>
      </c>
      <c r="E9" s="39">
        <f>Financing!M9</f>
        <v>27101.664</v>
      </c>
      <c r="F9" s="37">
        <f>Cashflow1!D6</f>
        <v>40652.496</v>
      </c>
      <c r="G9" s="5">
        <f>B9-C9-E9-F9</f>
        <v>67761.47458085252</v>
      </c>
      <c r="H9" s="5">
        <f>IF(H8&lt;=0,IF(G9+H8&lt;0,G9+H8,0),0)</f>
        <v>0</v>
      </c>
      <c r="I9" s="5">
        <f t="shared" si="0"/>
        <v>67761.47458085252</v>
      </c>
      <c r="J9" s="5">
        <f>IF(I9&gt;0,I9*'Input Parameters'!$B$47,0)</f>
        <v>22361.28661168133</v>
      </c>
    </row>
    <row r="10" spans="1:10" ht="12.75">
      <c r="A10">
        <f>IF(A9&lt;100,0,IF('Input Parameters'!$B$28=A9,0,A9+1))</f>
        <v>2008</v>
      </c>
      <c r="B10" s="37">
        <f>Cashflow1!G7+Cashflow1!H7+Cashflow1!I8+Cashflow1!J7</f>
        <v>605000</v>
      </c>
      <c r="C10" s="37">
        <f>Cashflow1!C7</f>
        <v>105000</v>
      </c>
      <c r="D10" s="37">
        <f>Cashflow1!B7</f>
        <v>875864.62</v>
      </c>
      <c r="E10" s="39">
        <f>Financing!M10</f>
        <v>28488.722</v>
      </c>
      <c r="F10" s="37">
        <f>Cashflow1!D7</f>
        <v>38667.8334</v>
      </c>
      <c r="G10" s="5">
        <f aca="true" t="shared" si="1" ref="G10:G18">B10-C10-E10-F10</f>
        <v>432843.4446</v>
      </c>
      <c r="H10" s="5">
        <f aca="true" t="shared" si="2" ref="H10:H18">IF(H9&lt;=0,IF(G10+H9&lt;0,G10+H9,0),0)</f>
        <v>0</v>
      </c>
      <c r="I10" s="5">
        <f t="shared" si="0"/>
        <v>432843.4446</v>
      </c>
      <c r="J10" s="5">
        <f>IF(I10&gt;0,I10*'Input Parameters'!$B$47,0)</f>
        <v>142838.336718</v>
      </c>
    </row>
    <row r="11" spans="1:10" ht="12.75">
      <c r="A11">
        <f>IF(A10&lt;100,0,IF('Input Parameters'!$B$28=A10,0,A10+1))</f>
        <v>2009</v>
      </c>
      <c r="B11" s="37">
        <f>Cashflow1!G8+Cashflow1!H8+Cashflow1!I8+Cashflow1!J8</f>
        <v>769821.9827500001</v>
      </c>
      <c r="C11" s="37">
        <f>Cashflow1!C8</f>
        <v>198192.52575000003</v>
      </c>
      <c r="D11" s="37">
        <f>Cashflow1!B8</f>
        <v>990000</v>
      </c>
      <c r="E11" s="39">
        <f>Financing!M11</f>
        <v>116075.18400000001</v>
      </c>
      <c r="F11" s="37">
        <f>Cashflow1!D8</f>
        <v>165774.21809999997</v>
      </c>
      <c r="G11" s="5">
        <f t="shared" si="1"/>
        <v>289780.0549000001</v>
      </c>
      <c r="H11" s="5">
        <f t="shared" si="2"/>
        <v>0</v>
      </c>
      <c r="I11" s="5">
        <f t="shared" si="0"/>
        <v>289780.0549000001</v>
      </c>
      <c r="J11" s="5">
        <f>IF(I11&gt;0,I11*'Input Parameters'!$B$47,0)</f>
        <v>95627.41811700004</v>
      </c>
    </row>
    <row r="12" spans="1:10" ht="12.75">
      <c r="A12">
        <f>IF(A11&lt;100,0,IF('Input Parameters'!$B$28=A11,0,A11+1))</f>
        <v>2010</v>
      </c>
      <c r="B12" s="37">
        <f>Cashflow1!G9+Cashflow1!H9+Cashflow1!I9+Cashflow1!J9</f>
        <v>1703565.1536665605</v>
      </c>
      <c r="C12" s="37">
        <f>Cashflow1!C9</f>
        <v>742729.6107261903</v>
      </c>
      <c r="D12" s="37">
        <f>Cashflow1!B9</f>
        <v>0</v>
      </c>
      <c r="E12" s="39">
        <f>Financing!M12</f>
        <v>215075.184</v>
      </c>
      <c r="F12" s="37">
        <f>Cashflow1!D9</f>
        <v>296862.94049999997</v>
      </c>
      <c r="G12" s="5">
        <f t="shared" si="1"/>
        <v>448897.4184403703</v>
      </c>
      <c r="H12" s="5">
        <f t="shared" si="2"/>
        <v>0</v>
      </c>
      <c r="I12" s="5">
        <f t="shared" si="0"/>
        <v>448897.4184403703</v>
      </c>
      <c r="J12" s="5">
        <f>IF(I12&gt;0,I12*'Input Parameters'!$B$47,0)</f>
        <v>148136.1480853222</v>
      </c>
    </row>
    <row r="13" spans="1:10" ht="12.75">
      <c r="A13">
        <f>IF(A12&lt;100,0,IF('Input Parameters'!$B$28=A12,0,A12+1))</f>
        <v>2011</v>
      </c>
      <c r="B13" s="37">
        <f>Cashflow1!G10+Cashflow1!H10+Cashflow1!I10+Cashflow1!J10</f>
        <v>2291954.5699870377</v>
      </c>
      <c r="C13" s="37">
        <f>Cashflow1!C10</f>
        <v>824429.8679060711</v>
      </c>
      <c r="D13" s="37">
        <f>Cashflow1!B10</f>
        <v>0</v>
      </c>
      <c r="E13" s="39">
        <f>Financing!M13</f>
        <v>215075.184</v>
      </c>
      <c r="F13" s="37">
        <f>Cashflow1!D10</f>
        <v>264601.6629</v>
      </c>
      <c r="G13" s="5">
        <f t="shared" si="1"/>
        <v>987847.8551809666</v>
      </c>
      <c r="H13" s="5">
        <f t="shared" si="2"/>
        <v>0</v>
      </c>
      <c r="I13" s="5">
        <f t="shared" si="0"/>
        <v>987847.8551809666</v>
      </c>
      <c r="J13" s="5">
        <f>IF(I13&gt;0,I13*'Input Parameters'!$B$47,0)</f>
        <v>325989.79220971896</v>
      </c>
    </row>
    <row r="14" spans="1:10" ht="12.75">
      <c r="A14">
        <f>IF(A13&lt;100,0,IF('Input Parameters'!$B$28=A13,0,A13+1))</f>
        <v>2012</v>
      </c>
      <c r="B14" s="37">
        <f>Cashflow1!G11+Cashflow1!H11+Cashflow1!I11+Cashflow1!J11</f>
        <v>2419708.345189725</v>
      </c>
      <c r="C14" s="37">
        <f>Cashflow1!C11</f>
        <v>915117.153375739</v>
      </c>
      <c r="D14" s="37">
        <f>Cashflow1!B11</f>
        <v>0</v>
      </c>
      <c r="E14" s="39">
        <f>Financing!M14</f>
        <v>215075.184</v>
      </c>
      <c r="F14" s="37">
        <f>Cashflow1!D11</f>
        <v>232340.38530000002</v>
      </c>
      <c r="G14" s="5">
        <f t="shared" si="1"/>
        <v>1057175.622513986</v>
      </c>
      <c r="H14" s="5">
        <f t="shared" si="2"/>
        <v>0</v>
      </c>
      <c r="I14" s="5">
        <f t="shared" si="0"/>
        <v>1057175.622513986</v>
      </c>
      <c r="J14" s="5">
        <f>IF(I14&gt;0,I14*'Input Parameters'!$B$47,0)</f>
        <v>348867.9554296154</v>
      </c>
    </row>
    <row r="15" spans="1:10" ht="12.75">
      <c r="A15">
        <f>IF(A14&lt;100,0,IF('Input Parameters'!$B$28=A14,0,A14+1))</f>
        <v>2013</v>
      </c>
      <c r="B15" s="37">
        <f>Cashflow1!G12+Cashflow1!H12+Cashflow1!I12+Cashflow1!J12</f>
        <v>2561612.5539713074</v>
      </c>
      <c r="C15" s="37">
        <f>Cashflow1!C12</f>
        <v>1015780.0402470704</v>
      </c>
      <c r="D15" s="37">
        <f>Cashflow1!B12</f>
        <v>0</v>
      </c>
      <c r="E15" s="39">
        <f>Financing!M15</f>
        <v>215075.184</v>
      </c>
      <c r="F15" s="37">
        <f>Cashflow1!D12</f>
        <v>200079.10770000005</v>
      </c>
      <c r="G15" s="5">
        <f t="shared" si="1"/>
        <v>1130678.2220242368</v>
      </c>
      <c r="H15" s="5">
        <f t="shared" si="2"/>
        <v>0</v>
      </c>
      <c r="I15" s="5">
        <f t="shared" si="0"/>
        <v>1130678.2220242368</v>
      </c>
      <c r="J15" s="5">
        <f>IF(I15&gt;0,I15*'Input Parameters'!$B$47,0)</f>
        <v>373123.81326799816</v>
      </c>
    </row>
    <row r="16" spans="1:10" ht="12.75">
      <c r="A16">
        <f>IF(A15&lt;100,0,IF('Input Parameters'!$B$28=A15,0,A15+1))</f>
        <v>2014</v>
      </c>
      <c r="B16" s="37">
        <f>Cashflow1!G13+Cashflow1!H13+Cashflow1!I13+Cashflow1!J13</f>
        <v>1599386.084788309</v>
      </c>
      <c r="C16" s="37">
        <f>Cashflow1!C13</f>
        <v>1127515.8446742482</v>
      </c>
      <c r="D16" s="37">
        <f>Cashflow1!B13</f>
        <v>0</v>
      </c>
      <c r="E16" s="39">
        <f>Financing!M16</f>
        <v>215075.184</v>
      </c>
      <c r="F16" s="37">
        <f>Cashflow1!D13</f>
        <v>167817.83010000005</v>
      </c>
      <c r="G16" s="5">
        <f t="shared" si="1"/>
        <v>88977.22601406064</v>
      </c>
      <c r="H16" s="5">
        <f t="shared" si="2"/>
        <v>0</v>
      </c>
      <c r="I16" s="5">
        <f t="shared" si="0"/>
        <v>88977.22601406064</v>
      </c>
      <c r="J16" s="5">
        <f>IF(I16&gt;0,I16*'Input Parameters'!$B$47,0)</f>
        <v>29362.484584640013</v>
      </c>
    </row>
    <row r="17" spans="1:10" ht="12.75">
      <c r="A17">
        <f>IF(A16&lt;100,0,IF('Input Parameters'!$B$28=A16,0,A16+1))</f>
        <v>2015</v>
      </c>
      <c r="B17" s="37">
        <f>Cashflow1!G14+Cashflow1!H14+Cashflow1!I14+Cashflow1!J14</f>
        <v>1775318.554115023</v>
      </c>
      <c r="C17" s="37">
        <f>Cashflow1!C14</f>
        <v>1251542.5875884157</v>
      </c>
      <c r="D17" s="37">
        <f>Cashflow1!B14</f>
        <v>0</v>
      </c>
      <c r="E17" s="39">
        <f>Financing!M17</f>
        <v>215075.184</v>
      </c>
      <c r="F17" s="37">
        <f>Cashflow1!D14</f>
        <v>135556.55250000005</v>
      </c>
      <c r="G17" s="5">
        <f t="shared" si="1"/>
        <v>173144.23002660723</v>
      </c>
      <c r="H17" s="5">
        <f t="shared" si="2"/>
        <v>0</v>
      </c>
      <c r="I17" s="5">
        <f t="shared" si="0"/>
        <v>173144.23002660723</v>
      </c>
      <c r="J17" s="5">
        <f>IF(I17&gt;0,I17*'Input Parameters'!$B$47,0)</f>
        <v>57137.595908780386</v>
      </c>
    </row>
    <row r="18" spans="1:10" ht="12.75">
      <c r="A18">
        <f>IF(A17&lt;100,0,IF('Input Parameters'!$B$28=A17,0,A17+1))</f>
        <v>2016</v>
      </c>
      <c r="B18" s="37">
        <f>Cashflow1!G15+Cashflow1!H15+Cashflow1!I15+Cashflow1!J15</f>
        <v>1970603.5950676757</v>
      </c>
      <c r="C18" s="37">
        <f>Cashflow1!C15</f>
        <v>1389212.2722231417</v>
      </c>
      <c r="D18" s="37">
        <f>Cashflow1!B15</f>
        <v>0</v>
      </c>
      <c r="E18" s="39">
        <f>Financing!M18</f>
        <v>215075.184</v>
      </c>
      <c r="F18" s="37">
        <f>Cashflow1!D15</f>
        <v>103295.27490000006</v>
      </c>
      <c r="G18" s="5">
        <f t="shared" si="1"/>
        <v>263020.86394453386</v>
      </c>
      <c r="H18" s="5">
        <f t="shared" si="2"/>
        <v>0</v>
      </c>
      <c r="I18" s="5">
        <f t="shared" si="0"/>
        <v>263020.86394453386</v>
      </c>
      <c r="J18" s="5">
        <f>IF(I18&gt;0,I18*'Input Parameters'!$B$47,0)</f>
        <v>86796.88510169619</v>
      </c>
    </row>
    <row r="19" spans="1:10" ht="12.75">
      <c r="A19">
        <f>IF(A18&lt;100,0,IF('Input Parameters'!$B$28=A18,0,A18+1))</f>
        <v>0</v>
      </c>
      <c r="B19" s="37">
        <f>Cashflow1!G16+Cashflow1!H16+Cashflow1!I16+Cashflow1!J16</f>
        <v>0</v>
      </c>
      <c r="C19" s="37">
        <f>Cashflow1!C16</f>
        <v>0</v>
      </c>
      <c r="D19" s="37">
        <f>Cashflow1!B16</f>
        <v>0</v>
      </c>
      <c r="E19" s="39">
        <f>Financing!M19</f>
        <v>187973.52000000002</v>
      </c>
      <c r="F19" s="37">
        <f>Cashflow1!D16</f>
        <v>71033.99730000006</v>
      </c>
      <c r="G19" s="5">
        <f aca="true" t="shared" si="3" ref="G19:G27">B19-C19-E19-F19</f>
        <v>-259007.51730000007</v>
      </c>
      <c r="H19" s="5">
        <f aca="true" t="shared" si="4" ref="H19:H27">IF(H18&lt;=0,IF(G19+H18&lt;0,G19+H18,0),0)</f>
        <v>-259007.51730000007</v>
      </c>
      <c r="I19" s="5">
        <f aca="true" t="shared" si="5" ref="I19:I27">IF(G19&gt;0,IF(G19+H18&gt;0,G19+H18,0),G19)</f>
        <v>-259007.51730000007</v>
      </c>
      <c r="J19" s="5">
        <f>IF(I19&gt;0,I19*'Input Parameters'!$B$47,0)</f>
        <v>0</v>
      </c>
    </row>
    <row r="20" spans="1:10" ht="12.75">
      <c r="A20">
        <f>IF(A19&lt;100,0,IF('Input Parameters'!$B$28=A19,0,A19+1))</f>
        <v>0</v>
      </c>
      <c r="B20" s="37">
        <f>Cashflow1!G17+Cashflow1!H17+Cashflow1!I17+Cashflow1!J17</f>
        <v>0</v>
      </c>
      <c r="C20" s="37">
        <f>Cashflow1!C17</f>
        <v>0</v>
      </c>
      <c r="D20" s="37">
        <f>Cashflow1!B17</f>
        <v>0</v>
      </c>
      <c r="E20" s="39">
        <f>Financing!M20</f>
        <v>186586.462</v>
      </c>
      <c r="F20" s="37">
        <f>Cashflow1!D17</f>
        <v>42837.96930000006</v>
      </c>
      <c r="G20" s="5">
        <f t="shared" si="3"/>
        <v>-229424.43130000005</v>
      </c>
      <c r="H20" s="5">
        <f t="shared" si="4"/>
        <v>-488431.9486000001</v>
      </c>
      <c r="I20" s="5">
        <f t="shared" si="5"/>
        <v>-229424.43130000005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37">
        <f>Cashflow1!G18+Cashflow1!H18+Cashflow1!I18+Cashflow1!J18</f>
        <v>0</v>
      </c>
      <c r="C21" s="37">
        <f>Cashflow1!C18</f>
        <v>0</v>
      </c>
      <c r="D21" s="37">
        <f>Cashflow1!B18</f>
        <v>0</v>
      </c>
      <c r="E21" s="39">
        <f>Financing!M21</f>
        <v>99000</v>
      </c>
      <c r="F21" s="37">
        <f>Cashflow1!D18</f>
        <v>14850.00000000006</v>
      </c>
      <c r="G21" s="5">
        <f t="shared" si="3"/>
        <v>-113850.00000000006</v>
      </c>
      <c r="H21" s="5">
        <f t="shared" si="4"/>
        <v>-602281.9486000002</v>
      </c>
      <c r="I21" s="5">
        <f t="shared" si="5"/>
        <v>-113850.00000000006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37">
        <f>Cashflow1!G19+Cashflow1!H19+Cashflow1!I19+Cashflow1!J19</f>
        <v>0</v>
      </c>
      <c r="C22" s="37">
        <f>Cashflow1!C19</f>
        <v>0</v>
      </c>
      <c r="D22" s="37">
        <f>Cashflow1!B19</f>
        <v>0</v>
      </c>
      <c r="E22" s="39">
        <f>Financing!M22</f>
        <v>0</v>
      </c>
      <c r="F22" s="37">
        <f>Cashflow1!D19</f>
        <v>6.111804395914078E-11</v>
      </c>
      <c r="G22" s="5">
        <f t="shared" si="3"/>
        <v>-6.111804395914078E-11</v>
      </c>
      <c r="H22" s="5">
        <f t="shared" si="4"/>
        <v>-602281.9486000004</v>
      </c>
      <c r="I22" s="5">
        <f t="shared" si="5"/>
        <v>-6.111804395914078E-11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37">
        <f>Cashflow1!G20+Cashflow1!H20+Cashflow1!I20+Cashflow1!J20</f>
        <v>0</v>
      </c>
      <c r="C23" s="37">
        <f>Cashflow1!C20</f>
        <v>0</v>
      </c>
      <c r="D23" s="37">
        <f>Cashflow1!B20</f>
        <v>0</v>
      </c>
      <c r="E23" s="39">
        <f>Financing!M23</f>
        <v>0</v>
      </c>
      <c r="F23" s="37">
        <f>Cashflow1!D20</f>
        <v>0</v>
      </c>
      <c r="G23" s="5">
        <f t="shared" si="3"/>
        <v>0</v>
      </c>
      <c r="H23" s="5">
        <f t="shared" si="4"/>
        <v>-602281.9486000004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37">
        <f>Cashflow1!G21+Cashflow1!H21+Cashflow1!I21+Cashflow1!J21</f>
        <v>0</v>
      </c>
      <c r="C24" s="37">
        <f>Cashflow1!C21</f>
        <v>0</v>
      </c>
      <c r="D24" s="37">
        <f>Cashflow1!B21</f>
        <v>0</v>
      </c>
      <c r="E24" s="39">
        <f>Financing!M24</f>
        <v>0</v>
      </c>
      <c r="F24" s="37">
        <f>Cashflow1!D21</f>
        <v>0</v>
      </c>
      <c r="G24" s="5">
        <f t="shared" si="3"/>
        <v>0</v>
      </c>
      <c r="H24" s="5">
        <f t="shared" si="4"/>
        <v>-602281.9486000004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37">
        <f>Cashflow1!G22+Cashflow1!H22+Cashflow1!I22+Cashflow1!J22</f>
        <v>0</v>
      </c>
      <c r="C25" s="37">
        <f>Cashflow1!C22</f>
        <v>0</v>
      </c>
      <c r="D25" s="37">
        <f>Cashflow1!B22</f>
        <v>0</v>
      </c>
      <c r="E25" s="39">
        <f>Financing!M25</f>
        <v>0</v>
      </c>
      <c r="F25" s="37">
        <f>Cashflow1!D22</f>
        <v>0</v>
      </c>
      <c r="G25" s="5">
        <f t="shared" si="3"/>
        <v>0</v>
      </c>
      <c r="H25" s="5">
        <f t="shared" si="4"/>
        <v>-602281.9486000004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37">
        <f>Cashflow1!G23+Cashflow1!H23+Cashflow1!I23+Cashflow1!J23</f>
        <v>0</v>
      </c>
      <c r="C26" s="37">
        <f>Cashflow1!C23</f>
        <v>0</v>
      </c>
      <c r="D26" s="37">
        <f>Cashflow1!B23</f>
        <v>0</v>
      </c>
      <c r="E26" s="39">
        <f>Financing!M26</f>
        <v>0</v>
      </c>
      <c r="F26" s="37">
        <f>Cashflow1!D23</f>
        <v>0</v>
      </c>
      <c r="G26" s="5">
        <f t="shared" si="3"/>
        <v>0</v>
      </c>
      <c r="H26" s="5">
        <f t="shared" si="4"/>
        <v>-602281.9486000004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37">
        <f>Cashflow1!G24+Cashflow1!H24+Cashflow1!I24+Cashflow1!J24</f>
        <v>0</v>
      </c>
      <c r="C27" s="37">
        <f>Cashflow1!C24</f>
        <v>0</v>
      </c>
      <c r="D27" s="37">
        <f>Cashflow1!B24</f>
        <v>0</v>
      </c>
      <c r="E27" s="39">
        <f>Financing!M27</f>
        <v>0</v>
      </c>
      <c r="F27" s="37">
        <f>Cashflow1!D24</f>
        <v>0</v>
      </c>
      <c r="G27" s="5">
        <f t="shared" si="3"/>
        <v>0</v>
      </c>
      <c r="H27" s="5">
        <f t="shared" si="4"/>
        <v>-602281.9486000004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1643459.4269232305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1">
      <selection activeCell="B15" sqref="B15:D23"/>
    </sheetView>
  </sheetViews>
  <sheetFormatPr defaultColWidth="11.421875" defaultRowHeight="12.75"/>
  <sheetData>
    <row r="2" spans="2:13" ht="12.75">
      <c r="B2" t="s">
        <v>47</v>
      </c>
      <c r="C2" t="s">
        <v>31</v>
      </c>
      <c r="D2" t="s">
        <v>48</v>
      </c>
      <c r="E2" t="s">
        <v>49</v>
      </c>
      <c r="F2" t="s">
        <v>50</v>
      </c>
      <c r="G2" t="s">
        <v>51</v>
      </c>
      <c r="K2" t="s">
        <v>58</v>
      </c>
      <c r="L2" t="s">
        <v>59</v>
      </c>
      <c r="M2" t="s">
        <v>60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25" t="s">
        <v>47</v>
      </c>
      <c r="C14" s="25" t="s">
        <v>31</v>
      </c>
      <c r="D14" s="25" t="s">
        <v>48</v>
      </c>
      <c r="E14" s="25" t="s">
        <v>49</v>
      </c>
      <c r="F14" s="25" t="s">
        <v>50</v>
      </c>
      <c r="G14" s="25" t="s">
        <v>51</v>
      </c>
      <c r="K14" t="s">
        <v>58</v>
      </c>
      <c r="L14" t="s">
        <v>59</v>
      </c>
      <c r="M14" t="s">
        <v>60</v>
      </c>
    </row>
    <row r="15" spans="1:13" ht="12.75">
      <c r="A15">
        <v>-20</v>
      </c>
      <c r="B15" s="42">
        <v>19.19371853023459</v>
      </c>
      <c r="C15" s="42">
        <v>21.23491162407615</v>
      </c>
      <c r="D15" s="42">
        <v>5.680450463531235</v>
      </c>
      <c r="E15" s="22">
        <v>48.39387092396381</v>
      </c>
      <c r="F15" s="22">
        <v>43.40435689699172</v>
      </c>
      <c r="G15" s="22">
        <v>30.673610186379506</v>
      </c>
      <c r="J15">
        <v>-20</v>
      </c>
      <c r="K15">
        <f aca="true" t="shared" si="3" ref="K15:K23">E15-B15</f>
        <v>29.20015239372922</v>
      </c>
      <c r="L15" t="e">
        <f aca="true" t="shared" si="4" ref="L15:L23">F25-C15</f>
        <v>#VALUE!</v>
      </c>
      <c r="M15">
        <f aca="true" t="shared" si="5" ref="M15:M23">G15-D15</f>
        <v>24.99315972284827</v>
      </c>
    </row>
    <row r="16" spans="1:13" ht="12.75">
      <c r="A16">
        <v>-15</v>
      </c>
      <c r="B16" s="42">
        <v>17.463385559056363</v>
      </c>
      <c r="C16" s="42">
        <v>19.413553013469333</v>
      </c>
      <c r="D16" s="42">
        <v>7.726923259384735</v>
      </c>
      <c r="E16" s="22">
        <v>45.5219591668608</v>
      </c>
      <c r="F16" s="22">
        <v>42.22028426394554</v>
      </c>
      <c r="G16" s="22">
        <v>32.732894723627844</v>
      </c>
      <c r="J16">
        <v>-15</v>
      </c>
      <c r="K16">
        <f t="shared" si="3"/>
        <v>28.05857360780444</v>
      </c>
      <c r="L16">
        <f t="shared" si="4"/>
        <v>-19.413553013469333</v>
      </c>
      <c r="M16">
        <f t="shared" si="5"/>
        <v>25.00597146424311</v>
      </c>
    </row>
    <row r="17" spans="1:13" ht="12.75">
      <c r="A17">
        <v>-10</v>
      </c>
      <c r="B17" s="42">
        <v>15.886790941397122</v>
      </c>
      <c r="C17" s="42">
        <v>17.458697763893667</v>
      </c>
      <c r="D17" s="42">
        <v>9.674716346227234</v>
      </c>
      <c r="E17" s="22">
        <v>42.93946572273665</v>
      </c>
      <c r="F17" s="22">
        <v>41.00530194048015</v>
      </c>
      <c r="G17" s="22">
        <v>34.71082320211565</v>
      </c>
      <c r="J17">
        <v>-10</v>
      </c>
      <c r="K17">
        <f t="shared" si="3"/>
        <v>27.052674781339526</v>
      </c>
      <c r="L17">
        <f t="shared" si="4"/>
        <v>-17.458697763893667</v>
      </c>
      <c r="M17">
        <f t="shared" si="5"/>
        <v>25.036106855888413</v>
      </c>
    </row>
    <row r="18" spans="1:13" ht="12.75">
      <c r="A18">
        <v>-5</v>
      </c>
      <c r="B18" s="42">
        <v>14.452959751475133</v>
      </c>
      <c r="C18" s="42">
        <v>15.37082930105084</v>
      </c>
      <c r="D18" s="42">
        <v>11.537057416576596</v>
      </c>
      <c r="E18" s="22">
        <v>40.60146788949518</v>
      </c>
      <c r="F18" s="22">
        <v>39.756911984446106</v>
      </c>
      <c r="G18" s="22">
        <v>36.62153888196044</v>
      </c>
      <c r="J18">
        <v>-5</v>
      </c>
      <c r="K18">
        <f t="shared" si="3"/>
        <v>26.14850813802005</v>
      </c>
      <c r="L18">
        <f t="shared" si="4"/>
        <v>-15.37082930105084</v>
      </c>
      <c r="M18">
        <f t="shared" si="5"/>
        <v>25.084481465383845</v>
      </c>
    </row>
    <row r="19" spans="1:13" ht="12.75">
      <c r="A19">
        <v>0</v>
      </c>
      <c r="B19" s="42">
        <v>13.145102641161262</v>
      </c>
      <c r="C19" s="42">
        <v>13.145102641161262</v>
      </c>
      <c r="D19" s="42">
        <v>13.145102641161262</v>
      </c>
      <c r="E19" s="22">
        <v>38.472259007825016</v>
      </c>
      <c r="F19" s="22">
        <v>38.472259007825016</v>
      </c>
      <c r="G19" s="22">
        <v>38.472259007825016</v>
      </c>
      <c r="J19">
        <v>0</v>
      </c>
      <c r="K19">
        <f t="shared" si="3"/>
        <v>25.327156366663754</v>
      </c>
      <c r="L19">
        <f t="shared" si="4"/>
        <v>-13.145102641161262</v>
      </c>
      <c r="M19">
        <f t="shared" si="5"/>
        <v>25.327156366663754</v>
      </c>
    </row>
    <row r="20" spans="1:13" ht="12.75">
      <c r="A20">
        <v>5</v>
      </c>
      <c r="B20" s="42">
        <v>11.865672173385882</v>
      </c>
      <c r="C20" s="42">
        <v>10.273804816781183</v>
      </c>
      <c r="D20" s="42">
        <v>14.511820986576165</v>
      </c>
      <c r="E20" s="22">
        <v>36.52304382042765</v>
      </c>
      <c r="F20" s="22">
        <v>37.148055018704994</v>
      </c>
      <c r="G20" s="22">
        <v>40.26756148235075</v>
      </c>
      <c r="J20">
        <v>5</v>
      </c>
      <c r="K20">
        <f t="shared" si="3"/>
        <v>24.65737164704177</v>
      </c>
      <c r="L20">
        <f t="shared" si="4"/>
        <v>-10.273804816781183</v>
      </c>
      <c r="M20">
        <f t="shared" si="5"/>
        <v>25.755740495774585</v>
      </c>
    </row>
    <row r="21" spans="1:13" ht="12.75">
      <c r="A21">
        <v>10</v>
      </c>
      <c r="B21" s="42">
        <v>10.520143447922901</v>
      </c>
      <c r="C21" s="42">
        <v>6.947316563149307</v>
      </c>
      <c r="D21" s="42">
        <v>15.82756820771731</v>
      </c>
      <c r="E21" s="22">
        <v>34.73030304852377</v>
      </c>
      <c r="F21" s="22">
        <v>35.77293546500523</v>
      </c>
      <c r="G21" s="22">
        <v>42.011468966902314</v>
      </c>
      <c r="J21">
        <v>10</v>
      </c>
      <c r="K21">
        <f t="shared" si="3"/>
        <v>24.21015960060087</v>
      </c>
      <c r="L21">
        <f t="shared" si="4"/>
        <v>-6.947316563149307</v>
      </c>
      <c r="M21">
        <f t="shared" si="5"/>
        <v>26.183900759185004</v>
      </c>
    </row>
    <row r="22" spans="1:13" ht="12.75">
      <c r="A22">
        <v>15</v>
      </c>
      <c r="B22" s="42">
        <v>9.273223104157191</v>
      </c>
      <c r="C22" s="42">
        <v>3.2638661047386877</v>
      </c>
      <c r="D22" s="42">
        <v>17.087733197585404</v>
      </c>
      <c r="E22" s="22">
        <v>33.07460858596115</v>
      </c>
      <c r="F22" s="22">
        <v>34.287500050857204</v>
      </c>
      <c r="G22" s="22">
        <v>43.707539464820016</v>
      </c>
      <c r="J22">
        <v>15</v>
      </c>
      <c r="K22">
        <f t="shared" si="3"/>
        <v>23.801385481803962</v>
      </c>
      <c r="L22">
        <f t="shared" si="4"/>
        <v>-3.2638661047386877</v>
      </c>
      <c r="M22">
        <f t="shared" si="5"/>
        <v>26.619806267234612</v>
      </c>
    </row>
    <row r="23" spans="1:13" ht="12.75">
      <c r="A23">
        <v>20</v>
      </c>
      <c r="B23" s="42">
        <v>8.112752438048117</v>
      </c>
      <c r="C23" s="42">
        <v>-0.9040749499293745</v>
      </c>
      <c r="D23" s="42">
        <v>18.295895987851093</v>
      </c>
      <c r="E23" s="22">
        <v>31.539749279407804</v>
      </c>
      <c r="F23" s="43">
        <v>32.61942335848699</v>
      </c>
      <c r="G23" s="22">
        <v>45.35893869887706</v>
      </c>
      <c r="J23">
        <v>20</v>
      </c>
      <c r="K23">
        <f t="shared" si="3"/>
        <v>23.42699684135969</v>
      </c>
      <c r="L23">
        <f t="shared" si="4"/>
        <v>0.9040749499293745</v>
      </c>
      <c r="M23">
        <f t="shared" si="5"/>
        <v>27.063042711025968</v>
      </c>
    </row>
    <row r="24" spans="2:7" ht="12.75">
      <c r="B24" s="31" t="s">
        <v>61</v>
      </c>
      <c r="C24" s="44" t="s">
        <v>61</v>
      </c>
      <c r="D24" s="44" t="s">
        <v>61</v>
      </c>
      <c r="E24" s="44" t="s">
        <v>61</v>
      </c>
      <c r="F24" s="44" t="s">
        <v>61</v>
      </c>
      <c r="G24" s="33" t="s">
        <v>61</v>
      </c>
    </row>
    <row r="25" spans="2:7" ht="12.75">
      <c r="B25" s="34" t="s">
        <v>61</v>
      </c>
      <c r="C25" s="32" t="s">
        <v>61</v>
      </c>
      <c r="D25" s="32" t="s">
        <v>61</v>
      </c>
      <c r="E25" s="32" t="s">
        <v>61</v>
      </c>
      <c r="F25" s="32" t="s">
        <v>61</v>
      </c>
      <c r="G25" s="35" t="s">
        <v>61</v>
      </c>
    </row>
    <row r="26" spans="1:7" ht="12.75">
      <c r="A26" s="28" t="s">
        <v>90</v>
      </c>
      <c r="B26" s="45"/>
      <c r="C26" s="29"/>
      <c r="D26" s="29"/>
      <c r="E26" s="29"/>
      <c r="F26" s="29"/>
      <c r="G26" s="30"/>
    </row>
    <row r="27" ht="12.75">
      <c r="G27" s="22"/>
    </row>
    <row r="28" ht="12.75">
      <c r="G28" s="22"/>
    </row>
    <row r="29" ht="12.75">
      <c r="G29" s="22"/>
    </row>
    <row r="30" ht="12.75">
      <c r="G30" s="22"/>
    </row>
    <row r="31" ht="12.75">
      <c r="G31" s="22"/>
    </row>
    <row r="32" ht="12.75">
      <c r="G32" s="22"/>
    </row>
    <row r="33" ht="12.75">
      <c r="G33" s="22"/>
    </row>
    <row r="46" ht="12.75">
      <c r="G46" s="23"/>
    </row>
    <row r="47" ht="12.75">
      <c r="G47" s="24"/>
    </row>
    <row r="48" ht="12.75">
      <c r="G48" s="23"/>
    </row>
    <row r="49" ht="12.75">
      <c r="G49" s="23"/>
    </row>
    <row r="50" ht="12.75">
      <c r="G50" s="23"/>
    </row>
    <row r="51" ht="12.75">
      <c r="G51" s="23"/>
    </row>
    <row r="52" ht="12.75">
      <c r="G52" s="23"/>
    </row>
    <row r="53" ht="12.75">
      <c r="G53" s="23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58" ht="12.75">
      <c r="G58" s="23"/>
    </row>
    <row r="59" ht="12.75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4"/>
    </row>
    <row r="64" ht="12.75">
      <c r="G64" s="23"/>
    </row>
    <row r="65" ht="12.75"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2.75">
      <c r="G77" s="23"/>
    </row>
    <row r="78" ht="12.75">
      <c r="G78" s="23"/>
    </row>
    <row r="79" ht="12.75">
      <c r="G79" s="23"/>
    </row>
    <row r="80" ht="12.75">
      <c r="G80" s="24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ht="12.75">
      <c r="G96" s="23"/>
    </row>
    <row r="97" ht="12.75">
      <c r="G97" s="23"/>
    </row>
    <row r="98" ht="12.75">
      <c r="G98" s="24"/>
    </row>
    <row r="99" ht="12.75">
      <c r="G99" s="23"/>
    </row>
    <row r="100" ht="12.75">
      <c r="G100" s="23"/>
    </row>
    <row r="101" ht="12.75">
      <c r="G101" s="23"/>
    </row>
    <row r="102" ht="12.75">
      <c r="G102" s="23"/>
    </row>
    <row r="103" ht="12.75">
      <c r="G103" s="23"/>
    </row>
    <row r="104" ht="12.75">
      <c r="G104" s="23"/>
    </row>
    <row r="105" ht="12.75">
      <c r="G105" s="23"/>
    </row>
    <row r="106" ht="12.75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12.75">
      <c r="G115" s="23"/>
    </row>
    <row r="116" ht="12.75">
      <c r="G116" s="23"/>
    </row>
    <row r="117" ht="12.75">
      <c r="G117" s="24"/>
    </row>
    <row r="118" ht="12.75">
      <c r="G118" s="23"/>
    </row>
    <row r="119" ht="12.75">
      <c r="G119" s="23"/>
    </row>
    <row r="120" ht="12.75">
      <c r="G120" s="23"/>
    </row>
    <row r="121" ht="12.75">
      <c r="G121" s="23"/>
    </row>
    <row r="122" ht="12.75">
      <c r="G122" s="23"/>
    </row>
    <row r="123" ht="12.75">
      <c r="G123" s="23"/>
    </row>
    <row r="124" ht="12.75">
      <c r="G124" s="23"/>
    </row>
    <row r="125" ht="12.75">
      <c r="G125" s="23"/>
    </row>
    <row r="126" ht="12.75">
      <c r="G126" s="23"/>
    </row>
    <row r="127" ht="12.75">
      <c r="G127" s="23"/>
    </row>
    <row r="128" ht="12.75">
      <c r="G128" s="23"/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4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ht="12.75">
      <c r="G148" s="23"/>
    </row>
    <row r="149" ht="12.75">
      <c r="G149" s="23"/>
    </row>
    <row r="150" ht="12.75">
      <c r="G150" s="23"/>
    </row>
    <row r="151" ht="12.75">
      <c r="G151" s="23"/>
    </row>
    <row r="152" ht="12.75">
      <c r="G152" s="23"/>
    </row>
    <row r="153" ht="12.75">
      <c r="G153" s="23"/>
    </row>
    <row r="154" ht="12.75">
      <c r="G154" s="23"/>
    </row>
    <row r="155" ht="12.75">
      <c r="G155" s="23"/>
    </row>
    <row r="156" ht="12.75">
      <c r="G156" s="23"/>
    </row>
    <row r="157" ht="12.75">
      <c r="G157" s="23"/>
    </row>
    <row r="158" ht="12.75">
      <c r="G158" s="24"/>
    </row>
    <row r="159" ht="12.75">
      <c r="G159" s="23"/>
    </row>
    <row r="160" ht="12.75">
      <c r="G160" s="23"/>
    </row>
    <row r="161" ht="12.75">
      <c r="G161" s="23"/>
    </row>
    <row r="162" ht="12.75">
      <c r="G162" s="23"/>
    </row>
    <row r="163" ht="12.75">
      <c r="G163" s="23"/>
    </row>
    <row r="164" ht="12.75">
      <c r="G164" s="23"/>
    </row>
    <row r="165" ht="12.75">
      <c r="G165" s="23"/>
    </row>
    <row r="166" ht="12.75">
      <c r="G166" s="23"/>
    </row>
    <row r="167" ht="12.75">
      <c r="G167" s="23"/>
    </row>
    <row r="168" ht="12.75">
      <c r="G168" s="23"/>
    </row>
    <row r="169" ht="12.75">
      <c r="G169" s="23"/>
    </row>
    <row r="170" ht="12.75">
      <c r="G170" s="23"/>
    </row>
    <row r="171" ht="12.75">
      <c r="G171" s="23"/>
    </row>
    <row r="172" ht="12.75">
      <c r="G172" s="23"/>
    </row>
    <row r="173" ht="12.75">
      <c r="G173" s="23"/>
    </row>
    <row r="174" ht="12.75">
      <c r="G174" s="23"/>
    </row>
    <row r="175" ht="12.75">
      <c r="G175" s="23"/>
    </row>
    <row r="176" ht="12.75">
      <c r="G176" s="23"/>
    </row>
    <row r="177" ht="12.75">
      <c r="G177" s="23"/>
    </row>
    <row r="178" ht="12.75">
      <c r="G178" s="23"/>
    </row>
    <row r="179" ht="12.75">
      <c r="G179" s="23"/>
    </row>
    <row r="180" ht="12.75">
      <c r="G180" s="24"/>
    </row>
    <row r="181" ht="12.75">
      <c r="G181" s="23"/>
    </row>
    <row r="182" ht="12.75">
      <c r="G182" s="23"/>
    </row>
    <row r="183" ht="12.75">
      <c r="G183" s="23"/>
    </row>
    <row r="184" ht="12.75">
      <c r="G184" s="23"/>
    </row>
    <row r="185" ht="12.75">
      <c r="G185" s="23"/>
    </row>
    <row r="186" ht="12.75">
      <c r="G186" s="23"/>
    </row>
    <row r="187" ht="12.75">
      <c r="G187" s="23"/>
    </row>
    <row r="188" ht="12.75">
      <c r="G188" s="23"/>
    </row>
    <row r="189" ht="12.75">
      <c r="G189" s="23"/>
    </row>
    <row r="190" ht="12.75">
      <c r="G190" s="23"/>
    </row>
    <row r="191" ht="12.75">
      <c r="G191" s="23"/>
    </row>
    <row r="192" ht="12.75">
      <c r="G192" s="23"/>
    </row>
    <row r="193" ht="12.75">
      <c r="G193" s="23"/>
    </row>
    <row r="194" ht="12.75">
      <c r="G194" s="23"/>
    </row>
    <row r="195" ht="12.75">
      <c r="G195" s="23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4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  <row r="278" ht="12.75">
      <c r="G278" s="23"/>
    </row>
    <row r="279" ht="12.75">
      <c r="G279" s="23"/>
    </row>
    <row r="280" ht="12.75">
      <c r="G280" s="23"/>
    </row>
    <row r="281" ht="12.75">
      <c r="G281" s="23"/>
    </row>
    <row r="282" ht="12.75">
      <c r="G282" s="23"/>
    </row>
    <row r="283" ht="12.75">
      <c r="G283" s="23"/>
    </row>
    <row r="284" ht="12.75">
      <c r="G284" s="23"/>
    </row>
    <row r="285" ht="12.75">
      <c r="G285" s="23"/>
    </row>
    <row r="286" ht="12.75">
      <c r="G286" s="23"/>
    </row>
    <row r="287" ht="12.75">
      <c r="G287" s="23"/>
    </row>
    <row r="288" ht="12.75">
      <c r="G288" s="23"/>
    </row>
    <row r="289" ht="12.75">
      <c r="G289" s="23"/>
    </row>
    <row r="290" ht="12.75">
      <c r="G290" s="23"/>
    </row>
    <row r="291" ht="12.75">
      <c r="G291" s="23"/>
    </row>
    <row r="292" ht="12.75">
      <c r="G292" s="23"/>
    </row>
    <row r="293" ht="12.75">
      <c r="G293" s="23"/>
    </row>
    <row r="294" ht="12.75">
      <c r="G294" s="23"/>
    </row>
    <row r="295" ht="12.75">
      <c r="G295" s="23"/>
    </row>
    <row r="296" ht="12.75">
      <c r="G296" s="23"/>
    </row>
    <row r="297" ht="12.75">
      <c r="G297" s="23"/>
    </row>
    <row r="298" ht="12.75">
      <c r="G298" s="23"/>
    </row>
    <row r="299" ht="12.75">
      <c r="G299" s="23"/>
    </row>
    <row r="300" ht="12.75">
      <c r="G300" s="23"/>
    </row>
    <row r="301" ht="12.75">
      <c r="G301" s="23"/>
    </row>
    <row r="302" ht="12.75">
      <c r="G302" s="23"/>
    </row>
    <row r="303" ht="12.75">
      <c r="G303" s="2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Adam Hadulla</cp:lastModifiedBy>
  <cp:lastPrinted>2006-12-07T16:19:02Z</cp:lastPrinted>
  <dcterms:created xsi:type="dcterms:W3CDTF">2001-03-19T15:23:51Z</dcterms:created>
  <dcterms:modified xsi:type="dcterms:W3CDTF">2009-08-03T13:23:39Z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