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20730" windowHeight="8055" tabRatio="717" activeTab="0"/>
  </bookViews>
  <sheets>
    <sheet name="K22-ERU4 ER table V2" sheetId="1" r:id="rId1"/>
  </sheets>
  <definedNames>
    <definedName name="OLE_LINK10" localSheetId="0">'K22-ERU4 ER table V2'!$AL$3</definedName>
    <definedName name="OLE_LINK11" localSheetId="0">'K22-ERU4 ER table V2'!$AL$4</definedName>
    <definedName name="OLE_LINK12" localSheetId="0">'K22-ERU4 ER table V2'!$AP$4</definedName>
    <definedName name="OLE_LINK3" localSheetId="0">'K22-ERU4 ER table V2'!$AA$4</definedName>
    <definedName name="OLE_LINK4" localSheetId="0">'K22-ERU4 ER table V2'!$AG$3</definedName>
    <definedName name="OLE_LINK5" localSheetId="0">'K22-ERU4 ER table V2'!$AG$4</definedName>
    <definedName name="OLE_LINK7" localSheetId="0">'K22-ERU4 ER table V2'!$AK$3</definedName>
    <definedName name="OLE_LINK8" localSheetId="0">'K22-ERU4 ER table V2'!$AK$4</definedName>
    <definedName name="_xlnm.Print_Area" localSheetId="0">'K22-ERU4 ER table V2'!$A$1:$BK$27</definedName>
  </definedNames>
  <calcPr fullCalcOnLoad="1"/>
</workbook>
</file>

<file path=xl/comments1.xml><?xml version="1.0" encoding="utf-8"?>
<comments xmlns="http://schemas.openxmlformats.org/spreadsheetml/2006/main">
  <authors>
    <author>Adam Hadulla</author>
    <author>A-TEC</author>
    <author>Karl Woeste</author>
  </authors>
  <commentList>
    <comment ref="AB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850°C
99.5% above 850°C
This calculation can't be done with monthly sums.
See xls-files (data sources) for details</t>
        </r>
      </text>
    </comment>
    <comment ref="AJ6" authorId="0">
      <text>
        <r>
          <rPr>
            <b/>
            <sz val="8"/>
            <rFont val="Tahoma"/>
            <family val="0"/>
          </rPr>
          <t>Adam Hadulla:</t>
        </r>
        <r>
          <rPr>
            <sz val="8"/>
            <rFont val="Tahoma"/>
            <family val="0"/>
          </rPr>
          <t xml:space="preserve">
ex-ante value
constant</t>
        </r>
      </text>
    </comment>
    <comment ref="AK6" authorId="0">
      <text>
        <r>
          <rPr>
            <b/>
            <sz val="8"/>
            <rFont val="Tahoma"/>
            <family val="0"/>
          </rPr>
          <t>Adam Hadulla:</t>
        </r>
        <r>
          <rPr>
            <sz val="8"/>
            <rFont val="Tahoma"/>
            <family val="0"/>
          </rPr>
          <t xml:space="preserve">
ex-ante value
constant</t>
        </r>
      </text>
    </comment>
    <comment ref="AP6" authorId="0">
      <text>
        <r>
          <rPr>
            <b/>
            <sz val="8"/>
            <rFont val="Tahoma"/>
            <family val="0"/>
          </rPr>
          <t>Adam Hadulla:</t>
        </r>
        <r>
          <rPr>
            <sz val="8"/>
            <rFont val="Tahoma"/>
            <family val="0"/>
          </rPr>
          <t xml:space="preserve">
ex-ante value
constant</t>
        </r>
      </text>
    </comment>
    <comment ref="AZ6" authorId="0">
      <text>
        <r>
          <rPr>
            <b/>
            <sz val="8"/>
            <rFont val="Tahoma"/>
            <family val="0"/>
          </rPr>
          <t>Adam Hadulla:</t>
        </r>
        <r>
          <rPr>
            <sz val="8"/>
            <rFont val="Tahoma"/>
            <family val="0"/>
          </rPr>
          <t xml:space="preserve">
ex-ante value
constant</t>
        </r>
      </text>
    </comment>
    <comment ref="BA6" authorId="0">
      <text>
        <r>
          <rPr>
            <b/>
            <sz val="8"/>
            <rFont val="Tahoma"/>
            <family val="0"/>
          </rPr>
          <t>Adam Hadulla:</t>
        </r>
        <r>
          <rPr>
            <sz val="8"/>
            <rFont val="Tahoma"/>
            <family val="0"/>
          </rPr>
          <t xml:space="preserve">
ex-ante value
constant</t>
        </r>
      </text>
    </comment>
    <comment ref="BJ6" authorId="0">
      <text>
        <r>
          <rPr>
            <b/>
            <sz val="8"/>
            <rFont val="Tahoma"/>
            <family val="0"/>
          </rPr>
          <t>Adam Hadulla:</t>
        </r>
        <r>
          <rPr>
            <sz val="8"/>
            <rFont val="Tahoma"/>
            <family val="0"/>
          </rPr>
          <t xml:space="preserve">
ex-ante value 
constant
manufacturer date
boiler pass</t>
        </r>
      </text>
    </comment>
    <comment ref="AD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 ref="BG6" authorId="1">
      <text>
        <r>
          <rPr>
            <b/>
            <sz val="8"/>
            <rFont val="Tahoma"/>
            <family val="0"/>
          </rPr>
          <t xml:space="preserve">Adam Hadulla:
</t>
        </r>
        <r>
          <rPr>
            <sz val="8"/>
            <rFont val="Tahoma"/>
            <family val="2"/>
          </rPr>
          <t>The heat has not been measured but calculated using the utilised methane amount, the heating value of methane 9.965 kWh/m³ and the boiler efficiency</t>
        </r>
      </text>
    </comment>
    <comment ref="AA6" authorId="0">
      <text>
        <r>
          <rPr>
            <b/>
            <sz val="8"/>
            <rFont val="Tahoma"/>
            <family val="0"/>
          </rPr>
          <t>Adam Hadulla:</t>
        </r>
        <r>
          <rPr>
            <sz val="8"/>
            <rFont val="Tahoma"/>
            <family val="0"/>
          </rPr>
          <t xml:space="preserve">
NEIA
2011 := 1.063</t>
        </r>
      </text>
    </comment>
    <comment ref="BI6" authorId="0">
      <text>
        <r>
          <rPr>
            <b/>
            <sz val="8"/>
            <rFont val="Tahoma"/>
            <family val="0"/>
          </rPr>
          <t>Adam Hadulla:</t>
        </r>
        <r>
          <rPr>
            <sz val="8"/>
            <rFont val="Tahoma"/>
            <family val="0"/>
          </rPr>
          <t xml:space="preserve">
25,99 t C/TJ -  value for “Other Bituminous Coal” (National Inventory Report of Ukraine)
1 TJ = 277.778 MWh
44.009/12.011 - Conversion factor from C to CO2
0,962 - carbon oxidation factor (NIR)</t>
        </r>
      </text>
    </comment>
    <comment ref="Z6" authorId="2">
      <text>
        <r>
          <rPr>
            <b/>
            <sz val="8"/>
            <rFont val="Tahoma"/>
            <family val="0"/>
          </rPr>
          <t>Karl Woeste:</t>
        </r>
        <r>
          <rPr>
            <sz val="8"/>
            <rFont val="Tahoma"/>
            <family val="0"/>
          </rPr>
          <t xml:space="preserve">
percental the same consumption like in last verification period ERU3: 3.3 %</t>
        </r>
      </text>
    </comment>
  </commentList>
</comments>
</file>

<file path=xl/sharedStrings.xml><?xml version="1.0" encoding="utf-8"?>
<sst xmlns="http://schemas.openxmlformats.org/spreadsheetml/2006/main" count="232" uniqueCount="160">
  <si>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</si>
  <si>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</si>
  <si>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</si>
  <si>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</si>
  <si>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</si>
  <si>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</si>
  <si>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</si>
  <si>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</si>
  <si>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</si>
  <si>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</si>
  <si>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</si>
  <si>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</si>
  <si>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</si>
  <si>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</si>
  <si>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</si>
  <si>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</si>
  <si>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</si>
  <si>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</si>
  <si>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</si>
  <si>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</si>
  <si>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</si>
  <si>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</si>
  <si>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</si>
  <si>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</si>
  <si>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</si>
  <si>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</si>
  <si>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</si>
  <si>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</si>
  <si>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</si>
  <si>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</si>
  <si>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</si>
  <si>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</si>
  <si>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</si>
  <si>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</si>
  <si>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</si>
  <si>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</si>
  <si>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</si>
  <si>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</si>
  <si>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</si>
  <si>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</si>
  <si>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</si>
  <si>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</si>
  <si>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</si>
  <si>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Project emissions from methane destroyed</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</si>
  <si>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</si>
  <si>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</si>
  <si>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</si>
  <si>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</si>
  <si>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</si>
  <si>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</si>
  <si>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</si>
  <si>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</si>
  <si>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</si>
  <si>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</si>
  <si>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</si>
  <si>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</si>
  <si>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r>
      <t>PE</t>
    </r>
    <r>
      <rPr>
        <b/>
        <vertAlign val="subscript"/>
        <sz val="11"/>
        <rFont val="Times New Roman"/>
        <family val="1"/>
      </rPr>
      <t>ME</t>
    </r>
  </si>
  <si>
    <r>
      <t>PE</t>
    </r>
    <r>
      <rPr>
        <b/>
        <vertAlign val="subscript"/>
        <sz val="11"/>
        <rFont val="Times New Roman"/>
        <family val="1"/>
      </rPr>
      <t>MD</t>
    </r>
  </si>
  <si>
    <r>
      <t>PE</t>
    </r>
    <r>
      <rPr>
        <b/>
        <vertAlign val="subscript"/>
        <sz val="11"/>
        <rFont val="Times New Roman"/>
        <family val="1"/>
      </rPr>
      <t>UM</t>
    </r>
  </si>
  <si>
    <r>
      <t>CONS</t>
    </r>
    <r>
      <rPr>
        <b/>
        <vertAlign val="subscript"/>
        <sz val="11"/>
        <rFont val="Times New Roman"/>
        <family val="1"/>
      </rPr>
      <t>ELEC,PJ</t>
    </r>
  </si>
  <si>
    <r>
      <t>CEF</t>
    </r>
    <r>
      <rPr>
        <b/>
        <vertAlign val="subscript"/>
        <sz val="11"/>
        <color indexed="8"/>
        <rFont val="Times New Roman"/>
        <family val="1"/>
      </rPr>
      <t>E</t>
    </r>
    <r>
      <rPr>
        <b/>
        <vertAlign val="subscript"/>
        <sz val="11"/>
        <rFont val="Times New Roman"/>
        <family val="1"/>
      </rPr>
      <t>LEC,PJ</t>
    </r>
  </si>
  <si>
    <r>
      <t>MD</t>
    </r>
    <r>
      <rPr>
        <b/>
        <vertAlign val="subscript"/>
        <sz val="11"/>
        <rFont val="Times New Roman"/>
        <family val="1"/>
      </rPr>
      <t>FL</t>
    </r>
  </si>
  <si>
    <r>
      <t>MM</t>
    </r>
    <r>
      <rPr>
        <b/>
        <vertAlign val="subscript"/>
        <sz val="11"/>
        <rFont val="Times New Roman"/>
        <family val="1"/>
      </rPr>
      <t>FL</t>
    </r>
  </si>
  <si>
    <r>
      <t>Eff</t>
    </r>
    <r>
      <rPr>
        <b/>
        <vertAlign val="subscript"/>
        <sz val="11"/>
        <rFont val="Times New Roman"/>
        <family val="1"/>
      </rPr>
      <t>FL</t>
    </r>
  </si>
  <si>
    <r>
      <t>MD</t>
    </r>
    <r>
      <rPr>
        <b/>
        <vertAlign val="subscript"/>
        <sz val="11"/>
        <rFont val="Times New Roman"/>
        <family val="1"/>
      </rPr>
      <t>ELEC</t>
    </r>
  </si>
  <si>
    <r>
      <t>MM</t>
    </r>
    <r>
      <rPr>
        <b/>
        <vertAlign val="subscript"/>
        <sz val="11"/>
        <rFont val="Times New Roman"/>
        <family val="1"/>
      </rPr>
      <t>ELEC</t>
    </r>
  </si>
  <si>
    <r>
      <t>Eff</t>
    </r>
    <r>
      <rPr>
        <b/>
        <vertAlign val="subscript"/>
        <sz val="11"/>
        <rFont val="Times New Roman"/>
        <family val="1"/>
      </rPr>
      <t>ELEC</t>
    </r>
  </si>
  <si>
    <r>
      <t>MD</t>
    </r>
    <r>
      <rPr>
        <b/>
        <vertAlign val="subscript"/>
        <sz val="11"/>
        <rFont val="Times New Roman"/>
        <family val="1"/>
      </rPr>
      <t>HEAT</t>
    </r>
  </si>
  <si>
    <r>
      <t>MM</t>
    </r>
    <r>
      <rPr>
        <b/>
        <vertAlign val="subscript"/>
        <sz val="11"/>
        <rFont val="Times New Roman"/>
        <family val="1"/>
      </rPr>
      <t>HEAT</t>
    </r>
  </si>
  <si>
    <r>
      <t>Eff</t>
    </r>
    <r>
      <rPr>
        <b/>
        <vertAlign val="subscript"/>
        <sz val="11"/>
        <rFont val="Times New Roman"/>
        <family val="1"/>
      </rPr>
      <t>HEAT</t>
    </r>
  </si>
  <si>
    <r>
      <t>CEF</t>
    </r>
    <r>
      <rPr>
        <b/>
        <vertAlign val="subscript"/>
        <sz val="11"/>
        <rFont val="Times New Roman"/>
        <family val="1"/>
      </rPr>
      <t>CH4</t>
    </r>
  </si>
  <si>
    <r>
      <t>CEF</t>
    </r>
    <r>
      <rPr>
        <b/>
        <vertAlign val="subscript"/>
        <sz val="11"/>
        <rFont val="Times New Roman"/>
        <family val="1"/>
      </rPr>
      <t>NMHC</t>
    </r>
  </si>
  <si>
    <r>
      <t>PC</t>
    </r>
    <r>
      <rPr>
        <b/>
        <vertAlign val="subscript"/>
        <sz val="10"/>
        <rFont val="Times New Roman"/>
        <family val="1"/>
      </rPr>
      <t>CH4</t>
    </r>
  </si>
  <si>
    <r>
      <t>PC</t>
    </r>
    <r>
      <rPr>
        <b/>
        <vertAlign val="subscript"/>
        <sz val="10"/>
        <rFont val="Times New Roman"/>
        <family val="1"/>
      </rPr>
      <t>NMHC</t>
    </r>
  </si>
  <si>
    <r>
      <t>GWP</t>
    </r>
    <r>
      <rPr>
        <b/>
        <vertAlign val="subscript"/>
        <sz val="11"/>
        <rFont val="Times New Roman"/>
        <family val="1"/>
      </rPr>
      <t>CH4</t>
    </r>
  </si>
  <si>
    <r>
      <t>EF</t>
    </r>
    <r>
      <rPr>
        <b/>
        <vertAlign val="subscript"/>
        <sz val="11"/>
        <rFont val="Times New Roman"/>
        <family val="1"/>
      </rPr>
      <t>elec</t>
    </r>
  </si>
  <si>
    <r>
      <t>EF</t>
    </r>
    <r>
      <rPr>
        <b/>
        <vertAlign val="subscript"/>
        <sz val="11"/>
        <rFont val="Times New Roman"/>
        <family val="1"/>
      </rPr>
      <t>CO2,Coal</t>
    </r>
  </si>
  <si>
    <r>
      <t>Eff</t>
    </r>
    <r>
      <rPr>
        <b/>
        <vertAlign val="subscript"/>
        <sz val="11"/>
        <color indexed="8"/>
        <rFont val="Times New Roman"/>
        <family val="1"/>
      </rPr>
      <t>hea</t>
    </r>
    <r>
      <rPr>
        <b/>
        <vertAlign val="subscript"/>
        <sz val="10"/>
        <rFont val="Arial"/>
        <family val="2"/>
      </rPr>
      <t>t</t>
    </r>
  </si>
  <si>
    <r>
      <t>Carbon emission factor of CONS</t>
    </r>
    <r>
      <rPr>
        <b/>
        <sz val="8"/>
        <rFont val="Arial"/>
        <family val="2"/>
      </rPr>
      <t>ELEC,PJ</t>
    </r>
  </si>
  <si>
    <t>t CO2eq</t>
  </si>
  <si>
    <t>MWh</t>
  </si>
  <si>
    <t>t CH4</t>
  </si>
  <si>
    <t>-</t>
  </si>
  <si>
    <t>t CO2 / MWh</t>
  </si>
  <si>
    <t>t CO2eq / 
t CH4</t>
  </si>
  <si>
    <t>tCO2/MWh</t>
  </si>
  <si>
    <t>ER</t>
  </si>
  <si>
    <t>Emission reductions</t>
  </si>
  <si>
    <t>Total Monitoring Period</t>
  </si>
  <si>
    <r>
      <t>t CO</t>
    </r>
    <r>
      <rPr>
        <b/>
        <sz val="8"/>
        <rFont val="Arial"/>
        <family val="2"/>
      </rPr>
      <t>2eq</t>
    </r>
  </si>
  <si>
    <r>
      <t>t CH</t>
    </r>
    <r>
      <rPr>
        <b/>
        <sz val="8"/>
        <rFont val="Arial"/>
        <family val="2"/>
      </rPr>
      <t>4</t>
    </r>
  </si>
  <si>
    <r>
      <t>t CH</t>
    </r>
    <r>
      <rPr>
        <b/>
        <sz val="8"/>
        <rFont val="Arial"/>
        <family val="2"/>
      </rPr>
      <t>4</t>
    </r>
  </si>
  <si>
    <r>
      <t>t CO</t>
    </r>
    <r>
      <rPr>
        <b/>
        <sz val="8"/>
        <rFont val="Arial"/>
        <family val="2"/>
      </rPr>
      <t>2eq</t>
    </r>
    <r>
      <rPr>
        <b/>
        <sz val="10"/>
        <rFont val="Arial"/>
        <family val="2"/>
      </rPr>
      <t xml:space="preserve"> / 
t NMHC</t>
    </r>
  </si>
  <si>
    <r>
      <t>t CO</t>
    </r>
    <r>
      <rPr>
        <b/>
        <sz val="8"/>
        <rFont val="Arial"/>
        <family val="2"/>
      </rPr>
      <t>2eq</t>
    </r>
    <r>
      <rPr>
        <b/>
        <sz val="10"/>
        <rFont val="Arial"/>
        <family val="2"/>
      </rPr>
      <t xml:space="preserve"> / 
t CH</t>
    </r>
    <r>
      <rPr>
        <b/>
        <sz val="8"/>
        <rFont val="Arial"/>
        <family val="2"/>
      </rPr>
      <t>4</t>
    </r>
  </si>
  <si>
    <t>colour codes</t>
  </si>
  <si>
    <t>green</t>
  </si>
  <si>
    <t>input data</t>
  </si>
  <si>
    <t>white</t>
  </si>
  <si>
    <t>calculated data</t>
  </si>
  <si>
    <t xml:space="preserve">Project emissions </t>
  </si>
  <si>
    <t xml:space="preserve">Baseline emissions </t>
  </si>
  <si>
    <t>Baseline emissions from release of methane into the atmosphere that is avoided by the project activity</t>
  </si>
  <si>
    <t xml:space="preserve">Baseline emissions from the production of power, heat or supply to gas grid replaced by the project activity </t>
  </si>
  <si>
    <t>CMM captured in the project activity</t>
  </si>
  <si>
    <t>HEAT</t>
  </si>
  <si>
    <t>GEN</t>
  </si>
  <si>
    <r>
      <t>CMM</t>
    </r>
    <r>
      <rPr>
        <b/>
        <vertAlign val="subscript"/>
        <sz val="11"/>
        <color indexed="8"/>
        <rFont val="Times New Roman"/>
        <family val="1"/>
      </rPr>
      <t>PJ</t>
    </r>
  </si>
  <si>
    <r>
      <t>BE</t>
    </r>
    <r>
      <rPr>
        <b/>
        <vertAlign val="subscript"/>
        <sz val="11"/>
        <rFont val="Times New Roman"/>
        <family val="1"/>
      </rPr>
      <t>Use</t>
    </r>
  </si>
  <si>
    <r>
      <t>BE</t>
    </r>
    <r>
      <rPr>
        <b/>
        <vertAlign val="subscript"/>
        <sz val="11"/>
        <rFont val="Times New Roman"/>
        <family val="1"/>
      </rPr>
      <t>MR</t>
    </r>
  </si>
  <si>
    <t>BE</t>
  </si>
  <si>
    <t>PE</t>
  </si>
  <si>
    <t>data sources:</t>
  </si>
  <si>
    <t>Values put into MR</t>
  </si>
  <si>
    <t>blue</t>
  </si>
  <si>
    <t>total methane amount utilised (sent to)</t>
  </si>
  <si>
    <t>methane amount sent to
boiler</t>
  </si>
  <si>
    <t>m³ CH4</t>
  </si>
  <si>
    <t>methane amount sent to
power plant</t>
  </si>
  <si>
    <t>methane amount sent to
ventilation air heater</t>
  </si>
  <si>
    <t>Heat generation by boiler</t>
  </si>
  <si>
    <t>Heat generation by ventilation air heater</t>
  </si>
  <si>
    <r>
      <t>Eff</t>
    </r>
    <r>
      <rPr>
        <b/>
        <vertAlign val="subscript"/>
        <sz val="11"/>
        <color indexed="8"/>
        <rFont val="Times New Roman"/>
        <family val="1"/>
      </rPr>
      <t>hea</t>
    </r>
    <r>
      <rPr>
        <b/>
        <vertAlign val="subscript"/>
        <sz val="10"/>
        <rFont val="Times New Roman"/>
        <family val="1"/>
      </rPr>
      <t>t,VAH</t>
    </r>
  </si>
  <si>
    <t>Energy efficiency of VAH</t>
  </si>
  <si>
    <t>Methane destroyed by heat generation</t>
  </si>
  <si>
    <t>Methane sent to heat plant</t>
  </si>
  <si>
    <t>methane amount sent to flare 1</t>
  </si>
  <si>
    <t>methane amount destroyed by flare 1</t>
  </si>
  <si>
    <t>methane amount sent to flare 2</t>
  </si>
  <si>
    <t>methane amount destroyed by flare 2</t>
  </si>
  <si>
    <t>methane amount sent to flare 3</t>
  </si>
  <si>
    <t>methane amount destroyed by flare 3</t>
  </si>
  <si>
    <t>methane amount sent to flare SUM</t>
  </si>
  <si>
    <t>methane amount destroyed by flare SUM</t>
  </si>
  <si>
    <t>MMFL [t]</t>
  </si>
  <si>
    <t>MDFL [t]</t>
  </si>
  <si>
    <t>methane concen-tration (flare 1)</t>
  </si>
  <si>
    <t xml:space="preserve">Flare combustion efficiency, determined by the flame temperature and operation hours </t>
  </si>
  <si>
    <t>Total 2012</t>
  </si>
  <si>
    <t>P3/4</t>
  </si>
  <si>
    <t>Project emissions from methane destroyed and uncombusted methane (flare)</t>
  </si>
  <si>
    <t>Project emissions from methane destroyed and uncombusted methane (heat plant)</t>
  </si>
  <si>
    <t>Project emissions from methane destroyed and uncombusted methane (power plant)</t>
  </si>
  <si>
    <t>Baseline emissions from release of methane into the atmosphere that is avoided by the project activity (flare)</t>
  </si>
  <si>
    <t>Baseline emissions from release of methane into the atmosphere that is avoided by the project activity (power plant)</t>
  </si>
  <si>
    <t>Baseline emissions from release of methane into the atmosphere that is avoided by the project activity (heat plant)</t>
  </si>
  <si>
    <t>Baseline emissions from the production of power, heat or supply to gas grid replaced by the project activity (heat)</t>
  </si>
  <si>
    <t>Baseline emissions from the production of power, heat or supply to gas grid replaced by the project activity (power)</t>
  </si>
  <si>
    <t>The values of emission reductions, baseline and project emissions,methane sent and destroyed, generated heat and power, consumed power are shown without decimal digits.</t>
  </si>
  <si>
    <t>Emission Reductions - K22 from 2012-05-01 to 2012-12-31</t>
  </si>
  <si>
    <t>methane amount sent to
CHP-2</t>
  </si>
  <si>
    <t>methane amount sent to
CHP-1</t>
  </si>
  <si>
    <t>Electricity generation by CHP-1</t>
  </si>
  <si>
    <t>Electricity generation by CHP-2</t>
  </si>
  <si>
    <t>K22-M2_Measuring_Data_2012-05-01 to 2012-12-31_V2.xls</t>
  </si>
  <si>
    <t>K22-M1_Measuring_Data_2012-05-01 to 2012-12-31_V2.xls</t>
  </si>
  <si>
    <t>K22-VAH_Measuring Data_2012-05-01 to 2012-12-31_V2.xls</t>
  </si>
  <si>
    <t>K22-B1_Measuring Data_2012-05-01 to 2012-12-31_V2.xls</t>
  </si>
  <si>
    <t>K22-F1_Measuring_Data_2012-05-01 to 2012-12-31_V2.xls</t>
  </si>
  <si>
    <t>K22-F3_Measuring_Data_2012-05-01 to 2012-12-31_V2.xls</t>
  </si>
  <si>
    <t>K22-F2_Measuring_Data_2012-05-01 to 2012-06-15_V2.xls</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</si>
</sst>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mmm\-yyyy"/>
    <numFmt numFmtId="185" formatCode="[$-809]dd\ mmmm\ yyyy"/>
    <numFmt numFmtId="186" formatCode="d\.m\.yy\ h:mm;@"/>
    <numFmt numFmtId="187" formatCode="0.00000"/>
    <numFmt numFmtId="188" formatCode="0.0000"/>
    <numFmt numFmtId="189" formatCode="0.000"/>
    <numFmt numFmtId="190" formatCode="0.0"/>
    <numFmt numFmtId="191" formatCode="d/m/yy\ h:mm;@"/>
    <numFmt numFmtId="192" formatCode="yyyy\-mm\-dd;@"/>
    <numFmt numFmtId="193" formatCode="0.0%"/>
    <numFmt numFmtId="194" formatCode="0.000%"/>
    <numFmt numFmtId="195" formatCode="0.0000000"/>
    <numFmt numFmtId="196" formatCode="0.000000"/>
    <numFmt numFmtId="197" formatCode="mmmm\-yyyy"/>
    <numFmt numFmtId="198" formatCode="#,##0.0"/>
    <numFmt numFmtId="199" formatCode="#,##0.000"/>
    <numFmt numFmtId="200" formatCode="mmm\ yyyy"/>
    <numFmt numFmtId="201" formatCode="[$-407]dddd\,\ d\.\ mmmm\ yyyy"/>
    <numFmt numFmtId="202" formatCode="d/m/yy;@"/>
    <numFmt numFmtId="203" formatCode="[$-409]mmmm\-yy;@"/>
  </numFmts>
  <fonts count="50">
    <font>
      <sz val="10"/>
      <name val="Arial"/>
      <family val="0"/>
    </font>
    <font>
      <b/>
      <sz val="14"/>
      <name val="Arial"/>
      <family val="2"/>
    </font>
    <font>
      <b/>
      <sz val="10"/>
      <name val="Arial"/>
      <family val="2"/>
    </font>
    <font>
      <b/>
      <sz val="11"/>
      <color indexed="8"/>
      <name val="Times New Roman"/>
      <family val="1"/>
    </font>
    <font>
      <b/>
      <vertAlign val="subscript"/>
      <sz val="11"/>
      <color indexed="8"/>
      <name val="Times New Roman"/>
      <family val="1"/>
    </font>
    <font>
      <b/>
      <vertAlign val="subscript"/>
      <sz val="11"/>
      <name val="Times New Roman"/>
      <family val="1"/>
    </font>
    <font>
      <b/>
      <vertAlign val="subscript"/>
      <sz val="10"/>
      <name val="Times New Roman"/>
      <family val="1"/>
    </font>
    <font>
      <b/>
      <vertAlign val="subscript"/>
      <sz val="10"/>
      <name val="Arial"/>
      <family val="2"/>
    </font>
    <font>
      <b/>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0"/>
      <color indexed="8"/>
      <name val="Arial"/>
      <family val="0"/>
    </font>
    <font>
      <b/>
      <sz val="10"/>
      <color indexed="8"/>
      <name val="Arial"/>
      <family val="0"/>
    </font>
    <font>
      <sz val="10"/>
      <color indexed="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1" borderId="0" applyNumberFormat="0" applyBorder="0" applyAlignment="0" applyProtection="0"/>
  </cellStyleXfs>
  <cellXfs count="103">
    <xf numFmtId="0" fontId="0" fillId="0" borderId="0" xfId="0" applyAlignment="1">
      <alignment/>
    </xf>
    <xf numFmtId="0" fontId="1" fillId="0" borderId="0" xfId="0" applyFont="1" applyAlignment="1">
      <alignment/>
    </xf>
    <xf numFmtId="0" fontId="2" fillId="0" borderId="0" xfId="0" applyFont="1" applyBorder="1" applyAlignment="1">
      <alignment/>
    </xf>
    <xf numFmtId="0" fontId="0" fillId="0" borderId="10" xfId="0" applyBorder="1" applyAlignment="1">
      <alignment/>
    </xf>
    <xf numFmtId="0" fontId="2" fillId="0" borderId="0" xfId="0" applyFont="1" applyBorder="1" applyAlignment="1">
      <alignment wrapText="1"/>
    </xf>
    <xf numFmtId="192" fontId="0" fillId="0" borderId="0" xfId="0" applyNumberFormat="1" applyAlignment="1">
      <alignment/>
    </xf>
    <xf numFmtId="0" fontId="0" fillId="0" borderId="0" xfId="0" applyAlignment="1">
      <alignment horizontal="righ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wrapText="1"/>
    </xf>
    <xf numFmtId="0" fontId="2" fillId="0" borderId="11" xfId="0" applyFont="1" applyBorder="1" applyAlignment="1">
      <alignment horizontal="right" wrapText="1"/>
    </xf>
    <xf numFmtId="2" fontId="0" fillId="0" borderId="0" xfId="0" applyNumberFormat="1" applyAlignment="1">
      <alignment/>
    </xf>
    <xf numFmtId="9" fontId="0" fillId="0" borderId="0" xfId="57" applyFont="1" applyAlignment="1">
      <alignment/>
    </xf>
    <xf numFmtId="0" fontId="0" fillId="0" borderId="0" xfId="0" applyFill="1" applyAlignment="1">
      <alignment/>
    </xf>
    <xf numFmtId="0" fontId="0" fillId="0" borderId="0" xfId="0" applyNumberFormat="1" applyFill="1" applyAlignment="1">
      <alignment/>
    </xf>
    <xf numFmtId="193" fontId="0" fillId="0" borderId="0" xfId="0" applyNumberFormat="1" applyFill="1" applyAlignment="1">
      <alignment/>
    </xf>
    <xf numFmtId="0" fontId="0" fillId="0" borderId="0" xfId="0" applyFill="1" applyAlignment="1" quotePrefix="1">
      <alignment horizontal="center"/>
    </xf>
    <xf numFmtId="193" fontId="0" fillId="0" borderId="0" xfId="0" applyNumberFormat="1" applyFill="1" applyAlignment="1" quotePrefix="1">
      <alignment horizontal="center"/>
    </xf>
    <xf numFmtId="0" fontId="3" fillId="0" borderId="10" xfId="0" applyFont="1" applyBorder="1" applyAlignment="1">
      <alignment/>
    </xf>
    <xf numFmtId="0" fontId="3" fillId="0" borderId="10" xfId="0" applyFont="1" applyBorder="1" applyAlignment="1">
      <alignment vertical="top" wrapText="1"/>
    </xf>
    <xf numFmtId="0" fontId="2" fillId="0" borderId="11" xfId="0" applyFont="1" applyBorder="1" applyAlignment="1">
      <alignment horizontal="right"/>
    </xf>
    <xf numFmtId="197" fontId="2" fillId="0" borderId="12" xfId="0" applyNumberFormat="1" applyFont="1" applyBorder="1" applyAlignment="1">
      <alignment horizontal="right"/>
    </xf>
    <xf numFmtId="3" fontId="2" fillId="0" borderId="12" xfId="0" applyNumberFormat="1" applyFont="1" applyBorder="1" applyAlignment="1">
      <alignment/>
    </xf>
    <xf numFmtId="3" fontId="0" fillId="0" borderId="0" xfId="0" applyNumberFormat="1" applyFill="1" applyAlignment="1">
      <alignment/>
    </xf>
    <xf numFmtId="0" fontId="0" fillId="0" borderId="0" xfId="0" applyAlignment="1">
      <alignment horizontal="right" vertical="center"/>
    </xf>
    <xf numFmtId="192" fontId="2" fillId="0" borderId="12" xfId="0" applyNumberFormat="1" applyFont="1" applyBorder="1" applyAlignment="1">
      <alignment horizontal="right" vertical="center" wrapText="1"/>
    </xf>
    <xf numFmtId="3" fontId="2" fillId="0" borderId="1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0" fontId="3" fillId="0" borderId="10" xfId="0" applyFont="1" applyFill="1" applyBorder="1" applyAlignment="1">
      <alignment/>
    </xf>
    <xf numFmtId="0" fontId="2" fillId="0" borderId="0" xfId="0" applyFont="1" applyFill="1" applyAlignment="1">
      <alignment wrapText="1"/>
    </xf>
    <xf numFmtId="0" fontId="2" fillId="0" borderId="11" xfId="0" applyFont="1" applyFill="1" applyBorder="1" applyAlignment="1">
      <alignment horizontal="right" wrapText="1"/>
    </xf>
    <xf numFmtId="1" fontId="0" fillId="0" borderId="0" xfId="0" applyNumberFormat="1" applyFill="1" applyAlignment="1">
      <alignment/>
    </xf>
    <xf numFmtId="0" fontId="3" fillId="0" borderId="10" xfId="0" applyFont="1" applyFill="1" applyBorder="1" applyAlignment="1">
      <alignment vertical="top" wrapText="1"/>
    </xf>
    <xf numFmtId="193" fontId="0" fillId="0" borderId="0" xfId="0" applyNumberFormat="1" applyFill="1" applyAlignment="1" quotePrefix="1">
      <alignment horizontal="right"/>
    </xf>
    <xf numFmtId="193" fontId="0" fillId="0" borderId="0" xfId="57" applyNumberFormat="1" applyFon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4" borderId="0" xfId="0" applyFill="1" applyAlignment="1">
      <alignment/>
    </xf>
    <xf numFmtId="0" fontId="2" fillId="0" borderId="10"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3" borderId="10" xfId="0" applyNumberFormat="1" applyFont="1" applyFill="1" applyBorder="1" applyAlignment="1">
      <alignment/>
    </xf>
    <xf numFmtId="1" fontId="0" fillId="3" borderId="0" xfId="0" applyNumberFormat="1" applyFill="1" applyAlignment="1">
      <alignment/>
    </xf>
    <xf numFmtId="3" fontId="0" fillId="0" borderId="0" xfId="0" applyNumberFormat="1" applyAlignment="1">
      <alignment/>
    </xf>
    <xf numFmtId="0" fontId="0" fillId="32"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8" fontId="0" fillId="0" borderId="0" xfId="0" applyNumberFormat="1" applyFill="1" applyBorder="1" applyAlignment="1">
      <alignment/>
    </xf>
    <xf numFmtId="190" fontId="0" fillId="0" borderId="0" xfId="0" applyNumberFormat="1" applyFill="1" applyBorder="1" applyAlignment="1">
      <alignment/>
    </xf>
    <xf numFmtId="3" fontId="0" fillId="4" borderId="0" xfId="0" applyNumberFormat="1" applyFill="1" applyAlignment="1" applyProtection="1">
      <alignment/>
      <protection locked="0"/>
    </xf>
    <xf numFmtId="1" fontId="0" fillId="4" borderId="0" xfId="0" applyNumberFormat="1" applyFill="1" applyAlignment="1">
      <alignment/>
    </xf>
    <xf numFmtId="0" fontId="2" fillId="0" borderId="0" xfId="0" applyFont="1" applyAlignment="1">
      <alignment horizontal="left" wrapText="1"/>
    </xf>
    <xf numFmtId="0" fontId="2" fillId="0" borderId="0" xfId="0" applyFont="1" applyFill="1" applyAlignment="1">
      <alignment horizontal="left" wrapText="1"/>
    </xf>
    <xf numFmtId="0" fontId="2" fillId="0" borderId="11" xfId="0" applyFont="1" applyFill="1" applyBorder="1" applyAlignment="1">
      <alignment horizontal="right"/>
    </xf>
    <xf numFmtId="0" fontId="2" fillId="0" borderId="0" xfId="0" applyFont="1" applyFill="1" applyBorder="1" applyAlignment="1">
      <alignment wrapText="1"/>
    </xf>
    <xf numFmtId="198" fontId="2" fillId="0" borderId="11" xfId="0" applyNumberFormat="1" applyFont="1" applyFill="1" applyBorder="1" applyAlignment="1">
      <alignment horizontal="right" wrapText="1"/>
    </xf>
    <xf numFmtId="3" fontId="2" fillId="0" borderId="12" xfId="0" applyNumberFormat="1" applyFont="1" applyFill="1" applyBorder="1" applyAlignment="1">
      <alignment/>
    </xf>
    <xf numFmtId="3" fontId="2" fillId="0" borderId="12" xfId="0" applyNumberFormat="1" applyFont="1" applyFill="1" applyBorder="1" applyAlignment="1">
      <alignment horizontal="right" vertical="center"/>
    </xf>
    <xf numFmtId="198" fontId="0" fillId="4" borderId="0"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2" fillId="0" borderId="13" xfId="0" applyFont="1" applyBorder="1" applyAlignment="1">
      <alignment horizontal="left" wrapText="1"/>
    </xf>
    <xf numFmtId="198" fontId="2" fillId="0" borderId="15" xfId="0" applyNumberFormat="1" applyFont="1" applyFill="1" applyBorder="1" applyAlignment="1">
      <alignment horizontal="right" wrapText="1"/>
    </xf>
    <xf numFmtId="3" fontId="0" fillId="0" borderId="13" xfId="0" applyNumberFormat="1" applyFill="1" applyBorder="1" applyAlignment="1">
      <alignment/>
    </xf>
    <xf numFmtId="3" fontId="2" fillId="0" borderId="16" xfId="0" applyNumberFormat="1" applyFont="1" applyBorder="1" applyAlignment="1">
      <alignment/>
    </xf>
    <xf numFmtId="3" fontId="0" fillId="0" borderId="0" xfId="0" applyNumberFormat="1" applyFill="1" applyAlignment="1" applyProtection="1">
      <alignment/>
      <protection locked="0"/>
    </xf>
    <xf numFmtId="0" fontId="0" fillId="0" borderId="11" xfId="0" applyBorder="1" applyAlignment="1">
      <alignment horizontal="right"/>
    </xf>
    <xf numFmtId="198" fontId="0" fillId="0" borderId="0" xfId="0" applyNumberFormat="1" applyFont="1" applyFill="1" applyBorder="1" applyAlignment="1">
      <alignment horizontal="right"/>
    </xf>
    <xf numFmtId="198" fontId="2" fillId="0" borderId="12" xfId="0" applyNumberFormat="1" applyFont="1" applyBorder="1" applyAlignment="1">
      <alignment/>
    </xf>
    <xf numFmtId="202" fontId="0" fillId="0" borderId="0" xfId="0" applyNumberFormat="1" applyAlignment="1">
      <alignment/>
    </xf>
    <xf numFmtId="3" fontId="2" fillId="32" borderId="12" xfId="0" applyNumberFormat="1" applyFont="1" applyFill="1" applyBorder="1" applyAlignment="1">
      <alignment/>
    </xf>
    <xf numFmtId="0" fontId="0" fillId="0" borderId="0" xfId="0" applyFill="1" applyBorder="1" applyAlignment="1">
      <alignment horizontal="right"/>
    </xf>
    <xf numFmtId="0" fontId="14" fillId="0" borderId="0" xfId="0" applyFont="1" applyAlignment="1">
      <alignment wrapText="1"/>
    </xf>
    <xf numFmtId="198" fontId="2" fillId="0" borderId="12" xfId="0" applyNumberFormat="1" applyFont="1" applyFill="1" applyBorder="1" applyAlignment="1">
      <alignment horizontal="right" vertical="center"/>
    </xf>
    <xf numFmtId="3" fontId="0" fillId="0" borderId="0" xfId="0" applyNumberFormat="1" applyBorder="1" applyAlignment="1">
      <alignment/>
    </xf>
    <xf numFmtId="0" fontId="0" fillId="3" borderId="0" xfId="0" applyFill="1" applyAlignment="1">
      <alignment/>
    </xf>
    <xf numFmtId="3" fontId="0" fillId="0" borderId="10" xfId="0" applyNumberFormat="1" applyBorder="1" applyAlignment="1">
      <alignment/>
    </xf>
    <xf numFmtId="198" fontId="0" fillId="0" borderId="0" xfId="0" applyNumberFormat="1" applyAlignment="1">
      <alignment/>
    </xf>
    <xf numFmtId="198" fontId="0" fillId="0" borderId="0" xfId="0" applyNumberFormat="1" applyBorder="1" applyAlignment="1">
      <alignment/>
    </xf>
    <xf numFmtId="198" fontId="0" fillId="0" borderId="0" xfId="0" applyNumberFormat="1" applyBorder="1" applyAlignment="1">
      <alignment horizontal="right"/>
    </xf>
    <xf numFmtId="197" fontId="0" fillId="0" borderId="0" xfId="0" applyNumberFormat="1" applyAlignment="1">
      <alignment horizontal="left"/>
    </xf>
    <xf numFmtId="197" fontId="2" fillId="0" borderId="0" xfId="0" applyNumberFormat="1" applyFont="1" applyBorder="1" applyAlignment="1">
      <alignment horizontal="left"/>
    </xf>
    <xf numFmtId="0" fontId="0" fillId="0" borderId="0" xfId="0" applyBorder="1" applyAlignment="1">
      <alignment horizontal="left"/>
    </xf>
    <xf numFmtId="203" fontId="0" fillId="0" borderId="0" xfId="0" applyNumberFormat="1" applyAlignment="1">
      <alignment/>
    </xf>
    <xf numFmtId="0" fontId="2" fillId="0" borderId="0" xfId="0" applyFont="1" applyAlignment="1">
      <alignment wrapText="1"/>
    </xf>
    <xf numFmtId="189" fontId="13" fillId="0" borderId="0" xfId="0" applyNumberFormat="1" applyFont="1" applyFill="1" applyAlignment="1" quotePrefix="1">
      <alignment horizontal="right"/>
    </xf>
    <xf numFmtId="189" fontId="13" fillId="0" borderId="0" xfId="0" applyNumberFormat="1" applyFont="1" applyAlignment="1">
      <alignment/>
    </xf>
    <xf numFmtId="1" fontId="0" fillId="4" borderId="0" xfId="0" applyNumberFormat="1" applyFill="1" applyBorder="1" applyAlignment="1">
      <alignment/>
    </xf>
    <xf numFmtId="198" fontId="15" fillId="0" borderId="0" xfId="0" applyNumberFormat="1" applyFont="1" applyBorder="1" applyAlignment="1" applyProtection="1">
      <alignment/>
      <protection locked="0"/>
    </xf>
    <xf numFmtId="0" fontId="3" fillId="0" borderId="0" xfId="0" applyFont="1" applyFill="1" applyAlignment="1">
      <alignment/>
    </xf>
    <xf numFmtId="0" fontId="3" fillId="0" borderId="10" xfId="0" applyFont="1" applyFill="1" applyBorder="1" applyAlignment="1">
      <alignment wrapText="1"/>
    </xf>
    <xf numFmtId="16" fontId="0" fillId="0" borderId="0" xfId="0" applyNumberFormat="1" applyAlignment="1">
      <alignment/>
    </xf>
    <xf numFmtId="3" fontId="13" fillId="4" borderId="0" xfId="0" applyNumberFormat="1" applyFont="1" applyFill="1" applyAlignment="1" applyProtection="1">
      <alignment/>
      <protection locked="0"/>
    </xf>
    <xf numFmtId="3" fontId="0" fillId="4" borderId="0" xfId="0" applyNumberFormat="1" applyFill="1" applyAlignment="1">
      <alignment/>
    </xf>
    <xf numFmtId="3" fontId="0" fillId="4" borderId="0" xfId="0" applyNumberFormat="1" applyFont="1" applyFill="1" applyAlignment="1">
      <alignment/>
    </xf>
    <xf numFmtId="3" fontId="13" fillId="4" borderId="0" xfId="0" applyNumberFormat="1" applyFont="1" applyFill="1" applyAlignment="1">
      <alignment/>
    </xf>
    <xf numFmtId="192" fontId="0" fillId="0" borderId="0" xfId="0" applyNumberFormat="1" applyAlignment="1">
      <alignment horizontal="left" wrapText="1"/>
    </xf>
    <xf numFmtId="188" fontId="0" fillId="0" borderId="0" xfId="0" applyNumberForma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38"/>
  <sheetViews>
    <sheetView tabSelected="1" zoomScalePageLayoutView="0" workbookViewId="0" topLeftCell="A1">
      <pane xSplit="1" ySplit="5" topLeftCell="AX6" activePane="bottomRight" state="frozen"/>
      <selection pane="topLeft" activeCell="K6" sqref="K6"/>
      <selection pane="topRight" activeCell="A1" sqref="A1"/>
      <selection pane="bottomLeft" activeCell="A7" sqref="A7"/>
      <selection pane="bottomRight" activeCell="BO12" sqref="BO12"/>
    </sheetView>
  </sheetViews>
  <sheetFormatPr defaultColWidth="11.421875" defaultRowHeight="12.75"/>
  <cols>
    <col min="1" max="1" width="16.421875" style="5" customWidth="1"/>
    <col min="2" max="2" width="8.57421875" style="0" customWidth="1"/>
    <col min="3" max="3" width="9.7109375" style="0" customWidth="1"/>
    <col min="4" max="4" width="8.28125" style="0" customWidth="1"/>
    <col min="5" max="5" width="8.28125" style="0" bestFit="1" customWidth="1"/>
    <col min="6" max="7" width="8.57421875" style="0" customWidth="1"/>
    <col min="8" max="8" width="8.7109375" style="0" customWidth="1"/>
    <col min="9" max="9" width="9.7109375" style="0" customWidth="1"/>
    <col min="10" max="11" width="8.00390625" style="0" customWidth="1"/>
    <col min="12" max="12" width="8.421875" style="0" customWidth="1"/>
    <col min="13" max="13" width="8.8515625" style="0" customWidth="1"/>
    <col min="14" max="14" width="8.28125" style="0" customWidth="1"/>
    <col min="15" max="15" width="8.8515625" style="0" customWidth="1"/>
    <col min="16" max="16" width="8.28125" style="0" customWidth="1"/>
    <col min="17" max="18" width="10.140625" style="0" bestFit="1" customWidth="1"/>
    <col min="19" max="19" width="9.7109375" style="0" customWidth="1"/>
    <col min="20" max="21" width="9.8515625" style="0" customWidth="1"/>
    <col min="22" max="22" width="10.00390625" style="0" customWidth="1"/>
    <col min="23" max="23" width="12.8515625" style="0" customWidth="1"/>
    <col min="24" max="24" width="10.28125" style="0" customWidth="1"/>
    <col min="25" max="25" width="9.57421875" style="0" customWidth="1"/>
    <col min="26" max="26" width="9.28125" style="0" customWidth="1"/>
    <col min="27" max="27" width="12.28125" style="0" customWidth="1"/>
    <col min="28" max="28" width="7.7109375" style="0" customWidth="1"/>
    <col min="29" max="29" width="7.140625" style="15" customWidth="1"/>
    <col min="30" max="30" width="11.00390625" style="15" customWidth="1"/>
    <col min="31" max="31" width="8.8515625" style="0" bestFit="1" customWidth="1"/>
    <col min="32" max="32" width="9.28125" style="0" bestFit="1" customWidth="1"/>
    <col min="33" max="33" width="9.00390625" style="0" bestFit="1" customWidth="1"/>
    <col min="34" max="34" width="8.8515625" style="0" bestFit="1" customWidth="1"/>
    <col min="35" max="35" width="9.421875" style="0" bestFit="1" customWidth="1"/>
    <col min="36" max="36" width="8.421875" style="0" bestFit="1" customWidth="1"/>
    <col min="37" max="37" width="8.8515625" style="0" bestFit="1" customWidth="1"/>
    <col min="38" max="38" width="9.7109375" style="0" bestFit="1" customWidth="1"/>
    <col min="39" max="39" width="8.421875" style="0" customWidth="1"/>
    <col min="40" max="40" width="9.28125" style="0" customWidth="1"/>
    <col min="41" max="41" width="9.8515625" style="0" customWidth="1"/>
    <col min="42" max="42" width="9.28125" style="0" customWidth="1"/>
    <col min="43" max="43" width="9.8515625" style="0" customWidth="1"/>
    <col min="44" max="44" width="15.00390625" style="0" customWidth="1"/>
    <col min="45" max="45" width="11.8515625" style="0" customWidth="1"/>
    <col min="46" max="46" width="12.7109375" style="0" customWidth="1"/>
    <col min="47" max="47" width="12.8515625" style="0" customWidth="1"/>
    <col min="48" max="48" width="16.421875" style="0" customWidth="1"/>
    <col min="49" max="49" width="12.00390625" style="0" customWidth="1"/>
    <col min="50" max="50" width="12.7109375" style="0" customWidth="1"/>
    <col min="51" max="51" width="9.00390625" style="0" customWidth="1"/>
    <col min="52" max="52" width="9.28125" style="0" customWidth="1"/>
    <col min="53" max="53" width="10.8515625" style="0" customWidth="1"/>
    <col min="54" max="54" width="7.140625" style="0" bestFit="1" customWidth="1"/>
    <col min="55" max="56" width="7.421875" style="0" bestFit="1" customWidth="1"/>
    <col min="57" max="57" width="8.00390625" style="0" bestFit="1" customWidth="1"/>
    <col min="58" max="58" width="8.00390625" style="0" customWidth="1"/>
    <col min="59" max="59" width="7.7109375" style="0" bestFit="1" customWidth="1"/>
    <col min="60" max="60" width="7.00390625" style="0" customWidth="1"/>
    <col min="61" max="61" width="9.8515625" style="0" bestFit="1" customWidth="1"/>
    <col min="62" max="62" width="7.7109375" style="0" customWidth="1"/>
    <col min="63" max="63" width="7.00390625" style="0" customWidth="1"/>
  </cols>
  <sheetData>
    <row r="1" ht="18">
      <c r="A1" s="1" t="s">
        <v>148</v>
      </c>
    </row>
    <row r="2" spans="1:62" ht="18">
      <c r="A2" s="1"/>
      <c r="O2" s="8"/>
      <c r="P2" s="64"/>
      <c r="S2" s="9" t="s">
        <v>35</v>
      </c>
      <c r="T2" s="9" t="s">
        <v>2</v>
      </c>
      <c r="U2" s="94" t="s">
        <v>138</v>
      </c>
      <c r="V2" s="94" t="s">
        <v>138</v>
      </c>
      <c r="W2" s="94" t="s">
        <v>138</v>
      </c>
      <c r="X2" s="94" t="s">
        <v>3</v>
      </c>
      <c r="Y2" s="9" t="s">
        <v>4</v>
      </c>
      <c r="Z2" s="9" t="s">
        <v>5</v>
      </c>
      <c r="AA2" s="9" t="s">
        <v>6</v>
      </c>
      <c r="AB2" s="9" t="s">
        <v>36</v>
      </c>
      <c r="AC2" s="30" t="s">
        <v>37</v>
      </c>
      <c r="AD2" s="9" t="s">
        <v>38</v>
      </c>
      <c r="AE2" s="10" t="s">
        <v>39</v>
      </c>
      <c r="AF2" s="10" t="s">
        <v>40</v>
      </c>
      <c r="AG2" s="10" t="s">
        <v>41</v>
      </c>
      <c r="AH2" s="9" t="s">
        <v>7</v>
      </c>
      <c r="AI2" s="9" t="s">
        <v>8</v>
      </c>
      <c r="AJ2" s="9" t="s">
        <v>9</v>
      </c>
      <c r="AK2" s="9" t="s">
        <v>10</v>
      </c>
      <c r="AL2" s="9" t="s">
        <v>11</v>
      </c>
      <c r="AM2" s="9" t="s">
        <v>12</v>
      </c>
      <c r="AN2" s="9" t="s">
        <v>13</v>
      </c>
      <c r="AO2" s="9" t="s">
        <v>14</v>
      </c>
      <c r="AP2" s="9" t="s">
        <v>16</v>
      </c>
      <c r="AQ2" s="9" t="s">
        <v>17</v>
      </c>
      <c r="AR2" s="9" t="s">
        <v>18</v>
      </c>
      <c r="AS2" s="94" t="s">
        <v>18</v>
      </c>
      <c r="AT2" s="94" t="s">
        <v>18</v>
      </c>
      <c r="AU2" s="94" t="s">
        <v>18</v>
      </c>
      <c r="AV2" s="94" t="s">
        <v>19</v>
      </c>
      <c r="AW2" s="94" t="s">
        <v>19</v>
      </c>
      <c r="AX2" s="94" t="s">
        <v>19</v>
      </c>
      <c r="AY2" s="9" t="s">
        <v>20</v>
      </c>
      <c r="AZ2" s="9" t="s">
        <v>21</v>
      </c>
      <c r="BA2" s="9" t="s">
        <v>22</v>
      </c>
      <c r="BB2" s="9" t="s">
        <v>23</v>
      </c>
      <c r="BC2" s="9"/>
      <c r="BD2" s="9"/>
      <c r="BE2" s="9" t="s">
        <v>24</v>
      </c>
      <c r="BF2" s="9"/>
      <c r="BG2" s="9"/>
      <c r="BH2" s="9" t="s">
        <v>25</v>
      </c>
      <c r="BI2" s="9" t="s">
        <v>26</v>
      </c>
      <c r="BJ2" s="9" t="s">
        <v>27</v>
      </c>
    </row>
    <row r="3" spans="1:63" ht="33">
      <c r="A3" s="3"/>
      <c r="B3" s="81" t="s">
        <v>133</v>
      </c>
      <c r="C3" s="81" t="s">
        <v>134</v>
      </c>
      <c r="D3" s="81" t="s">
        <v>133</v>
      </c>
      <c r="E3" s="81" t="s">
        <v>134</v>
      </c>
      <c r="F3" s="81" t="s">
        <v>133</v>
      </c>
      <c r="G3" s="81" t="s">
        <v>134</v>
      </c>
      <c r="H3" s="3"/>
      <c r="I3" s="3"/>
      <c r="J3" s="3"/>
      <c r="K3" s="3"/>
      <c r="L3" s="3"/>
      <c r="M3" s="3"/>
      <c r="N3" s="3"/>
      <c r="O3" s="3"/>
      <c r="P3" s="65"/>
      <c r="Q3" s="3"/>
      <c r="R3" s="20" t="s">
        <v>86</v>
      </c>
      <c r="S3" s="20" t="s">
        <v>110</v>
      </c>
      <c r="T3" s="20" t="s">
        <v>56</v>
      </c>
      <c r="U3" s="95" t="s">
        <v>57</v>
      </c>
      <c r="V3" s="95" t="s">
        <v>57</v>
      </c>
      <c r="W3" s="95" t="s">
        <v>57</v>
      </c>
      <c r="X3" s="31" t="s">
        <v>57</v>
      </c>
      <c r="Y3" s="20" t="s">
        <v>58</v>
      </c>
      <c r="Z3" s="20" t="s">
        <v>59</v>
      </c>
      <c r="AA3" s="20" t="s">
        <v>60</v>
      </c>
      <c r="AB3" s="21" t="s">
        <v>61</v>
      </c>
      <c r="AC3" s="31" t="s">
        <v>62</v>
      </c>
      <c r="AD3" s="35" t="s">
        <v>63</v>
      </c>
      <c r="AE3" s="20" t="s">
        <v>64</v>
      </c>
      <c r="AF3" s="21" t="s">
        <v>65</v>
      </c>
      <c r="AG3" s="21" t="s">
        <v>66</v>
      </c>
      <c r="AH3" s="20" t="s">
        <v>67</v>
      </c>
      <c r="AI3" s="20" t="s">
        <v>68</v>
      </c>
      <c r="AJ3" s="20" t="s">
        <v>69</v>
      </c>
      <c r="AK3" s="20" t="s">
        <v>70</v>
      </c>
      <c r="AL3" s="20" t="s">
        <v>71</v>
      </c>
      <c r="AM3" s="20" t="s">
        <v>72</v>
      </c>
      <c r="AN3" s="20" t="s">
        <v>73</v>
      </c>
      <c r="AO3" s="20" t="s">
        <v>15</v>
      </c>
      <c r="AP3" s="20" t="s">
        <v>74</v>
      </c>
      <c r="AQ3" s="20" t="s">
        <v>109</v>
      </c>
      <c r="AR3" s="20" t="s">
        <v>108</v>
      </c>
      <c r="AS3" s="95" t="s">
        <v>108</v>
      </c>
      <c r="AT3" s="95" t="s">
        <v>108</v>
      </c>
      <c r="AU3" s="95" t="s">
        <v>108</v>
      </c>
      <c r="AV3" s="31" t="s">
        <v>107</v>
      </c>
      <c r="AW3" s="95" t="s">
        <v>107</v>
      </c>
      <c r="AX3" s="95" t="s">
        <v>107</v>
      </c>
      <c r="AY3" s="20" t="s">
        <v>106</v>
      </c>
      <c r="AZ3" s="20" t="s">
        <v>74</v>
      </c>
      <c r="BA3" s="20" t="s">
        <v>70</v>
      </c>
      <c r="BB3" s="20" t="s">
        <v>105</v>
      </c>
      <c r="BC3" s="20"/>
      <c r="BD3" s="20"/>
      <c r="BE3" s="20" t="s">
        <v>104</v>
      </c>
      <c r="BF3" s="20"/>
      <c r="BG3" s="20"/>
      <c r="BH3" s="20" t="s">
        <v>75</v>
      </c>
      <c r="BI3" s="20" t="s">
        <v>76</v>
      </c>
      <c r="BJ3" s="20" t="s">
        <v>77</v>
      </c>
      <c r="BK3" s="20" t="s">
        <v>121</v>
      </c>
    </row>
    <row r="4" spans="1:63" ht="165.75">
      <c r="A4" s="2" t="s">
        <v>0</v>
      </c>
      <c r="B4" s="59" t="s">
        <v>125</v>
      </c>
      <c r="C4" s="59" t="s">
        <v>126</v>
      </c>
      <c r="D4" s="59" t="s">
        <v>127</v>
      </c>
      <c r="E4" s="59" t="s">
        <v>128</v>
      </c>
      <c r="F4" s="59" t="s">
        <v>129</v>
      </c>
      <c r="G4" s="59" t="s">
        <v>130</v>
      </c>
      <c r="H4" s="59" t="s">
        <v>131</v>
      </c>
      <c r="I4" s="59" t="s">
        <v>132</v>
      </c>
      <c r="J4" s="57" t="s">
        <v>150</v>
      </c>
      <c r="K4" s="57" t="s">
        <v>149</v>
      </c>
      <c r="L4" s="57" t="s">
        <v>117</v>
      </c>
      <c r="M4" s="57" t="s">
        <v>115</v>
      </c>
      <c r="N4" s="57" t="s">
        <v>118</v>
      </c>
      <c r="O4" s="4" t="s">
        <v>135</v>
      </c>
      <c r="P4" s="66" t="s">
        <v>114</v>
      </c>
      <c r="Q4" s="56" t="s">
        <v>114</v>
      </c>
      <c r="R4" s="11" t="s">
        <v>87</v>
      </c>
      <c r="S4" s="11" t="s">
        <v>99</v>
      </c>
      <c r="T4" s="11" t="s">
        <v>42</v>
      </c>
      <c r="U4" s="89" t="s">
        <v>139</v>
      </c>
      <c r="V4" s="89" t="s">
        <v>140</v>
      </c>
      <c r="W4" s="89" t="s">
        <v>141</v>
      </c>
      <c r="X4" s="11" t="s">
        <v>43</v>
      </c>
      <c r="Y4" s="11" t="s">
        <v>44</v>
      </c>
      <c r="Z4" s="32" t="s">
        <v>45</v>
      </c>
      <c r="AA4" s="11" t="s">
        <v>78</v>
      </c>
      <c r="AB4" s="11" t="s">
        <v>46</v>
      </c>
      <c r="AC4" s="32" t="s">
        <v>47</v>
      </c>
      <c r="AD4" s="32" t="s">
        <v>136</v>
      </c>
      <c r="AE4" s="11" t="s">
        <v>48</v>
      </c>
      <c r="AF4" s="11" t="s">
        <v>49</v>
      </c>
      <c r="AG4" s="11" t="s">
        <v>50</v>
      </c>
      <c r="AH4" s="77" t="s">
        <v>123</v>
      </c>
      <c r="AI4" s="77" t="s">
        <v>124</v>
      </c>
      <c r="AJ4" s="11" t="s">
        <v>51</v>
      </c>
      <c r="AK4" s="11" t="s">
        <v>29</v>
      </c>
      <c r="AL4" s="11" t="s">
        <v>52</v>
      </c>
      <c r="AM4" s="11" t="s">
        <v>53</v>
      </c>
      <c r="AN4" s="11" t="s">
        <v>55</v>
      </c>
      <c r="AO4" s="11" t="s">
        <v>54</v>
      </c>
      <c r="AP4" s="11" t="s">
        <v>28</v>
      </c>
      <c r="AQ4" s="11" t="s">
        <v>100</v>
      </c>
      <c r="AR4" s="11" t="s">
        <v>101</v>
      </c>
      <c r="AS4" s="89" t="s">
        <v>142</v>
      </c>
      <c r="AT4" s="89" t="s">
        <v>143</v>
      </c>
      <c r="AU4" s="89" t="s">
        <v>144</v>
      </c>
      <c r="AV4" s="11" t="s">
        <v>102</v>
      </c>
      <c r="AW4" s="89" t="s">
        <v>145</v>
      </c>
      <c r="AX4" s="89" t="s">
        <v>146</v>
      </c>
      <c r="AY4" s="11" t="s">
        <v>103</v>
      </c>
      <c r="AZ4" s="11" t="s">
        <v>28</v>
      </c>
      <c r="BA4" s="11" t="s">
        <v>29</v>
      </c>
      <c r="BB4" s="11" t="s">
        <v>30</v>
      </c>
      <c r="BC4" s="11" t="s">
        <v>151</v>
      </c>
      <c r="BD4" s="11" t="s">
        <v>152</v>
      </c>
      <c r="BE4" s="11" t="s">
        <v>31</v>
      </c>
      <c r="BF4" s="11" t="s">
        <v>119</v>
      </c>
      <c r="BG4" s="11" t="s">
        <v>120</v>
      </c>
      <c r="BH4" s="11" t="s">
        <v>32</v>
      </c>
      <c r="BI4" s="11" t="s">
        <v>33</v>
      </c>
      <c r="BJ4" s="11" t="s">
        <v>34</v>
      </c>
      <c r="BK4" s="11" t="s">
        <v>122</v>
      </c>
    </row>
    <row r="5" spans="1:63" s="6" customFormat="1" ht="39" thickBot="1">
      <c r="A5" s="22"/>
      <c r="B5" s="60" t="s">
        <v>81</v>
      </c>
      <c r="C5" s="60" t="s">
        <v>81</v>
      </c>
      <c r="D5" s="60" t="s">
        <v>81</v>
      </c>
      <c r="E5" s="60" t="s">
        <v>81</v>
      </c>
      <c r="F5" s="60" t="s">
        <v>81</v>
      </c>
      <c r="G5" s="60" t="s">
        <v>81</v>
      </c>
      <c r="H5" s="60" t="s">
        <v>81</v>
      </c>
      <c r="I5" s="60" t="s">
        <v>81</v>
      </c>
      <c r="J5" s="60" t="s">
        <v>81</v>
      </c>
      <c r="K5" s="60" t="s">
        <v>81</v>
      </c>
      <c r="L5" s="60" t="s">
        <v>81</v>
      </c>
      <c r="M5" s="60" t="s">
        <v>81</v>
      </c>
      <c r="N5" s="60" t="s">
        <v>81</v>
      </c>
      <c r="O5" s="22" t="s">
        <v>1</v>
      </c>
      <c r="P5" s="67" t="s">
        <v>81</v>
      </c>
      <c r="Q5" s="58" t="s">
        <v>116</v>
      </c>
      <c r="R5" s="12" t="s">
        <v>89</v>
      </c>
      <c r="S5" s="12" t="s">
        <v>89</v>
      </c>
      <c r="T5" s="12" t="s">
        <v>89</v>
      </c>
      <c r="U5" s="12" t="s">
        <v>89</v>
      </c>
      <c r="V5" s="12" t="s">
        <v>89</v>
      </c>
      <c r="W5" s="12" t="s">
        <v>89</v>
      </c>
      <c r="X5" s="12" t="s">
        <v>89</v>
      </c>
      <c r="Y5" s="12" t="s">
        <v>89</v>
      </c>
      <c r="Z5" s="12" t="s">
        <v>80</v>
      </c>
      <c r="AA5" s="12" t="s">
        <v>89</v>
      </c>
      <c r="AB5" s="12" t="s">
        <v>90</v>
      </c>
      <c r="AC5" s="12" t="s">
        <v>91</v>
      </c>
      <c r="AD5" s="33" t="s">
        <v>1</v>
      </c>
      <c r="AE5" s="12" t="s">
        <v>91</v>
      </c>
      <c r="AF5" s="12" t="s">
        <v>91</v>
      </c>
      <c r="AG5" s="12" t="s">
        <v>1</v>
      </c>
      <c r="AH5" s="12" t="s">
        <v>91</v>
      </c>
      <c r="AI5" s="12" t="s">
        <v>91</v>
      </c>
      <c r="AJ5" s="12" t="s">
        <v>1</v>
      </c>
      <c r="AK5" s="12" t="s">
        <v>93</v>
      </c>
      <c r="AL5" s="12" t="s">
        <v>92</v>
      </c>
      <c r="AM5" s="12" t="s">
        <v>1</v>
      </c>
      <c r="AN5" s="12" t="s">
        <v>1</v>
      </c>
      <c r="AO5" s="12" t="s">
        <v>82</v>
      </c>
      <c r="AP5" s="12" t="s">
        <v>84</v>
      </c>
      <c r="AQ5" s="12" t="s">
        <v>79</v>
      </c>
      <c r="AR5" s="12" t="s">
        <v>79</v>
      </c>
      <c r="AS5" s="12" t="s">
        <v>79</v>
      </c>
      <c r="AT5" s="12" t="s">
        <v>79</v>
      </c>
      <c r="AU5" s="12" t="s">
        <v>79</v>
      </c>
      <c r="AV5" s="12" t="s">
        <v>79</v>
      </c>
      <c r="AW5" s="12" t="s">
        <v>79</v>
      </c>
      <c r="AX5" s="12" t="s">
        <v>79</v>
      </c>
      <c r="AY5" s="12" t="s">
        <v>81</v>
      </c>
      <c r="AZ5" s="12" t="s">
        <v>84</v>
      </c>
      <c r="BA5" s="12" t="s">
        <v>84</v>
      </c>
      <c r="BB5" s="12" t="s">
        <v>80</v>
      </c>
      <c r="BC5" s="12" t="s">
        <v>80</v>
      </c>
      <c r="BD5" s="12" t="s">
        <v>80</v>
      </c>
      <c r="BE5" s="12" t="s">
        <v>80</v>
      </c>
      <c r="BF5" s="12" t="s">
        <v>80</v>
      </c>
      <c r="BG5" s="12" t="s">
        <v>80</v>
      </c>
      <c r="BH5" s="12" t="s">
        <v>83</v>
      </c>
      <c r="BI5" s="12" t="s">
        <v>85</v>
      </c>
      <c r="BJ5" s="12" t="s">
        <v>1</v>
      </c>
      <c r="BK5" s="71" t="s">
        <v>1</v>
      </c>
    </row>
    <row r="6" spans="1:63" ht="12.75">
      <c r="A6" s="88">
        <v>41030</v>
      </c>
      <c r="B6" s="98">
        <v>214.9226676882</v>
      </c>
      <c r="C6" s="98">
        <v>208.20735708651827</v>
      </c>
      <c r="D6" s="98">
        <v>251.463</v>
      </c>
      <c r="E6" s="98">
        <v>249.81722</v>
      </c>
      <c r="F6" s="99">
        <v>722.4560279999992</v>
      </c>
      <c r="G6" s="99">
        <v>718.3391273000001</v>
      </c>
      <c r="H6" s="25">
        <f aca="true" t="shared" si="0" ref="H6:I11">F6+D6+B6</f>
        <v>1188.841695688199</v>
      </c>
      <c r="I6" s="25">
        <f t="shared" si="0"/>
        <v>1176.3637043865183</v>
      </c>
      <c r="J6" s="98">
        <v>113.65639408058148</v>
      </c>
      <c r="K6" s="98">
        <v>0</v>
      </c>
      <c r="L6" s="25">
        <f aca="true" t="shared" si="1" ref="L6:L13">K6+J6</f>
        <v>113.65639408058148</v>
      </c>
      <c r="M6" s="98">
        <v>24.729413800000053</v>
      </c>
      <c r="N6" s="98">
        <v>0</v>
      </c>
      <c r="O6" s="63">
        <v>49.76696472925979</v>
      </c>
      <c r="P6" s="68">
        <f>SUM(L6:N6)+H6</f>
        <v>1327.2275035687805</v>
      </c>
      <c r="Q6" s="25">
        <f>P6/0.717*1000</f>
        <v>1851084.3843358168</v>
      </c>
      <c r="R6" s="41">
        <f aca="true" t="shared" si="2" ref="R6:R12">AQ6-S6</f>
        <v>24536.83774263066</v>
      </c>
      <c r="S6" s="41">
        <f aca="true" t="shared" si="3" ref="S6:S13">T6+X6+Y6</f>
        <v>3906.926361715723</v>
      </c>
      <c r="T6" s="44">
        <f>Z6*AA6</f>
        <v>16.699680676799936</v>
      </c>
      <c r="U6" s="41">
        <f>(AB6)*(AK$6+AL6*AO6)+(AP$6*(AC6-AB6))</f>
        <v>3497.0380043982204</v>
      </c>
      <c r="V6" s="41">
        <f>(AH6)*(AK$6+AL6*AO6)+(AP$6*AI6*(1-AJ$6))</f>
        <v>70.26244695925016</v>
      </c>
      <c r="W6" s="41">
        <f>(AE6)*(AK$6+AL6*AO6)+(AP$6*AF6*(1-AG$6))</f>
        <v>322.9262296814521</v>
      </c>
      <c r="X6" s="41">
        <f>(AB6+AE6+AH6)*(AK$6+AL6*AO6)</f>
        <v>3613.658353876167</v>
      </c>
      <c r="Y6" s="7">
        <f aca="true" t="shared" si="4" ref="Y6:Y13">AP$6*((AC6-AB6)+AF6*(1-AG$6)+AI6*(1-AJ$6))</f>
        <v>276.5683271627564</v>
      </c>
      <c r="Z6" s="92">
        <f>0.033*BB6</f>
        <v>15.709953599999942</v>
      </c>
      <c r="AA6" s="90">
        <v>1.063</v>
      </c>
      <c r="AB6" s="25">
        <f aca="true" t="shared" si="5" ref="AB6:AB13">I6</f>
        <v>1176.3637043865183</v>
      </c>
      <c r="AC6" s="25">
        <f aca="true" t="shared" si="6" ref="AC6:AC13">H6</f>
        <v>1188.841695688199</v>
      </c>
      <c r="AD6" s="36">
        <f aca="true" t="shared" si="7" ref="AD6:AD13">AB6/AC6</f>
        <v>0.9895040766597125</v>
      </c>
      <c r="AE6" s="34">
        <f>AF6*$AG$6</f>
        <v>113.08811211017857</v>
      </c>
      <c r="AF6" s="25">
        <f aca="true" t="shared" si="8" ref="AF6:AF13">L6</f>
        <v>113.65639408058148</v>
      </c>
      <c r="AG6" s="36">
        <v>0.995</v>
      </c>
      <c r="AH6" s="34">
        <f>AI6*AJ$6</f>
        <v>24.605766731000053</v>
      </c>
      <c r="AI6" s="25">
        <f>M6+N6</f>
        <v>24.729413800000053</v>
      </c>
      <c r="AJ6" s="17">
        <v>0.995</v>
      </c>
      <c r="AK6" s="16">
        <v>2.75</v>
      </c>
      <c r="AL6">
        <v>0</v>
      </c>
      <c r="AM6" s="37">
        <f aca="true" t="shared" si="9" ref="AM6:AM13">O6/100</f>
        <v>0.4976696472925979</v>
      </c>
      <c r="AN6" s="15">
        <v>0</v>
      </c>
      <c r="AO6">
        <f aca="true" t="shared" si="10" ref="AO6:AO13">IF(AM6,AN6/AM6,0)</f>
        <v>0</v>
      </c>
      <c r="AP6" s="16">
        <v>21</v>
      </c>
      <c r="AQ6" s="41">
        <f aca="true" t="shared" si="11" ref="AQ6:AQ13">AR6+AV6</f>
        <v>28443.764104346385</v>
      </c>
      <c r="AR6" s="41">
        <f aca="true" t="shared" si="12" ref="AR6:AR13">AY6*$AZ$6</f>
        <v>27871.77757494439</v>
      </c>
      <c r="AS6" s="41">
        <f>AC6*$AZ$6</f>
        <v>24965.67560945218</v>
      </c>
      <c r="AT6" s="41">
        <f>AF6*$AZ$6</f>
        <v>2386.784275692211</v>
      </c>
      <c r="AU6" s="41">
        <f>AI6*$AZ$6</f>
        <v>519.3176898000011</v>
      </c>
      <c r="AV6" s="34">
        <f aca="true" t="shared" si="13" ref="AV6:AV13">BB6*BH$6+BE6*BI$6/BJ$6</f>
        <v>571.9865294019963</v>
      </c>
      <c r="AW6" s="41">
        <f>BE6*BI$6/BJ$6</f>
        <v>65.93559980199824</v>
      </c>
      <c r="AX6" s="41">
        <f>BB6*BH$6</f>
        <v>506.0509295999981</v>
      </c>
      <c r="AY6" s="41">
        <f aca="true" t="shared" si="14" ref="AY6:AY13">(AC6+AF6+AI6)</f>
        <v>1327.2275035687805</v>
      </c>
      <c r="AZ6" s="39">
        <v>21</v>
      </c>
      <c r="BA6" s="39">
        <v>2.75</v>
      </c>
      <c r="BB6" s="34">
        <f aca="true" t="shared" si="15" ref="BB6:BB13">BC6+BD6</f>
        <v>476.0591999999982</v>
      </c>
      <c r="BC6" s="55">
        <v>476.0591999999982</v>
      </c>
      <c r="BD6" s="55">
        <v>0</v>
      </c>
      <c r="BE6" s="70">
        <f>SUM(BF6:BG6)</f>
        <v>181.93599999999986</v>
      </c>
      <c r="BF6" s="97">
        <v>181.93599999999986</v>
      </c>
      <c r="BG6" s="25">
        <f>N6*13.898*$BK$6</f>
        <v>0</v>
      </c>
      <c r="BH6" s="91">
        <v>1.063</v>
      </c>
      <c r="BI6" s="102">
        <f>25.99*(44.009/12.011/277.78)*0.962</f>
        <v>0.329793970516107</v>
      </c>
      <c r="BJ6" s="45">
        <v>0.91</v>
      </c>
      <c r="BK6">
        <v>0.985</v>
      </c>
    </row>
    <row r="7" spans="1:63" ht="12.75">
      <c r="A7" s="88">
        <v>41061</v>
      </c>
      <c r="B7" s="98">
        <v>249.51398218275017</v>
      </c>
      <c r="C7" s="98">
        <v>247.11718633527843</v>
      </c>
      <c r="D7" s="98">
        <v>146.619</v>
      </c>
      <c r="E7" s="98">
        <v>144.61703499999987</v>
      </c>
      <c r="F7" s="98">
        <v>775.5854079999984</v>
      </c>
      <c r="G7" s="98">
        <v>629.2540327399998</v>
      </c>
      <c r="H7" s="25">
        <f t="shared" si="0"/>
        <v>1171.7183901827486</v>
      </c>
      <c r="I7" s="25">
        <f t="shared" si="0"/>
        <v>1020.9882540752782</v>
      </c>
      <c r="J7" s="98">
        <v>70.28244381593508</v>
      </c>
      <c r="K7" s="98">
        <v>106.81906954751959</v>
      </c>
      <c r="L7" s="25">
        <f t="shared" si="1"/>
        <v>177.10151336345467</v>
      </c>
      <c r="M7" s="98">
        <v>33.29039220000007</v>
      </c>
      <c r="N7" s="98">
        <v>0</v>
      </c>
      <c r="O7" s="63">
        <v>46.687858719646925</v>
      </c>
      <c r="P7" s="68">
        <f aca="true" t="shared" si="16" ref="P7:P13">SUM(L7:N7)+H7</f>
        <v>1382.1102957462033</v>
      </c>
      <c r="Q7" s="25">
        <f aca="true" t="shared" si="17" ref="Q7:Q13">P7/0.717*1000</f>
        <v>1927629.422240172</v>
      </c>
      <c r="R7" s="41">
        <f>AQ7-S7</f>
        <v>23500.916509749375</v>
      </c>
      <c r="S7" s="41">
        <f t="shared" si="3"/>
        <v>6603.593992862061</v>
      </c>
      <c r="T7" s="44">
        <f aca="true" t="shared" si="18" ref="T7:T13">Z7*AA7</f>
        <v>32.76743421600002</v>
      </c>
      <c r="U7" s="41">
        <f aca="true" t="shared" si="19" ref="U7:U13">(AB7)*(AK$6+AL7*AO7)+(AP$6*(AC7-AB7))</f>
        <v>5973.050556963895</v>
      </c>
      <c r="V7" s="41">
        <f aca="true" t="shared" si="20" ref="V7:V13">(AH7)*(AK$6+AL7*AO7)+(AP$6*AI7*(1-AJ$6))</f>
        <v>94.5863268382502</v>
      </c>
      <c r="W7" s="41">
        <f aca="true" t="shared" si="21" ref="W7:W13">(AE7)*(AK$6+AL7*AO7)+(AP$6*AF7*(1-AG$6))</f>
        <v>503.1896748439156</v>
      </c>
      <c r="X7" s="41">
        <f aca="true" t="shared" si="22" ref="X7:X13">(AB7+AE7+AH7)*(AK$6+AL7*AO7)</f>
        <v>3383.4025503050184</v>
      </c>
      <c r="Y7" s="7">
        <f t="shared" si="4"/>
        <v>3187.4240083410423</v>
      </c>
      <c r="Z7" s="92">
        <f aca="true" t="shared" si="23" ref="Z7:Z13">0.033*BB7</f>
        <v>30.825432000000017</v>
      </c>
      <c r="AA7" s="90">
        <v>1.063</v>
      </c>
      <c r="AB7" s="25">
        <f t="shared" si="5"/>
        <v>1020.9882540752782</v>
      </c>
      <c r="AC7" s="25">
        <f t="shared" si="6"/>
        <v>1171.7183901827486</v>
      </c>
      <c r="AD7" s="36">
        <f t="shared" si="7"/>
        <v>0.8713597589912695</v>
      </c>
      <c r="AE7" s="34">
        <f aca="true" t="shared" si="24" ref="AE7:AE13">AF7*$AG$6</f>
        <v>176.2160057966374</v>
      </c>
      <c r="AF7" s="25">
        <f t="shared" si="8"/>
        <v>177.10151336345467</v>
      </c>
      <c r="AG7" s="36"/>
      <c r="AH7" s="34">
        <f aca="true" t="shared" si="25" ref="AH7:AH13">AI7*AJ$6</f>
        <v>33.12394023900007</v>
      </c>
      <c r="AI7" s="25">
        <f aca="true" t="shared" si="26" ref="AI7:AI13">M7+N7</f>
        <v>33.29039220000007</v>
      </c>
      <c r="AJ7" s="17"/>
      <c r="AK7" s="16"/>
      <c r="AL7">
        <v>0</v>
      </c>
      <c r="AM7" s="37">
        <f t="shared" si="9"/>
        <v>0.46687858719646924</v>
      </c>
      <c r="AN7" s="15">
        <v>0</v>
      </c>
      <c r="AO7">
        <f t="shared" si="10"/>
        <v>0</v>
      </c>
      <c r="AP7" s="16"/>
      <c r="AQ7" s="41">
        <f t="shared" si="11"/>
        <v>30104.510502611436</v>
      </c>
      <c r="AR7" s="41">
        <f t="shared" si="12"/>
        <v>29024.31621067027</v>
      </c>
      <c r="AS7" s="41">
        <f aca="true" t="shared" si="27" ref="AS7:AS13">AC7*$AZ$6</f>
        <v>24606.08619383772</v>
      </c>
      <c r="AT7" s="41">
        <f aca="true" t="shared" si="28" ref="AT7:AT13">AF7*$AZ$6</f>
        <v>3719.1317806325483</v>
      </c>
      <c r="AU7" s="41">
        <f aca="true" t="shared" si="29" ref="AU7:AU13">AI7*$AZ$6</f>
        <v>699.0982362000015</v>
      </c>
      <c r="AV7" s="34">
        <f t="shared" si="13"/>
        <v>1080.1942919411658</v>
      </c>
      <c r="AW7" s="41">
        <f aca="true" t="shared" si="30" ref="AW7:AW13">BE7*BI$6/BJ$6</f>
        <v>87.24173994116548</v>
      </c>
      <c r="AX7" s="41">
        <f aca="true" t="shared" si="31" ref="AX7:AX13">BB7*BH$6</f>
        <v>992.9525520000004</v>
      </c>
      <c r="AY7" s="41">
        <f t="shared" si="14"/>
        <v>1382.1102957462033</v>
      </c>
      <c r="AZ7" s="40"/>
      <c r="BA7" s="40"/>
      <c r="BB7" s="34">
        <f t="shared" si="15"/>
        <v>934.1040000000005</v>
      </c>
      <c r="BC7" s="55">
        <v>362.54400000000095</v>
      </c>
      <c r="BD7" s="55">
        <v>571.5599999999995</v>
      </c>
      <c r="BE7" s="70">
        <f aca="true" t="shared" si="32" ref="BE7:BE13">SUM(BF7:BG7)</f>
        <v>240.72600000000065</v>
      </c>
      <c r="BF7" s="97">
        <v>240.72600000000065</v>
      </c>
      <c r="BG7" s="25">
        <f aca="true" t="shared" si="33" ref="BG7:BG13">N7*13.898*$BK$6</f>
        <v>0</v>
      </c>
      <c r="BH7" s="91">
        <v>1.063</v>
      </c>
      <c r="BI7" s="38"/>
      <c r="BJ7" s="45"/>
      <c r="BK7" s="45"/>
    </row>
    <row r="8" spans="1:63" ht="12.75">
      <c r="A8" s="88">
        <v>41091</v>
      </c>
      <c r="B8" s="98">
        <v>317.6452344755261</v>
      </c>
      <c r="C8" s="98">
        <v>316.05701807693254</v>
      </c>
      <c r="D8" s="98">
        <v>0</v>
      </c>
      <c r="E8" s="98">
        <v>0</v>
      </c>
      <c r="F8" s="98">
        <v>690.6886200000013</v>
      </c>
      <c r="G8" s="98">
        <v>685.3516072800006</v>
      </c>
      <c r="H8" s="25">
        <f t="shared" si="0"/>
        <v>1008.3338544755273</v>
      </c>
      <c r="I8" s="25">
        <f t="shared" si="0"/>
        <v>1001.4086253569332</v>
      </c>
      <c r="J8" s="98">
        <v>158.7041011504628</v>
      </c>
      <c r="K8" s="98">
        <v>166.2343269049269</v>
      </c>
      <c r="L8" s="25">
        <f t="shared" si="1"/>
        <v>324.9384280553897</v>
      </c>
      <c r="M8" s="98">
        <v>23.152461800000058</v>
      </c>
      <c r="N8" s="98">
        <v>0</v>
      </c>
      <c r="O8" s="63">
        <v>47.902421796165406</v>
      </c>
      <c r="P8" s="68">
        <f t="shared" si="16"/>
        <v>1356.424744330917</v>
      </c>
      <c r="Q8" s="25">
        <f t="shared" si="17"/>
        <v>1891805.780098908</v>
      </c>
      <c r="R8" s="41">
        <f t="shared" si="2"/>
        <v>26421.76946499405</v>
      </c>
      <c r="S8" s="41">
        <f t="shared" si="3"/>
        <v>3948.69162479267</v>
      </c>
      <c r="T8" s="44">
        <f t="shared" si="18"/>
        <v>60.374852769000015</v>
      </c>
      <c r="U8" s="41">
        <f t="shared" si="19"/>
        <v>2899.3035312220445</v>
      </c>
      <c r="V8" s="41">
        <f t="shared" si="20"/>
        <v>65.78193208925016</v>
      </c>
      <c r="W8" s="41">
        <f t="shared" si="21"/>
        <v>923.2313087123758</v>
      </c>
      <c r="X8" s="41">
        <f t="shared" si="22"/>
        <v>3706.337417098376</v>
      </c>
      <c r="Y8" s="7">
        <f t="shared" si="4"/>
        <v>181.97935492529393</v>
      </c>
      <c r="Z8" s="92">
        <f t="shared" si="23"/>
        <v>56.79666300000002</v>
      </c>
      <c r="AA8" s="90">
        <v>1.063</v>
      </c>
      <c r="AB8" s="25">
        <f t="shared" si="5"/>
        <v>1001.4086253569332</v>
      </c>
      <c r="AC8" s="25">
        <f t="shared" si="6"/>
        <v>1008.3338544755273</v>
      </c>
      <c r="AD8" s="36">
        <f t="shared" si="7"/>
        <v>0.993132007729527</v>
      </c>
      <c r="AE8" s="34">
        <f t="shared" si="24"/>
        <v>323.3137359151127</v>
      </c>
      <c r="AF8" s="25">
        <f t="shared" si="8"/>
        <v>324.9384280553897</v>
      </c>
      <c r="AG8" s="36"/>
      <c r="AH8" s="34">
        <f t="shared" si="25"/>
        <v>23.036699491000057</v>
      </c>
      <c r="AI8" s="25">
        <f t="shared" si="26"/>
        <v>23.152461800000058</v>
      </c>
      <c r="AJ8" s="17"/>
      <c r="AK8" s="16"/>
      <c r="AL8">
        <v>0</v>
      </c>
      <c r="AM8" s="37">
        <f t="shared" si="9"/>
        <v>0.47902421796165406</v>
      </c>
      <c r="AN8" s="15">
        <v>0</v>
      </c>
      <c r="AO8">
        <f t="shared" si="10"/>
        <v>0</v>
      </c>
      <c r="AP8" s="16"/>
      <c r="AQ8" s="41">
        <f t="shared" si="11"/>
        <v>30370.46108978672</v>
      </c>
      <c r="AR8" s="41">
        <f t="shared" si="12"/>
        <v>28484.919630949258</v>
      </c>
      <c r="AS8" s="41">
        <f t="shared" si="27"/>
        <v>21175.010943986075</v>
      </c>
      <c r="AT8" s="41">
        <f t="shared" si="28"/>
        <v>6823.706989163184</v>
      </c>
      <c r="AU8" s="41">
        <f t="shared" si="29"/>
        <v>486.2016978000012</v>
      </c>
      <c r="AV8" s="34">
        <f t="shared" si="13"/>
        <v>1885.5414588374617</v>
      </c>
      <c r="AW8" s="41">
        <f t="shared" si="30"/>
        <v>56.00046583746135</v>
      </c>
      <c r="AX8" s="41">
        <f t="shared" si="31"/>
        <v>1829.5409930000003</v>
      </c>
      <c r="AY8" s="41">
        <f t="shared" si="14"/>
        <v>1356.424744330917</v>
      </c>
      <c r="AZ8" s="40"/>
      <c r="BA8" s="40"/>
      <c r="BB8" s="34">
        <f t="shared" si="15"/>
        <v>1721.1110000000003</v>
      </c>
      <c r="BC8" s="55">
        <v>831.6360000000008</v>
      </c>
      <c r="BD8" s="55">
        <v>889.4749999999995</v>
      </c>
      <c r="BE8" s="70">
        <f t="shared" si="32"/>
        <v>154.52199999999985</v>
      </c>
      <c r="BF8" s="97">
        <v>154.52199999999985</v>
      </c>
      <c r="BG8" s="25">
        <f t="shared" si="33"/>
        <v>0</v>
      </c>
      <c r="BH8" s="91">
        <v>1.063</v>
      </c>
      <c r="BI8" s="38"/>
      <c r="BJ8" s="45"/>
      <c r="BK8" s="45"/>
    </row>
    <row r="9" spans="1:63" ht="12.75">
      <c r="A9" s="88">
        <v>41122</v>
      </c>
      <c r="B9" s="98">
        <v>328.64294116237465</v>
      </c>
      <c r="C9" s="98">
        <v>326.6987579462029</v>
      </c>
      <c r="D9" s="98">
        <v>0</v>
      </c>
      <c r="E9" s="98">
        <v>0</v>
      </c>
      <c r="F9" s="98">
        <v>580.185387999998</v>
      </c>
      <c r="G9" s="98">
        <v>573.491707360002</v>
      </c>
      <c r="H9" s="25">
        <f t="shared" si="0"/>
        <v>908.8283291623727</v>
      </c>
      <c r="I9" s="25">
        <f t="shared" si="0"/>
        <v>900.1904653062049</v>
      </c>
      <c r="J9" s="98">
        <v>102.50206031710127</v>
      </c>
      <c r="K9" s="98">
        <v>159.3184481369834</v>
      </c>
      <c r="L9" s="25">
        <f t="shared" si="1"/>
        <v>261.8205084540847</v>
      </c>
      <c r="M9" s="98">
        <v>26.184085199999938</v>
      </c>
      <c r="N9" s="98">
        <v>0</v>
      </c>
      <c r="O9" s="63">
        <v>48.21529532263576</v>
      </c>
      <c r="P9" s="68">
        <f t="shared" si="16"/>
        <v>1196.8329228164573</v>
      </c>
      <c r="Q9" s="25">
        <f t="shared" si="17"/>
        <v>1669223.0443744175</v>
      </c>
      <c r="R9" s="41">
        <f t="shared" si="2"/>
        <v>23133.9638924978</v>
      </c>
      <c r="S9" s="41">
        <f t="shared" si="3"/>
        <v>3523.3983809572546</v>
      </c>
      <c r="T9" s="44">
        <f t="shared" si="18"/>
        <v>48.186408666000034</v>
      </c>
      <c r="U9" s="41">
        <f t="shared" si="19"/>
        <v>2656.9189205715866</v>
      </c>
      <c r="V9" s="41">
        <f t="shared" si="20"/>
        <v>74.39553207449983</v>
      </c>
      <c r="W9" s="41">
        <f t="shared" si="21"/>
        <v>743.8975196451681</v>
      </c>
      <c r="X9" s="41">
        <f t="shared" si="22"/>
        <v>3263.576348978053</v>
      </c>
      <c r="Y9" s="7">
        <f t="shared" si="4"/>
        <v>211.63562331320207</v>
      </c>
      <c r="Z9" s="92">
        <f t="shared" si="23"/>
        <v>45.330582000000035</v>
      </c>
      <c r="AA9" s="90">
        <v>1.063</v>
      </c>
      <c r="AB9" s="25">
        <f t="shared" si="5"/>
        <v>900.1904653062049</v>
      </c>
      <c r="AC9" s="25">
        <f t="shared" si="6"/>
        <v>908.8283291623727</v>
      </c>
      <c r="AD9" s="36">
        <f t="shared" si="7"/>
        <v>0.9904956045283834</v>
      </c>
      <c r="AE9" s="34">
        <f t="shared" si="24"/>
        <v>260.5114059118143</v>
      </c>
      <c r="AF9" s="25">
        <f t="shared" si="8"/>
        <v>261.8205084540847</v>
      </c>
      <c r="AG9" s="36"/>
      <c r="AH9" s="34">
        <f t="shared" si="25"/>
        <v>26.05316477399994</v>
      </c>
      <c r="AI9" s="25">
        <f t="shared" si="26"/>
        <v>26.184085199999938</v>
      </c>
      <c r="AJ9" s="17"/>
      <c r="AK9" s="16"/>
      <c r="AL9">
        <v>0</v>
      </c>
      <c r="AM9" s="37">
        <f t="shared" si="9"/>
        <v>0.4821529532263576</v>
      </c>
      <c r="AN9" s="15">
        <v>0</v>
      </c>
      <c r="AO9">
        <f t="shared" si="10"/>
        <v>0</v>
      </c>
      <c r="AP9" s="16"/>
      <c r="AQ9" s="41">
        <f t="shared" si="11"/>
        <v>26657.36227345505</v>
      </c>
      <c r="AR9" s="41">
        <f t="shared" si="12"/>
        <v>25133.49137914561</v>
      </c>
      <c r="AS9" s="41">
        <f t="shared" si="27"/>
        <v>19085.394912409825</v>
      </c>
      <c r="AT9" s="41">
        <f t="shared" si="28"/>
        <v>5498.230677535778</v>
      </c>
      <c r="AU9" s="41">
        <f t="shared" si="29"/>
        <v>549.8657891999987</v>
      </c>
      <c r="AV9" s="34">
        <f t="shared" si="13"/>
        <v>1523.870894309442</v>
      </c>
      <c r="AW9" s="41">
        <f t="shared" si="30"/>
        <v>63.67669230944123</v>
      </c>
      <c r="AX9" s="41">
        <f t="shared" si="31"/>
        <v>1460.1942020000008</v>
      </c>
      <c r="AY9" s="41">
        <f t="shared" si="14"/>
        <v>1196.8329228164575</v>
      </c>
      <c r="AZ9" s="40"/>
      <c r="BA9" s="40"/>
      <c r="BB9" s="34">
        <f t="shared" si="15"/>
        <v>1373.654000000001</v>
      </c>
      <c r="BC9" s="55">
        <v>521.1839999999996</v>
      </c>
      <c r="BD9" s="55">
        <v>852.4700000000012</v>
      </c>
      <c r="BE9" s="70">
        <f t="shared" si="32"/>
        <v>175.70299999999992</v>
      </c>
      <c r="BF9" s="97">
        <v>175.70299999999992</v>
      </c>
      <c r="BG9" s="25">
        <f t="shared" si="33"/>
        <v>0</v>
      </c>
      <c r="BH9" s="91">
        <v>1.063</v>
      </c>
      <c r="BI9" s="38"/>
      <c r="BJ9" s="45"/>
      <c r="BK9" s="45"/>
    </row>
    <row r="10" spans="1:63" ht="12.75">
      <c r="A10" s="88">
        <v>41153</v>
      </c>
      <c r="B10" s="98">
        <v>388.5091902664498</v>
      </c>
      <c r="C10" s="98">
        <v>385.12564667824347</v>
      </c>
      <c r="D10" s="98">
        <v>0</v>
      </c>
      <c r="E10" s="98">
        <v>0</v>
      </c>
      <c r="F10" s="98">
        <v>560.738572000002</v>
      </c>
      <c r="G10" s="98">
        <v>554.8872827799999</v>
      </c>
      <c r="H10" s="25">
        <f>F10+D10+B10</f>
        <v>949.2477622664519</v>
      </c>
      <c r="I10" s="25">
        <f t="shared" si="0"/>
        <v>940.0129294582433</v>
      </c>
      <c r="J10" s="98">
        <v>0</v>
      </c>
      <c r="K10" s="98">
        <v>170.1169746931727</v>
      </c>
      <c r="L10" s="25">
        <f t="shared" si="1"/>
        <v>170.1169746931727</v>
      </c>
      <c r="M10" s="98">
        <v>34.50584800000001</v>
      </c>
      <c r="N10" s="98">
        <v>0</v>
      </c>
      <c r="O10" s="63">
        <v>50.88589119858469</v>
      </c>
      <c r="P10" s="68">
        <f>SUM(L10:N10)+H10</f>
        <v>1153.8705849596247</v>
      </c>
      <c r="Q10" s="25">
        <f t="shared" si="17"/>
        <v>1609303.4657735352</v>
      </c>
      <c r="R10" s="41">
        <f>AQ10-S10</f>
        <v>21891.18860823297</v>
      </c>
      <c r="S10" s="41">
        <f>T10+X10+Y10</f>
        <v>3392.2844886391263</v>
      </c>
      <c r="T10" s="44">
        <f>Z10*AA10</f>
        <v>31.932848679599985</v>
      </c>
      <c r="U10" s="41">
        <f t="shared" si="19"/>
        <v>2778.9670449825494</v>
      </c>
      <c r="V10" s="41">
        <f t="shared" si="20"/>
        <v>98.03974063000001</v>
      </c>
      <c r="W10" s="41">
        <f t="shared" si="21"/>
        <v>483.34485434697694</v>
      </c>
      <c r="X10" s="41">
        <f>(AB10+AE10+AH10)*(AK$6+AL10*AO10)</f>
        <v>3144.934754604363</v>
      </c>
      <c r="Y10" s="7">
        <f>AP$6*((AC10-AB10)+AF10*(1-AG$6)+AI10*(1-AJ$6))</f>
        <v>215.41688535516332</v>
      </c>
      <c r="Z10" s="92">
        <f t="shared" si="23"/>
        <v>30.04030919999999</v>
      </c>
      <c r="AA10" s="90">
        <v>1.063</v>
      </c>
      <c r="AB10" s="25">
        <f>I10</f>
        <v>940.0129294582433</v>
      </c>
      <c r="AC10" s="25">
        <f>H10</f>
        <v>949.2477622664519</v>
      </c>
      <c r="AD10" s="36">
        <f>AB10/AC10</f>
        <v>0.990271419986117</v>
      </c>
      <c r="AE10" s="34">
        <f>AF10*$AG$6</f>
        <v>169.26638981970683</v>
      </c>
      <c r="AF10" s="25">
        <f>L10</f>
        <v>170.1169746931727</v>
      </c>
      <c r="AG10" s="36"/>
      <c r="AH10" s="34">
        <f>AI10*AJ$6</f>
        <v>34.333318760000004</v>
      </c>
      <c r="AI10" s="25">
        <f>M10+N10</f>
        <v>34.50584800000001</v>
      </c>
      <c r="AJ10" s="17"/>
      <c r="AK10" s="16"/>
      <c r="AL10">
        <v>0</v>
      </c>
      <c r="AM10" s="37">
        <f>O10/100</f>
        <v>0.5088589119858469</v>
      </c>
      <c r="AN10" s="15">
        <v>0</v>
      </c>
      <c r="AO10">
        <f>IF(AM10,AN10/AM10,0)</f>
        <v>0</v>
      </c>
      <c r="AP10" s="16"/>
      <c r="AQ10" s="41">
        <f t="shared" si="11"/>
        <v>25283.473096872094</v>
      </c>
      <c r="AR10" s="41">
        <f t="shared" si="12"/>
        <v>24231.28228415212</v>
      </c>
      <c r="AS10" s="41">
        <f t="shared" si="27"/>
        <v>19934.20300759549</v>
      </c>
      <c r="AT10" s="41">
        <f t="shared" si="28"/>
        <v>3572.4564685566265</v>
      </c>
      <c r="AU10" s="41">
        <f t="shared" si="29"/>
        <v>724.6228080000002</v>
      </c>
      <c r="AV10" s="34">
        <f t="shared" si="13"/>
        <v>1052.190812719974</v>
      </c>
      <c r="AW10" s="41">
        <f t="shared" si="30"/>
        <v>84.52873151997449</v>
      </c>
      <c r="AX10" s="41">
        <f t="shared" si="31"/>
        <v>967.6620811999995</v>
      </c>
      <c r="AY10" s="41">
        <f>(AC10+AF10+AI10)</f>
        <v>1153.8705849596247</v>
      </c>
      <c r="AZ10" s="40"/>
      <c r="BA10" s="40"/>
      <c r="BB10" s="34">
        <f t="shared" si="15"/>
        <v>910.3123999999996</v>
      </c>
      <c r="BC10" s="55">
        <v>0.062399999999615825</v>
      </c>
      <c r="BD10" s="55">
        <v>910.25</v>
      </c>
      <c r="BE10" s="70">
        <f t="shared" si="32"/>
        <v>233.24</v>
      </c>
      <c r="BF10" s="97">
        <v>233.24</v>
      </c>
      <c r="BG10" s="25">
        <f t="shared" si="33"/>
        <v>0</v>
      </c>
      <c r="BH10" s="91">
        <v>1.063</v>
      </c>
      <c r="BI10" s="38"/>
      <c r="BJ10" s="45"/>
      <c r="BK10" s="45"/>
    </row>
    <row r="11" spans="1:63" ht="12.75">
      <c r="A11" s="88">
        <v>41183</v>
      </c>
      <c r="B11" s="98">
        <v>253.1535270973499</v>
      </c>
      <c r="C11" s="98">
        <v>251.45844761209327</v>
      </c>
      <c r="D11" s="98">
        <v>0</v>
      </c>
      <c r="E11" s="98">
        <v>0</v>
      </c>
      <c r="F11" s="98">
        <v>347.17362800000217</v>
      </c>
      <c r="G11" s="98">
        <v>338.8618108800009</v>
      </c>
      <c r="H11" s="25">
        <f t="shared" si="0"/>
        <v>600.327155097352</v>
      </c>
      <c r="I11" s="25">
        <f t="shared" si="0"/>
        <v>590.3202584920941</v>
      </c>
      <c r="J11" s="100">
        <v>23.578402799798745</v>
      </c>
      <c r="K11" s="100">
        <v>169.64320756233263</v>
      </c>
      <c r="L11" s="25">
        <f t="shared" si="1"/>
        <v>193.22161036213137</v>
      </c>
      <c r="M11" s="98">
        <v>121.06781700000043</v>
      </c>
      <c r="N11" s="98">
        <v>33.126</v>
      </c>
      <c r="O11" s="63">
        <v>53.92955309947149</v>
      </c>
      <c r="P11" s="68">
        <f>SUM(L11:N11)+H11</f>
        <v>947.7425824594839</v>
      </c>
      <c r="Q11" s="25">
        <f t="shared" si="17"/>
        <v>1321816.7119379134</v>
      </c>
      <c r="R11" s="41">
        <f>AQ11-S11</f>
        <v>18638.572830376048</v>
      </c>
      <c r="S11" s="41">
        <f>T11+X11+Y11</f>
        <v>2856.807224193332</v>
      </c>
      <c r="T11" s="44">
        <f>Z11*AA11</f>
        <v>36.18760163699999</v>
      </c>
      <c r="U11" s="41">
        <f t="shared" si="19"/>
        <v>1833.5255395636748</v>
      </c>
      <c r="V11" s="41">
        <f t="shared" si="20"/>
        <v>438.1031825512513</v>
      </c>
      <c r="W11" s="41">
        <f t="shared" si="21"/>
        <v>548.9909004414059</v>
      </c>
      <c r="X11" s="41">
        <f>(AB11+AE11+AH11)*(AK$6+AL11*AO11)</f>
        <v>2573.996173972892</v>
      </c>
      <c r="Y11" s="7">
        <f>AP$6*((AC11-AB11)+AF11*(1-AG$6)+AI11*(1-AJ$6))</f>
        <v>246.6234485834399</v>
      </c>
      <c r="Z11" s="92">
        <f t="shared" si="23"/>
        <v>34.042899</v>
      </c>
      <c r="AA11" s="90">
        <v>1.063</v>
      </c>
      <c r="AB11" s="25">
        <f t="shared" si="5"/>
        <v>590.3202584920941</v>
      </c>
      <c r="AC11" s="25">
        <f t="shared" si="6"/>
        <v>600.327155097352</v>
      </c>
      <c r="AD11" s="36">
        <f t="shared" si="7"/>
        <v>0.9833309279443887</v>
      </c>
      <c r="AE11" s="34">
        <f t="shared" si="24"/>
        <v>192.2555023103207</v>
      </c>
      <c r="AF11" s="25">
        <f t="shared" si="8"/>
        <v>193.22161036213137</v>
      </c>
      <c r="AG11" s="36"/>
      <c r="AH11" s="34">
        <f t="shared" si="25"/>
        <v>153.42284791500043</v>
      </c>
      <c r="AI11" s="25">
        <f t="shared" si="26"/>
        <v>154.19381700000042</v>
      </c>
      <c r="AJ11" s="17"/>
      <c r="AK11" s="16"/>
      <c r="AL11">
        <v>0</v>
      </c>
      <c r="AM11" s="37">
        <f>O11/100</f>
        <v>0.5392955309947149</v>
      </c>
      <c r="AN11" s="15">
        <v>0</v>
      </c>
      <c r="AO11">
        <f>IF(AM11,AN11/AM11,0)</f>
        <v>0</v>
      </c>
      <c r="AP11" s="16"/>
      <c r="AQ11" s="41">
        <f t="shared" si="11"/>
        <v>21495.38005456938</v>
      </c>
      <c r="AR11" s="41">
        <f t="shared" si="12"/>
        <v>19902.59423164916</v>
      </c>
      <c r="AS11" s="41">
        <f t="shared" si="27"/>
        <v>12606.870257044393</v>
      </c>
      <c r="AT11" s="41">
        <f t="shared" si="28"/>
        <v>4057.653817604759</v>
      </c>
      <c r="AU11" s="41">
        <f t="shared" si="29"/>
        <v>3238.0701570000087</v>
      </c>
      <c r="AV11" s="34">
        <f t="shared" si="13"/>
        <v>1592.785822920221</v>
      </c>
      <c r="AW11" s="41">
        <f t="shared" si="30"/>
        <v>496.1918339202213</v>
      </c>
      <c r="AX11" s="41">
        <f t="shared" si="31"/>
        <v>1096.5939889999997</v>
      </c>
      <c r="AY11" s="41">
        <f>(AC11+AF11+AI11)</f>
        <v>947.7425824594839</v>
      </c>
      <c r="AZ11" s="40"/>
      <c r="BA11" s="40"/>
      <c r="BB11" s="34">
        <f>BC11+BD11</f>
        <v>1031.6029999999998</v>
      </c>
      <c r="BC11" s="55">
        <v>123.88799999999974</v>
      </c>
      <c r="BD11" s="55">
        <v>907.715</v>
      </c>
      <c r="BE11" s="70">
        <f t="shared" si="32"/>
        <v>1369.1413707799993</v>
      </c>
      <c r="BF11" s="97">
        <v>915.6619999999995</v>
      </c>
      <c r="BG11" s="25">
        <f t="shared" si="33"/>
        <v>453.47937077999995</v>
      </c>
      <c r="BH11" s="91">
        <v>1.063</v>
      </c>
      <c r="BI11" s="38"/>
      <c r="BJ11" s="45"/>
      <c r="BK11" s="45"/>
    </row>
    <row r="12" spans="1:63" ht="12.75">
      <c r="A12" s="88">
        <v>41214</v>
      </c>
      <c r="B12" s="98">
        <v>332.45380360125046</v>
      </c>
      <c r="C12" s="98">
        <v>330.3563769977</v>
      </c>
      <c r="D12" s="98">
        <v>0</v>
      </c>
      <c r="E12" s="98">
        <v>0</v>
      </c>
      <c r="F12" s="98">
        <v>239.83070399999934</v>
      </c>
      <c r="G12" s="98">
        <v>235.77694266000168</v>
      </c>
      <c r="H12" s="25">
        <f>F12+D12+B12</f>
        <v>572.2845076012497</v>
      </c>
      <c r="I12" s="25">
        <f>G12+E12+C12</f>
        <v>566.1333196577017</v>
      </c>
      <c r="J12" s="98">
        <v>133.32029362133886</v>
      </c>
      <c r="K12" s="100">
        <v>150.8196399306143</v>
      </c>
      <c r="L12" s="25">
        <f t="shared" si="1"/>
        <v>284.13993355195316</v>
      </c>
      <c r="M12" s="98">
        <v>223.82361300000036</v>
      </c>
      <c r="N12" s="98">
        <v>44.922</v>
      </c>
      <c r="O12" s="63">
        <v>55.12054507337521</v>
      </c>
      <c r="P12" s="68">
        <f t="shared" si="16"/>
        <v>1125.1700541532032</v>
      </c>
      <c r="Q12" s="25">
        <f t="shared" si="17"/>
        <v>1569274.8314549555</v>
      </c>
      <c r="R12" s="41">
        <f t="shared" si="2"/>
        <v>22810.915634844296</v>
      </c>
      <c r="S12" s="41">
        <f t="shared" si="3"/>
        <v>3311.522808600727</v>
      </c>
      <c r="T12" s="44">
        <f t="shared" si="18"/>
        <v>54.59517358680002</v>
      </c>
      <c r="U12" s="41">
        <f t="shared" si="19"/>
        <v>1686.0415758731888</v>
      </c>
      <c r="V12" s="41">
        <f t="shared" si="20"/>
        <v>763.5734729362512</v>
      </c>
      <c r="W12" s="41">
        <f t="shared" si="21"/>
        <v>807.3125862044869</v>
      </c>
      <c r="X12" s="41">
        <f t="shared" si="22"/>
        <v>3069.6997058114625</v>
      </c>
      <c r="Y12" s="7">
        <f t="shared" si="4"/>
        <v>187.22792920246428</v>
      </c>
      <c r="Z12" s="92">
        <f t="shared" si="23"/>
        <v>51.359523600000024</v>
      </c>
      <c r="AA12" s="90">
        <v>1.063</v>
      </c>
      <c r="AB12" s="25">
        <f t="shared" si="5"/>
        <v>566.1333196577017</v>
      </c>
      <c r="AC12" s="25">
        <f t="shared" si="6"/>
        <v>572.2845076012497</v>
      </c>
      <c r="AD12" s="36">
        <f t="shared" si="7"/>
        <v>0.9892515211195722</v>
      </c>
      <c r="AE12" s="34">
        <f t="shared" si="24"/>
        <v>282.7192338841934</v>
      </c>
      <c r="AF12" s="25">
        <f t="shared" si="8"/>
        <v>284.13993355195316</v>
      </c>
      <c r="AG12" s="36"/>
      <c r="AH12" s="34">
        <f t="shared" si="25"/>
        <v>267.4018849350004</v>
      </c>
      <c r="AI12" s="25">
        <f t="shared" si="26"/>
        <v>268.7456130000004</v>
      </c>
      <c r="AJ12" s="17"/>
      <c r="AK12" s="16"/>
      <c r="AL12">
        <v>0</v>
      </c>
      <c r="AM12" s="37">
        <f t="shared" si="9"/>
        <v>0.5512054507337522</v>
      </c>
      <c r="AN12" s="15">
        <v>0</v>
      </c>
      <c r="AO12">
        <f t="shared" si="10"/>
        <v>0</v>
      </c>
      <c r="AP12" s="16"/>
      <c r="AQ12" s="41">
        <f t="shared" si="11"/>
        <v>26122.438443445022</v>
      </c>
      <c r="AR12" s="41">
        <f t="shared" si="12"/>
        <v>23628.571137217266</v>
      </c>
      <c r="AS12" s="41">
        <f t="shared" si="27"/>
        <v>12017.974659626245</v>
      </c>
      <c r="AT12" s="41">
        <f t="shared" si="28"/>
        <v>5966.938604591016</v>
      </c>
      <c r="AU12" s="41">
        <f t="shared" si="29"/>
        <v>5643.657873000008</v>
      </c>
      <c r="AV12" s="34">
        <f t="shared" si="13"/>
        <v>2493.8673062277553</v>
      </c>
      <c r="AW12" s="41">
        <f t="shared" si="30"/>
        <v>839.468106627755</v>
      </c>
      <c r="AX12" s="41">
        <f>BB12*BH$6</f>
        <v>1654.3991996000004</v>
      </c>
      <c r="AY12" s="41">
        <f t="shared" si="14"/>
        <v>1125.1700541532032</v>
      </c>
      <c r="AZ12" s="40"/>
      <c r="BA12" s="40"/>
      <c r="BB12" s="34">
        <f t="shared" si="15"/>
        <v>1556.3492000000006</v>
      </c>
      <c r="BC12" s="55">
        <v>663.2592000000004</v>
      </c>
      <c r="BD12" s="55">
        <v>893.09</v>
      </c>
      <c r="BE12" s="70">
        <f t="shared" si="32"/>
        <v>2316.3430666600007</v>
      </c>
      <c r="BF12" s="97">
        <v>1701.3820000000007</v>
      </c>
      <c r="BG12" s="25">
        <f t="shared" si="33"/>
        <v>614.9610666599999</v>
      </c>
      <c r="BH12" s="91">
        <v>1.063</v>
      </c>
      <c r="BI12" s="38"/>
      <c r="BJ12" s="45"/>
      <c r="BK12" s="45"/>
    </row>
    <row r="13" spans="1:63" ht="13.5" thickBot="1">
      <c r="A13" s="88">
        <v>41244</v>
      </c>
      <c r="B13" s="98">
        <v>244.84761038294988</v>
      </c>
      <c r="C13" s="98">
        <v>243.32737911172876</v>
      </c>
      <c r="D13" s="98">
        <v>0</v>
      </c>
      <c r="E13" s="98">
        <v>0</v>
      </c>
      <c r="F13" s="98">
        <v>264.3777</v>
      </c>
      <c r="G13" s="98">
        <v>258.80724799999905</v>
      </c>
      <c r="H13" s="25">
        <f>F13+D13+B13</f>
        <v>509.2253103829499</v>
      </c>
      <c r="I13" s="25">
        <f>G13+E13+C13</f>
        <v>502.1346271117278</v>
      </c>
      <c r="J13" s="98">
        <v>148.85115756679525</v>
      </c>
      <c r="K13" s="100">
        <v>149.78819293053556</v>
      </c>
      <c r="L13" s="25">
        <f t="shared" si="1"/>
        <v>298.63935049733084</v>
      </c>
      <c r="M13" s="98">
        <v>252.10918719999972</v>
      </c>
      <c r="N13" s="98">
        <v>56.745</v>
      </c>
      <c r="O13" s="63">
        <v>55</v>
      </c>
      <c r="P13" s="68">
        <f t="shared" si="16"/>
        <v>1116.7188480802804</v>
      </c>
      <c r="Q13" s="25">
        <f t="shared" si="17"/>
        <v>1557487.9331663602</v>
      </c>
      <c r="R13" s="41">
        <f>AQ13-S13</f>
        <v>22904.48107150497</v>
      </c>
      <c r="S13" s="41">
        <f t="shared" si="3"/>
        <v>3317.339621028656</v>
      </c>
      <c r="T13" s="44">
        <f t="shared" si="18"/>
        <v>61.524033793199926</v>
      </c>
      <c r="U13" s="41">
        <f t="shared" si="19"/>
        <v>1529.7745732529152</v>
      </c>
      <c r="V13" s="41">
        <f t="shared" si="20"/>
        <v>877.5319593819994</v>
      </c>
      <c r="W13" s="41">
        <f t="shared" si="21"/>
        <v>848.5090546005413</v>
      </c>
      <c r="X13" s="41">
        <f t="shared" si="22"/>
        <v>3043.1244170815726</v>
      </c>
      <c r="Y13" s="7">
        <f t="shared" si="4"/>
        <v>212.69117015388338</v>
      </c>
      <c r="Z13" s="92">
        <f t="shared" si="23"/>
        <v>57.87773639999993</v>
      </c>
      <c r="AA13" s="90">
        <v>1.063</v>
      </c>
      <c r="AB13" s="25">
        <f t="shared" si="5"/>
        <v>502.1346271117278</v>
      </c>
      <c r="AC13" s="25">
        <f t="shared" si="6"/>
        <v>509.2253103829499</v>
      </c>
      <c r="AD13" s="36">
        <f t="shared" si="7"/>
        <v>0.9860755482364187</v>
      </c>
      <c r="AE13" s="34">
        <f t="shared" si="24"/>
        <v>297.1461537448442</v>
      </c>
      <c r="AF13" s="25">
        <f t="shared" si="8"/>
        <v>298.63935049733084</v>
      </c>
      <c r="AG13" s="36"/>
      <c r="AH13" s="34">
        <f t="shared" si="25"/>
        <v>307.30991626399975</v>
      </c>
      <c r="AI13" s="25">
        <f t="shared" si="26"/>
        <v>308.8541871999997</v>
      </c>
      <c r="AJ13" s="17"/>
      <c r="AK13" s="16"/>
      <c r="AL13">
        <v>0</v>
      </c>
      <c r="AM13" s="37">
        <f t="shared" si="9"/>
        <v>0.55</v>
      </c>
      <c r="AN13" s="15">
        <v>0</v>
      </c>
      <c r="AO13">
        <f t="shared" si="10"/>
        <v>0</v>
      </c>
      <c r="AP13" s="16"/>
      <c r="AQ13" s="41">
        <f t="shared" si="11"/>
        <v>26221.820692533627</v>
      </c>
      <c r="AR13" s="41">
        <f t="shared" si="12"/>
        <v>23451.095809685892</v>
      </c>
      <c r="AS13" s="41">
        <f t="shared" si="27"/>
        <v>10693.731518041948</v>
      </c>
      <c r="AT13" s="41">
        <f t="shared" si="28"/>
        <v>6271.4263604439475</v>
      </c>
      <c r="AU13" s="41">
        <f t="shared" si="29"/>
        <v>6485.937931199995</v>
      </c>
      <c r="AV13" s="34">
        <f t="shared" si="13"/>
        <v>2770.724882847736</v>
      </c>
      <c r="AW13" s="41">
        <f t="shared" si="30"/>
        <v>906.3602224477385</v>
      </c>
      <c r="AX13" s="41">
        <f t="shared" si="31"/>
        <v>1864.3646603999975</v>
      </c>
      <c r="AY13" s="41">
        <f t="shared" si="14"/>
        <v>1116.7188480802806</v>
      </c>
      <c r="AZ13" s="40"/>
      <c r="BA13" s="40"/>
      <c r="BB13" s="34">
        <f t="shared" si="15"/>
        <v>1753.8707999999979</v>
      </c>
      <c r="BC13" s="55">
        <v>833.9207999999991</v>
      </c>
      <c r="BD13" s="55">
        <v>919.9499999999989</v>
      </c>
      <c r="BE13" s="70">
        <f t="shared" si="32"/>
        <v>2500.918379850003</v>
      </c>
      <c r="BF13" s="54">
        <v>1724.1060000000032</v>
      </c>
      <c r="BG13" s="25">
        <f t="shared" si="33"/>
        <v>776.81237985</v>
      </c>
      <c r="BH13" s="91">
        <v>1.063</v>
      </c>
      <c r="BI13" s="38"/>
      <c r="BJ13" s="45"/>
      <c r="BK13" s="45"/>
    </row>
    <row r="14" spans="1:63" ht="13.5" thickBot="1">
      <c r="A14" s="23" t="s">
        <v>137</v>
      </c>
      <c r="B14" s="24">
        <f aca="true" t="shared" si="34" ref="B14:N14">SUM(B6:B13)</f>
        <v>2329.6889568568513</v>
      </c>
      <c r="C14" s="24">
        <f t="shared" si="34"/>
        <v>2308.3481698446976</v>
      </c>
      <c r="D14" s="24">
        <f t="shared" si="34"/>
        <v>398.082</v>
      </c>
      <c r="E14" s="24">
        <f t="shared" si="34"/>
        <v>394.4342549999999</v>
      </c>
      <c r="F14" s="61">
        <f t="shared" si="34"/>
        <v>4181.036048000001</v>
      </c>
      <c r="G14" s="61">
        <f t="shared" si="34"/>
        <v>3994.7697590000043</v>
      </c>
      <c r="H14" s="24">
        <f>SUM(H6:H13)</f>
        <v>6908.807004856852</v>
      </c>
      <c r="I14" s="24">
        <f t="shared" si="34"/>
        <v>6697.552183844701</v>
      </c>
      <c r="J14" s="24">
        <f t="shared" si="34"/>
        <v>750.8948533520135</v>
      </c>
      <c r="K14" s="24">
        <f t="shared" si="34"/>
        <v>1072.739859706085</v>
      </c>
      <c r="L14" s="24">
        <f t="shared" si="34"/>
        <v>1823.6347130580984</v>
      </c>
      <c r="M14" s="24">
        <f t="shared" si="34"/>
        <v>738.8628182000007</v>
      </c>
      <c r="N14" s="24">
        <f t="shared" si="34"/>
        <v>134.793</v>
      </c>
      <c r="O14" s="73">
        <f>AVERAGE(O6:O13)</f>
        <v>50.93856624239241</v>
      </c>
      <c r="P14" s="69">
        <f>SUM(P6:P13)</f>
        <v>9606.09753611495</v>
      </c>
      <c r="Q14" s="24">
        <f>SUM(Q6:Q13)</f>
        <v>13397625.57338208</v>
      </c>
      <c r="R14" s="75">
        <f>ROUNDDOWN(SUM(R6:R13),0)</f>
        <v>183838</v>
      </c>
      <c r="S14" s="75">
        <f>SUM(S6:S13)</f>
        <v>30860.564502789548</v>
      </c>
      <c r="T14" s="75">
        <f>SUM(T6:T13)</f>
        <v>342.2680340243999</v>
      </c>
      <c r="U14" s="75">
        <f>SUM(U6:U13)</f>
        <v>22854.619746828073</v>
      </c>
      <c r="V14" s="75">
        <f>ROUNDDOWN(SUM(V6:V13),0)</f>
        <v>2482</v>
      </c>
      <c r="W14" s="75">
        <f>ROUNDUP(SUM(W6:W13),0)</f>
        <v>5182</v>
      </c>
      <c r="X14" s="24">
        <f>SUM(X6:X13)</f>
        <v>25798.729721727905</v>
      </c>
      <c r="Y14" s="24">
        <f>SUM(Y6:Y13)</f>
        <v>4719.566747037245</v>
      </c>
      <c r="Z14" s="75">
        <f>SUM(Z6:Z13)</f>
        <v>321.9830988</v>
      </c>
      <c r="AA14" s="24"/>
      <c r="AB14" s="24">
        <f>SUM(AB6:AB13)</f>
        <v>6697.552183844701</v>
      </c>
      <c r="AC14" s="24">
        <f>SUM(AC6:AC13)</f>
        <v>6908.807004856852</v>
      </c>
      <c r="AD14" s="24"/>
      <c r="AE14" s="61">
        <f>SUM(AE6:AE13)</f>
        <v>1814.5165394928083</v>
      </c>
      <c r="AF14" s="61">
        <f>SUM(AF6:AF13)</f>
        <v>1823.6347130580984</v>
      </c>
      <c r="AG14" s="61"/>
      <c r="AH14" s="24">
        <f>SUM(AH6:AH13)</f>
        <v>869.2875391090007</v>
      </c>
      <c r="AI14" s="61">
        <f>SUM(AI6:AI13)</f>
        <v>873.6558182000007</v>
      </c>
      <c r="AJ14" s="24"/>
      <c r="AK14" s="24"/>
      <c r="AL14" s="24">
        <f>SUM(AL6:AL13)</f>
        <v>0</v>
      </c>
      <c r="AM14" s="24"/>
      <c r="AN14" s="24">
        <f>SUM(AN6:AN13)</f>
        <v>0</v>
      </c>
      <c r="AO14" s="24">
        <f>SUM(AO6:AO13)</f>
        <v>0</v>
      </c>
      <c r="AP14" s="24"/>
      <c r="AQ14" s="75">
        <f aca="true" t="shared" si="35" ref="AQ14:AY14">SUM(AQ6:AQ13)</f>
        <v>214699.21025761974</v>
      </c>
      <c r="AR14" s="24">
        <f t="shared" si="35"/>
        <v>201728.04825841397</v>
      </c>
      <c r="AS14" s="75">
        <f t="shared" si="35"/>
        <v>145084.9471019939</v>
      </c>
      <c r="AT14" s="75">
        <f t="shared" si="35"/>
        <v>38296.328974220065</v>
      </c>
      <c r="AU14" s="75">
        <f t="shared" si="35"/>
        <v>18346.772182200013</v>
      </c>
      <c r="AV14" s="24">
        <f t="shared" si="35"/>
        <v>12971.161999205753</v>
      </c>
      <c r="AW14" s="75">
        <f>ROUNDDOWN(SUM(AW6:AW13),0)</f>
        <v>2599</v>
      </c>
      <c r="AX14" s="75">
        <f t="shared" si="35"/>
        <v>10371.758606799996</v>
      </c>
      <c r="AY14" s="24">
        <f t="shared" si="35"/>
        <v>9606.09753611495</v>
      </c>
      <c r="AZ14" s="24"/>
      <c r="BA14" s="24"/>
      <c r="BB14" s="75">
        <f aca="true" t="shared" si="36" ref="BB14:BG14">SUM(BB6:BB13)</f>
        <v>9757.063599999998</v>
      </c>
      <c r="BC14" s="75">
        <f t="shared" si="36"/>
        <v>3812.553599999999</v>
      </c>
      <c r="BD14" s="75">
        <f t="shared" si="36"/>
        <v>5944.509999999999</v>
      </c>
      <c r="BE14" s="24">
        <f t="shared" si="36"/>
        <v>7172.529817290004</v>
      </c>
      <c r="BF14" s="75">
        <f t="shared" si="36"/>
        <v>5327.277000000004</v>
      </c>
      <c r="BG14" s="75">
        <f t="shared" si="36"/>
        <v>1845.2528172899997</v>
      </c>
      <c r="BH14" s="24"/>
      <c r="BI14" s="24"/>
      <c r="BJ14" s="24"/>
      <c r="BK14" s="24"/>
    </row>
    <row r="15" spans="1:63" s="26" customFormat="1" ht="26.25" thickBot="1">
      <c r="A15" s="27" t="s">
        <v>88</v>
      </c>
      <c r="B15" s="62">
        <f>B14</f>
        <v>2329.6889568568513</v>
      </c>
      <c r="C15" s="62">
        <f aca="true" t="shared" si="37" ref="C15:N15">C14</f>
        <v>2308.3481698446976</v>
      </c>
      <c r="D15" s="62">
        <f t="shared" si="37"/>
        <v>398.082</v>
      </c>
      <c r="E15" s="62">
        <f t="shared" si="37"/>
        <v>394.4342549999999</v>
      </c>
      <c r="F15" s="62">
        <f t="shared" si="37"/>
        <v>4181.036048000001</v>
      </c>
      <c r="G15" s="62">
        <f t="shared" si="37"/>
        <v>3994.7697590000043</v>
      </c>
      <c r="H15" s="62">
        <f t="shared" si="37"/>
        <v>6908.807004856852</v>
      </c>
      <c r="I15" s="62">
        <f t="shared" si="37"/>
        <v>6697.552183844701</v>
      </c>
      <c r="J15" s="62">
        <f>J14</f>
        <v>750.8948533520135</v>
      </c>
      <c r="K15" s="62">
        <f>K14</f>
        <v>1072.739859706085</v>
      </c>
      <c r="L15" s="62">
        <f t="shared" si="37"/>
        <v>1823.6347130580984</v>
      </c>
      <c r="M15" s="62">
        <f t="shared" si="37"/>
        <v>738.8628182000007</v>
      </c>
      <c r="N15" s="62">
        <f t="shared" si="37"/>
        <v>134.793</v>
      </c>
      <c r="O15" s="78">
        <f aca="true" t="shared" si="38" ref="O15:Z15">O14</f>
        <v>50.93856624239241</v>
      </c>
      <c r="P15" s="62">
        <f t="shared" si="38"/>
        <v>9606.09753611495</v>
      </c>
      <c r="Q15" s="62">
        <f t="shared" si="38"/>
        <v>13397625.57338208</v>
      </c>
      <c r="R15" s="62">
        <f t="shared" si="38"/>
        <v>183838</v>
      </c>
      <c r="S15" s="62">
        <f t="shared" si="38"/>
        <v>30860.564502789548</v>
      </c>
      <c r="T15" s="62">
        <f t="shared" si="38"/>
        <v>342.2680340243999</v>
      </c>
      <c r="U15" s="62">
        <f t="shared" si="38"/>
        <v>22854.619746828073</v>
      </c>
      <c r="V15" s="62">
        <f t="shared" si="38"/>
        <v>2482</v>
      </c>
      <c r="W15" s="62">
        <f t="shared" si="38"/>
        <v>5182</v>
      </c>
      <c r="X15" s="62">
        <f t="shared" si="38"/>
        <v>25798.729721727905</v>
      </c>
      <c r="Y15" s="62">
        <f t="shared" si="38"/>
        <v>4719.566747037245</v>
      </c>
      <c r="Z15" s="62">
        <f t="shared" si="38"/>
        <v>321.9830988</v>
      </c>
      <c r="AA15" s="62"/>
      <c r="AB15" s="62">
        <f>AB14</f>
        <v>6697.552183844701</v>
      </c>
      <c r="AC15" s="62">
        <f>AC14</f>
        <v>6908.807004856852</v>
      </c>
      <c r="AD15" s="62"/>
      <c r="AE15" s="62">
        <f>AE14</f>
        <v>1814.5165394928083</v>
      </c>
      <c r="AF15" s="62">
        <f>AF14</f>
        <v>1823.6347130580984</v>
      </c>
      <c r="AG15" s="62"/>
      <c r="AH15" s="62">
        <f>AH14</f>
        <v>869.2875391090007</v>
      </c>
      <c r="AI15" s="62">
        <f>AI14</f>
        <v>873.6558182000007</v>
      </c>
      <c r="AJ15" s="62"/>
      <c r="AK15" s="62"/>
      <c r="AL15" s="62">
        <f>AL14</f>
        <v>0</v>
      </c>
      <c r="AM15" s="62"/>
      <c r="AN15" s="62">
        <f>AN14</f>
        <v>0</v>
      </c>
      <c r="AO15" s="62">
        <f>AO14</f>
        <v>0</v>
      </c>
      <c r="AP15" s="62"/>
      <c r="AQ15" s="62">
        <f aca="true" t="shared" si="39" ref="AQ15:AY15">AQ14</f>
        <v>214699.21025761974</v>
      </c>
      <c r="AR15" s="62">
        <f t="shared" si="39"/>
        <v>201728.04825841397</v>
      </c>
      <c r="AS15" s="62">
        <f t="shared" si="39"/>
        <v>145084.9471019939</v>
      </c>
      <c r="AT15" s="62">
        <f t="shared" si="39"/>
        <v>38296.328974220065</v>
      </c>
      <c r="AU15" s="62">
        <f t="shared" si="39"/>
        <v>18346.772182200013</v>
      </c>
      <c r="AV15" s="62">
        <f t="shared" si="39"/>
        <v>12971.161999205753</v>
      </c>
      <c r="AW15" s="62">
        <f t="shared" si="39"/>
        <v>2599</v>
      </c>
      <c r="AX15" s="62">
        <f t="shared" si="39"/>
        <v>10371.758606799996</v>
      </c>
      <c r="AY15" s="62">
        <f t="shared" si="39"/>
        <v>9606.09753611495</v>
      </c>
      <c r="AZ15" s="62"/>
      <c r="BA15" s="62"/>
      <c r="BB15" s="62">
        <f aca="true" t="shared" si="40" ref="BB15:BG15">BB14</f>
        <v>9757.063599999998</v>
      </c>
      <c r="BC15" s="62">
        <f t="shared" si="40"/>
        <v>3812.553599999999</v>
      </c>
      <c r="BD15" s="62">
        <f t="shared" si="40"/>
        <v>5944.509999999999</v>
      </c>
      <c r="BE15" s="62">
        <f t="shared" si="40"/>
        <v>7172.529817290004</v>
      </c>
      <c r="BF15" s="62">
        <f t="shared" si="40"/>
        <v>5327.277000000004</v>
      </c>
      <c r="BG15" s="62">
        <f t="shared" si="40"/>
        <v>1845.2528172899997</v>
      </c>
      <c r="BH15" s="28"/>
      <c r="BI15" s="28"/>
      <c r="BJ15" s="28"/>
      <c r="BK15" s="28"/>
    </row>
    <row r="16" spans="2:59" ht="12.75">
      <c r="B16" s="96"/>
      <c r="C16" s="96"/>
      <c r="F16" s="96"/>
      <c r="G16" s="96"/>
      <c r="J16" s="96"/>
      <c r="K16" s="96"/>
      <c r="L16" s="74"/>
      <c r="M16" s="96"/>
      <c r="N16" s="96"/>
      <c r="O16" s="82"/>
      <c r="R16" s="7"/>
      <c r="S16" s="7"/>
      <c r="X16" s="7"/>
      <c r="Y16" s="13"/>
      <c r="Z16" s="74"/>
      <c r="AA16" s="18"/>
      <c r="AB16" s="15"/>
      <c r="AD16" s="19"/>
      <c r="AE16" s="15"/>
      <c r="AF16" s="15"/>
      <c r="AG16" s="19"/>
      <c r="AH16" s="7"/>
      <c r="AI16" s="7"/>
      <c r="AJ16" s="17"/>
      <c r="AK16" s="16"/>
      <c r="AM16" s="14"/>
      <c r="AN16" s="15"/>
      <c r="AP16" s="16"/>
      <c r="AQ16" s="7"/>
      <c r="AR16" s="7"/>
      <c r="AS16" s="7"/>
      <c r="AT16" s="7"/>
      <c r="AU16" s="7"/>
      <c r="AV16" s="7"/>
      <c r="AW16" s="13"/>
      <c r="AX16" s="7"/>
      <c r="AY16" s="7"/>
      <c r="BB16" s="74"/>
      <c r="BC16" s="96"/>
      <c r="BD16" s="96"/>
      <c r="BE16" s="7"/>
      <c r="BF16" s="96"/>
      <c r="BG16" s="96"/>
    </row>
    <row r="17" spans="1:58" ht="12.75" customHeight="1">
      <c r="A17" s="101" t="s">
        <v>147</v>
      </c>
      <c r="B17" s="101"/>
      <c r="C17" s="101"/>
      <c r="D17" s="101"/>
      <c r="E17" s="101"/>
      <c r="F17" s="101"/>
      <c r="G17" s="101"/>
      <c r="H17" s="82"/>
      <c r="I17" s="82"/>
      <c r="J17" s="82"/>
      <c r="K17" s="82"/>
      <c r="L17" s="82"/>
      <c r="N17" s="83"/>
      <c r="O17" s="82"/>
      <c r="P17" s="8"/>
      <c r="Q17" s="8"/>
      <c r="R17" s="50"/>
      <c r="S17" s="51"/>
      <c r="T17" s="29"/>
      <c r="U17" s="29"/>
      <c r="V17" s="29"/>
      <c r="W17" s="29"/>
      <c r="X17" s="29"/>
      <c r="Y17" s="29"/>
      <c r="AD17" s="19"/>
      <c r="AE17" s="15"/>
      <c r="AF17" s="15"/>
      <c r="AG17" s="19"/>
      <c r="AH17" s="7"/>
      <c r="AI17" s="7"/>
      <c r="AJ17" s="17"/>
      <c r="AK17" s="16"/>
      <c r="AM17" s="14"/>
      <c r="AN17" s="15"/>
      <c r="AP17" s="16"/>
      <c r="AQ17" s="7"/>
      <c r="AR17" s="7"/>
      <c r="AS17" s="7"/>
      <c r="AT17" s="7"/>
      <c r="AU17" s="7"/>
      <c r="AV17" s="7"/>
      <c r="AW17" s="7"/>
      <c r="AX17" s="7"/>
      <c r="AY17" s="7"/>
      <c r="BB17" s="83"/>
      <c r="BC17" s="83"/>
      <c r="BD17" s="83"/>
      <c r="BE17" s="82"/>
      <c r="BF17" s="93"/>
    </row>
    <row r="18" spans="1:58" ht="12.75">
      <c r="A18" s="101"/>
      <c r="B18" s="101"/>
      <c r="C18" s="101"/>
      <c r="D18" s="101"/>
      <c r="E18" s="101"/>
      <c r="F18" s="101"/>
      <c r="G18" s="101"/>
      <c r="K18" s="82"/>
      <c r="L18" s="48"/>
      <c r="M18" s="48"/>
      <c r="O18" s="82"/>
      <c r="R18" s="29"/>
      <c r="S18" s="51"/>
      <c r="AE18" s="15"/>
      <c r="AF18" s="15"/>
      <c r="AG18" s="19"/>
      <c r="AH18" s="7"/>
      <c r="AI18" s="7"/>
      <c r="AJ18" s="17"/>
      <c r="AK18" s="16"/>
      <c r="AM18" s="14"/>
      <c r="AN18" s="15"/>
      <c r="AP18" s="16"/>
      <c r="AQ18" s="7"/>
      <c r="AR18" s="7"/>
      <c r="AS18" s="7"/>
      <c r="AT18" s="7"/>
      <c r="AU18" s="7"/>
      <c r="AV18" s="7"/>
      <c r="AW18" s="7"/>
      <c r="AX18" s="7"/>
      <c r="AY18" s="7"/>
      <c r="BA18" s="82"/>
      <c r="BB18" s="82"/>
      <c r="BC18" s="82"/>
      <c r="BD18" s="82"/>
      <c r="BE18" s="82"/>
      <c r="BF18" s="82"/>
    </row>
    <row r="19" spans="1:59" ht="12.75">
      <c r="A19" s="101"/>
      <c r="B19" s="101"/>
      <c r="C19" s="101"/>
      <c r="D19" s="101"/>
      <c r="E19" s="101"/>
      <c r="F19" s="101"/>
      <c r="G19" s="101"/>
      <c r="I19" s="82"/>
      <c r="J19" s="82"/>
      <c r="K19" s="82"/>
      <c r="L19" s="82"/>
      <c r="O19" s="82"/>
      <c r="R19" s="29"/>
      <c r="S19" s="51"/>
      <c r="AE19" s="15"/>
      <c r="AF19" s="15"/>
      <c r="AG19" s="19"/>
      <c r="AH19" s="7"/>
      <c r="AI19" s="7"/>
      <c r="AJ19" s="17"/>
      <c r="AK19" s="16"/>
      <c r="AM19" s="14"/>
      <c r="AN19" s="15"/>
      <c r="AP19" s="16"/>
      <c r="AQ19" s="7"/>
      <c r="AR19" s="7"/>
      <c r="AS19" s="7"/>
      <c r="AT19" s="7"/>
      <c r="AU19" s="7"/>
      <c r="AV19" s="7"/>
      <c r="AW19" s="13"/>
      <c r="AX19" s="7"/>
      <c r="AY19" s="7"/>
      <c r="AZ19" s="8"/>
      <c r="BA19" s="82"/>
      <c r="BB19" s="82"/>
      <c r="BC19" s="82"/>
      <c r="BD19" s="82"/>
      <c r="BE19" s="82"/>
      <c r="BF19" s="82"/>
      <c r="BG19" s="48"/>
    </row>
    <row r="20" spans="8:58" ht="12.75">
      <c r="H20" s="82"/>
      <c r="I20" s="82"/>
      <c r="L20" s="82"/>
      <c r="N20" s="82"/>
      <c r="BA20" s="82"/>
      <c r="BC20" s="82"/>
      <c r="BD20" s="82"/>
      <c r="BF20" s="82"/>
    </row>
    <row r="21" spans="1:59" ht="12.75">
      <c r="A21" s="43" t="s">
        <v>94</v>
      </c>
      <c r="B21" s="3"/>
      <c r="C21" s="3"/>
      <c r="D21" s="3"/>
      <c r="E21" s="3"/>
      <c r="F21" s="3"/>
      <c r="G21" s="3"/>
      <c r="H21" s="82"/>
      <c r="I21" s="82"/>
      <c r="J21" s="82"/>
      <c r="K21" s="82"/>
      <c r="L21" s="82"/>
      <c r="N21" s="82"/>
      <c r="O21" s="82"/>
      <c r="R21" s="29"/>
      <c r="S21" s="51"/>
      <c r="AE21" s="29"/>
      <c r="AF21" s="29"/>
      <c r="AG21" s="19"/>
      <c r="AH21" s="7"/>
      <c r="AI21" s="7"/>
      <c r="AJ21" s="17"/>
      <c r="AK21" s="16"/>
      <c r="AM21" s="14"/>
      <c r="AN21" s="15"/>
      <c r="AP21" s="16"/>
      <c r="AQ21" s="7"/>
      <c r="AR21" s="7"/>
      <c r="AS21" s="7"/>
      <c r="AT21" s="7"/>
      <c r="AU21" s="7"/>
      <c r="AV21" s="7"/>
      <c r="AW21" s="13"/>
      <c r="AX21" s="7"/>
      <c r="AY21" s="7"/>
      <c r="BA21" s="82"/>
      <c r="BB21" s="82"/>
      <c r="BC21" s="82"/>
      <c r="BD21" s="82"/>
      <c r="BE21" s="82"/>
      <c r="BF21" s="82"/>
      <c r="BG21" s="48"/>
    </row>
    <row r="22" spans="1:59" ht="12.75">
      <c r="A22" s="42" t="s">
        <v>95</v>
      </c>
      <c r="B22" t="s">
        <v>96</v>
      </c>
      <c r="D22" s="15"/>
      <c r="E22" s="15"/>
      <c r="F22" s="15"/>
      <c r="G22" s="15"/>
      <c r="H22" s="82"/>
      <c r="I22" s="82"/>
      <c r="J22" s="82"/>
      <c r="K22" s="82"/>
      <c r="L22" s="82"/>
      <c r="N22" s="82"/>
      <c r="O22" s="82"/>
      <c r="R22" s="29"/>
      <c r="S22" s="7"/>
      <c r="AE22" s="15"/>
      <c r="AF22" s="15"/>
      <c r="AG22" s="19"/>
      <c r="AH22" s="7"/>
      <c r="AI22" s="7"/>
      <c r="AJ22" s="17"/>
      <c r="AK22" s="16"/>
      <c r="AM22" s="14"/>
      <c r="AN22" s="15"/>
      <c r="AP22" s="16"/>
      <c r="AQ22" s="7"/>
      <c r="AR22" s="7"/>
      <c r="AS22" s="7"/>
      <c r="AT22" s="7"/>
      <c r="AU22" s="7"/>
      <c r="AV22" s="7"/>
      <c r="AW22" s="13"/>
      <c r="AX22" s="7"/>
      <c r="AY22" s="7"/>
      <c r="BA22" s="82"/>
      <c r="BB22" s="82"/>
      <c r="BC22" s="82"/>
      <c r="BD22" s="82"/>
      <c r="BE22" s="82"/>
      <c r="BF22" s="82"/>
      <c r="BG22" s="48"/>
    </row>
    <row r="23" spans="1:59" ht="12.75">
      <c r="A23" t="s">
        <v>97</v>
      </c>
      <c r="B23" t="s">
        <v>98</v>
      </c>
      <c r="H23" s="82"/>
      <c r="I23" s="82"/>
      <c r="J23" s="82"/>
      <c r="K23" s="82"/>
      <c r="L23" s="82"/>
      <c r="N23" s="82"/>
      <c r="O23" s="82"/>
      <c r="R23" s="52"/>
      <c r="S23" s="7"/>
      <c r="AE23" s="15"/>
      <c r="AF23" s="15"/>
      <c r="AG23" s="19"/>
      <c r="AH23" s="7"/>
      <c r="AI23" s="7"/>
      <c r="AJ23" s="17"/>
      <c r="AK23" s="16"/>
      <c r="AM23" s="14"/>
      <c r="AN23" s="15"/>
      <c r="AP23" s="16"/>
      <c r="AQ23" s="7"/>
      <c r="AR23" s="7"/>
      <c r="AV23" s="7"/>
      <c r="AW23" s="13"/>
      <c r="AY23" s="7"/>
      <c r="BA23" s="82"/>
      <c r="BB23" s="82"/>
      <c r="BC23" s="82"/>
      <c r="BD23" s="82"/>
      <c r="BE23" s="82"/>
      <c r="BF23" s="82"/>
      <c r="BG23" s="48"/>
    </row>
    <row r="24" spans="1:59" ht="12.75">
      <c r="A24" s="49" t="s">
        <v>113</v>
      </c>
      <c r="B24" t="s">
        <v>112</v>
      </c>
      <c r="H24" s="82"/>
      <c r="I24" s="82"/>
      <c r="J24" s="82"/>
      <c r="K24" s="82"/>
      <c r="L24" s="82"/>
      <c r="N24" s="82"/>
      <c r="O24" s="82"/>
      <c r="R24" s="29"/>
      <c r="AS24" s="7"/>
      <c r="AT24" s="7"/>
      <c r="AU24" s="7"/>
      <c r="AW24" s="13"/>
      <c r="AX24" s="7"/>
      <c r="AZ24" s="29"/>
      <c r="BA24" s="82"/>
      <c r="BB24" s="82"/>
      <c r="BC24" s="82"/>
      <c r="BD24" s="82"/>
      <c r="BE24" s="82"/>
      <c r="BF24" s="82"/>
      <c r="BG24" s="48"/>
    </row>
    <row r="25" spans="1:59" ht="12.75">
      <c r="A25" s="46" t="s">
        <v>111</v>
      </c>
      <c r="B25" s="3"/>
      <c r="C25" s="3"/>
      <c r="D25" s="3"/>
      <c r="E25" s="3"/>
      <c r="F25" s="3"/>
      <c r="G25" s="3"/>
      <c r="H25" s="82"/>
      <c r="I25" s="82"/>
      <c r="J25" s="82"/>
      <c r="K25" s="82"/>
      <c r="L25" s="82"/>
      <c r="N25" s="82"/>
      <c r="O25" s="82"/>
      <c r="R25" s="29"/>
      <c r="S25" s="7"/>
      <c r="AE25" s="15"/>
      <c r="AF25" s="15"/>
      <c r="AG25" s="19"/>
      <c r="AH25" s="7"/>
      <c r="AI25" s="7"/>
      <c r="AJ25" s="17"/>
      <c r="AK25" s="16"/>
      <c r="AM25" s="14"/>
      <c r="AN25" s="15"/>
      <c r="AP25" s="16"/>
      <c r="AQ25" s="7"/>
      <c r="AR25" s="7"/>
      <c r="AS25" s="7"/>
      <c r="AT25" s="7"/>
      <c r="AU25" s="7"/>
      <c r="AV25" s="7"/>
      <c r="AW25" s="13"/>
      <c r="AX25" s="7"/>
      <c r="AY25" s="7"/>
      <c r="BA25" s="82"/>
      <c r="BB25" s="82"/>
      <c r="BC25" s="82"/>
      <c r="BD25" s="82"/>
      <c r="BE25" s="82"/>
      <c r="BF25" s="82"/>
      <c r="BG25" s="48"/>
    </row>
    <row r="26" spans="1:59" ht="12.75">
      <c r="A26" s="47" t="s">
        <v>156</v>
      </c>
      <c r="B26" s="48"/>
      <c r="C26" s="48"/>
      <c r="D26" s="48"/>
      <c r="E26" s="48"/>
      <c r="F26" s="48"/>
      <c r="G26" s="48"/>
      <c r="H26" s="82"/>
      <c r="I26" s="82"/>
      <c r="J26" s="82"/>
      <c r="L26" s="82"/>
      <c r="N26" s="82"/>
      <c r="O26" s="82"/>
      <c r="S26" s="7"/>
      <c r="AE26" s="15"/>
      <c r="AF26" s="15"/>
      <c r="AG26" s="19"/>
      <c r="AH26" s="7"/>
      <c r="AI26" s="7"/>
      <c r="AJ26" s="17"/>
      <c r="AK26" s="16"/>
      <c r="AM26" s="14"/>
      <c r="AN26" s="15"/>
      <c r="AP26" s="16"/>
      <c r="AQ26" s="7"/>
      <c r="AR26" s="7"/>
      <c r="AS26" s="7"/>
      <c r="AT26" s="7"/>
      <c r="AU26" s="7"/>
      <c r="AV26" s="7"/>
      <c r="AW26" s="13"/>
      <c r="AX26" s="7"/>
      <c r="AY26" s="7"/>
      <c r="AZ26" s="29"/>
      <c r="BA26" s="82"/>
      <c r="BB26" s="82"/>
      <c r="BC26" s="82"/>
      <c r="BD26" s="82"/>
      <c r="BE26" s="82"/>
      <c r="BF26" s="82"/>
      <c r="BG26" s="48"/>
    </row>
    <row r="27" spans="1:59" ht="12.75">
      <c r="A27" s="47" t="s">
        <v>155</v>
      </c>
      <c r="B27" s="48"/>
      <c r="C27" s="48"/>
      <c r="D27" s="48"/>
      <c r="E27" s="48"/>
      <c r="F27" s="48"/>
      <c r="G27" s="48"/>
      <c r="H27" s="82"/>
      <c r="I27" s="82"/>
      <c r="J27" s="82"/>
      <c r="K27" s="82"/>
      <c r="L27" s="82"/>
      <c r="N27" s="82"/>
      <c r="O27" s="82"/>
      <c r="R27" s="52"/>
      <c r="S27" s="7"/>
      <c r="AE27" s="15"/>
      <c r="AF27" s="15"/>
      <c r="AG27" s="19"/>
      <c r="AH27" s="7"/>
      <c r="AI27" s="7"/>
      <c r="AJ27" s="17"/>
      <c r="AK27" s="16"/>
      <c r="AM27" s="14"/>
      <c r="AN27" s="15"/>
      <c r="AP27" s="16"/>
      <c r="AQ27" s="7"/>
      <c r="AR27" s="7"/>
      <c r="AS27" s="7"/>
      <c r="AT27" s="7"/>
      <c r="AU27" s="7"/>
      <c r="AV27" s="7"/>
      <c r="AW27" s="13"/>
      <c r="AX27" s="7"/>
      <c r="AY27" s="7"/>
      <c r="AZ27" s="29"/>
      <c r="BA27" s="82"/>
      <c r="BB27" s="82"/>
      <c r="BC27" s="82"/>
      <c r="BD27" s="82"/>
      <c r="BE27" s="82"/>
      <c r="BF27" s="82"/>
      <c r="BG27" s="48"/>
    </row>
    <row r="28" spans="1:59" ht="12.75">
      <c r="A28" s="47" t="s">
        <v>157</v>
      </c>
      <c r="B28" s="48"/>
      <c r="C28" s="48"/>
      <c r="D28" s="48"/>
      <c r="E28" s="48"/>
      <c r="F28" s="48"/>
      <c r="G28" s="48"/>
      <c r="H28" s="82"/>
      <c r="I28" s="82"/>
      <c r="J28" s="82"/>
      <c r="K28" s="13"/>
      <c r="L28" s="82"/>
      <c r="N28" s="82"/>
      <c r="O28" s="82"/>
      <c r="R28" s="53"/>
      <c r="S28" s="7"/>
      <c r="X28" s="7"/>
      <c r="Y28" s="13"/>
      <c r="Z28" s="15"/>
      <c r="AG28" s="19"/>
      <c r="AH28" s="7"/>
      <c r="AI28" s="7"/>
      <c r="AJ28" s="17"/>
      <c r="AK28" s="16"/>
      <c r="AM28" s="14"/>
      <c r="AN28" s="15"/>
      <c r="AP28" s="16"/>
      <c r="AQ28" s="7"/>
      <c r="AR28" s="7"/>
      <c r="AS28" s="7"/>
      <c r="AT28" s="7"/>
      <c r="AU28" s="7"/>
      <c r="AV28" s="7"/>
      <c r="AW28" s="13"/>
      <c r="AX28" s="7"/>
      <c r="AY28" s="7"/>
      <c r="AZ28" s="29"/>
      <c r="BA28" s="82"/>
      <c r="BB28" s="83"/>
      <c r="BC28" s="82"/>
      <c r="BD28" s="82"/>
      <c r="BE28" s="82"/>
      <c r="BF28" s="48"/>
      <c r="BG28" s="48"/>
    </row>
    <row r="29" spans="1:59" ht="12.75">
      <c r="A29" s="80" t="s">
        <v>159</v>
      </c>
      <c r="B29" s="48"/>
      <c r="C29" s="48"/>
      <c r="D29" s="48"/>
      <c r="E29" s="48"/>
      <c r="F29" s="48"/>
      <c r="G29" s="48"/>
      <c r="H29" s="82"/>
      <c r="I29" s="82"/>
      <c r="J29" s="82"/>
      <c r="K29" s="13"/>
      <c r="N29" s="82"/>
      <c r="O29" s="82"/>
      <c r="R29" s="29"/>
      <c r="AS29" s="7"/>
      <c r="AT29" s="7"/>
      <c r="AU29" s="7"/>
      <c r="AW29" s="7"/>
      <c r="AX29" s="7"/>
      <c r="AZ29" s="29"/>
      <c r="BA29" s="82"/>
      <c r="BB29" s="83"/>
      <c r="BC29" s="82"/>
      <c r="BD29" s="82"/>
      <c r="BE29" s="82"/>
      <c r="BF29" s="48"/>
      <c r="BG29" s="48"/>
    </row>
    <row r="30" spans="1:59" ht="12.75">
      <c r="A30" s="47" t="s">
        <v>158</v>
      </c>
      <c r="B30" s="48"/>
      <c r="C30" s="48"/>
      <c r="D30" s="48"/>
      <c r="E30" s="48"/>
      <c r="F30" s="48"/>
      <c r="G30" s="48"/>
      <c r="H30" s="83"/>
      <c r="I30" s="82"/>
      <c r="M30" s="82"/>
      <c r="N30" s="48"/>
      <c r="O30" s="82"/>
      <c r="AS30" s="7"/>
      <c r="AT30" s="7"/>
      <c r="AU30" s="7"/>
      <c r="AW30" s="7"/>
      <c r="AX30" s="7"/>
      <c r="BA30" s="82"/>
      <c r="BB30" s="82"/>
      <c r="BC30" s="82"/>
      <c r="BD30" s="82"/>
      <c r="BE30" s="82"/>
      <c r="BF30" s="48"/>
      <c r="BG30" s="48"/>
    </row>
    <row r="31" spans="1:59" ht="12.75">
      <c r="A31" s="80" t="s">
        <v>154</v>
      </c>
      <c r="B31" s="48"/>
      <c r="C31" s="48"/>
      <c r="D31" s="48"/>
      <c r="E31" s="48"/>
      <c r="F31" s="48"/>
      <c r="G31" s="48"/>
      <c r="H31" s="82"/>
      <c r="I31" s="82"/>
      <c r="J31" s="82"/>
      <c r="L31" s="82"/>
      <c r="M31" s="82"/>
      <c r="N31" s="82"/>
      <c r="O31" s="82"/>
      <c r="R31" s="29"/>
      <c r="S31" s="7"/>
      <c r="AE31" s="15"/>
      <c r="AF31" s="15"/>
      <c r="AG31" s="19"/>
      <c r="AH31" s="7"/>
      <c r="AI31" s="7"/>
      <c r="AJ31" s="17"/>
      <c r="AK31" s="16"/>
      <c r="AM31" s="14"/>
      <c r="AN31" s="15"/>
      <c r="AP31" s="16"/>
      <c r="AQ31" s="7"/>
      <c r="AR31" s="7"/>
      <c r="AS31" s="7"/>
      <c r="AT31" s="7"/>
      <c r="AU31" s="7"/>
      <c r="AV31" s="7"/>
      <c r="AW31" s="13"/>
      <c r="AX31" s="7"/>
      <c r="AY31" s="7"/>
      <c r="BA31" s="82"/>
      <c r="BB31" s="82"/>
      <c r="BC31" s="82"/>
      <c r="BD31" s="82"/>
      <c r="BE31" s="82"/>
      <c r="BF31" s="82"/>
      <c r="BG31" s="48"/>
    </row>
    <row r="32" spans="1:58" ht="12.75">
      <c r="A32" s="80" t="s">
        <v>153</v>
      </c>
      <c r="C32" s="52"/>
      <c r="D32" s="76"/>
      <c r="E32" s="84"/>
      <c r="F32" s="72"/>
      <c r="G32" s="72"/>
      <c r="H32" s="83"/>
      <c r="I32" s="82"/>
      <c r="M32" s="82"/>
      <c r="N32" s="82"/>
      <c r="O32" s="82"/>
      <c r="AS32" s="7"/>
      <c r="AT32" s="7"/>
      <c r="AU32" s="7"/>
      <c r="AW32" s="7"/>
      <c r="AX32" s="7"/>
      <c r="BA32" s="82"/>
      <c r="BB32" s="82"/>
      <c r="BC32" s="82"/>
      <c r="BD32" s="82"/>
      <c r="BE32" s="82"/>
      <c r="BF32" s="48"/>
    </row>
    <row r="33" spans="1:58" ht="12.75">
      <c r="A33" s="85"/>
      <c r="C33" s="52"/>
      <c r="D33" s="76"/>
      <c r="E33" s="84"/>
      <c r="F33" s="72"/>
      <c r="G33" s="72"/>
      <c r="H33" s="79"/>
      <c r="O33" s="82"/>
      <c r="BA33" s="82"/>
      <c r="BB33" s="82"/>
      <c r="BC33" s="82"/>
      <c r="BD33" s="82"/>
      <c r="BE33" s="48"/>
      <c r="BF33" s="48"/>
    </row>
    <row r="34" spans="1:58" ht="12.75">
      <c r="A34" s="86"/>
      <c r="D34" s="52"/>
      <c r="E34" s="84"/>
      <c r="F34" s="72"/>
      <c r="G34" s="72"/>
      <c r="H34" s="79"/>
      <c r="O34" s="82"/>
      <c r="BA34" s="82"/>
      <c r="BB34" s="82"/>
      <c r="BC34" s="82"/>
      <c r="BD34" s="82"/>
      <c r="BF34" s="48"/>
    </row>
    <row r="35" spans="1:58" ht="12.75">
      <c r="A35" s="87"/>
      <c r="D35" s="72"/>
      <c r="E35" s="84"/>
      <c r="F35" s="72"/>
      <c r="G35" s="72"/>
      <c r="I35" s="48"/>
      <c r="J35" s="48"/>
      <c r="K35" s="48"/>
      <c r="O35" s="82"/>
      <c r="BF35" s="48"/>
    </row>
    <row r="36" spans="1:58" ht="12.75">
      <c r="A36" s="85"/>
      <c r="F36" s="84"/>
      <c r="G36" s="84"/>
      <c r="I36" s="48"/>
      <c r="J36" s="48"/>
      <c r="K36" s="48"/>
      <c r="O36" s="82"/>
      <c r="BF36" s="48"/>
    </row>
    <row r="37" spans="1:15" ht="12.75">
      <c r="A37" s="85"/>
      <c r="D37" s="52"/>
      <c r="E37" s="72"/>
      <c r="F37" s="72"/>
      <c r="G37" s="72"/>
      <c r="I37" s="48"/>
      <c r="J37" s="48"/>
      <c r="K37" s="48"/>
      <c r="O37" s="82"/>
    </row>
    <row r="38" spans="4:7" ht="12.75">
      <c r="D38" s="52"/>
      <c r="E38" s="72"/>
      <c r="F38" s="72"/>
      <c r="G38" s="72"/>
    </row>
  </sheetData>
  <sheetProtection/>
  <mergeCells count="1">
    <mergeCell ref="A17:G19"/>
  </mergeCells>
  <printOptions horizontalCentered="1"/>
  <pageMargins left="0.27" right="0.17" top="0.87" bottom="0.73" header="0.5118110236220472" footer="0.49"/>
  <pageSetup fitToHeight="1" fitToWidth="1" horizontalDpi="600" verticalDpi="600" orientation="landscape" paperSize="9" scale="24" r:id="rId3"/>
  <headerFooter alignWithMargins="0">
    <oddFooter>&amp;C&amp;F,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1</cp:lastModifiedBy>
  <cp:lastPrinted>2012-06-14T10:06:23Z</cp:lastPrinted>
  <dcterms:created xsi:type="dcterms:W3CDTF">2008-12-06T07:55:45Z</dcterms:created>
  <dcterms:modified xsi:type="dcterms:W3CDTF">2013-03-27T09:32:32Z</dcterms:modified>
  <cp:category/>
  <cp:version/>
  <cp:contentType/>
  <cp:contentStatus/>
</cp:coreProperties>
</file>