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4790" windowHeight="9060" activeTab="1"/>
  </bookViews>
  <sheets>
    <sheet name="budget" sheetId="1" r:id="rId1"/>
    <sheet name="cash flow" sheetId="2" r:id="rId2"/>
    <sheet name="investment schedule" sheetId="3" r:id="rId3"/>
    <sheet name="baseline" sheetId="4" r:id="rId4"/>
    <sheet name="sensitivity" sheetId="5" r:id="rId5"/>
    <sheet name="production forecast" sheetId="6" r:id="rId6"/>
  </sheets>
  <externalReferences>
    <externalReference r:id="rId9"/>
  </externalReferences>
  <definedNames>
    <definedName name="_xlnm.Print_Area" localSheetId="0">'budget'!$A$1:$E$57</definedName>
    <definedName name="_xlnm.Print_Area" localSheetId="2">'investment schedule'!$A$1:$R$44</definedName>
  </definedNames>
  <calcPr fullCalcOnLoad="1"/>
</workbook>
</file>

<file path=xl/comments2.xml><?xml version="1.0" encoding="utf-8"?>
<comments xmlns="http://schemas.openxmlformats.org/spreadsheetml/2006/main">
  <authors>
    <author>Vaidas</author>
  </authors>
  <commentList>
    <comment ref="N39" authorId="0">
      <text>
        <r>
          <rPr>
            <b/>
            <sz val="8"/>
            <rFont val="Tahoma"/>
            <family val="0"/>
          </rPr>
          <t>Vaidas:</t>
        </r>
        <r>
          <rPr>
            <sz val="8"/>
            <rFont val="Tahoma"/>
            <family val="0"/>
          </rPr>
          <t xml:space="preserve">
for 20 years</t>
        </r>
      </text>
    </comment>
  </commentList>
</comments>
</file>

<file path=xl/comments3.xml><?xml version="1.0" encoding="utf-8"?>
<comments xmlns="http://schemas.openxmlformats.org/spreadsheetml/2006/main">
  <authors>
    <author>Karolis</author>
  </authors>
  <commentList>
    <comment ref="A35" authorId="0">
      <text>
        <r>
          <rPr>
            <b/>
            <sz val="8"/>
            <rFont val="Tahoma"/>
            <family val="0"/>
          </rPr>
          <t xml:space="preserve">irte: EUR 55 annually (in January 2007 will be paid for half of 2006 year)
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irte:
annual payment of EUR 106. However, still to be confirmed by insurance company. </t>
        </r>
      </text>
    </comment>
  </commentList>
</comments>
</file>

<file path=xl/sharedStrings.xml><?xml version="1.0" encoding="utf-8"?>
<sst xmlns="http://schemas.openxmlformats.org/spreadsheetml/2006/main" count="181" uniqueCount="153">
  <si>
    <t>Wind energy converters</t>
  </si>
  <si>
    <t>Transportation</t>
  </si>
  <si>
    <t>Crane hiring costs</t>
  </si>
  <si>
    <t>Road construction</t>
  </si>
  <si>
    <t>Foundation construction</t>
  </si>
  <si>
    <t>Cables</t>
  </si>
  <si>
    <t>Transformer station</t>
  </si>
  <si>
    <t>Working capital</t>
  </si>
  <si>
    <t>Business Plan, fees</t>
  </si>
  <si>
    <t>Interest during construction</t>
  </si>
  <si>
    <t>Up fron fee</t>
  </si>
  <si>
    <t>Business plan</t>
  </si>
  <si>
    <t>Budget</t>
  </si>
  <si>
    <t>'000 EUR</t>
  </si>
  <si>
    <t>October</t>
  </si>
  <si>
    <t>November</t>
  </si>
  <si>
    <t>December</t>
  </si>
  <si>
    <t>Year 2005</t>
  </si>
  <si>
    <t>Year 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</si>
  <si>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</si>
  <si>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</si>
  <si>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</si>
  <si>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</si>
  <si>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</si>
  <si>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</si>
  <si>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</si>
  <si>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</si>
  <si>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</si>
  <si>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</si>
  <si>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Payments distributed from November to August.</t>
  </si>
  <si>
    <t>2) Paid to Enercon: EUR 1,273, payments distributed from November to July     3) Additional works: EUR 38.</t>
  </si>
  <si>
    <t xml:space="preserve">   Repayment of outsanding VS loans</t>
  </si>
  <si>
    <t xml:space="preserve">   Glimstedt (legal services)</t>
  </si>
  <si>
    <t xml:space="preserve">   Hermis Finansai (financial advisers)</t>
  </si>
  <si>
    <t xml:space="preserve">   SPP lawyers (Due diligence)</t>
  </si>
  <si>
    <t xml:space="preserve">   Oberhaus (estimators required by bank)</t>
  </si>
  <si>
    <t xml:space="preserve">EUR 330 Hermis Finansai + 50 EUR Glimstedt (lawyers),+ 6 due diligence + EUR 2 (fee for the estimators who will evaluate the costs of </t>
  </si>
  <si>
    <t>infrastructure works)</t>
  </si>
  <si>
    <t>Total</t>
  </si>
  <si>
    <t>WECs</t>
  </si>
  <si>
    <t xml:space="preserve">   Turbines</t>
  </si>
  <si>
    <t xml:space="preserve">   Transportation</t>
  </si>
  <si>
    <t>Roads</t>
  </si>
  <si>
    <t>Foundation</t>
  </si>
  <si>
    <t xml:space="preserve">    Geostatyba (piling works)</t>
  </si>
  <si>
    <t xml:space="preserve">    Enercon (reinforcement)</t>
  </si>
  <si>
    <t xml:space="preserve">    Perdanga (concreting)</t>
  </si>
  <si>
    <t xml:space="preserve">    Payable to Enercon</t>
  </si>
  <si>
    <t xml:space="preserve">    Payable to Lithuanian energy (incl. tender fee)</t>
  </si>
  <si>
    <t xml:space="preserve">     Insurance</t>
  </si>
  <si>
    <t xml:space="preserve">     Security</t>
  </si>
  <si>
    <t xml:space="preserve">     Operating costs transformer station</t>
  </si>
  <si>
    <t xml:space="preserve">        Wages</t>
  </si>
  <si>
    <t xml:space="preserve">        Office rent</t>
  </si>
  <si>
    <t xml:space="preserve">        Other</t>
  </si>
  <si>
    <t xml:space="preserve">     Administration</t>
  </si>
  <si>
    <t xml:space="preserve">     Audit</t>
  </si>
  <si>
    <t>INVESTMENT COSTS</t>
  </si>
  <si>
    <t>Year 2007</t>
  </si>
  <si>
    <t xml:space="preserve">     Land lease (EUR/year 55)</t>
  </si>
  <si>
    <t>EUR 262 preparation of the project, plans, permissions etc. (that were paid by taking loans form the banks) +</t>
  </si>
  <si>
    <t xml:space="preserve">Business Plan: </t>
  </si>
  <si>
    <t xml:space="preserve"> Enercon offer. Crane hiring costs already included.</t>
  </si>
  <si>
    <t>WECs:</t>
  </si>
  <si>
    <r>
      <t xml:space="preserve"> </t>
    </r>
    <r>
      <rPr>
        <sz val="8"/>
        <rFont val="Arial"/>
        <family val="2"/>
      </rPr>
      <t>transportation costs will be included in the price of WECs. The price of the WECs will then increase by the costs of transportation.</t>
    </r>
  </si>
  <si>
    <t>Transportation:</t>
  </si>
  <si>
    <t>Crane hiring:</t>
  </si>
  <si>
    <t>These costs already included into the price of WECs</t>
  </si>
  <si>
    <t xml:space="preserve"> To be done by Kuršasta UAB and Jareda UAB. Advance payment of 30 % in November, the rest in December.</t>
  </si>
  <si>
    <t>Road construction:</t>
  </si>
  <si>
    <t xml:space="preserve"> EUR 250 to Geostatyba (piling) + EUR 480 to Enercon (reinforcement) + EUR 470 to Perdanga (concreting). </t>
  </si>
  <si>
    <t>Foundation costruction:</t>
  </si>
  <si>
    <t>No prepayment. Payments distributed from May to August.</t>
  </si>
  <si>
    <t xml:space="preserve">Cables: </t>
  </si>
  <si>
    <t>Transformer station:</t>
  </si>
  <si>
    <t xml:space="preserve"> 1) Paid to Lithuanian Energy: EUR 911 in December + EUR 911 in June = total EUR 1,822  (which makes EUR 685 x 266 %)</t>
  </si>
  <si>
    <r>
      <t xml:space="preserve"> </t>
    </r>
    <r>
      <rPr>
        <sz val="8"/>
        <rFont val="Arial"/>
        <family val="2"/>
      </rPr>
      <t>office expenses, office rent, salaries, fuel, membership fees etc. All operating expenses till January 2007</t>
    </r>
  </si>
  <si>
    <t>Working capital:</t>
  </si>
  <si>
    <t>Interest during construction:</t>
  </si>
  <si>
    <t xml:space="preserve">Up fron fee: </t>
  </si>
  <si>
    <t xml:space="preserve">Interest will be covered till December 2006. Starting from December 2006 it will be covered by income from operations. </t>
  </si>
  <si>
    <t>38,220*0.28% = 77 EUR</t>
  </si>
  <si>
    <t>INCOME</t>
  </si>
  <si>
    <t>Sales Revenue</t>
  </si>
  <si>
    <t>Sold kWh</t>
  </si>
  <si>
    <t xml:space="preserve">Enercon EPK </t>
  </si>
  <si>
    <t>Land Lease</t>
  </si>
  <si>
    <t>Insurance</t>
  </si>
  <si>
    <t>Aministration</t>
  </si>
  <si>
    <t>Audit</t>
  </si>
  <si>
    <t>Other</t>
  </si>
  <si>
    <t>Total operating expenses</t>
  </si>
  <si>
    <t>FINANCIAL EXPENSES</t>
  </si>
  <si>
    <t>OPERATING EXPENSES</t>
  </si>
  <si>
    <t>Interest payments</t>
  </si>
  <si>
    <t>Principal</t>
  </si>
  <si>
    <t>Total financial expenses</t>
  </si>
  <si>
    <t>EBITDA (with CO2 emissions)</t>
  </si>
  <si>
    <t>EBITDA (without CO2 emissions)</t>
  </si>
  <si>
    <t>Cash flow to shareholders (with CO2)</t>
  </si>
  <si>
    <t>Cash flow to shareholders (without CO2)</t>
  </si>
  <si>
    <t>Depreciation</t>
  </si>
  <si>
    <t>Taxes  (with CO2 emissions)</t>
  </si>
  <si>
    <t>Taxes  (without CO2 emissions)</t>
  </si>
  <si>
    <t>Revenue ERUs</t>
  </si>
  <si>
    <t xml:space="preserve">ERU price, EUR </t>
  </si>
  <si>
    <t>CO2 reductions, 2008-2012 tCO2</t>
  </si>
  <si>
    <t>CO2 reductions, year tCO2</t>
  </si>
  <si>
    <t>total CO2 reductions, lifetime tCO2</t>
  </si>
  <si>
    <t>revenues in 2005-2012, EUR</t>
  </si>
  <si>
    <t xml:space="preserve">Long term loan </t>
  </si>
  <si>
    <t>MWh</t>
  </si>
  <si>
    <t>tCO2</t>
  </si>
  <si>
    <t>Tangible assets</t>
  </si>
  <si>
    <t>Baseline scenario</t>
  </si>
  <si>
    <t>Lietuvos elektrine</t>
  </si>
  <si>
    <t>Rudaiciai WPP</t>
  </si>
  <si>
    <t>Project scenario</t>
  </si>
  <si>
    <t>CO2 reduction, tCO2</t>
  </si>
  <si>
    <t>IRR calculation (20 years):</t>
  </si>
  <si>
    <t>IRR (before tax), including ERUs</t>
  </si>
  <si>
    <t>Payback time (before tax), including ERUs</t>
  </si>
  <si>
    <t>IRR (before tax), without ERUs</t>
  </si>
  <si>
    <t xml:space="preserve">Payback time (before tax), without ERUs </t>
  </si>
  <si>
    <t>Average annual profit  before tax, including ERUs</t>
  </si>
  <si>
    <t xml:space="preserve">Average annual profit before tax, without ERUs </t>
  </si>
  <si>
    <r>
      <t xml:space="preserve">IRR </t>
    </r>
    <r>
      <rPr>
        <b/>
        <sz val="8"/>
        <rFont val="Arial"/>
        <family val="2"/>
      </rPr>
      <t>after tax</t>
    </r>
    <r>
      <rPr>
        <sz val="8"/>
        <rFont val="Arial"/>
        <family val="2"/>
      </rPr>
      <t xml:space="preserve">,  including ERUs </t>
    </r>
  </si>
  <si>
    <r>
      <t xml:space="preserve">IRR  </t>
    </r>
    <r>
      <rPr>
        <b/>
        <sz val="8"/>
        <rFont val="Arial"/>
        <family val="2"/>
      </rPr>
      <t>after tax</t>
    </r>
    <r>
      <rPr>
        <sz val="8"/>
        <rFont val="Arial"/>
        <family val="2"/>
      </rPr>
      <t>, without ERUs</t>
    </r>
  </si>
  <si>
    <t>Profit before tax,  including ERUs</t>
  </si>
  <si>
    <t>Profit  after tax, including ERUs</t>
  </si>
  <si>
    <t>Profit before tax, without ERUs</t>
  </si>
  <si>
    <t>Profit after  tax, without ERUs</t>
  </si>
  <si>
    <t xml:space="preserve">Forecast of power production in Lietuvos elektrine by COWI 2002 </t>
  </si>
  <si>
    <t>Baseline factor, t CO2/MWh</t>
  </si>
  <si>
    <t>Production, MWh</t>
  </si>
  <si>
    <t>Forecasted production, kWh</t>
  </si>
  <si>
    <t>Margin</t>
  </si>
  <si>
    <t>Payback time (incl ERUs)</t>
  </si>
  <si>
    <t>IRR (incl ERUs)</t>
  </si>
  <si>
    <t>ERU price, EUR</t>
  </si>
  <si>
    <t>Forecasted ERU price, EUR</t>
  </si>
  <si>
    <t>Energy Production (MWh/y)</t>
  </si>
  <si>
    <t>No correlation</t>
  </si>
  <si>
    <t>Old correlation</t>
  </si>
  <si>
    <t>New correlation</t>
  </si>
  <si>
    <t>Rudaiciai</t>
  </si>
  <si>
    <t>Kveciai</t>
  </si>
  <si>
    <t>Kiauleikiai</t>
  </si>
  <si>
    <t>ENERCON's micrositing</t>
  </si>
  <si>
    <t>difference, MWh/y</t>
  </si>
  <si>
    <t>difference, %</t>
  </si>
  <si>
    <t>Investment project</t>
  </si>
  <si>
    <t>production forecast, MWh/y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</si>
</sst>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#,##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427]yyyy\ &quot;m.&quot;\ mmmm\ d\ &quot;d.&quot;"/>
    <numFmt numFmtId="197" formatCode="_-* #,##0.0\ _L_t_-;\-* #,##0.0\ _L_t_-;_-* &quot;-&quot;?\ _L_t_-;_-@_-"/>
    <numFmt numFmtId="198" formatCode="_-* #,##0.00\ _L_t_-;\-* #,##0.00\ _L_t_-;_-* &quot;-&quot;?\ _L_t_-;_-@_-"/>
    <numFmt numFmtId="199" formatCode="#,##0.0_ ;\-#,##0.0\ "/>
    <numFmt numFmtId="200" formatCode="_-* #,##0\ _L_t_-;\-* #,##0\ _L_t_-;_-* &quot;-&quot;?\ _L_t_-;_-@_-"/>
    <numFmt numFmtId="201" formatCode="0.0%"/>
    <numFmt numFmtId="202" formatCode="0.00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 quotePrefix="1">
      <alignment horizontal="right"/>
    </xf>
    <xf numFmtId="0" fontId="4" fillId="2" borderId="3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4" fillId="2" borderId="5" xfId="0" applyFont="1" applyFill="1" applyBorder="1" applyAlignment="1">
      <alignment/>
    </xf>
    <xf numFmtId="188" fontId="4" fillId="2" borderId="5" xfId="0" applyNumberFormat="1" applyFont="1" applyFill="1" applyBorder="1" applyAlignment="1">
      <alignment horizontal="left"/>
    </xf>
    <xf numFmtId="188" fontId="4" fillId="0" borderId="5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1" fillId="0" borderId="4" xfId="0" applyNumberFormat="1" applyFont="1" applyFill="1" applyBorder="1" applyAlignment="1">
      <alignment/>
    </xf>
    <xf numFmtId="188" fontId="4" fillId="0" borderId="6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9" fillId="0" borderId="8" xfId="0" applyNumberFormat="1" applyFont="1" applyBorder="1" applyAlignment="1">
      <alignment/>
    </xf>
    <xf numFmtId="197" fontId="1" fillId="0" borderId="8" xfId="0" applyNumberFormat="1" applyFont="1" applyBorder="1" applyAlignment="1">
      <alignment/>
    </xf>
    <xf numFmtId="197" fontId="5" fillId="0" borderId="8" xfId="0" applyNumberFormat="1" applyFont="1" applyBorder="1" applyAlignment="1">
      <alignment horizontal="right"/>
    </xf>
    <xf numFmtId="197" fontId="5" fillId="0" borderId="0" xfId="0" applyNumberFormat="1" applyFont="1" applyAlignment="1">
      <alignment/>
    </xf>
    <xf numFmtId="197" fontId="5" fillId="0" borderId="8" xfId="0" applyNumberFormat="1" applyFont="1" applyBorder="1" applyAlignment="1">
      <alignment/>
    </xf>
    <xf numFmtId="197" fontId="9" fillId="0" borderId="0" xfId="0" applyNumberFormat="1" applyFont="1" applyAlignment="1">
      <alignment/>
    </xf>
    <xf numFmtId="197" fontId="4" fillId="0" borderId="8" xfId="0" applyNumberFormat="1" applyFont="1" applyBorder="1" applyAlignment="1">
      <alignment/>
    </xf>
    <xf numFmtId="197" fontId="5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1" fillId="0" borderId="0" xfId="0" applyNumberFormat="1" applyFont="1" applyBorder="1" applyAlignment="1">
      <alignment/>
    </xf>
    <xf numFmtId="197" fontId="4" fillId="0" borderId="0" xfId="0" applyNumberFormat="1" applyFont="1" applyBorder="1" applyAlignment="1">
      <alignment/>
    </xf>
    <xf numFmtId="197" fontId="1" fillId="3" borderId="0" xfId="0" applyNumberFormat="1" applyFont="1" applyFill="1" applyAlignment="1">
      <alignment/>
    </xf>
    <xf numFmtId="197" fontId="1" fillId="0" borderId="0" xfId="0" applyNumberFormat="1" applyFont="1" applyAlignment="1">
      <alignment horizontal="right"/>
    </xf>
    <xf numFmtId="197" fontId="1" fillId="0" borderId="0" xfId="0" applyNumberFormat="1" applyFont="1" applyAlignment="1">
      <alignment/>
    </xf>
    <xf numFmtId="197" fontId="1" fillId="0" borderId="0" xfId="0" applyNumberFormat="1" applyFont="1" applyBorder="1" applyAlignment="1">
      <alignment/>
    </xf>
    <xf numFmtId="197" fontId="1" fillId="0" borderId="8" xfId="0" applyNumberFormat="1" applyFont="1" applyBorder="1" applyAlignment="1">
      <alignment/>
    </xf>
    <xf numFmtId="197" fontId="9" fillId="0" borderId="0" xfId="0" applyNumberFormat="1" applyFont="1" applyAlignment="1">
      <alignment/>
    </xf>
    <xf numFmtId="197" fontId="5" fillId="0" borderId="9" xfId="0" applyNumberFormat="1" applyFont="1" applyBorder="1" applyAlignment="1">
      <alignment/>
    </xf>
    <xf numFmtId="197" fontId="4" fillId="0" borderId="9" xfId="0" applyNumberFormat="1" applyFont="1" applyBorder="1" applyAlignment="1">
      <alignment/>
    </xf>
    <xf numFmtId="197" fontId="5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1" fontId="10" fillId="0" borderId="8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20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10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Font="1" applyAlignment="1">
      <alignment/>
    </xf>
    <xf numFmtId="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13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9" fontId="13" fillId="0" borderId="0" xfId="0" applyNumberFormat="1" applyFont="1" applyAlignment="1">
      <alignment wrapText="1"/>
    </xf>
    <xf numFmtId="3" fontId="1" fillId="3" borderId="0" xfId="0" applyNumberFormat="1" applyFont="1" applyFill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05"/>
          <c:w val="0.90075"/>
          <c:h val="0.88725"/>
        </c:manualLayout>
      </c:layout>
      <c:lineChart>
        <c:grouping val="standard"/>
        <c:varyColors val="0"/>
        <c:ser>
          <c:idx val="1"/>
          <c:order val="0"/>
          <c:tx>
            <c:strRef>
              <c:f>'[1]Sheet1'!$A$7</c:f>
              <c:strCache>
                <c:ptCount val="1"/>
                <c:pt idx="0">
                  <c:v>IRR (incl ERUs)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'[1]Sheet1'!$C$6:$I$6</c:f>
              <c:numCache>
                <c:ptCount val="7"/>
                <c:pt idx="0">
                  <c:v>64989320</c:v>
                </c:pt>
                <c:pt idx="1">
                  <c:v>67943380</c:v>
                </c:pt>
                <c:pt idx="2">
                  <c:v>70897440</c:v>
                </c:pt>
                <c:pt idx="3">
                  <c:v>73851500</c:v>
                </c:pt>
                <c:pt idx="4">
                  <c:v>76805560</c:v>
                </c:pt>
                <c:pt idx="5">
                  <c:v>79759620</c:v>
                </c:pt>
                <c:pt idx="6">
                  <c:v>82713680</c:v>
                </c:pt>
              </c:numCache>
            </c:numRef>
          </c:cat>
          <c:val>
            <c:numRef>
              <c:f>'[1]Sheet1'!$B$7:$I$7</c:f>
              <c:numCache>
                <c:ptCount val="8"/>
                <c:pt idx="1">
                  <c:v>0.0763093046395267</c:v>
                </c:pt>
                <c:pt idx="2">
                  <c:v>0.08402657337699607</c:v>
                </c:pt>
                <c:pt idx="3">
                  <c:v>0.09156857313880194</c:v>
                </c:pt>
                <c:pt idx="4">
                  <c:v>0.0989556284848993</c:v>
                </c:pt>
                <c:pt idx="5">
                  <c:v>0.10620505241104551</c:v>
                </c:pt>
                <c:pt idx="6">
                  <c:v>0.11333170488774746</c:v>
                </c:pt>
                <c:pt idx="7">
                  <c:v>0.1203484267115269</c:v>
                </c:pt>
              </c:numCache>
            </c:numRef>
          </c:val>
          <c:smooth val="0"/>
        </c:ser>
        <c:marker val="1"/>
        <c:axId val="59885830"/>
        <c:axId val="2101559"/>
      </c:lineChart>
      <c:lineChart>
        <c:grouping val="standard"/>
        <c:varyColors val="0"/>
        <c:ser>
          <c:idx val="0"/>
          <c:order val="1"/>
          <c:tx>
            <c:strRef>
              <c:f>'[1]Sheet1'!$A$8</c:f>
              <c:strCache>
                <c:ptCount val="1"/>
                <c:pt idx="0">
                  <c:v>Payback time (incl ERUs)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'[1]Sheet1'!$B$8:$I$8</c:f>
              <c:numCache>
                <c:ptCount val="8"/>
                <c:pt idx="1">
                  <c:v>10.586042275923758</c:v>
                </c:pt>
                <c:pt idx="2">
                  <c:v>9.992689047400644</c:v>
                </c:pt>
                <c:pt idx="3">
                  <c:v>9.462320987200586</c:v>
                </c:pt>
                <c:pt idx="4">
                  <c:v>8.985414630458777</c:v>
                </c:pt>
                <c:pt idx="5">
                  <c:v>8.554274340883016</c:v>
                </c:pt>
                <c:pt idx="6">
                  <c:v>8.16261387187305</c:v>
                </c:pt>
                <c:pt idx="7">
                  <c:v>7.805247845253939</c:v>
                </c:pt>
              </c:numCache>
            </c:numRef>
          </c:val>
          <c:smooth val="0"/>
        </c:ser>
        <c:marker val="1"/>
        <c:axId val="18914032"/>
        <c:axId val="36008561"/>
      </c:lineChart>
      <c:cat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Production,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 val="autoZero"/>
        <c:auto val="0"/>
        <c:lblOffset val="100"/>
        <c:tickLblSkip val="1"/>
        <c:noMultiLvlLbl val="0"/>
      </c:cat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59885830"/>
        <c:crossesAt val="1"/>
        <c:crossBetween val="between"/>
        <c:dispUnits/>
      </c:valAx>
      <c:catAx>
        <c:axId val="18914032"/>
        <c:scaling>
          <c:orientation val="minMax"/>
        </c:scaling>
        <c:axPos val="b"/>
        <c:delete val="1"/>
        <c:majorTickMark val="in"/>
        <c:minorTickMark val="none"/>
        <c:tickLblPos val="nextTo"/>
        <c:crossAx val="36008561"/>
        <c:crosses val="autoZero"/>
        <c:auto val="0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140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8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315"/>
          <c:w val="0.845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'[1]Sheet1'!$A$13</c:f>
              <c:strCache>
                <c:ptCount val="1"/>
                <c:pt idx="0">
                  <c:v>IRR (incl ERUs)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'[1]Sheet1'!$C$12:$I$12</c:f>
              <c:numCache>
                <c:ptCount val="7"/>
                <c:pt idx="0">
                  <c:v>4.2</c:v>
                </c:pt>
                <c:pt idx="1">
                  <c:v>4.8</c:v>
                </c:pt>
                <c:pt idx="2">
                  <c:v>5.4</c:v>
                </c:pt>
                <c:pt idx="3">
                  <c:v>6</c:v>
                </c:pt>
                <c:pt idx="4">
                  <c:v>6.6</c:v>
                </c:pt>
                <c:pt idx="5">
                  <c:v>7.2</c:v>
                </c:pt>
                <c:pt idx="6">
                  <c:v>7.8</c:v>
                </c:pt>
              </c:numCache>
            </c:numRef>
          </c:cat>
          <c:val>
            <c:numRef>
              <c:f>'[1]Sheet1'!$B$13:$I$13</c:f>
              <c:numCache>
                <c:ptCount val="8"/>
                <c:pt idx="1">
                  <c:v>0.09770450859478154</c:v>
                </c:pt>
                <c:pt idx="2">
                  <c:v>0.09812077249685773</c:v>
                </c:pt>
                <c:pt idx="3">
                  <c:v>0.09853781267743893</c:v>
                </c:pt>
                <c:pt idx="4">
                  <c:v>0.0989556284848993</c:v>
                </c:pt>
                <c:pt idx="5">
                  <c:v>0.09937421924461814</c:v>
                </c:pt>
                <c:pt idx="6">
                  <c:v>0.09979358425891906</c:v>
                </c:pt>
                <c:pt idx="7">
                  <c:v>0.10021372280701256</c:v>
                </c:pt>
              </c:numCache>
            </c:numRef>
          </c:val>
          <c:smooth val="0"/>
        </c:ser>
        <c:marker val="1"/>
        <c:axId val="55641594"/>
        <c:axId val="31012299"/>
      </c:lineChart>
      <c:lineChart>
        <c:grouping val="standard"/>
        <c:varyColors val="0"/>
        <c:ser>
          <c:idx val="0"/>
          <c:order val="1"/>
          <c:tx>
            <c:strRef>
              <c:f>'[1]Sheet1'!$A$14</c:f>
              <c:strCache>
                <c:ptCount val="1"/>
                <c:pt idx="0">
                  <c:v>Payback time (incl ERUs)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'[1]Sheet1'!$B$14:$I$14</c:f>
              <c:numCache>
                <c:ptCount val="8"/>
                <c:pt idx="1">
                  <c:v>9.032673971834091</c:v>
                </c:pt>
                <c:pt idx="2">
                  <c:v>9.016865718397955</c:v>
                </c:pt>
                <c:pt idx="3">
                  <c:v>9.001112700938524</c:v>
                </c:pt>
                <c:pt idx="4">
                  <c:v>8.985414630458777</c:v>
                </c:pt>
                <c:pt idx="5">
                  <c:v>8.969771219974238</c:v>
                </c:pt>
                <c:pt idx="6">
                  <c:v>8.954182184495497</c:v>
                </c:pt>
                <c:pt idx="7">
                  <c:v>8.938647241010901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55641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ERU price, 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12299"/>
        <c:crosses val="autoZero"/>
        <c:auto val="0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in"/>
        <c:minorTickMark val="none"/>
        <c:tickLblPos val="nextTo"/>
        <c:crossAx val="55641594"/>
        <c:crossesAt val="1"/>
        <c:crossBetween val="between"/>
        <c:dispUnits/>
      </c:valAx>
      <c:catAx>
        <c:axId val="10675236"/>
        <c:scaling>
          <c:orientation val="minMax"/>
        </c:scaling>
        <c:axPos val="b"/>
        <c:delete val="1"/>
        <c:majorTickMark val="in"/>
        <c:minorTickMark val="none"/>
        <c:tickLblPos val="nextTo"/>
        <c:crossAx val="28968261"/>
        <c:crosses val="autoZero"/>
        <c:auto val="0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752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8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10</xdr:col>
      <xdr:colOff>209550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2562225" y="2590800"/>
        <a:ext cx="6019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10</xdr:col>
      <xdr:colOff>257175</xdr:colOff>
      <xdr:row>58</xdr:row>
      <xdr:rowOff>47625</xdr:rowOff>
    </xdr:to>
    <xdr:graphicFrame>
      <xdr:nvGraphicFramePr>
        <xdr:cNvPr id="2" name="Chart 3"/>
        <xdr:cNvGraphicFramePr/>
      </xdr:nvGraphicFramePr>
      <xdr:xfrm>
        <a:off x="2562225" y="6315075"/>
        <a:ext cx="60674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idotas\Local%20Settings\Temporary%20Internet%20Files\OLK418\Copy%20of%20Rudaiciai_sensitivity_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64989320</v>
          </cell>
          <cell r="D6">
            <v>67943380</v>
          </cell>
          <cell r="E6">
            <v>70897440</v>
          </cell>
          <cell r="F6">
            <v>73851500</v>
          </cell>
          <cell r="G6">
            <v>76805560</v>
          </cell>
          <cell r="H6">
            <v>79759620</v>
          </cell>
          <cell r="I6">
            <v>82713680</v>
          </cell>
        </row>
        <row r="7">
          <cell r="A7" t="str">
            <v>IRR (incl ERUs)</v>
          </cell>
          <cell r="C7">
            <v>0.0763093046395267</v>
          </cell>
          <cell r="D7">
            <v>0.08402657337699607</v>
          </cell>
          <cell r="E7">
            <v>0.09156857313880194</v>
          </cell>
          <cell r="F7">
            <v>0.0989556284848993</v>
          </cell>
          <cell r="G7">
            <v>0.10620505241104551</v>
          </cell>
          <cell r="H7">
            <v>0.11333170488774746</v>
          </cell>
          <cell r="I7">
            <v>0.1203484267115269</v>
          </cell>
        </row>
        <row r="8">
          <cell r="A8" t="str">
            <v>Payback time (incl ERUs)</v>
          </cell>
          <cell r="C8">
            <v>10.586042275923758</v>
          </cell>
          <cell r="D8">
            <v>9.992689047400644</v>
          </cell>
          <cell r="E8">
            <v>9.462320987200586</v>
          </cell>
          <cell r="F8">
            <v>8.985414630458777</v>
          </cell>
          <cell r="G8">
            <v>8.554274340883016</v>
          </cell>
          <cell r="H8">
            <v>8.16261387187305</v>
          </cell>
          <cell r="I8">
            <v>7.805247845253939</v>
          </cell>
        </row>
        <row r="12">
          <cell r="C12">
            <v>4.2</v>
          </cell>
          <cell r="D12">
            <v>4.8</v>
          </cell>
          <cell r="E12">
            <v>5.4</v>
          </cell>
          <cell r="F12">
            <v>6</v>
          </cell>
          <cell r="G12">
            <v>6.6</v>
          </cell>
          <cell r="H12">
            <v>7.2</v>
          </cell>
          <cell r="I12">
            <v>7.8</v>
          </cell>
        </row>
        <row r="13">
          <cell r="A13" t="str">
            <v>IRR (incl ERUs)</v>
          </cell>
          <cell r="C13">
            <v>0.09770450859478154</v>
          </cell>
          <cell r="D13">
            <v>0.09812077249685773</v>
          </cell>
          <cell r="E13">
            <v>0.09853781267743893</v>
          </cell>
          <cell r="F13">
            <v>0.0989556284848993</v>
          </cell>
          <cell r="G13">
            <v>0.09937421924461814</v>
          </cell>
          <cell r="H13">
            <v>0.09979358425891906</v>
          </cell>
          <cell r="I13">
            <v>0.10021372280701256</v>
          </cell>
        </row>
        <row r="14">
          <cell r="A14" t="str">
            <v>Payback time (incl ERUs)</v>
          </cell>
          <cell r="C14">
            <v>9.032673971834091</v>
          </cell>
          <cell r="D14">
            <v>9.016865718397955</v>
          </cell>
          <cell r="E14">
            <v>9.001112700938524</v>
          </cell>
          <cell r="F14">
            <v>8.985414630458777</v>
          </cell>
          <cell r="G14">
            <v>8.969771219974238</v>
          </cell>
          <cell r="H14">
            <v>8.954182184495497</v>
          </cell>
          <cell r="I14">
            <v>8.938647241010901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0"/>
  <sheetViews>
    <sheetView view="pageBreakPreview" zoomScaleSheetLayoutView="100" workbookViewId="0" topLeftCell="A41">
      <selection activeCell="C66" sqref="C66"/>
    </sheetView>
  </sheetViews>
  <sheetFormatPr defaultColWidth="9.140625" defaultRowHeight="12.75"/>
  <cols>
    <col min="1" max="1" width="26.8515625" style="1" customWidth="1"/>
    <col min="2" max="2" width="20.28125" style="1" customWidth="1"/>
    <col min="3" max="3" width="19.8515625" style="1" customWidth="1"/>
    <col min="4" max="4" width="28.7109375" style="1" customWidth="1"/>
    <col min="5" max="5" width="19.57421875" style="1" customWidth="1"/>
    <col min="6" max="6" width="38.28125" style="1" customWidth="1"/>
    <col min="7" max="7" width="21.00390625" style="1" customWidth="1"/>
    <col min="8" max="8" width="24.57421875" style="1" customWidth="1"/>
    <col min="9" max="9" width="15.140625" style="1" customWidth="1"/>
    <col min="10" max="10" width="19.57421875" style="1" customWidth="1"/>
    <col min="11" max="11" width="12.140625" style="1" customWidth="1"/>
    <col min="12" max="12" width="17.140625" style="1" customWidth="1"/>
    <col min="13" max="16384" width="9.140625" style="1" customWidth="1"/>
  </cols>
  <sheetData>
    <row r="1" ht="12" thickBot="1"/>
    <row r="2" spans="1:2" ht="12" thickBot="1">
      <c r="A2" s="4" t="s">
        <v>12</v>
      </c>
      <c r="B2" s="5" t="s">
        <v>13</v>
      </c>
    </row>
    <row r="3" spans="1:2" ht="11.25">
      <c r="A3" s="6" t="s">
        <v>8</v>
      </c>
      <c r="B3" s="7">
        <v>650</v>
      </c>
    </row>
    <row r="4" spans="1:2" ht="11.25">
      <c r="A4" s="8" t="s">
        <v>0</v>
      </c>
      <c r="B4" s="7">
        <v>25550</v>
      </c>
    </row>
    <row r="5" spans="1:2" ht="11.25">
      <c r="A5" s="9" t="s">
        <v>1</v>
      </c>
      <c r="B5" s="7">
        <v>1600</v>
      </c>
    </row>
    <row r="6" spans="1:2" ht="11.25">
      <c r="A6" s="9" t="s">
        <v>2</v>
      </c>
      <c r="B6" s="7">
        <v>0</v>
      </c>
    </row>
    <row r="7" spans="1:2" ht="11.25">
      <c r="A7" s="9" t="s">
        <v>3</v>
      </c>
      <c r="B7" s="7">
        <v>425</v>
      </c>
    </row>
    <row r="8" spans="1:2" ht="11.25">
      <c r="A8" s="9" t="s">
        <v>4</v>
      </c>
      <c r="B8" s="7">
        <v>1200</v>
      </c>
    </row>
    <row r="9" spans="1:2" ht="11.25">
      <c r="A9" s="9" t="s">
        <v>5</v>
      </c>
      <c r="B9" s="7">
        <v>482</v>
      </c>
    </row>
    <row r="10" spans="1:2" ht="11.25">
      <c r="A10" s="9" t="s">
        <v>6</v>
      </c>
      <c r="B10" s="7">
        <v>3133</v>
      </c>
    </row>
    <row r="11" spans="1:2" ht="11.25">
      <c r="A11" s="10" t="s">
        <v>7</v>
      </c>
      <c r="B11" s="12">
        <v>288</v>
      </c>
    </row>
    <row r="12" spans="1:2" ht="11.25">
      <c r="A12" s="10" t="s">
        <v>9</v>
      </c>
      <c r="B12" s="12">
        <v>622</v>
      </c>
    </row>
    <row r="13" spans="1:2" ht="12" thickBot="1">
      <c r="A13" s="13" t="s">
        <v>10</v>
      </c>
      <c r="B13" s="14">
        <v>77</v>
      </c>
    </row>
    <row r="14" spans="1:2" ht="12" thickBot="1">
      <c r="A14" s="55" t="s">
        <v>28</v>
      </c>
      <c r="B14" s="56">
        <f>SUM(B3:B13)</f>
        <v>34027</v>
      </c>
    </row>
    <row r="15" ht="11.25">
      <c r="B15" s="11"/>
    </row>
    <row r="16" spans="1:2" ht="11.25">
      <c r="A16" s="1" t="s">
        <v>110</v>
      </c>
      <c r="B16" s="42">
        <v>27039.172</v>
      </c>
    </row>
    <row r="17" spans="1:2" ht="11.25">
      <c r="A17" s="1" t="s">
        <v>113</v>
      </c>
      <c r="B17" s="42">
        <f>(B4+B5+B7+B8+B9)</f>
        <v>29257</v>
      </c>
    </row>
    <row r="18" ht="11.25">
      <c r="B18" s="11"/>
    </row>
    <row r="20" ht="11.25">
      <c r="A20" s="2" t="s">
        <v>61</v>
      </c>
    </row>
    <row r="21" ht="11.25">
      <c r="A21" s="1" t="s">
        <v>60</v>
      </c>
    </row>
    <row r="22" ht="11.25">
      <c r="A22" s="16" t="s">
        <v>36</v>
      </c>
    </row>
    <row r="23" ht="11.25">
      <c r="A23" s="16" t="s">
        <v>37</v>
      </c>
    </row>
    <row r="24" ht="11.25">
      <c r="A24" s="2"/>
    </row>
    <row r="25" ht="11.25">
      <c r="A25" s="2" t="s">
        <v>63</v>
      </c>
    </row>
    <row r="26" ht="11.25">
      <c r="A26" s="1" t="s">
        <v>62</v>
      </c>
    </row>
    <row r="27" ht="11.25">
      <c r="A27" s="2"/>
    </row>
    <row r="28" ht="11.25">
      <c r="A28" s="2" t="s">
        <v>65</v>
      </c>
    </row>
    <row r="29" ht="11.25">
      <c r="A29" s="2" t="s">
        <v>64</v>
      </c>
    </row>
    <row r="30" ht="11.25">
      <c r="A30" s="2"/>
    </row>
    <row r="31" ht="11.25">
      <c r="A31" s="2" t="s">
        <v>66</v>
      </c>
    </row>
    <row r="32" ht="11.25">
      <c r="A32" s="1" t="s">
        <v>67</v>
      </c>
    </row>
    <row r="33" ht="11.25">
      <c r="A33" s="2"/>
    </row>
    <row r="34" ht="11.25">
      <c r="A34" s="2" t="s">
        <v>69</v>
      </c>
    </row>
    <row r="35" ht="11.25">
      <c r="A35" s="1" t="s">
        <v>68</v>
      </c>
    </row>
    <row r="36" ht="11.25">
      <c r="A36" s="2"/>
    </row>
    <row r="37" ht="11.25">
      <c r="A37" s="2" t="s">
        <v>71</v>
      </c>
    </row>
    <row r="38" ht="11.25">
      <c r="A38" s="1" t="s">
        <v>70</v>
      </c>
    </row>
    <row r="39" ht="11.25">
      <c r="A39" s="16" t="s">
        <v>29</v>
      </c>
    </row>
    <row r="40" ht="11.25">
      <c r="A40" s="2"/>
    </row>
    <row r="41" ht="11.25">
      <c r="A41" s="2" t="s">
        <v>73</v>
      </c>
    </row>
    <row r="42" ht="11.25">
      <c r="A42" s="1" t="s">
        <v>72</v>
      </c>
    </row>
    <row r="43" ht="11.25">
      <c r="A43" s="2"/>
    </row>
    <row r="44" ht="11.25">
      <c r="A44" s="2" t="s">
        <v>74</v>
      </c>
    </row>
    <row r="45" ht="11.25">
      <c r="A45" s="16" t="s">
        <v>75</v>
      </c>
    </row>
    <row r="46" ht="11.25">
      <c r="A46" s="1" t="s">
        <v>30</v>
      </c>
    </row>
    <row r="48" ht="11.25">
      <c r="A48" s="2" t="s">
        <v>77</v>
      </c>
    </row>
    <row r="49" spans="1:2" ht="11.25">
      <c r="A49" s="2" t="s">
        <v>76</v>
      </c>
      <c r="B49" s="15"/>
    </row>
    <row r="50" ht="11.25">
      <c r="A50" s="2"/>
    </row>
    <row r="51" ht="11.25">
      <c r="A51" s="2" t="s">
        <v>78</v>
      </c>
    </row>
    <row r="52" ht="11.25">
      <c r="A52" s="16" t="s">
        <v>80</v>
      </c>
    </row>
    <row r="53" spans="2:3" ht="11.25">
      <c r="B53" s="3"/>
      <c r="C53" s="3"/>
    </row>
    <row r="54" spans="1:3" ht="11.25">
      <c r="A54" s="2" t="s">
        <v>79</v>
      </c>
      <c r="B54" s="3"/>
      <c r="C54" s="3"/>
    </row>
    <row r="55" spans="1:3" ht="11.25">
      <c r="A55" s="1" t="s">
        <v>81</v>
      </c>
      <c r="B55" s="3"/>
      <c r="C55" s="3"/>
    </row>
    <row r="56" spans="2:3" ht="11.25">
      <c r="B56" s="3"/>
      <c r="C56" s="3"/>
    </row>
    <row r="57" spans="2:3" ht="11.25">
      <c r="B57" s="3"/>
      <c r="C57" s="3"/>
    </row>
    <row r="58" spans="2:3" ht="11.25">
      <c r="B58" s="3"/>
      <c r="C58" s="3"/>
    </row>
    <row r="59" spans="2:3" ht="11.25">
      <c r="B59" s="3"/>
      <c r="C59" s="3"/>
    </row>
    <row r="60" spans="2:3" ht="11.25">
      <c r="B60" s="3"/>
      <c r="C60" s="3"/>
    </row>
  </sheetData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X69"/>
  <sheetViews>
    <sheetView tabSelected="1" workbookViewId="0" topLeftCell="A1">
      <selection activeCell="C2" sqref="C2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11.421875" style="1" customWidth="1"/>
    <col min="4" max="14" width="9.140625" style="1" customWidth="1"/>
    <col min="15" max="15" width="9.28125" style="1" bestFit="1" customWidth="1"/>
    <col min="16" max="16384" width="9.140625" style="1" customWidth="1"/>
  </cols>
  <sheetData>
    <row r="1" ht="11.25"/>
    <row r="2" ht="11.25"/>
    <row r="3" ht="11.25"/>
    <row r="4" ht="11.25"/>
    <row r="5" spans="1:23" ht="11.25">
      <c r="A5" s="41" t="s">
        <v>82</v>
      </c>
      <c r="B5" s="41">
        <v>2006</v>
      </c>
      <c r="C5" s="41">
        <v>2007</v>
      </c>
      <c r="D5" s="41">
        <f>C5+1</f>
        <v>2008</v>
      </c>
      <c r="E5" s="41">
        <f aca="true" t="shared" si="0" ref="E5:W5">D5+1</f>
        <v>2009</v>
      </c>
      <c r="F5" s="41">
        <f t="shared" si="0"/>
        <v>2010</v>
      </c>
      <c r="G5" s="41">
        <f t="shared" si="0"/>
        <v>2011</v>
      </c>
      <c r="H5" s="41">
        <f t="shared" si="0"/>
        <v>2012</v>
      </c>
      <c r="I5" s="41">
        <f t="shared" si="0"/>
        <v>2013</v>
      </c>
      <c r="J5" s="41">
        <f t="shared" si="0"/>
        <v>2014</v>
      </c>
      <c r="K5" s="41">
        <f t="shared" si="0"/>
        <v>2015</v>
      </c>
      <c r="L5" s="41">
        <f t="shared" si="0"/>
        <v>2016</v>
      </c>
      <c r="M5" s="41">
        <f t="shared" si="0"/>
        <v>2017</v>
      </c>
      <c r="N5" s="41">
        <f t="shared" si="0"/>
        <v>2018</v>
      </c>
      <c r="O5" s="41">
        <f t="shared" si="0"/>
        <v>2019</v>
      </c>
      <c r="P5" s="41">
        <f t="shared" si="0"/>
        <v>2020</v>
      </c>
      <c r="Q5" s="41">
        <f t="shared" si="0"/>
        <v>2021</v>
      </c>
      <c r="R5" s="41">
        <f t="shared" si="0"/>
        <v>2022</v>
      </c>
      <c r="S5" s="41">
        <f t="shared" si="0"/>
        <v>2023</v>
      </c>
      <c r="T5" s="41">
        <f t="shared" si="0"/>
        <v>2024</v>
      </c>
      <c r="U5" s="41">
        <f t="shared" si="0"/>
        <v>2025</v>
      </c>
      <c r="V5" s="41">
        <f t="shared" si="0"/>
        <v>2026</v>
      </c>
      <c r="W5" s="41">
        <f t="shared" si="0"/>
        <v>2027</v>
      </c>
    </row>
    <row r="6" spans="1:23" ht="11.25">
      <c r="A6" s="1" t="s">
        <v>84</v>
      </c>
      <c r="C6" s="42">
        <v>73852000</v>
      </c>
      <c r="D6" s="42">
        <f>C6</f>
        <v>73852000</v>
      </c>
      <c r="E6" s="42">
        <f>D6</f>
        <v>73852000</v>
      </c>
      <c r="F6" s="42">
        <f aca="true" t="shared" si="1" ref="F6:W6">E6</f>
        <v>73852000</v>
      </c>
      <c r="G6" s="42">
        <f t="shared" si="1"/>
        <v>73852000</v>
      </c>
      <c r="H6" s="42">
        <f t="shared" si="1"/>
        <v>73852000</v>
      </c>
      <c r="I6" s="42">
        <f t="shared" si="1"/>
        <v>73852000</v>
      </c>
      <c r="J6" s="42">
        <f t="shared" si="1"/>
        <v>73852000</v>
      </c>
      <c r="K6" s="42">
        <f t="shared" si="1"/>
        <v>73852000</v>
      </c>
      <c r="L6" s="42">
        <f t="shared" si="1"/>
        <v>73852000</v>
      </c>
      <c r="M6" s="42">
        <f t="shared" si="1"/>
        <v>73852000</v>
      </c>
      <c r="N6" s="42">
        <f t="shared" si="1"/>
        <v>73852000</v>
      </c>
      <c r="O6" s="42">
        <f t="shared" si="1"/>
        <v>73852000</v>
      </c>
      <c r="P6" s="42">
        <f t="shared" si="1"/>
        <v>73852000</v>
      </c>
      <c r="Q6" s="42">
        <f t="shared" si="1"/>
        <v>73852000</v>
      </c>
      <c r="R6" s="42">
        <f t="shared" si="1"/>
        <v>73852000</v>
      </c>
      <c r="S6" s="42">
        <f t="shared" si="1"/>
        <v>73852000</v>
      </c>
      <c r="T6" s="42">
        <f t="shared" si="1"/>
        <v>73852000</v>
      </c>
      <c r="U6" s="42">
        <f t="shared" si="1"/>
        <v>73852000</v>
      </c>
      <c r="V6" s="42">
        <f t="shared" si="1"/>
        <v>73852000</v>
      </c>
      <c r="W6" s="42">
        <f t="shared" si="1"/>
        <v>73852000</v>
      </c>
    </row>
    <row r="7" spans="1:23" ht="11.25">
      <c r="A7" s="1" t="s">
        <v>83</v>
      </c>
      <c r="C7" s="42">
        <f>0.063716*C6</f>
        <v>4705554.032</v>
      </c>
      <c r="D7" s="42">
        <f aca="true" t="shared" si="2" ref="D7:L7">0.063716*D6</f>
        <v>4705554.032</v>
      </c>
      <c r="E7" s="42">
        <f t="shared" si="2"/>
        <v>4705554.032</v>
      </c>
      <c r="F7" s="42">
        <f t="shared" si="2"/>
        <v>4705554.032</v>
      </c>
      <c r="G7" s="42">
        <f t="shared" si="2"/>
        <v>4705554.032</v>
      </c>
      <c r="H7" s="42">
        <f t="shared" si="2"/>
        <v>4705554.032</v>
      </c>
      <c r="I7" s="42">
        <f t="shared" si="2"/>
        <v>4705554.032</v>
      </c>
      <c r="J7" s="42">
        <f t="shared" si="2"/>
        <v>4705554.032</v>
      </c>
      <c r="K7" s="42">
        <f t="shared" si="2"/>
        <v>4705554.032</v>
      </c>
      <c r="L7" s="42">
        <f t="shared" si="2"/>
        <v>4705554.032</v>
      </c>
      <c r="M7" s="42">
        <f>0.063716*M6</f>
        <v>4705554.032</v>
      </c>
      <c r="N7" s="42">
        <f>0.063716*N6</f>
        <v>4705554.032</v>
      </c>
      <c r="O7" s="42">
        <f aca="true" t="shared" si="3" ref="O7:W7">0.063716*O6</f>
        <v>4705554.032</v>
      </c>
      <c r="P7" s="42">
        <f t="shared" si="3"/>
        <v>4705554.032</v>
      </c>
      <c r="Q7" s="42">
        <f t="shared" si="3"/>
        <v>4705554.032</v>
      </c>
      <c r="R7" s="42">
        <f t="shared" si="3"/>
        <v>4705554.032</v>
      </c>
      <c r="S7" s="42">
        <f t="shared" si="3"/>
        <v>4705554.032</v>
      </c>
      <c r="T7" s="42">
        <f t="shared" si="3"/>
        <v>4705554.032</v>
      </c>
      <c r="U7" s="42">
        <f t="shared" si="3"/>
        <v>4705554.032</v>
      </c>
      <c r="V7" s="42">
        <f t="shared" si="3"/>
        <v>4705554.032</v>
      </c>
      <c r="W7" s="42">
        <f t="shared" si="3"/>
        <v>4705554.032</v>
      </c>
    </row>
    <row r="8" spans="1:23" ht="11.25">
      <c r="A8" s="50" t="s">
        <v>104</v>
      </c>
      <c r="B8" s="50"/>
      <c r="C8" s="50">
        <v>0</v>
      </c>
      <c r="D8" s="51">
        <f>$B$56*$B$61</f>
        <v>277388.11199999996</v>
      </c>
      <c r="E8" s="51">
        <f>$B$56*$B$61</f>
        <v>277388.11199999996</v>
      </c>
      <c r="F8" s="51">
        <f>$B$56*$B$61</f>
        <v>277388.11199999996</v>
      </c>
      <c r="G8" s="51">
        <f>$B$56*$B$61</f>
        <v>277388.11199999996</v>
      </c>
      <c r="H8" s="51">
        <f>$B$56*$B$61</f>
        <v>277388.11199999996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</row>
    <row r="9" spans="1:23" ht="11.25">
      <c r="A9" s="40" t="s">
        <v>38</v>
      </c>
      <c r="B9" s="40"/>
      <c r="C9" s="11">
        <f aca="true" t="shared" si="4" ref="C9:N9">C7+C8</f>
        <v>4705554.032</v>
      </c>
      <c r="D9" s="11">
        <f t="shared" si="4"/>
        <v>4982942.143999999</v>
      </c>
      <c r="E9" s="11">
        <f t="shared" si="4"/>
        <v>4982942.143999999</v>
      </c>
      <c r="F9" s="11">
        <f t="shared" si="4"/>
        <v>4982942.143999999</v>
      </c>
      <c r="G9" s="11">
        <f t="shared" si="4"/>
        <v>4982942.143999999</v>
      </c>
      <c r="H9" s="11">
        <f t="shared" si="4"/>
        <v>4982942.143999999</v>
      </c>
      <c r="I9" s="11">
        <f t="shared" si="4"/>
        <v>4705554.032</v>
      </c>
      <c r="J9" s="11">
        <f t="shared" si="4"/>
        <v>4705554.032</v>
      </c>
      <c r="K9" s="11">
        <f t="shared" si="4"/>
        <v>4705554.032</v>
      </c>
      <c r="L9" s="11">
        <f t="shared" si="4"/>
        <v>4705554.032</v>
      </c>
      <c r="M9" s="11">
        <f t="shared" si="4"/>
        <v>4705554.032</v>
      </c>
      <c r="N9" s="11">
        <f t="shared" si="4"/>
        <v>4705554.032</v>
      </c>
      <c r="O9" s="11">
        <f aca="true" t="shared" si="5" ref="O9:W9">O7+O8</f>
        <v>4705554.032</v>
      </c>
      <c r="P9" s="11">
        <f t="shared" si="5"/>
        <v>4705554.032</v>
      </c>
      <c r="Q9" s="11">
        <f t="shared" si="5"/>
        <v>4705554.032</v>
      </c>
      <c r="R9" s="11">
        <f t="shared" si="5"/>
        <v>4705554.032</v>
      </c>
      <c r="S9" s="11">
        <f t="shared" si="5"/>
        <v>4705554.032</v>
      </c>
      <c r="T9" s="11">
        <f t="shared" si="5"/>
        <v>4705554.032</v>
      </c>
      <c r="U9" s="11">
        <f t="shared" si="5"/>
        <v>4705554.032</v>
      </c>
      <c r="V9" s="11">
        <f t="shared" si="5"/>
        <v>4705554.032</v>
      </c>
      <c r="W9" s="11">
        <f t="shared" si="5"/>
        <v>4705554.032</v>
      </c>
    </row>
    <row r="10" ht="11.25"/>
    <row r="11" spans="1:14" ht="11.25">
      <c r="A11" s="41" t="s">
        <v>93</v>
      </c>
      <c r="B11" s="4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23" ht="11.25">
      <c r="A12" s="1" t="s">
        <v>85</v>
      </c>
      <c r="C12" s="42">
        <v>0</v>
      </c>
      <c r="D12" s="42">
        <v>0</v>
      </c>
      <c r="E12" s="42">
        <v>700000</v>
      </c>
      <c r="F12" s="42">
        <v>700000</v>
      </c>
      <c r="G12" s="42">
        <v>700000</v>
      </c>
      <c r="H12" s="42">
        <v>700000</v>
      </c>
      <c r="I12" s="42">
        <v>700000</v>
      </c>
      <c r="J12" s="42">
        <v>700000</v>
      </c>
      <c r="K12" s="42">
        <v>700000</v>
      </c>
      <c r="L12" s="42">
        <v>700000</v>
      </c>
      <c r="M12" s="42">
        <v>700000</v>
      </c>
      <c r="N12" s="42">
        <v>700000</v>
      </c>
      <c r="O12" s="42">
        <v>700000</v>
      </c>
      <c r="P12" s="42">
        <v>700000</v>
      </c>
      <c r="Q12" s="42">
        <v>700000</v>
      </c>
      <c r="R12" s="42">
        <v>700000</v>
      </c>
      <c r="S12" s="42">
        <v>700000</v>
      </c>
      <c r="T12" s="42">
        <v>700000</v>
      </c>
      <c r="U12" s="42">
        <v>700000</v>
      </c>
      <c r="V12" s="42">
        <v>700000</v>
      </c>
      <c r="W12" s="42">
        <v>700000</v>
      </c>
    </row>
    <row r="13" spans="1:23" ht="11.25">
      <c r="A13" s="1" t="s">
        <v>86</v>
      </c>
      <c r="C13" s="42">
        <v>82500</v>
      </c>
      <c r="D13" s="42">
        <v>55000</v>
      </c>
      <c r="E13" s="42">
        <v>55000</v>
      </c>
      <c r="F13" s="42">
        <v>55000</v>
      </c>
      <c r="G13" s="42">
        <v>55000</v>
      </c>
      <c r="H13" s="42">
        <v>55000</v>
      </c>
      <c r="I13" s="42">
        <v>55000</v>
      </c>
      <c r="J13" s="42">
        <v>55000</v>
      </c>
      <c r="K13" s="42">
        <v>55000</v>
      </c>
      <c r="L13" s="42">
        <v>55000</v>
      </c>
      <c r="M13" s="42">
        <v>55000</v>
      </c>
      <c r="N13" s="42">
        <v>55000</v>
      </c>
      <c r="O13" s="42">
        <v>55000</v>
      </c>
      <c r="P13" s="42">
        <v>55000</v>
      </c>
      <c r="Q13" s="42">
        <v>55000</v>
      </c>
      <c r="R13" s="42">
        <v>55000</v>
      </c>
      <c r="S13" s="42">
        <v>55000</v>
      </c>
      <c r="T13" s="42">
        <v>55000</v>
      </c>
      <c r="U13" s="42">
        <v>55000</v>
      </c>
      <c r="V13" s="42">
        <v>55000</v>
      </c>
      <c r="W13" s="42">
        <v>55000</v>
      </c>
    </row>
    <row r="14" spans="1:23" ht="11.25">
      <c r="A14" s="1" t="s">
        <v>87</v>
      </c>
      <c r="C14" s="42">
        <v>106000</v>
      </c>
      <c r="D14" s="42">
        <v>106000</v>
      </c>
      <c r="E14" s="42">
        <v>106000</v>
      </c>
      <c r="F14" s="42">
        <v>106000</v>
      </c>
      <c r="G14" s="42">
        <v>106000</v>
      </c>
      <c r="H14" s="42">
        <v>106000</v>
      </c>
      <c r="I14" s="42">
        <v>106000</v>
      </c>
      <c r="J14" s="42">
        <v>106000</v>
      </c>
      <c r="K14" s="42">
        <v>106000</v>
      </c>
      <c r="L14" s="42">
        <v>106000</v>
      </c>
      <c r="M14" s="42">
        <v>106000</v>
      </c>
      <c r="N14" s="42">
        <v>106000</v>
      </c>
      <c r="O14" s="42">
        <v>106000</v>
      </c>
      <c r="P14" s="42">
        <v>106000</v>
      </c>
      <c r="Q14" s="42">
        <v>106000</v>
      </c>
      <c r="R14" s="42">
        <v>106000</v>
      </c>
      <c r="S14" s="42">
        <v>106000</v>
      </c>
      <c r="T14" s="42">
        <v>106000</v>
      </c>
      <c r="U14" s="42">
        <v>106000</v>
      </c>
      <c r="V14" s="42">
        <v>106000</v>
      </c>
      <c r="W14" s="42">
        <v>106000</v>
      </c>
    </row>
    <row r="15" spans="1:23" ht="11.25">
      <c r="A15" s="1" t="s">
        <v>88</v>
      </c>
      <c r="C15" s="42">
        <v>150000</v>
      </c>
      <c r="D15" s="42">
        <v>150000</v>
      </c>
      <c r="E15" s="42">
        <f>D15*1.05</f>
        <v>157500</v>
      </c>
      <c r="F15" s="42">
        <f>E15</f>
        <v>157500</v>
      </c>
      <c r="G15" s="42">
        <f>F15</f>
        <v>157500</v>
      </c>
      <c r="H15" s="42">
        <f>G15*1.03</f>
        <v>162225</v>
      </c>
      <c r="I15" s="42">
        <f>H15</f>
        <v>162225</v>
      </c>
      <c r="J15" s="42">
        <f>I15</f>
        <v>162225</v>
      </c>
      <c r="K15" s="42">
        <f>J15</f>
        <v>162225</v>
      </c>
      <c r="L15" s="42">
        <f>K15*1.02</f>
        <v>165469.5</v>
      </c>
      <c r="M15" s="42">
        <f>L15</f>
        <v>165469.5</v>
      </c>
      <c r="N15" s="42">
        <f>M15</f>
        <v>165469.5</v>
      </c>
      <c r="O15" s="42">
        <f aca="true" t="shared" si="6" ref="O15:W15">N15</f>
        <v>165469.5</v>
      </c>
      <c r="P15" s="42">
        <f t="shared" si="6"/>
        <v>165469.5</v>
      </c>
      <c r="Q15" s="42">
        <f t="shared" si="6"/>
        <v>165469.5</v>
      </c>
      <c r="R15" s="42">
        <f t="shared" si="6"/>
        <v>165469.5</v>
      </c>
      <c r="S15" s="42">
        <f t="shared" si="6"/>
        <v>165469.5</v>
      </c>
      <c r="T15" s="42">
        <f t="shared" si="6"/>
        <v>165469.5</v>
      </c>
      <c r="U15" s="42">
        <f t="shared" si="6"/>
        <v>165469.5</v>
      </c>
      <c r="V15" s="42">
        <f t="shared" si="6"/>
        <v>165469.5</v>
      </c>
      <c r="W15" s="42">
        <f t="shared" si="6"/>
        <v>165469.5</v>
      </c>
    </row>
    <row r="16" spans="1:23" ht="11.25">
      <c r="A16" s="1" t="s">
        <v>89</v>
      </c>
      <c r="C16" s="42">
        <v>5000</v>
      </c>
      <c r="D16" s="42">
        <v>5000</v>
      </c>
      <c r="E16" s="42">
        <v>5000</v>
      </c>
      <c r="F16" s="42">
        <v>5000</v>
      </c>
      <c r="G16" s="42">
        <f>F16*1.05</f>
        <v>5250</v>
      </c>
      <c r="H16" s="42">
        <f>G16</f>
        <v>5250</v>
      </c>
      <c r="I16" s="42">
        <f>H16</f>
        <v>5250</v>
      </c>
      <c r="J16" s="42">
        <f>I16</f>
        <v>5250</v>
      </c>
      <c r="K16" s="42">
        <f>J16*1.03</f>
        <v>5407.5</v>
      </c>
      <c r="L16" s="42">
        <f>K16*1.03</f>
        <v>5569.725</v>
      </c>
      <c r="M16" s="42">
        <f>L16*1.03</f>
        <v>5736.816750000001</v>
      </c>
      <c r="N16" s="42">
        <f>M16*1.03</f>
        <v>5908.921252500001</v>
      </c>
      <c r="O16" s="42">
        <f aca="true" t="shared" si="7" ref="O16:W16">N16*1.03</f>
        <v>6086.188890075001</v>
      </c>
      <c r="P16" s="42">
        <f t="shared" si="7"/>
        <v>6268.774556777251</v>
      </c>
      <c r="Q16" s="42">
        <f t="shared" si="7"/>
        <v>6456.8377934805685</v>
      </c>
      <c r="R16" s="42">
        <f t="shared" si="7"/>
        <v>6650.542927284986</v>
      </c>
      <c r="S16" s="42">
        <f t="shared" si="7"/>
        <v>6850.059215103536</v>
      </c>
      <c r="T16" s="42">
        <f t="shared" si="7"/>
        <v>7055.560991556643</v>
      </c>
      <c r="U16" s="42">
        <f t="shared" si="7"/>
        <v>7267.227821303342</v>
      </c>
      <c r="V16" s="42">
        <f t="shared" si="7"/>
        <v>7485.2446559424425</v>
      </c>
      <c r="W16" s="42">
        <f t="shared" si="7"/>
        <v>7709.801995620716</v>
      </c>
    </row>
    <row r="17" spans="1:23" ht="11.25">
      <c r="A17" s="1" t="s">
        <v>90</v>
      </c>
      <c r="C17" s="1">
        <v>20000</v>
      </c>
      <c r="D17" s="1">
        <v>20000</v>
      </c>
      <c r="E17" s="1">
        <v>20000</v>
      </c>
      <c r="F17" s="1">
        <v>20300</v>
      </c>
      <c r="G17" s="1">
        <v>20300</v>
      </c>
      <c r="H17" s="1">
        <v>20300</v>
      </c>
      <c r="I17" s="1">
        <f>20000*1.03</f>
        <v>20600</v>
      </c>
      <c r="J17" s="1">
        <f>20000*1.03</f>
        <v>20600</v>
      </c>
      <c r="K17" s="1">
        <f>20000*1.03</f>
        <v>20600</v>
      </c>
      <c r="L17" s="1">
        <f>20000*1.03</f>
        <v>20600</v>
      </c>
      <c r="M17" s="1">
        <f>L17*1.03</f>
        <v>21218</v>
      </c>
      <c r="N17" s="1">
        <f>M17</f>
        <v>21218</v>
      </c>
      <c r="O17" s="1">
        <f aca="true" t="shared" si="8" ref="O17:W17">N17</f>
        <v>21218</v>
      </c>
      <c r="P17" s="1">
        <f t="shared" si="8"/>
        <v>21218</v>
      </c>
      <c r="Q17" s="1">
        <f t="shared" si="8"/>
        <v>21218</v>
      </c>
      <c r="R17" s="1">
        <f t="shared" si="8"/>
        <v>21218</v>
      </c>
      <c r="S17" s="1">
        <f t="shared" si="8"/>
        <v>21218</v>
      </c>
      <c r="T17" s="1">
        <f t="shared" si="8"/>
        <v>21218</v>
      </c>
      <c r="U17" s="1">
        <f t="shared" si="8"/>
        <v>21218</v>
      </c>
      <c r="V17" s="1">
        <f t="shared" si="8"/>
        <v>21218</v>
      </c>
      <c r="W17" s="1">
        <f t="shared" si="8"/>
        <v>21218</v>
      </c>
    </row>
    <row r="18" spans="1:23" ht="11.25">
      <c r="A18" s="2" t="s">
        <v>91</v>
      </c>
      <c r="B18" s="2"/>
      <c r="C18" s="11">
        <f>SUM(C12:C17)</f>
        <v>363500</v>
      </c>
      <c r="D18" s="11">
        <f aca="true" t="shared" si="9" ref="D18:J18">SUM(D12:D17)</f>
        <v>336000</v>
      </c>
      <c r="E18" s="11">
        <f t="shared" si="9"/>
        <v>1043500</v>
      </c>
      <c r="F18" s="11">
        <f t="shared" si="9"/>
        <v>1043800</v>
      </c>
      <c r="G18" s="11">
        <f t="shared" si="9"/>
        <v>1044050</v>
      </c>
      <c r="H18" s="11">
        <f t="shared" si="9"/>
        <v>1048775</v>
      </c>
      <c r="I18" s="11">
        <f t="shared" si="9"/>
        <v>1049075</v>
      </c>
      <c r="J18" s="11">
        <f t="shared" si="9"/>
        <v>1049075</v>
      </c>
      <c r="K18" s="11">
        <f>SUM(K12:K17)</f>
        <v>1049232.5</v>
      </c>
      <c r="L18" s="11">
        <f>SUM(L12:L17)</f>
        <v>1052639.225</v>
      </c>
      <c r="M18" s="11">
        <f>SUM(M12:M17)</f>
        <v>1053424.31675</v>
      </c>
      <c r="N18" s="11">
        <f>SUM(N12:N17)</f>
        <v>1053596.4212525</v>
      </c>
      <c r="O18" s="11">
        <f aca="true" t="shared" si="10" ref="O18:W18">SUM(O12:O17)</f>
        <v>1053773.6888900748</v>
      </c>
      <c r="P18" s="11">
        <f t="shared" si="10"/>
        <v>1053956.2745567772</v>
      </c>
      <c r="Q18" s="11">
        <f t="shared" si="10"/>
        <v>1054144.3377934806</v>
      </c>
      <c r="R18" s="11">
        <f t="shared" si="10"/>
        <v>1054338.042927285</v>
      </c>
      <c r="S18" s="11">
        <f t="shared" si="10"/>
        <v>1054537.5592151035</v>
      </c>
      <c r="T18" s="11">
        <f t="shared" si="10"/>
        <v>1054743.0609915566</v>
      </c>
      <c r="U18" s="11">
        <f t="shared" si="10"/>
        <v>1054954.7278213033</v>
      </c>
      <c r="V18" s="11">
        <f t="shared" si="10"/>
        <v>1055172.7446559425</v>
      </c>
      <c r="W18" s="11">
        <f t="shared" si="10"/>
        <v>1055397.3019956206</v>
      </c>
    </row>
    <row r="19" spans="1:15" ht="11.25">
      <c r="A19" s="2"/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42"/>
    </row>
    <row r="20" spans="1:23" ht="11.25">
      <c r="A20" s="2" t="s">
        <v>101</v>
      </c>
      <c r="B20" s="2"/>
      <c r="C20" s="11">
        <f>budget!$B$17/20</f>
        <v>1462.85</v>
      </c>
      <c r="D20" s="11">
        <f>budget!$B$17/20</f>
        <v>1462.85</v>
      </c>
      <c r="E20" s="11">
        <f>budget!$B$17/20</f>
        <v>1462.85</v>
      </c>
      <c r="F20" s="11">
        <f>budget!$B$17/20</f>
        <v>1462.85</v>
      </c>
      <c r="G20" s="11">
        <f>budget!$B$17/20</f>
        <v>1462.85</v>
      </c>
      <c r="H20" s="11">
        <f>budget!$B$17/20</f>
        <v>1462.85</v>
      </c>
      <c r="I20" s="11">
        <f>budget!$B$17/20</f>
        <v>1462.85</v>
      </c>
      <c r="J20" s="11">
        <f>budget!$B$17/20</f>
        <v>1462.85</v>
      </c>
      <c r="K20" s="11">
        <f>budget!$B$17/20</f>
        <v>1462.85</v>
      </c>
      <c r="L20" s="11">
        <f>budget!$B$17/20</f>
        <v>1462.85</v>
      </c>
      <c r="M20" s="11">
        <f>budget!$B$17/20</f>
        <v>1462.85</v>
      </c>
      <c r="N20" s="11">
        <f>budget!$B$17/20</f>
        <v>1462.85</v>
      </c>
      <c r="O20" s="11">
        <f>budget!$B$17/20</f>
        <v>1462.85</v>
      </c>
      <c r="P20" s="11">
        <f>budget!$B$17/20</f>
        <v>1462.85</v>
      </c>
      <c r="Q20" s="11">
        <f>budget!$B$17/20</f>
        <v>1462.85</v>
      </c>
      <c r="R20" s="11">
        <f>budget!$B$17/20</f>
        <v>1462.85</v>
      </c>
      <c r="S20" s="11">
        <f>budget!$B$17/20</f>
        <v>1462.85</v>
      </c>
      <c r="T20" s="11">
        <f>budget!$B$17/20</f>
        <v>1462.85</v>
      </c>
      <c r="U20" s="11">
        <f>budget!$B$17/20</f>
        <v>1462.85</v>
      </c>
      <c r="V20" s="11">
        <f>budget!$B$17/20</f>
        <v>1462.85</v>
      </c>
      <c r="W20" s="11">
        <f>budget!$B$17/20</f>
        <v>1462.85</v>
      </c>
    </row>
    <row r="21" spans="13:16" ht="11.25">
      <c r="M21" s="43"/>
      <c r="N21" s="43"/>
      <c r="O21" s="43"/>
      <c r="P21" s="43"/>
    </row>
    <row r="22" spans="1:16" ht="11.25">
      <c r="A22" s="41" t="s">
        <v>92</v>
      </c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4">
        <f>6029682+1463678+96444</f>
        <v>7589804</v>
      </c>
      <c r="N22" s="45">
        <f>M22-M24</f>
        <v>5384959</v>
      </c>
      <c r="O22" s="46">
        <f>N22-N24</f>
        <v>3180114</v>
      </c>
      <c r="P22" s="43"/>
    </row>
    <row r="23" spans="1:23" ht="11.25">
      <c r="A23" s="1" t="s">
        <v>94</v>
      </c>
      <c r="C23" s="42">
        <f>17214+261264+1076297</f>
        <v>1354775</v>
      </c>
      <c r="D23" s="42">
        <f>1020823+247800+15672</f>
        <v>1284295</v>
      </c>
      <c r="E23" s="42">
        <f>938819+227890+15016</f>
        <v>1181725</v>
      </c>
      <c r="F23" s="42">
        <f>13705+856816+207988</f>
        <v>1078509</v>
      </c>
      <c r="G23" s="42">
        <f>774812+188082+12400</f>
        <v>975294</v>
      </c>
      <c r="H23" s="42">
        <f>692809+168176+11200</f>
        <v>872185</v>
      </c>
      <c r="I23" s="42">
        <f>610806+144536+10000</f>
        <v>765342</v>
      </c>
      <c r="J23" s="42">
        <f>528801+128360+8400</f>
        <v>665561</v>
      </c>
      <c r="K23" s="42">
        <f>446799+108456+7200</f>
        <v>562455</v>
      </c>
      <c r="L23" s="42">
        <f>364794+88550+5800</f>
        <v>459144</v>
      </c>
      <c r="M23" s="42">
        <f>(M22+N22)/2*0.05</f>
        <v>324369.075</v>
      </c>
      <c r="N23" s="42">
        <v>324369.075</v>
      </c>
      <c r="O23" s="42">
        <v>324369.075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ht="11.25">
      <c r="A24" s="1" t="s">
        <v>95</v>
      </c>
      <c r="C24" s="42">
        <v>1653634.08</v>
      </c>
      <c r="D24" s="42">
        <v>2204845</v>
      </c>
      <c r="E24" s="42">
        <v>2204845</v>
      </c>
      <c r="F24" s="42">
        <v>2204845</v>
      </c>
      <c r="G24" s="42">
        <v>2204845</v>
      </c>
      <c r="H24" s="42">
        <v>2204845</v>
      </c>
      <c r="I24" s="42">
        <v>2204845</v>
      </c>
      <c r="J24" s="42">
        <v>2204845</v>
      </c>
      <c r="K24" s="42">
        <v>2204845</v>
      </c>
      <c r="L24" s="42">
        <v>2204845</v>
      </c>
      <c r="M24" s="42">
        <v>2204845</v>
      </c>
      <c r="N24" s="42">
        <v>2204845</v>
      </c>
      <c r="O24" s="42">
        <v>1132242.92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ht="11.25">
      <c r="A25" s="2" t="s">
        <v>96</v>
      </c>
      <c r="B25" s="2"/>
      <c r="C25" s="11">
        <f aca="true" t="shared" si="11" ref="C25:N25">C23+C24</f>
        <v>3008409.08</v>
      </c>
      <c r="D25" s="11">
        <f t="shared" si="11"/>
        <v>3489140</v>
      </c>
      <c r="E25" s="11">
        <f t="shared" si="11"/>
        <v>3386570</v>
      </c>
      <c r="F25" s="11">
        <f t="shared" si="11"/>
        <v>3283354</v>
      </c>
      <c r="G25" s="11">
        <f t="shared" si="11"/>
        <v>3180139</v>
      </c>
      <c r="H25" s="11">
        <f t="shared" si="11"/>
        <v>3077030</v>
      </c>
      <c r="I25" s="11">
        <f t="shared" si="11"/>
        <v>2970187</v>
      </c>
      <c r="J25" s="11">
        <f t="shared" si="11"/>
        <v>2870406</v>
      </c>
      <c r="K25" s="11">
        <f t="shared" si="11"/>
        <v>2767300</v>
      </c>
      <c r="L25" s="11">
        <f t="shared" si="11"/>
        <v>2663989</v>
      </c>
      <c r="M25" s="11">
        <f t="shared" si="11"/>
        <v>2529214.075</v>
      </c>
      <c r="N25" s="11">
        <f t="shared" si="11"/>
        <v>2529214.075</v>
      </c>
      <c r="O25" s="11">
        <f aca="true" t="shared" si="12" ref="O25:W25">O23+O24</f>
        <v>1456611.9949999999</v>
      </c>
      <c r="P25" s="11">
        <f t="shared" si="12"/>
        <v>0</v>
      </c>
      <c r="Q25" s="11">
        <f t="shared" si="12"/>
        <v>0</v>
      </c>
      <c r="R25" s="11">
        <f t="shared" si="12"/>
        <v>0</v>
      </c>
      <c r="S25" s="11">
        <f t="shared" si="12"/>
        <v>0</v>
      </c>
      <c r="T25" s="11">
        <f t="shared" si="12"/>
        <v>0</v>
      </c>
      <c r="U25" s="11">
        <f t="shared" si="12"/>
        <v>0</v>
      </c>
      <c r="V25" s="11">
        <f t="shared" si="12"/>
        <v>0</v>
      </c>
      <c r="W25" s="11">
        <f t="shared" si="12"/>
        <v>0</v>
      </c>
    </row>
    <row r="26" ht="11.25"/>
    <row r="27" spans="1:23" ht="11.25">
      <c r="A27" s="2" t="s">
        <v>97</v>
      </c>
      <c r="B27" s="2"/>
      <c r="C27" s="42">
        <f>C9-C18-C24</f>
        <v>2688419.9519999996</v>
      </c>
      <c r="D27" s="42">
        <f aca="true" t="shared" si="13" ref="D27:M27">D9-D18-D24</f>
        <v>2442097.1439999994</v>
      </c>
      <c r="E27" s="42">
        <f t="shared" si="13"/>
        <v>1734597.1439999994</v>
      </c>
      <c r="F27" s="42">
        <f t="shared" si="13"/>
        <v>1734297.1439999994</v>
      </c>
      <c r="G27" s="42">
        <f t="shared" si="13"/>
        <v>1734047.1439999994</v>
      </c>
      <c r="H27" s="42">
        <f t="shared" si="13"/>
        <v>1729322.1439999994</v>
      </c>
      <c r="I27" s="42">
        <f t="shared" si="13"/>
        <v>1451634.0319999997</v>
      </c>
      <c r="J27" s="42">
        <f t="shared" si="13"/>
        <v>1451634.0319999997</v>
      </c>
      <c r="K27" s="42">
        <f t="shared" si="13"/>
        <v>1451476.5319999997</v>
      </c>
      <c r="L27" s="42">
        <f t="shared" si="13"/>
        <v>1448069.8069999996</v>
      </c>
      <c r="M27" s="42">
        <f t="shared" si="13"/>
        <v>1447284.7152499994</v>
      </c>
      <c r="N27" s="42">
        <f>N9-N18-N24</f>
        <v>1447112.6107474994</v>
      </c>
      <c r="O27" s="42">
        <f aca="true" t="shared" si="14" ref="O27:W27">O9-O18-O24</f>
        <v>2519537.423109925</v>
      </c>
      <c r="P27" s="42">
        <f t="shared" si="14"/>
        <v>3651597.757443222</v>
      </c>
      <c r="Q27" s="42">
        <f t="shared" si="14"/>
        <v>3651409.694206519</v>
      </c>
      <c r="R27" s="42">
        <f t="shared" si="14"/>
        <v>3651215.989072715</v>
      </c>
      <c r="S27" s="42">
        <f t="shared" si="14"/>
        <v>3651016.4727848964</v>
      </c>
      <c r="T27" s="42">
        <f t="shared" si="14"/>
        <v>3650810.9710084433</v>
      </c>
      <c r="U27" s="42">
        <f t="shared" si="14"/>
        <v>3650599.304178696</v>
      </c>
      <c r="V27" s="42">
        <f t="shared" si="14"/>
        <v>3650381.287344057</v>
      </c>
      <c r="W27" s="42">
        <f t="shared" si="14"/>
        <v>3650156.730004379</v>
      </c>
    </row>
    <row r="28" spans="1:23" ht="11.25">
      <c r="A28" s="2" t="s">
        <v>98</v>
      </c>
      <c r="B28" s="2"/>
      <c r="C28" s="42">
        <f>C27-C8</f>
        <v>2688419.9519999996</v>
      </c>
      <c r="D28" s="42">
        <f aca="true" t="shared" si="15" ref="D28:L28">D27-D8</f>
        <v>2164709.0319999997</v>
      </c>
      <c r="E28" s="42">
        <f t="shared" si="15"/>
        <v>1457209.0319999994</v>
      </c>
      <c r="F28" s="42">
        <f t="shared" si="15"/>
        <v>1456909.0319999994</v>
      </c>
      <c r="G28" s="42">
        <f t="shared" si="15"/>
        <v>1456659.0319999994</v>
      </c>
      <c r="H28" s="42">
        <f t="shared" si="15"/>
        <v>1451934.0319999994</v>
      </c>
      <c r="I28" s="42">
        <f t="shared" si="15"/>
        <v>1451634.0319999997</v>
      </c>
      <c r="J28" s="42">
        <f t="shared" si="15"/>
        <v>1451634.0319999997</v>
      </c>
      <c r="K28" s="42">
        <f t="shared" si="15"/>
        <v>1451476.5319999997</v>
      </c>
      <c r="L28" s="42">
        <f t="shared" si="15"/>
        <v>1448069.8069999996</v>
      </c>
      <c r="M28" s="42">
        <f>M27-M8</f>
        <v>1447284.7152499994</v>
      </c>
      <c r="N28" s="42">
        <f>N27-N8</f>
        <v>1447112.6107474994</v>
      </c>
      <c r="O28" s="42">
        <f aca="true" t="shared" si="16" ref="O28:W28">O27-O8</f>
        <v>2519537.423109925</v>
      </c>
      <c r="P28" s="42">
        <f t="shared" si="16"/>
        <v>3651597.757443222</v>
      </c>
      <c r="Q28" s="42">
        <f t="shared" si="16"/>
        <v>3651409.694206519</v>
      </c>
      <c r="R28" s="42">
        <f t="shared" si="16"/>
        <v>3651215.989072715</v>
      </c>
      <c r="S28" s="42">
        <f t="shared" si="16"/>
        <v>3651016.4727848964</v>
      </c>
      <c r="T28" s="42">
        <f t="shared" si="16"/>
        <v>3650810.9710084433</v>
      </c>
      <c r="U28" s="42">
        <f t="shared" si="16"/>
        <v>3650599.304178696</v>
      </c>
      <c r="V28" s="42">
        <f t="shared" si="16"/>
        <v>3650381.287344057</v>
      </c>
      <c r="W28" s="42">
        <f t="shared" si="16"/>
        <v>3650156.730004379</v>
      </c>
    </row>
    <row r="29" spans="1:14" ht="11.25">
      <c r="A29" s="2"/>
      <c r="B29" s="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23" ht="11.25">
      <c r="A30" s="2" t="s">
        <v>102</v>
      </c>
      <c r="B30" s="2"/>
      <c r="C30" s="42">
        <f>(C27-C23-C20)*0.15</f>
        <v>199827.31529999993</v>
      </c>
      <c r="D30" s="42">
        <f>(D27-D23-D20)*0.15</f>
        <v>173450.8940999999</v>
      </c>
      <c r="E30" s="42">
        <v>0</v>
      </c>
      <c r="F30" s="42">
        <v>0</v>
      </c>
      <c r="G30" s="42">
        <f aca="true" t="shared" si="17" ref="G30:W30">(G27-G23-G20)*0.15</f>
        <v>113593.54409999991</v>
      </c>
      <c r="H30" s="42">
        <f t="shared" si="17"/>
        <v>128351.1440999999</v>
      </c>
      <c r="I30" s="42">
        <v>0</v>
      </c>
      <c r="J30" s="42">
        <f t="shared" si="17"/>
        <v>117691.52729999994</v>
      </c>
      <c r="K30" s="42">
        <f t="shared" si="17"/>
        <v>133133.80229999995</v>
      </c>
      <c r="L30" s="42">
        <f t="shared" si="17"/>
        <v>148119.44354999994</v>
      </c>
      <c r="M30" s="42">
        <f t="shared" si="17"/>
        <v>168217.9185374999</v>
      </c>
      <c r="N30" s="42">
        <f t="shared" si="17"/>
        <v>168192.10286212488</v>
      </c>
      <c r="O30" s="42">
        <f t="shared" si="17"/>
        <v>329055.82471648866</v>
      </c>
      <c r="P30" s="42">
        <f t="shared" si="17"/>
        <v>547520.2361164833</v>
      </c>
      <c r="Q30" s="42">
        <f t="shared" si="17"/>
        <v>547492.0266309779</v>
      </c>
      <c r="R30" s="42">
        <f t="shared" si="17"/>
        <v>547462.9708609072</v>
      </c>
      <c r="S30" s="42">
        <f t="shared" si="17"/>
        <v>547433.0434177344</v>
      </c>
      <c r="T30" s="42">
        <f t="shared" si="17"/>
        <v>547402.2181512665</v>
      </c>
      <c r="U30" s="42">
        <f t="shared" si="17"/>
        <v>547370.4681268043</v>
      </c>
      <c r="V30" s="42">
        <f t="shared" si="17"/>
        <v>547337.7656016086</v>
      </c>
      <c r="W30" s="42">
        <f t="shared" si="17"/>
        <v>547304.0820006569</v>
      </c>
    </row>
    <row r="31" spans="1:23" ht="11.25">
      <c r="A31" s="2" t="s">
        <v>103</v>
      </c>
      <c r="B31" s="2"/>
      <c r="C31" s="42">
        <f>C28-C23-C20</f>
        <v>1332182.1019999995</v>
      </c>
      <c r="D31" s="42">
        <f>D28-D23-D20</f>
        <v>878951.1819999997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f>J28-J23-J20</f>
        <v>784610.1819999997</v>
      </c>
      <c r="K31" s="42">
        <f>K28-K23-K20</f>
        <v>887558.6819999997</v>
      </c>
      <c r="L31" s="42">
        <f>L28-L23-L20</f>
        <v>987462.9569999996</v>
      </c>
      <c r="M31" s="42">
        <f>M28-M23-M20</f>
        <v>1121452.7902499994</v>
      </c>
      <c r="N31" s="42">
        <f>N28-N23-N20</f>
        <v>1121280.6857474993</v>
      </c>
      <c r="O31" s="42">
        <f aca="true" t="shared" si="18" ref="O31:W31">O28-O23-O20</f>
        <v>2193705.4981099246</v>
      </c>
      <c r="P31" s="42">
        <f t="shared" si="18"/>
        <v>3650134.907443222</v>
      </c>
      <c r="Q31" s="42">
        <f t="shared" si="18"/>
        <v>3649946.844206519</v>
      </c>
      <c r="R31" s="42">
        <f t="shared" si="18"/>
        <v>3649753.139072715</v>
      </c>
      <c r="S31" s="42">
        <f t="shared" si="18"/>
        <v>3649553.6227848963</v>
      </c>
      <c r="T31" s="42">
        <f t="shared" si="18"/>
        <v>3649348.121008443</v>
      </c>
      <c r="U31" s="42">
        <f t="shared" si="18"/>
        <v>3649136.454178696</v>
      </c>
      <c r="V31" s="42">
        <f t="shared" si="18"/>
        <v>3648918.437344057</v>
      </c>
      <c r="W31" s="42">
        <f t="shared" si="18"/>
        <v>3648693.880004379</v>
      </c>
    </row>
    <row r="32" spans="1:14" ht="11.25">
      <c r="A32" s="2"/>
      <c r="B32" s="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ht="11.25"/>
    <row r="34" spans="1:23" ht="11.25">
      <c r="A34" s="2" t="s">
        <v>99</v>
      </c>
      <c r="B34" s="2"/>
      <c r="C34" s="42">
        <f>C27-C23-C30</f>
        <v>1133817.6366999997</v>
      </c>
      <c r="D34" s="42">
        <f aca="true" t="shared" si="19" ref="D34:W34">D27-D23-D30</f>
        <v>984351.2498999995</v>
      </c>
      <c r="E34" s="42">
        <f t="shared" si="19"/>
        <v>552872.1439999994</v>
      </c>
      <c r="F34" s="42">
        <f t="shared" si="19"/>
        <v>655788.1439999994</v>
      </c>
      <c r="G34" s="42">
        <f t="shared" si="19"/>
        <v>645159.5998999994</v>
      </c>
      <c r="H34" s="42">
        <f t="shared" si="19"/>
        <v>728785.9998999995</v>
      </c>
      <c r="I34" s="42">
        <f t="shared" si="19"/>
        <v>686292.0319999997</v>
      </c>
      <c r="J34" s="42">
        <f t="shared" si="19"/>
        <v>668381.5046999997</v>
      </c>
      <c r="K34" s="42">
        <f t="shared" si="19"/>
        <v>755887.7296999997</v>
      </c>
      <c r="L34" s="42">
        <f>L27-L23-L30</f>
        <v>840806.3634499996</v>
      </c>
      <c r="M34" s="42">
        <f t="shared" si="19"/>
        <v>954697.7217124996</v>
      </c>
      <c r="N34" s="42">
        <f t="shared" si="19"/>
        <v>954551.4328853745</v>
      </c>
      <c r="O34" s="42">
        <f t="shared" si="19"/>
        <v>1866112.523393436</v>
      </c>
      <c r="P34" s="42">
        <f t="shared" si="19"/>
        <v>3104077.521326739</v>
      </c>
      <c r="Q34" s="42">
        <f t="shared" si="19"/>
        <v>3103917.667575541</v>
      </c>
      <c r="R34" s="42">
        <f t="shared" si="19"/>
        <v>3103753.0182118076</v>
      </c>
      <c r="S34" s="42">
        <f t="shared" si="19"/>
        <v>3103583.429367162</v>
      </c>
      <c r="T34" s="42">
        <f t="shared" si="19"/>
        <v>3103408.7528571766</v>
      </c>
      <c r="U34" s="42">
        <f t="shared" si="19"/>
        <v>3103228.8360518916</v>
      </c>
      <c r="V34" s="42">
        <f t="shared" si="19"/>
        <v>3103043.5217424487</v>
      </c>
      <c r="W34" s="42">
        <f t="shared" si="19"/>
        <v>3102852.648003722</v>
      </c>
    </row>
    <row r="35" spans="1:23" ht="11.25">
      <c r="A35" s="2" t="s">
        <v>100</v>
      </c>
      <c r="B35" s="2"/>
      <c r="C35" s="42">
        <f>C28-C23-C31</f>
        <v>1462.8500000000931</v>
      </c>
      <c r="D35" s="42">
        <f aca="true" t="shared" si="20" ref="D35:W35">D28-D23-D31</f>
        <v>1462.8499999999767</v>
      </c>
      <c r="E35" s="42">
        <f t="shared" si="20"/>
        <v>275484.0319999994</v>
      </c>
      <c r="F35" s="42">
        <f t="shared" si="20"/>
        <v>378400.0319999994</v>
      </c>
      <c r="G35" s="42">
        <f t="shared" si="20"/>
        <v>481365.0319999994</v>
      </c>
      <c r="H35" s="42">
        <f t="shared" si="20"/>
        <v>579749.0319999994</v>
      </c>
      <c r="I35" s="42">
        <f t="shared" si="20"/>
        <v>686292.0319999997</v>
      </c>
      <c r="J35" s="42">
        <f t="shared" si="20"/>
        <v>1462.8499999999767</v>
      </c>
      <c r="K35" s="42">
        <f t="shared" si="20"/>
        <v>1462.8499999999767</v>
      </c>
      <c r="L35" s="42">
        <f t="shared" si="20"/>
        <v>1462.8499999999767</v>
      </c>
      <c r="M35" s="42">
        <f t="shared" si="20"/>
        <v>1462.8500000000931</v>
      </c>
      <c r="N35" s="42">
        <f t="shared" si="20"/>
        <v>1462.8500000000931</v>
      </c>
      <c r="O35" s="42">
        <f t="shared" si="20"/>
        <v>1462.8500000000931</v>
      </c>
      <c r="P35" s="42">
        <f t="shared" si="20"/>
        <v>1462.8500000000931</v>
      </c>
      <c r="Q35" s="42">
        <f t="shared" si="20"/>
        <v>1462.8500000000931</v>
      </c>
      <c r="R35" s="42">
        <f t="shared" si="20"/>
        <v>1462.8500000000931</v>
      </c>
      <c r="S35" s="42">
        <f t="shared" si="20"/>
        <v>1462.8500000000931</v>
      </c>
      <c r="T35" s="42">
        <f t="shared" si="20"/>
        <v>1462.8500000000931</v>
      </c>
      <c r="U35" s="42">
        <f t="shared" si="20"/>
        <v>1462.8500000000931</v>
      </c>
      <c r="V35" s="42">
        <f t="shared" si="20"/>
        <v>1462.8500000000931</v>
      </c>
      <c r="W35" s="42">
        <f t="shared" si="20"/>
        <v>1462.8500000000931</v>
      </c>
    </row>
    <row r="36" ht="11.25"/>
    <row r="37" spans="1:2" ht="11.25">
      <c r="A37" s="47" t="s">
        <v>119</v>
      </c>
      <c r="B37" s="47"/>
    </row>
    <row r="38" ht="11.25"/>
    <row r="39" spans="1:23" ht="11.25">
      <c r="A39" s="1" t="s">
        <v>128</v>
      </c>
      <c r="B39" s="42">
        <f>0-budget!B14*1000</f>
        <v>-34027000</v>
      </c>
      <c r="C39" s="42">
        <f>C9-C18</f>
        <v>4342054.032</v>
      </c>
      <c r="D39" s="42">
        <f aca="true" t="shared" si="21" ref="D39:W39">D9-D18</f>
        <v>4646942.143999999</v>
      </c>
      <c r="E39" s="42">
        <f t="shared" si="21"/>
        <v>3939442.1439999994</v>
      </c>
      <c r="F39" s="42">
        <f t="shared" si="21"/>
        <v>3939142.1439999994</v>
      </c>
      <c r="G39" s="42">
        <f t="shared" si="21"/>
        <v>3938892.1439999994</v>
      </c>
      <c r="H39" s="42">
        <f t="shared" si="21"/>
        <v>3934167.1439999994</v>
      </c>
      <c r="I39" s="42">
        <f t="shared" si="21"/>
        <v>3656479.0319999997</v>
      </c>
      <c r="J39" s="42">
        <f t="shared" si="21"/>
        <v>3656479.0319999997</v>
      </c>
      <c r="K39" s="42">
        <f t="shared" si="21"/>
        <v>3656321.5319999997</v>
      </c>
      <c r="L39" s="42">
        <f t="shared" si="21"/>
        <v>3652914.8069999996</v>
      </c>
      <c r="M39" s="42">
        <f t="shared" si="21"/>
        <v>3652129.7152499994</v>
      </c>
      <c r="N39" s="42">
        <f t="shared" si="21"/>
        <v>3651957.6107474994</v>
      </c>
      <c r="O39" s="42">
        <f t="shared" si="21"/>
        <v>3651780.343109925</v>
      </c>
      <c r="P39" s="42">
        <f t="shared" si="21"/>
        <v>3651597.757443222</v>
      </c>
      <c r="Q39" s="42">
        <f t="shared" si="21"/>
        <v>3651409.694206519</v>
      </c>
      <c r="R39" s="42">
        <f t="shared" si="21"/>
        <v>3651215.989072715</v>
      </c>
      <c r="S39" s="42">
        <f t="shared" si="21"/>
        <v>3651016.4727848964</v>
      </c>
      <c r="T39" s="42">
        <f t="shared" si="21"/>
        <v>3650810.9710084433</v>
      </c>
      <c r="U39" s="42">
        <f t="shared" si="21"/>
        <v>3650599.304178696</v>
      </c>
      <c r="V39" s="42">
        <f t="shared" si="21"/>
        <v>3650381.287344057</v>
      </c>
      <c r="W39" s="42">
        <f t="shared" si="21"/>
        <v>3650156.730004379</v>
      </c>
    </row>
    <row r="40" spans="1:24" ht="11.25">
      <c r="A40" s="1" t="s">
        <v>129</v>
      </c>
      <c r="B40" s="42">
        <f>B39</f>
        <v>-34027000</v>
      </c>
      <c r="C40" s="42">
        <f>C39*0.85</f>
        <v>3690745.9272</v>
      </c>
      <c r="D40" s="42">
        <f aca="true" t="shared" si="22" ref="D40:N40">D39*0.85</f>
        <v>3949900.8223999995</v>
      </c>
      <c r="E40" s="42">
        <f t="shared" si="22"/>
        <v>3348525.8223999995</v>
      </c>
      <c r="F40" s="42">
        <f t="shared" si="22"/>
        <v>3348270.8223999995</v>
      </c>
      <c r="G40" s="42">
        <f t="shared" si="22"/>
        <v>3348058.3223999995</v>
      </c>
      <c r="H40" s="42">
        <f t="shared" si="22"/>
        <v>3344042.0723999995</v>
      </c>
      <c r="I40" s="42">
        <f t="shared" si="22"/>
        <v>3108007.1772</v>
      </c>
      <c r="J40" s="42">
        <f t="shared" si="22"/>
        <v>3108007.1772</v>
      </c>
      <c r="K40" s="42">
        <f t="shared" si="22"/>
        <v>3107873.3022</v>
      </c>
      <c r="L40" s="42">
        <f t="shared" si="22"/>
        <v>3104977.5859499997</v>
      </c>
      <c r="M40" s="42">
        <f t="shared" si="22"/>
        <v>3104310.2579624993</v>
      </c>
      <c r="N40" s="42">
        <f t="shared" si="22"/>
        <v>3104163.9691353743</v>
      </c>
      <c r="O40" s="42">
        <f aca="true" t="shared" si="23" ref="O40:W40">O39*0.85</f>
        <v>3104013.291643436</v>
      </c>
      <c r="P40" s="42">
        <f t="shared" si="23"/>
        <v>3103858.0938267387</v>
      </c>
      <c r="Q40" s="42">
        <f t="shared" si="23"/>
        <v>3103698.240075541</v>
      </c>
      <c r="R40" s="42">
        <f t="shared" si="23"/>
        <v>3103533.590711808</v>
      </c>
      <c r="S40" s="42">
        <f t="shared" si="23"/>
        <v>3103364.001867162</v>
      </c>
      <c r="T40" s="42">
        <f t="shared" si="23"/>
        <v>3103189.325357177</v>
      </c>
      <c r="U40" s="42">
        <f t="shared" si="23"/>
        <v>3103009.408551892</v>
      </c>
      <c r="V40" s="42">
        <f t="shared" si="23"/>
        <v>3102824.0942424485</v>
      </c>
      <c r="W40" s="42">
        <f t="shared" si="23"/>
        <v>3102633.2205037223</v>
      </c>
      <c r="X40" s="42"/>
    </row>
    <row r="41" spans="1:23" ht="11.25">
      <c r="A41" s="1" t="s">
        <v>130</v>
      </c>
      <c r="B41" s="42">
        <f>B40</f>
        <v>-34027000</v>
      </c>
      <c r="C41" s="42">
        <f>C7-C18</f>
        <v>4342054.032</v>
      </c>
      <c r="D41" s="42">
        <f aca="true" t="shared" si="24" ref="D41:W41">D7-D18</f>
        <v>4369554.032</v>
      </c>
      <c r="E41" s="42">
        <f t="shared" si="24"/>
        <v>3662054.0319999997</v>
      </c>
      <c r="F41" s="42">
        <f t="shared" si="24"/>
        <v>3661754.0319999997</v>
      </c>
      <c r="G41" s="42">
        <f t="shared" si="24"/>
        <v>3661504.0319999997</v>
      </c>
      <c r="H41" s="42">
        <f t="shared" si="24"/>
        <v>3656779.0319999997</v>
      </c>
      <c r="I41" s="42">
        <f t="shared" si="24"/>
        <v>3656479.0319999997</v>
      </c>
      <c r="J41" s="42">
        <f t="shared" si="24"/>
        <v>3656479.0319999997</v>
      </c>
      <c r="K41" s="42">
        <f t="shared" si="24"/>
        <v>3656321.5319999997</v>
      </c>
      <c r="L41" s="42">
        <f t="shared" si="24"/>
        <v>3652914.8069999996</v>
      </c>
      <c r="M41" s="42">
        <f t="shared" si="24"/>
        <v>3652129.7152499994</v>
      </c>
      <c r="N41" s="42">
        <f t="shared" si="24"/>
        <v>3651957.6107474994</v>
      </c>
      <c r="O41" s="42">
        <f t="shared" si="24"/>
        <v>3651780.343109925</v>
      </c>
      <c r="P41" s="42">
        <f t="shared" si="24"/>
        <v>3651597.757443222</v>
      </c>
      <c r="Q41" s="42">
        <f t="shared" si="24"/>
        <v>3651409.694206519</v>
      </c>
      <c r="R41" s="42">
        <f t="shared" si="24"/>
        <v>3651215.989072715</v>
      </c>
      <c r="S41" s="42">
        <f t="shared" si="24"/>
        <v>3651016.4727848964</v>
      </c>
      <c r="T41" s="42">
        <f t="shared" si="24"/>
        <v>3650810.9710084433</v>
      </c>
      <c r="U41" s="42">
        <f t="shared" si="24"/>
        <v>3650599.304178696</v>
      </c>
      <c r="V41" s="42">
        <f t="shared" si="24"/>
        <v>3650381.287344057</v>
      </c>
      <c r="W41" s="42">
        <f t="shared" si="24"/>
        <v>3650156.730004379</v>
      </c>
    </row>
    <row r="42" spans="1:23" ht="11.25">
      <c r="A42" s="1" t="s">
        <v>131</v>
      </c>
      <c r="B42" s="42">
        <f>B41</f>
        <v>-34027000</v>
      </c>
      <c r="C42" s="42">
        <f>C41*0.85</f>
        <v>3690745.9272</v>
      </c>
      <c r="D42" s="42">
        <f aca="true" t="shared" si="25" ref="D42:N42">D41*0.85</f>
        <v>3714120.9272</v>
      </c>
      <c r="E42" s="42">
        <f t="shared" si="25"/>
        <v>3112745.9272</v>
      </c>
      <c r="F42" s="42">
        <f t="shared" si="25"/>
        <v>3112490.9272</v>
      </c>
      <c r="G42" s="42">
        <f t="shared" si="25"/>
        <v>3112278.4272</v>
      </c>
      <c r="H42" s="42">
        <f t="shared" si="25"/>
        <v>3108262.1772</v>
      </c>
      <c r="I42" s="42">
        <f t="shared" si="25"/>
        <v>3108007.1772</v>
      </c>
      <c r="J42" s="42">
        <f t="shared" si="25"/>
        <v>3108007.1772</v>
      </c>
      <c r="K42" s="42">
        <f t="shared" si="25"/>
        <v>3107873.3022</v>
      </c>
      <c r="L42" s="42">
        <f t="shared" si="25"/>
        <v>3104977.5859499997</v>
      </c>
      <c r="M42" s="42">
        <f t="shared" si="25"/>
        <v>3104310.2579624993</v>
      </c>
      <c r="N42" s="42">
        <f t="shared" si="25"/>
        <v>3104163.9691353743</v>
      </c>
      <c r="O42" s="42">
        <f aca="true" t="shared" si="26" ref="O42:W42">O41*0.85</f>
        <v>3104013.291643436</v>
      </c>
      <c r="P42" s="42">
        <f t="shared" si="26"/>
        <v>3103858.0938267387</v>
      </c>
      <c r="Q42" s="42">
        <f t="shared" si="26"/>
        <v>3103698.240075541</v>
      </c>
      <c r="R42" s="42">
        <f t="shared" si="26"/>
        <v>3103533.590711808</v>
      </c>
      <c r="S42" s="42">
        <f t="shared" si="26"/>
        <v>3103364.001867162</v>
      </c>
      <c r="T42" s="42">
        <f t="shared" si="26"/>
        <v>3103189.325357177</v>
      </c>
      <c r="U42" s="42">
        <f t="shared" si="26"/>
        <v>3103009.408551892</v>
      </c>
      <c r="V42" s="42">
        <f t="shared" si="26"/>
        <v>3102824.0942424485</v>
      </c>
      <c r="W42" s="42">
        <f t="shared" si="26"/>
        <v>3102633.2205037223</v>
      </c>
    </row>
    <row r="43" spans="1:23" ht="11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1.25">
      <c r="A44" s="48" t="s">
        <v>120</v>
      </c>
      <c r="B44" s="57">
        <f>IRR(B39:W39,0.01)</f>
        <v>0.09895686670673544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1.25">
      <c r="A45" s="48" t="s">
        <v>121</v>
      </c>
      <c r="B45" s="58">
        <f>budget!B14*1000/'cash flow'!B50</f>
        <v>8.985337978978782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1.25">
      <c r="A46" s="48"/>
      <c r="B46" s="49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1.25">
      <c r="A47" s="48" t="s">
        <v>122</v>
      </c>
      <c r="B47" s="57">
        <f>IRR(B41:W41,0.2)</f>
        <v>0.0948136524449638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1.25">
      <c r="A48" s="48" t="s">
        <v>123</v>
      </c>
      <c r="B48" s="58">
        <f>budget!B14*1000/'cash flow'!B51</f>
        <v>9.14482476211137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1.25">
      <c r="A49" s="48"/>
      <c r="B49" s="49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1.25">
      <c r="A50" s="59" t="s">
        <v>124</v>
      </c>
      <c r="B50" s="60">
        <f>AVERAGE(C39:W39)</f>
        <v>3786947.144292874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1.25">
      <c r="A51" s="59" t="s">
        <v>125</v>
      </c>
      <c r="B51" s="60">
        <f>AVERAGE(C41:W41)</f>
        <v>3720902.3557214453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  <row r="52" spans="1:23" ht="11.25">
      <c r="A52" s="48"/>
      <c r="B52" s="49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1:23" ht="11.25">
      <c r="A53" s="59" t="s">
        <v>126</v>
      </c>
      <c r="B53" s="61">
        <f>IRR(B40:W40,0.15)</f>
        <v>0.07611047890692842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</row>
    <row r="54" spans="1:2" ht="11.25">
      <c r="A54" s="59" t="s">
        <v>127</v>
      </c>
      <c r="B54" s="61">
        <f>IRR(B42:W42,0.14)</f>
        <v>0.07267772453942413</v>
      </c>
    </row>
    <row r="55" spans="1:2" ht="11.25">
      <c r="A55" s="59"/>
      <c r="B55" s="61"/>
    </row>
    <row r="56" spans="1:2" ht="11.25">
      <c r="A56" s="1" t="s">
        <v>107</v>
      </c>
      <c r="B56" s="42">
        <f>C6*$B$60/1000</f>
        <v>46231.352</v>
      </c>
    </row>
    <row r="57" spans="1:2" ht="11.25">
      <c r="A57" s="1" t="s">
        <v>106</v>
      </c>
      <c r="B57" s="42">
        <f>B56*5</f>
        <v>231156.76</v>
      </c>
    </row>
    <row r="58" spans="1:2" ht="11.25">
      <c r="A58" s="1" t="s">
        <v>108</v>
      </c>
      <c r="B58" s="42">
        <f>B56*20</f>
        <v>924627.04</v>
      </c>
    </row>
    <row r="59" spans="1:2" ht="11.25">
      <c r="A59" s="1" t="s">
        <v>109</v>
      </c>
      <c r="B59" s="78">
        <f>SUM(D8:H8)</f>
        <v>1386940.5599999998</v>
      </c>
    </row>
    <row r="60" spans="1:2" ht="11.25">
      <c r="A60" s="1" t="s">
        <v>133</v>
      </c>
      <c r="B60" s="1">
        <v>0.626</v>
      </c>
    </row>
    <row r="61" spans="1:2" ht="11.25">
      <c r="A61" s="1" t="s">
        <v>105</v>
      </c>
      <c r="B61" s="1">
        <v>6</v>
      </c>
    </row>
    <row r="66" spans="2:3" ht="11.25">
      <c r="B66" s="60"/>
      <c r="C66" s="60"/>
    </row>
    <row r="67" spans="2:3" ht="11.25">
      <c r="B67" s="60"/>
      <c r="C67" s="60"/>
    </row>
    <row r="69" ht="11.25">
      <c r="B69" s="79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1" sqref="M31"/>
    </sheetView>
  </sheetViews>
  <sheetFormatPr defaultColWidth="9.140625" defaultRowHeight="12.75"/>
  <cols>
    <col min="1" max="1" width="37.421875" style="17" customWidth="1"/>
    <col min="2" max="17" width="10.421875" style="17" customWidth="1"/>
    <col min="18" max="18" width="10.421875" style="18" customWidth="1"/>
    <col min="19" max="16384" width="10.421875" style="17" customWidth="1"/>
  </cols>
  <sheetData>
    <row r="1" spans="2:17" ht="11.25">
      <c r="B1" s="18" t="s">
        <v>17</v>
      </c>
      <c r="C1" s="18"/>
      <c r="D1" s="18"/>
      <c r="E1" s="18" t="s">
        <v>18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 t="s">
        <v>58</v>
      </c>
    </row>
    <row r="2" spans="1:18" ht="12" thickBot="1">
      <c r="A2" s="36" t="s">
        <v>57</v>
      </c>
      <c r="B2" s="37" t="s">
        <v>14</v>
      </c>
      <c r="C2" s="37" t="s">
        <v>15</v>
      </c>
      <c r="D2" s="37" t="s">
        <v>16</v>
      </c>
      <c r="E2" s="37" t="s">
        <v>19</v>
      </c>
      <c r="F2" s="37" t="s">
        <v>20</v>
      </c>
      <c r="G2" s="37" t="s">
        <v>21</v>
      </c>
      <c r="H2" s="37" t="s">
        <v>22</v>
      </c>
      <c r="I2" s="37" t="s">
        <v>23</v>
      </c>
      <c r="J2" s="37" t="s">
        <v>24</v>
      </c>
      <c r="K2" s="37" t="s">
        <v>25</v>
      </c>
      <c r="L2" s="37" t="s">
        <v>26</v>
      </c>
      <c r="M2" s="37" t="s">
        <v>27</v>
      </c>
      <c r="N2" s="37" t="s">
        <v>14</v>
      </c>
      <c r="O2" s="37" t="s">
        <v>15</v>
      </c>
      <c r="P2" s="37" t="s">
        <v>16</v>
      </c>
      <c r="Q2" s="37" t="s">
        <v>19</v>
      </c>
      <c r="R2" s="38" t="s">
        <v>28</v>
      </c>
    </row>
    <row r="3" spans="1:18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1.25">
      <c r="A4" s="19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1.25">
      <c r="A5" s="17" t="s">
        <v>31</v>
      </c>
      <c r="B5" s="32">
        <v>0</v>
      </c>
      <c r="C5" s="31">
        <v>262</v>
      </c>
      <c r="D5" s="32">
        <v>0</v>
      </c>
      <c r="E5" s="32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8">
        <f>SUM(B5:Q5)</f>
        <v>262</v>
      </c>
    </row>
    <row r="6" spans="1:18" ht="11.25">
      <c r="A6" s="17" t="s">
        <v>33</v>
      </c>
      <c r="B6" s="32">
        <v>0</v>
      </c>
      <c r="C6" s="32">
        <v>330</v>
      </c>
      <c r="D6" s="32">
        <v>0</v>
      </c>
      <c r="E6" s="32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70</v>
      </c>
      <c r="R6" s="18">
        <f>SUM(B6:Q6)</f>
        <v>400</v>
      </c>
    </row>
    <row r="7" spans="1:18" ht="11.25">
      <c r="A7" s="17" t="s">
        <v>32</v>
      </c>
      <c r="B7" s="32">
        <v>0</v>
      </c>
      <c r="C7" s="32">
        <v>50</v>
      </c>
      <c r="D7" s="32">
        <v>0</v>
      </c>
      <c r="E7" s="32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8">
        <f>SUM(B7:Q7)</f>
        <v>50</v>
      </c>
    </row>
    <row r="8" spans="1:18" ht="11.25">
      <c r="A8" s="28" t="s">
        <v>34</v>
      </c>
      <c r="B8" s="33">
        <v>0</v>
      </c>
      <c r="C8" s="33">
        <v>6</v>
      </c>
      <c r="D8" s="33">
        <v>0</v>
      </c>
      <c r="E8" s="33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9">
        <f>SUM(B8:Q8)</f>
        <v>6</v>
      </c>
    </row>
    <row r="9" spans="1:18" ht="11.25">
      <c r="A9" s="20" t="s">
        <v>35</v>
      </c>
      <c r="B9" s="34">
        <v>0</v>
      </c>
      <c r="C9" s="34">
        <v>2</v>
      </c>
      <c r="D9" s="34">
        <v>0</v>
      </c>
      <c r="E9" s="34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5">
        <f>SUM(B9:Q9)</f>
        <v>2</v>
      </c>
    </row>
    <row r="10" spans="1:18" s="24" customFormat="1" ht="11.25">
      <c r="A10" s="24" t="s">
        <v>38</v>
      </c>
      <c r="B10" s="35">
        <f>SUM(B5:B9)</f>
        <v>0</v>
      </c>
      <c r="C10" s="35">
        <f aca="true" t="shared" si="0" ref="C10:I10">SUM(C5:C9)</f>
        <v>650</v>
      </c>
      <c r="D10" s="35">
        <f t="shared" si="0"/>
        <v>0</v>
      </c>
      <c r="E10" s="35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aca="true" t="shared" si="1" ref="J10:R10">SUM(J5:J9)</f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 t="shared" si="1"/>
        <v>0</v>
      </c>
      <c r="Q10" s="24">
        <f t="shared" si="1"/>
        <v>70</v>
      </c>
      <c r="R10" s="22">
        <f t="shared" si="1"/>
        <v>720</v>
      </c>
    </row>
    <row r="11" ht="11.25"/>
    <row r="12" spans="1:18" ht="11.25">
      <c r="A12" s="19" t="s">
        <v>39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5"/>
    </row>
    <row r="13" spans="1:18" ht="11.25">
      <c r="A13" s="17" t="s">
        <v>40</v>
      </c>
      <c r="B13" s="17">
        <v>0</v>
      </c>
      <c r="C13" s="17">
        <f>budget!B4*0.15</f>
        <v>3832.5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f>budget!B4*0.3</f>
        <v>7665</v>
      </c>
      <c r="L13" s="17">
        <v>0</v>
      </c>
      <c r="M13" s="17">
        <f>budget!B4*0.3</f>
        <v>7665</v>
      </c>
      <c r="N13" s="17">
        <v>0</v>
      </c>
      <c r="O13" s="17">
        <f>budget!B4*0.25</f>
        <v>6387.5</v>
      </c>
      <c r="P13" s="17">
        <v>0</v>
      </c>
      <c r="Q13" s="17">
        <v>0</v>
      </c>
      <c r="R13" s="18">
        <f>SUM(B13:Q13)</f>
        <v>25550</v>
      </c>
    </row>
    <row r="14" spans="1:18" ht="11.25">
      <c r="A14" s="20" t="s">
        <v>41</v>
      </c>
      <c r="B14" s="20">
        <v>0</v>
      </c>
      <c r="C14" s="20">
        <f>budget!B5*0.15</f>
        <v>240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f>budget!B5*0.3</f>
        <v>480</v>
      </c>
      <c r="L14" s="20">
        <v>0</v>
      </c>
      <c r="M14" s="20">
        <f>budget!B5*0.3</f>
        <v>480</v>
      </c>
      <c r="N14" s="20">
        <v>0</v>
      </c>
      <c r="O14" s="20">
        <f>budget!B5*0.25</f>
        <v>400</v>
      </c>
      <c r="P14" s="20">
        <v>0</v>
      </c>
      <c r="Q14" s="20">
        <v>0</v>
      </c>
      <c r="R14" s="25">
        <f>SUM(B14:Q14)</f>
        <v>1600</v>
      </c>
    </row>
    <row r="15" spans="1:18" ht="11.25">
      <c r="A15" s="24" t="s">
        <v>38</v>
      </c>
      <c r="B15" s="24">
        <f>SUM(B13:B14)</f>
        <v>0</v>
      </c>
      <c r="C15" s="24">
        <f aca="true" t="shared" si="2" ref="C15:I15">SUM(C13:C14)</f>
        <v>4072.5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aca="true" t="shared" si="3" ref="J15:R15">SUM(J13:J14)</f>
        <v>0</v>
      </c>
      <c r="K15" s="24">
        <f t="shared" si="3"/>
        <v>8145</v>
      </c>
      <c r="L15" s="24">
        <f t="shared" si="3"/>
        <v>0</v>
      </c>
      <c r="M15" s="24">
        <f t="shared" si="3"/>
        <v>8145</v>
      </c>
      <c r="N15" s="24">
        <f t="shared" si="3"/>
        <v>0</v>
      </c>
      <c r="O15" s="24">
        <f t="shared" si="3"/>
        <v>6787.5</v>
      </c>
      <c r="P15" s="24">
        <f t="shared" si="3"/>
        <v>0</v>
      </c>
      <c r="Q15" s="24">
        <f t="shared" si="3"/>
        <v>0</v>
      </c>
      <c r="R15" s="22">
        <f t="shared" si="3"/>
        <v>27150</v>
      </c>
    </row>
    <row r="16" ht="11.25"/>
    <row r="17" spans="1:18" ht="11.25">
      <c r="A17" s="19" t="s">
        <v>42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5"/>
    </row>
    <row r="18" spans="1:18" ht="11.25">
      <c r="A18" s="24" t="s">
        <v>38</v>
      </c>
      <c r="B18" s="17">
        <v>0</v>
      </c>
      <c r="C18" s="17">
        <f>budget!B7*0.3</f>
        <v>127.5</v>
      </c>
      <c r="D18" s="17">
        <f>budget!B7*0.7</f>
        <v>297.5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22">
        <f>SUM(B18:Q18)</f>
        <v>425</v>
      </c>
    </row>
    <row r="19" ht="11.25"/>
    <row r="20" spans="1:18" ht="11.25">
      <c r="A20" s="19" t="s">
        <v>43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5"/>
    </row>
    <row r="21" spans="1:18" ht="11.25">
      <c r="A21" s="17" t="s">
        <v>44</v>
      </c>
      <c r="B21" s="17">
        <v>0</v>
      </c>
      <c r="C21" s="17">
        <f>250*0.1</f>
        <v>25</v>
      </c>
      <c r="D21" s="17">
        <v>0</v>
      </c>
      <c r="E21" s="17">
        <f>250*0.3*0.85</f>
        <v>63.75</v>
      </c>
      <c r="F21" s="17">
        <v>0</v>
      </c>
      <c r="G21" s="17">
        <f>250*0.3*0.85</f>
        <v>63.75</v>
      </c>
      <c r="H21" s="17">
        <v>0</v>
      </c>
      <c r="I21" s="17">
        <f>250*0.3*0.85</f>
        <v>63.75</v>
      </c>
      <c r="J21" s="17">
        <v>0</v>
      </c>
      <c r="K21" s="17">
        <f>250*0.135</f>
        <v>33.75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f>SUM(B21:Q21)</f>
        <v>250</v>
      </c>
    </row>
    <row r="22" spans="1:18" ht="11.25">
      <c r="A22" s="17" t="s">
        <v>45</v>
      </c>
      <c r="B22" s="17">
        <v>0</v>
      </c>
      <c r="C22" s="17">
        <v>0</v>
      </c>
      <c r="D22" s="17">
        <v>0</v>
      </c>
      <c r="E22" s="17">
        <v>0</v>
      </c>
      <c r="F22" s="17">
        <f>480*0.1</f>
        <v>48</v>
      </c>
      <c r="G22" s="17">
        <v>0</v>
      </c>
      <c r="H22" s="17">
        <f>480*0.3*0.85</f>
        <v>122.39999999999999</v>
      </c>
      <c r="I22" s="17">
        <v>0</v>
      </c>
      <c r="J22" s="17">
        <f>480*0.3*0.85</f>
        <v>122.39999999999999</v>
      </c>
      <c r="K22" s="17">
        <v>0</v>
      </c>
      <c r="L22" s="17">
        <f>(480*0.3*0.85)+(480*0.135)</f>
        <v>187.2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f>SUM(B22:Q22)</f>
        <v>479.99999999999994</v>
      </c>
    </row>
    <row r="23" spans="1:18" ht="11.25">
      <c r="A23" s="20" t="s">
        <v>46</v>
      </c>
      <c r="B23" s="20">
        <v>0</v>
      </c>
      <c r="C23" s="20">
        <v>0</v>
      </c>
      <c r="D23" s="20">
        <v>0</v>
      </c>
      <c r="E23" s="20">
        <v>0</v>
      </c>
      <c r="F23" s="20">
        <f>470*0.1</f>
        <v>47</v>
      </c>
      <c r="G23" s="20">
        <v>0</v>
      </c>
      <c r="H23" s="20">
        <f>470*0.3*0.85</f>
        <v>119.85</v>
      </c>
      <c r="I23" s="20">
        <v>0</v>
      </c>
      <c r="J23" s="20">
        <f>470*0.3*0.85</f>
        <v>119.85</v>
      </c>
      <c r="K23" s="20">
        <v>0</v>
      </c>
      <c r="L23" s="20">
        <f>(470*0.3*0.85)+(470*0.135)</f>
        <v>183.3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5">
        <f>SUM(B23:Q23)</f>
        <v>470</v>
      </c>
    </row>
    <row r="24" spans="1:18" ht="11.25">
      <c r="A24" s="24" t="s">
        <v>38</v>
      </c>
      <c r="B24" s="24">
        <f>SUM(B21:B23)</f>
        <v>0</v>
      </c>
      <c r="C24" s="24">
        <f aca="true" t="shared" si="4" ref="C24:H24">SUM(C21:C23)</f>
        <v>25</v>
      </c>
      <c r="D24" s="24">
        <f t="shared" si="4"/>
        <v>0</v>
      </c>
      <c r="E24" s="24">
        <f t="shared" si="4"/>
        <v>63.75</v>
      </c>
      <c r="F24" s="24">
        <f t="shared" si="4"/>
        <v>95</v>
      </c>
      <c r="G24" s="24">
        <f t="shared" si="4"/>
        <v>63.75</v>
      </c>
      <c r="H24" s="24">
        <f t="shared" si="4"/>
        <v>242.25</v>
      </c>
      <c r="I24" s="24">
        <f aca="true" t="shared" si="5" ref="I24:R24">SUM(I21:I23)</f>
        <v>63.75</v>
      </c>
      <c r="J24" s="24">
        <f t="shared" si="5"/>
        <v>242.25</v>
      </c>
      <c r="K24" s="24">
        <f t="shared" si="5"/>
        <v>33.75</v>
      </c>
      <c r="L24" s="24">
        <f t="shared" si="5"/>
        <v>370.5</v>
      </c>
      <c r="M24" s="24">
        <f t="shared" si="5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Q24" s="24">
        <f t="shared" si="5"/>
        <v>0</v>
      </c>
      <c r="R24" s="22">
        <f t="shared" si="5"/>
        <v>1200</v>
      </c>
    </row>
    <row r="25" ht="11.25"/>
    <row r="26" spans="1:18" ht="11.25">
      <c r="A26" s="19" t="s">
        <v>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5"/>
    </row>
    <row r="27" spans="1:18" ht="11.25">
      <c r="A27" s="24" t="s">
        <v>38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f>budget!B9*0.25</f>
        <v>120.5</v>
      </c>
      <c r="J27" s="17">
        <f>budget!B9*0.25</f>
        <v>120.5</v>
      </c>
      <c r="K27" s="17">
        <f>budget!B9*0.25</f>
        <v>120.5</v>
      </c>
      <c r="L27" s="17">
        <f>budget!B9*0.25</f>
        <v>120.5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2">
        <f>SUM(B27:Q27)</f>
        <v>482</v>
      </c>
    </row>
    <row r="28" ht="11.25"/>
    <row r="29" spans="1:18" ht="11.25">
      <c r="A29" s="19" t="s">
        <v>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5"/>
    </row>
    <row r="30" spans="1:18" ht="11.25">
      <c r="A30" s="17" t="s">
        <v>48</v>
      </c>
      <c r="B30" s="17">
        <v>0</v>
      </c>
      <c r="C30" s="17">
        <v>0</v>
      </c>
      <c r="D30" s="17">
        <f>1822.1*0.5</f>
        <v>911.05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f>1822.1*0.5</f>
        <v>911.05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f>SUM(B30:Q30)</f>
        <v>1822.1</v>
      </c>
    </row>
    <row r="31" spans="1:18" ht="11.25">
      <c r="A31" s="20" t="s">
        <v>47</v>
      </c>
      <c r="B31" s="20">
        <v>0</v>
      </c>
      <c r="C31" s="20">
        <f>1273*0.3+38</f>
        <v>419.9</v>
      </c>
      <c r="D31" s="20">
        <v>0</v>
      </c>
      <c r="E31" s="20">
        <v>0</v>
      </c>
      <c r="F31" s="20">
        <v>0</v>
      </c>
      <c r="G31" s="20">
        <f>1273*0.3</f>
        <v>381.9</v>
      </c>
      <c r="H31" s="20">
        <v>0</v>
      </c>
      <c r="I31" s="20">
        <v>0</v>
      </c>
      <c r="J31" s="20">
        <f>1273*0.3</f>
        <v>381.9</v>
      </c>
      <c r="K31" s="20">
        <f>1273*0.1</f>
        <v>127.30000000000001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5">
        <f>SUM(B31:Q31)</f>
        <v>1310.9999999999998</v>
      </c>
    </row>
    <row r="32" spans="1:18" ht="11.25">
      <c r="A32" s="24" t="s">
        <v>38</v>
      </c>
      <c r="B32" s="24">
        <f>SUM(B30:B31)</f>
        <v>0</v>
      </c>
      <c r="C32" s="24">
        <f aca="true" t="shared" si="6" ref="C32:J32">SUM(C30:C31)</f>
        <v>419.9</v>
      </c>
      <c r="D32" s="24">
        <f t="shared" si="6"/>
        <v>911.05</v>
      </c>
      <c r="E32" s="24">
        <f t="shared" si="6"/>
        <v>0</v>
      </c>
      <c r="F32" s="24">
        <f t="shared" si="6"/>
        <v>0</v>
      </c>
      <c r="G32" s="24">
        <f t="shared" si="6"/>
        <v>381.9</v>
      </c>
      <c r="H32" s="24">
        <f t="shared" si="6"/>
        <v>0</v>
      </c>
      <c r="I32" s="24">
        <f t="shared" si="6"/>
        <v>0</v>
      </c>
      <c r="J32" s="24">
        <f t="shared" si="6"/>
        <v>1292.9499999999998</v>
      </c>
      <c r="K32" s="24">
        <f aca="true" t="shared" si="7" ref="K32:R32">SUM(K30:K31)</f>
        <v>127.30000000000001</v>
      </c>
      <c r="L32" s="24">
        <f t="shared" si="7"/>
        <v>0</v>
      </c>
      <c r="M32" s="24">
        <f t="shared" si="7"/>
        <v>0</v>
      </c>
      <c r="N32" s="17">
        <f t="shared" si="7"/>
        <v>0</v>
      </c>
      <c r="O32" s="17">
        <f t="shared" si="7"/>
        <v>0</v>
      </c>
      <c r="P32" s="17">
        <f t="shared" si="7"/>
        <v>0</v>
      </c>
      <c r="Q32" s="17">
        <f t="shared" si="7"/>
        <v>0</v>
      </c>
      <c r="R32" s="22">
        <f t="shared" si="7"/>
        <v>3133.0999999999995</v>
      </c>
    </row>
    <row r="33" ht="11.25">
      <c r="R33" s="22"/>
    </row>
    <row r="34" spans="1:18" ht="11.25">
      <c r="A34" s="19" t="s">
        <v>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3"/>
    </row>
    <row r="35" spans="1:18" ht="11.25">
      <c r="A35" s="17" t="s">
        <v>59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28</v>
      </c>
      <c r="R35" s="26">
        <f aca="true" t="shared" si="8" ref="R35:R43">SUM(B35:Q35)</f>
        <v>28</v>
      </c>
    </row>
    <row r="36" spans="1:18" ht="11.25">
      <c r="A36" s="17" t="s">
        <v>49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v>53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6">
        <f t="shared" si="8"/>
        <v>53</v>
      </c>
    </row>
    <row r="37" spans="1:18" ht="11.25">
      <c r="A37" s="17" t="s">
        <v>50</v>
      </c>
      <c r="B37" s="17">
        <v>0</v>
      </c>
      <c r="C37" s="17">
        <v>0</v>
      </c>
      <c r="D37" s="17">
        <v>0</v>
      </c>
      <c r="E37" s="17">
        <v>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3</v>
      </c>
      <c r="R37" s="26">
        <f t="shared" si="8"/>
        <v>6</v>
      </c>
    </row>
    <row r="38" spans="1:18" ht="11.25">
      <c r="A38" s="17" t="s">
        <v>51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6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26">
        <f t="shared" si="8"/>
        <v>6</v>
      </c>
    </row>
    <row r="39" spans="1:18" ht="11.25">
      <c r="A39" s="17" t="s">
        <v>55</v>
      </c>
      <c r="B39" s="17">
        <f aca="true" t="shared" si="9" ref="B39:Q39">B40+B41+B42</f>
        <v>12</v>
      </c>
      <c r="C39" s="17">
        <f t="shared" si="9"/>
        <v>12</v>
      </c>
      <c r="D39" s="17">
        <f t="shared" si="9"/>
        <v>12</v>
      </c>
      <c r="E39" s="17">
        <f t="shared" si="9"/>
        <v>12</v>
      </c>
      <c r="F39" s="17">
        <f t="shared" si="9"/>
        <v>12</v>
      </c>
      <c r="G39" s="17">
        <f t="shared" si="9"/>
        <v>12</v>
      </c>
      <c r="H39" s="17">
        <f t="shared" si="9"/>
        <v>12</v>
      </c>
      <c r="I39" s="17">
        <f t="shared" si="9"/>
        <v>12</v>
      </c>
      <c r="J39" s="17">
        <f t="shared" si="9"/>
        <v>12</v>
      </c>
      <c r="K39" s="17">
        <f t="shared" si="9"/>
        <v>12</v>
      </c>
      <c r="L39" s="17">
        <f t="shared" si="9"/>
        <v>12</v>
      </c>
      <c r="M39" s="17">
        <f t="shared" si="9"/>
        <v>12</v>
      </c>
      <c r="N39" s="17">
        <f t="shared" si="9"/>
        <v>12</v>
      </c>
      <c r="O39" s="17">
        <f t="shared" si="9"/>
        <v>11.3</v>
      </c>
      <c r="P39" s="17">
        <f t="shared" si="9"/>
        <v>11.3</v>
      </c>
      <c r="Q39" s="17">
        <f t="shared" si="9"/>
        <v>11.3</v>
      </c>
      <c r="R39" s="26">
        <f t="shared" si="8"/>
        <v>189.90000000000003</v>
      </c>
    </row>
    <row r="40" spans="1:18" ht="11.25">
      <c r="A40" s="17" t="s">
        <v>52</v>
      </c>
      <c r="B40" s="17">
        <v>7.3</v>
      </c>
      <c r="C40" s="17">
        <v>7.3</v>
      </c>
      <c r="D40" s="17">
        <v>7.3</v>
      </c>
      <c r="E40" s="17">
        <v>7.3</v>
      </c>
      <c r="F40" s="17">
        <v>7.3</v>
      </c>
      <c r="G40" s="17">
        <v>7.3</v>
      </c>
      <c r="H40" s="17">
        <v>7.3</v>
      </c>
      <c r="I40" s="17">
        <v>7.3</v>
      </c>
      <c r="J40" s="17">
        <v>7.3</v>
      </c>
      <c r="K40" s="17">
        <v>7.3</v>
      </c>
      <c r="L40" s="17">
        <v>7.3</v>
      </c>
      <c r="M40" s="17">
        <v>7.3</v>
      </c>
      <c r="N40" s="17">
        <v>7.3</v>
      </c>
      <c r="O40" s="17">
        <v>7.3</v>
      </c>
      <c r="P40" s="17">
        <v>7.3</v>
      </c>
      <c r="Q40" s="17">
        <v>7.3</v>
      </c>
      <c r="R40" s="27">
        <f t="shared" si="8"/>
        <v>116.79999999999997</v>
      </c>
    </row>
    <row r="41" spans="1:18" ht="11.25">
      <c r="A41" s="17" t="s">
        <v>53</v>
      </c>
      <c r="B41" s="17">
        <v>0.7</v>
      </c>
      <c r="C41" s="17">
        <v>0.7</v>
      </c>
      <c r="D41" s="17">
        <v>0.7</v>
      </c>
      <c r="E41" s="17">
        <v>0.7</v>
      </c>
      <c r="F41" s="17">
        <v>0.7</v>
      </c>
      <c r="G41" s="17">
        <v>0.7</v>
      </c>
      <c r="H41" s="17">
        <v>0.7</v>
      </c>
      <c r="I41" s="17">
        <v>0.7</v>
      </c>
      <c r="J41" s="17">
        <v>0.7</v>
      </c>
      <c r="K41" s="17">
        <v>0.7</v>
      </c>
      <c r="L41" s="17">
        <v>0.7</v>
      </c>
      <c r="M41" s="17">
        <v>0.7</v>
      </c>
      <c r="N41" s="17">
        <v>0.7</v>
      </c>
      <c r="O41" s="17">
        <v>0.7</v>
      </c>
      <c r="P41" s="17">
        <v>0.7</v>
      </c>
      <c r="Q41" s="17">
        <v>0.7</v>
      </c>
      <c r="R41" s="27">
        <f t="shared" si="8"/>
        <v>11.199999999999998</v>
      </c>
    </row>
    <row r="42" spans="1:18" ht="11.25">
      <c r="A42" s="17" t="s">
        <v>54</v>
      </c>
      <c r="B42" s="17">
        <v>4</v>
      </c>
      <c r="C42" s="17">
        <v>4</v>
      </c>
      <c r="D42" s="17">
        <v>4</v>
      </c>
      <c r="E42" s="17">
        <v>4</v>
      </c>
      <c r="F42" s="17">
        <v>4</v>
      </c>
      <c r="G42" s="17">
        <v>4</v>
      </c>
      <c r="H42" s="17">
        <v>4</v>
      </c>
      <c r="I42" s="17">
        <v>4</v>
      </c>
      <c r="J42" s="17">
        <v>4</v>
      </c>
      <c r="K42" s="17">
        <v>4</v>
      </c>
      <c r="L42" s="17">
        <v>4</v>
      </c>
      <c r="M42" s="17">
        <v>4</v>
      </c>
      <c r="N42" s="17">
        <v>4</v>
      </c>
      <c r="O42" s="17">
        <v>3.3</v>
      </c>
      <c r="P42" s="17">
        <v>3.3</v>
      </c>
      <c r="Q42" s="17">
        <v>3.3</v>
      </c>
      <c r="R42" s="27">
        <f t="shared" si="8"/>
        <v>61.89999999999999</v>
      </c>
    </row>
    <row r="43" spans="1:18" ht="11.25">
      <c r="A43" s="20" t="s">
        <v>56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5</v>
      </c>
      <c r="R43" s="21">
        <f t="shared" si="8"/>
        <v>5</v>
      </c>
    </row>
    <row r="44" spans="1:18" ht="11.25">
      <c r="A44" s="24" t="s">
        <v>38</v>
      </c>
      <c r="B44" s="24">
        <f aca="true" t="shared" si="10" ref="B44:Q44">B35+B36+B39+B43</f>
        <v>12</v>
      </c>
      <c r="C44" s="24">
        <f t="shared" si="10"/>
        <v>12</v>
      </c>
      <c r="D44" s="24">
        <f t="shared" si="10"/>
        <v>12</v>
      </c>
      <c r="E44" s="24">
        <f t="shared" si="10"/>
        <v>12</v>
      </c>
      <c r="F44" s="24">
        <f t="shared" si="10"/>
        <v>12</v>
      </c>
      <c r="G44" s="24">
        <f t="shared" si="10"/>
        <v>12</v>
      </c>
      <c r="H44" s="24">
        <f t="shared" si="10"/>
        <v>12</v>
      </c>
      <c r="I44" s="24">
        <f t="shared" si="10"/>
        <v>12</v>
      </c>
      <c r="J44" s="24">
        <f t="shared" si="10"/>
        <v>12</v>
      </c>
      <c r="K44" s="24">
        <f t="shared" si="10"/>
        <v>12</v>
      </c>
      <c r="L44" s="24">
        <f t="shared" si="10"/>
        <v>65</v>
      </c>
      <c r="M44" s="24">
        <f t="shared" si="10"/>
        <v>12</v>
      </c>
      <c r="N44" s="24">
        <f t="shared" si="10"/>
        <v>12</v>
      </c>
      <c r="O44" s="24">
        <f t="shared" si="10"/>
        <v>11.3</v>
      </c>
      <c r="P44" s="24">
        <f t="shared" si="10"/>
        <v>11.3</v>
      </c>
      <c r="Q44" s="24">
        <f t="shared" si="10"/>
        <v>44.3</v>
      </c>
      <c r="R44" s="26">
        <f>R35+R36+R37+R38+R39+R43</f>
        <v>287.90000000000003</v>
      </c>
    </row>
  </sheetData>
  <printOptions/>
  <pageMargins left="0.75" right="0.75" top="1" bottom="1" header="0.5" footer="0.5"/>
  <pageSetup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17" sqref="D17"/>
    </sheetView>
  </sheetViews>
  <sheetFormatPr defaultColWidth="9.140625" defaultRowHeight="12.75"/>
  <cols>
    <col min="1" max="1" width="12.140625" style="0" customWidth="1"/>
  </cols>
  <sheetData>
    <row r="1" ht="12.75">
      <c r="A1" t="s">
        <v>132</v>
      </c>
    </row>
    <row r="3" ht="12.75">
      <c r="A3" t="s">
        <v>114</v>
      </c>
    </row>
    <row r="5" spans="2:4" ht="12.75">
      <c r="B5" t="s">
        <v>115</v>
      </c>
      <c r="D5" t="s">
        <v>116</v>
      </c>
    </row>
    <row r="6" spans="2:5" ht="12.75">
      <c r="B6" s="52" t="s">
        <v>111</v>
      </c>
      <c r="C6" s="52" t="s">
        <v>112</v>
      </c>
      <c r="D6" s="52" t="s">
        <v>111</v>
      </c>
      <c r="E6" s="52" t="s">
        <v>112</v>
      </c>
    </row>
    <row r="7" spans="1:5" ht="12.75">
      <c r="A7">
        <v>2008</v>
      </c>
      <c r="B7" s="53">
        <v>1831000</v>
      </c>
      <c r="C7" s="53">
        <f>B7*'cash flow'!$B$60</f>
        <v>1146206</v>
      </c>
      <c r="D7" s="53">
        <v>0</v>
      </c>
      <c r="E7" s="53">
        <v>0</v>
      </c>
    </row>
    <row r="8" spans="1:5" ht="12.75">
      <c r="A8">
        <v>2009</v>
      </c>
      <c r="B8" s="53">
        <v>1818000</v>
      </c>
      <c r="C8" s="53">
        <f>B8*'cash flow'!$B$60</f>
        <v>1138068</v>
      </c>
      <c r="D8" s="53">
        <v>0</v>
      </c>
      <c r="E8" s="53">
        <v>0</v>
      </c>
    </row>
    <row r="9" spans="1:5" ht="12.75">
      <c r="A9">
        <v>2010</v>
      </c>
      <c r="B9" s="53">
        <v>1549000</v>
      </c>
      <c r="C9" s="53">
        <f>B9*'cash flow'!$B$60</f>
        <v>969674</v>
      </c>
      <c r="D9" s="53">
        <v>0</v>
      </c>
      <c r="E9" s="53">
        <v>0</v>
      </c>
    </row>
    <row r="10" spans="1:5" ht="12.75">
      <c r="A10">
        <v>2011</v>
      </c>
      <c r="B10" s="53">
        <v>4974000</v>
      </c>
      <c r="C10" s="53">
        <f>B10*'cash flow'!$B$60</f>
        <v>3113724</v>
      </c>
      <c r="D10" s="53">
        <v>0</v>
      </c>
      <c r="E10" s="53">
        <v>0</v>
      </c>
    </row>
    <row r="11" spans="1:5" ht="12.75">
      <c r="A11">
        <v>2012</v>
      </c>
      <c r="B11" s="53">
        <v>5730000</v>
      </c>
      <c r="C11" s="53">
        <f>B11*'cash flow'!$B$60</f>
        <v>3586980</v>
      </c>
      <c r="D11" s="53">
        <v>0</v>
      </c>
      <c r="E11" s="53">
        <v>0</v>
      </c>
    </row>
    <row r="12" spans="2:5" ht="12.75">
      <c r="B12" s="53"/>
      <c r="C12" s="53"/>
      <c r="D12" s="53"/>
      <c r="E12" s="53"/>
    </row>
    <row r="13" spans="1:5" ht="12.75">
      <c r="A13" t="s">
        <v>117</v>
      </c>
      <c r="B13" s="53"/>
      <c r="C13" s="53"/>
      <c r="D13" s="53"/>
      <c r="E13" s="53"/>
    </row>
    <row r="14" spans="2:5" ht="12.75">
      <c r="B14" s="53"/>
      <c r="C14" s="53"/>
      <c r="D14" s="53"/>
      <c r="E14" s="53"/>
    </row>
    <row r="15" spans="2:5" ht="12.75">
      <c r="B15" s="53" t="s">
        <v>115</v>
      </c>
      <c r="C15" s="53"/>
      <c r="D15" s="53" t="s">
        <v>116</v>
      </c>
      <c r="E15" s="53"/>
    </row>
    <row r="16" spans="2:5" ht="12.75">
      <c r="B16" s="54" t="s">
        <v>111</v>
      </c>
      <c r="C16" s="54" t="s">
        <v>112</v>
      </c>
      <c r="D16" s="54" t="s">
        <v>111</v>
      </c>
      <c r="E16" s="54" t="s">
        <v>112</v>
      </c>
    </row>
    <row r="17" spans="1:5" ht="12.75">
      <c r="A17">
        <v>2008</v>
      </c>
      <c r="B17" s="53">
        <f>B7-D17</f>
        <v>1757148</v>
      </c>
      <c r="C17" s="53">
        <f>B17*'cash flow'!$B$60</f>
        <v>1099974.648</v>
      </c>
      <c r="D17" s="53">
        <f>'cash flow'!$C$6/1000</f>
        <v>73852</v>
      </c>
      <c r="E17" s="53">
        <v>0</v>
      </c>
    </row>
    <row r="18" spans="1:5" ht="12.75">
      <c r="A18">
        <v>2009</v>
      </c>
      <c r="B18" s="53">
        <f>B8-D18</f>
        <v>1744148</v>
      </c>
      <c r="C18" s="53">
        <f>B18*'cash flow'!$B$60</f>
        <v>1091836.648</v>
      </c>
      <c r="D18" s="53">
        <f>'cash flow'!$C$6/1000</f>
        <v>73852</v>
      </c>
      <c r="E18" s="53">
        <v>0</v>
      </c>
    </row>
    <row r="19" spans="1:5" ht="12.75">
      <c r="A19">
        <v>2010</v>
      </c>
      <c r="B19" s="53">
        <f>B9-D19</f>
        <v>1475148</v>
      </c>
      <c r="C19" s="53">
        <f>B19*'cash flow'!$B$60</f>
        <v>923442.648</v>
      </c>
      <c r="D19" s="53">
        <f>'cash flow'!$C$6/1000</f>
        <v>73852</v>
      </c>
      <c r="E19" s="53">
        <v>0</v>
      </c>
    </row>
    <row r="20" spans="1:5" ht="12.75">
      <c r="A20">
        <v>2011</v>
      </c>
      <c r="B20" s="53">
        <f>B10-D20</f>
        <v>4900148</v>
      </c>
      <c r="C20" s="53">
        <f>B20*'cash flow'!$B$60</f>
        <v>3067492.648</v>
      </c>
      <c r="D20" s="53">
        <f>'cash flow'!$C$6/1000</f>
        <v>73852</v>
      </c>
      <c r="E20" s="53">
        <v>0</v>
      </c>
    </row>
    <row r="21" spans="1:5" ht="12.75">
      <c r="A21">
        <v>2012</v>
      </c>
      <c r="B21" s="53">
        <f>B11-D21</f>
        <v>5656148</v>
      </c>
      <c r="C21" s="53">
        <f>B21*'cash flow'!$B$60</f>
        <v>3540748.648</v>
      </c>
      <c r="D21" s="53">
        <f>'cash flow'!$C$6/1000</f>
        <v>73852</v>
      </c>
      <c r="E21" s="53">
        <v>0</v>
      </c>
    </row>
    <row r="24" ht="12.75">
      <c r="A24" t="s">
        <v>118</v>
      </c>
    </row>
    <row r="26" spans="1:2" ht="12.75">
      <c r="A26">
        <v>2008</v>
      </c>
      <c r="B26" s="53">
        <f>C7-C17</f>
        <v>46231.351999999955</v>
      </c>
    </row>
    <row r="27" spans="1:2" ht="12.75">
      <c r="A27">
        <v>2009</v>
      </c>
      <c r="B27" s="53">
        <f>C8-C18</f>
        <v>46231.351999999955</v>
      </c>
    </row>
    <row r="28" spans="1:2" ht="12.75">
      <c r="A28">
        <v>2010</v>
      </c>
      <c r="B28" s="53">
        <f>C9-C19</f>
        <v>46231.351999999955</v>
      </c>
    </row>
    <row r="29" spans="1:2" ht="12.75">
      <c r="A29">
        <v>2011</v>
      </c>
      <c r="B29" s="53">
        <f>C10-C20</f>
        <v>46231.351999999955</v>
      </c>
    </row>
    <row r="30" spans="1:2" ht="12.75">
      <c r="A30">
        <v>2012</v>
      </c>
      <c r="B30" s="53">
        <f>C11-C21</f>
        <v>46231.351999999955</v>
      </c>
    </row>
    <row r="31" spans="1:2" ht="12.75">
      <c r="A31" s="52" t="s">
        <v>38</v>
      </c>
      <c r="B31" s="54">
        <f>SUM(B26:B30)</f>
        <v>231156.75999999978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L15" sqref="L15"/>
    </sheetView>
  </sheetViews>
  <sheetFormatPr defaultColWidth="9.140625" defaultRowHeight="12.75"/>
  <cols>
    <col min="1" max="1" width="27.421875" style="0" customWidth="1"/>
    <col min="2" max="2" width="11.00390625" style="0" customWidth="1"/>
    <col min="3" max="3" width="11.140625" style="0" customWidth="1"/>
    <col min="4" max="4" width="10.57421875" style="0" customWidth="1"/>
    <col min="5" max="6" width="10.8515625" style="0" customWidth="1"/>
    <col min="7" max="7" width="10.57421875" style="0" customWidth="1"/>
    <col min="8" max="8" width="11.00390625" style="0" customWidth="1"/>
    <col min="9" max="9" width="13.00390625" style="0" customWidth="1"/>
  </cols>
  <sheetData>
    <row r="2" spans="1:2" ht="12.75">
      <c r="A2" s="52" t="s">
        <v>135</v>
      </c>
      <c r="B2" s="54">
        <v>73852000</v>
      </c>
    </row>
    <row r="3" spans="1:2" ht="12.75">
      <c r="A3" s="52" t="s">
        <v>140</v>
      </c>
      <c r="B3" s="52">
        <v>6</v>
      </c>
    </row>
    <row r="4" ht="12.75">
      <c r="B4" s="53"/>
    </row>
    <row r="5" spans="1:9" ht="12.75">
      <c r="A5" t="s">
        <v>136</v>
      </c>
      <c r="C5" s="62">
        <f>0-0.12</f>
        <v>-0.12</v>
      </c>
      <c r="D5" s="62">
        <f>0-0.08</f>
        <v>-0.08</v>
      </c>
      <c r="E5" s="62">
        <f>0-0.04</f>
        <v>-0.04</v>
      </c>
      <c r="F5" s="69">
        <v>0</v>
      </c>
      <c r="G5" s="62">
        <v>0.04</v>
      </c>
      <c r="H5" s="62">
        <v>0.08</v>
      </c>
      <c r="I5" s="62">
        <v>0.12</v>
      </c>
    </row>
    <row r="6" spans="1:11" ht="12.75">
      <c r="A6" t="s">
        <v>134</v>
      </c>
      <c r="B6" s="53"/>
      <c r="C6" s="63">
        <f aca="true" t="shared" si="0" ref="C6:I6">$B$2-$B$2*(-C5)</f>
        <v>64989760</v>
      </c>
      <c r="D6" s="63">
        <f t="shared" si="0"/>
        <v>67943840</v>
      </c>
      <c r="E6" s="63">
        <f t="shared" si="0"/>
        <v>70897920</v>
      </c>
      <c r="F6" s="70">
        <f t="shared" si="0"/>
        <v>73852000</v>
      </c>
      <c r="G6" s="63">
        <f t="shared" si="0"/>
        <v>76806080</v>
      </c>
      <c r="H6" s="63">
        <f t="shared" si="0"/>
        <v>79760160</v>
      </c>
      <c r="I6" s="63">
        <f t="shared" si="0"/>
        <v>82714240</v>
      </c>
      <c r="J6" s="53"/>
      <c r="K6" s="53"/>
    </row>
    <row r="7" spans="1:9" ht="12.75">
      <c r="A7" t="s">
        <v>138</v>
      </c>
      <c r="C7" s="64">
        <v>0.0763093046395267</v>
      </c>
      <c r="D7" s="64">
        <v>0.08402657337699607</v>
      </c>
      <c r="E7" s="64">
        <v>0.09156857313880194</v>
      </c>
      <c r="F7" s="66">
        <v>0.0989556284848993</v>
      </c>
      <c r="G7" s="64">
        <v>0.10620505241104551</v>
      </c>
      <c r="H7" s="64">
        <v>0.11333170488774746</v>
      </c>
      <c r="I7" s="64">
        <v>0.1203484267115269</v>
      </c>
    </row>
    <row r="8" spans="1:9" ht="12.75">
      <c r="A8" t="s">
        <v>137</v>
      </c>
      <c r="C8" s="65">
        <v>10.586042275923758</v>
      </c>
      <c r="D8" s="65">
        <v>9.992689047400644</v>
      </c>
      <c r="E8" s="65">
        <v>9.462320987200586</v>
      </c>
      <c r="F8" s="67">
        <v>8.985414630458777</v>
      </c>
      <c r="G8" s="65">
        <v>8.554274340883016</v>
      </c>
      <c r="H8" s="65">
        <v>8.16261387187305</v>
      </c>
      <c r="I8" s="65">
        <v>7.805247845253939</v>
      </c>
    </row>
    <row r="9" ht="12.75">
      <c r="F9" s="71"/>
    </row>
    <row r="10" ht="12.75">
      <c r="F10" s="71"/>
    </row>
    <row r="11" spans="1:11" ht="12.75">
      <c r="A11" s="68" t="s">
        <v>136</v>
      </c>
      <c r="C11" s="62">
        <f>0-0.3</f>
        <v>-0.3</v>
      </c>
      <c r="D11" s="62">
        <f>0-0.2</f>
        <v>-0.2</v>
      </c>
      <c r="E11" s="62">
        <f>0-0.1</f>
        <v>-0.1</v>
      </c>
      <c r="F11" s="69">
        <v>0</v>
      </c>
      <c r="G11" s="62">
        <v>0.1</v>
      </c>
      <c r="H11" s="62">
        <v>0.2</v>
      </c>
      <c r="I11" s="62">
        <v>0.3</v>
      </c>
      <c r="J11" s="62"/>
      <c r="K11" s="62"/>
    </row>
    <row r="12" spans="1:9" ht="12.75">
      <c r="A12" t="s">
        <v>139</v>
      </c>
      <c r="C12">
        <f aca="true" t="shared" si="1" ref="C12:I12">$B$3-($B$3*(-C11))</f>
        <v>4.2</v>
      </c>
      <c r="D12">
        <f t="shared" si="1"/>
        <v>4.8</v>
      </c>
      <c r="E12">
        <f t="shared" si="1"/>
        <v>5.4</v>
      </c>
      <c r="F12" s="71">
        <f t="shared" si="1"/>
        <v>6</v>
      </c>
      <c r="G12">
        <f t="shared" si="1"/>
        <v>6.6</v>
      </c>
      <c r="H12">
        <f t="shared" si="1"/>
        <v>7.2</v>
      </c>
      <c r="I12">
        <f t="shared" si="1"/>
        <v>7.8</v>
      </c>
    </row>
    <row r="13" spans="1:11" ht="12.75">
      <c r="A13" t="s">
        <v>138</v>
      </c>
      <c r="C13" s="64">
        <v>0.09770450859478154</v>
      </c>
      <c r="D13" s="64">
        <v>0.09812077249685773</v>
      </c>
      <c r="E13" s="64">
        <v>0.09853781267743893</v>
      </c>
      <c r="F13" s="66">
        <v>0.0989556284848993</v>
      </c>
      <c r="G13" s="64">
        <v>0.09937421924461814</v>
      </c>
      <c r="H13" s="64">
        <v>0.09979358425891906</v>
      </c>
      <c r="I13" s="64">
        <v>0.10021372280701256</v>
      </c>
      <c r="J13" s="64"/>
      <c r="K13" s="64"/>
    </row>
    <row r="14" spans="1:10" ht="12.75">
      <c r="A14" t="s">
        <v>137</v>
      </c>
      <c r="C14" s="65">
        <v>9.032673971834091</v>
      </c>
      <c r="D14" s="65">
        <v>9.016865718397955</v>
      </c>
      <c r="E14" s="65">
        <v>9.001112700938524</v>
      </c>
      <c r="F14" s="67">
        <v>8.985414630458777</v>
      </c>
      <c r="G14" s="65">
        <v>8.969771219974238</v>
      </c>
      <c r="H14" s="65">
        <v>8.954182184495497</v>
      </c>
      <c r="I14" s="65">
        <v>8.938647241010901</v>
      </c>
      <c r="J14" s="6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E20" sqref="E20"/>
    </sheetView>
  </sheetViews>
  <sheetFormatPr defaultColWidth="9.140625" defaultRowHeight="12.75"/>
  <cols>
    <col min="1" max="1" width="31.57421875" style="72" customWidth="1"/>
    <col min="2" max="2" width="16.140625" style="72" customWidth="1"/>
    <col min="3" max="3" width="18.421875" style="72" customWidth="1"/>
    <col min="4" max="4" width="19.140625" style="72" customWidth="1"/>
    <col min="5" max="5" width="33.28125" style="72" customWidth="1"/>
    <col min="6" max="16384" width="9.140625" style="72" customWidth="1"/>
  </cols>
  <sheetData>
    <row r="2" spans="1:4" ht="12.75">
      <c r="A2" s="73" t="s">
        <v>141</v>
      </c>
      <c r="B2" s="73" t="s">
        <v>142</v>
      </c>
      <c r="C2" s="73" t="s">
        <v>143</v>
      </c>
      <c r="D2" s="73" t="s">
        <v>144</v>
      </c>
    </row>
    <row r="3" spans="1:4" ht="12.75">
      <c r="A3" s="73"/>
      <c r="B3" s="73"/>
      <c r="C3" s="73"/>
      <c r="D3" s="73"/>
    </row>
    <row r="4" spans="1:4" ht="12.75">
      <c r="A4" s="73" t="s">
        <v>148</v>
      </c>
      <c r="B4" s="73"/>
      <c r="C4" s="73"/>
      <c r="D4" s="73"/>
    </row>
    <row r="5" spans="1:4" ht="12.75">
      <c r="A5" s="72" t="s">
        <v>145</v>
      </c>
      <c r="B5" s="74">
        <v>36170.9</v>
      </c>
      <c r="C5" s="74">
        <v>42233.9</v>
      </c>
      <c r="D5" s="74">
        <v>41782.5</v>
      </c>
    </row>
    <row r="6" spans="1:4" ht="12.75">
      <c r="A6" s="72" t="s">
        <v>146</v>
      </c>
      <c r="B6" s="74">
        <v>37156.3</v>
      </c>
      <c r="C6" s="74">
        <v>43265.5</v>
      </c>
      <c r="D6" s="74">
        <v>42723.7</v>
      </c>
    </row>
    <row r="7" spans="1:4" ht="12.75">
      <c r="A7" s="72" t="s">
        <v>147</v>
      </c>
      <c r="B7" s="74">
        <v>19268.9</v>
      </c>
      <c r="C7" s="74">
        <v>22397.8</v>
      </c>
      <c r="D7" s="74">
        <v>21652.8</v>
      </c>
    </row>
    <row r="8" spans="1:5" ht="12.75">
      <c r="A8" s="73" t="s">
        <v>38</v>
      </c>
      <c r="B8" s="75">
        <f>SUM(B5:B7)</f>
        <v>92596.1</v>
      </c>
      <c r="C8" s="75">
        <f>SUM(C5:C7)</f>
        <v>107897.2</v>
      </c>
      <c r="D8" s="75">
        <f>SUM(D5:D7)</f>
        <v>106159</v>
      </c>
      <c r="E8" s="73"/>
    </row>
    <row r="9" spans="1:5" ht="12.75">
      <c r="A9" s="73"/>
      <c r="B9" s="75"/>
      <c r="C9" s="75"/>
      <c r="D9" s="75"/>
      <c r="E9" s="73"/>
    </row>
    <row r="10" spans="1:5" ht="12.75">
      <c r="A10" s="73"/>
      <c r="B10" s="75"/>
      <c r="C10" s="75"/>
      <c r="D10" s="75"/>
      <c r="E10" s="73"/>
    </row>
    <row r="11" ht="12.75">
      <c r="A11" s="73" t="s">
        <v>151</v>
      </c>
    </row>
    <row r="12" spans="1:4" ht="12.75">
      <c r="A12" s="76" t="s">
        <v>152</v>
      </c>
      <c r="B12" s="74">
        <f>sensitivity!B2/1000</f>
        <v>73852</v>
      </c>
      <c r="C12" s="74">
        <f>B12</f>
        <v>73852</v>
      </c>
      <c r="D12" s="74">
        <f>C12</f>
        <v>73852</v>
      </c>
    </row>
    <row r="13" spans="1:4" ht="12.75">
      <c r="A13" s="72" t="s">
        <v>149</v>
      </c>
      <c r="B13" s="74">
        <f>B8-B12</f>
        <v>18744.100000000006</v>
      </c>
      <c r="C13" s="74">
        <f>C8-C12</f>
        <v>34045.2</v>
      </c>
      <c r="D13" s="74">
        <f>D8-D12</f>
        <v>32307</v>
      </c>
    </row>
    <row r="14" spans="1:4" ht="12.75">
      <c r="A14" s="72" t="s">
        <v>150</v>
      </c>
      <c r="B14" s="77">
        <f>B13/B8</f>
        <v>0.20242861200417733</v>
      </c>
      <c r="C14" s="77">
        <f>C13/C8</f>
        <v>0.3155336746458666</v>
      </c>
      <c r="D14" s="77">
        <f>D13/D8</f>
        <v>0.30432652907431307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irte</dc:creator>
  <cp:keywords/>
  <dc:description/>
  <cp:lastModifiedBy>Vaidotas Kuodys</cp:lastModifiedBy>
  <cp:lastPrinted>2005-10-18T13:03:06Z</cp:lastPrinted>
  <dcterms:created xsi:type="dcterms:W3CDTF">2005-07-28T14:48:17Z</dcterms:created>
  <dcterms:modified xsi:type="dcterms:W3CDTF">2008-05-30T08:21:04Z</dcterms:modified>
  <cp:category/>
  <cp:version/>
  <cp:contentType/>
  <cp:contentStatus/>
</cp:coreProperties>
</file>