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70" windowHeight="12675" tabRatio="717" activeTab="0"/>
  </bookViews>
  <sheets>
    <sheet name="ER-KAZ1-ERU2 V5" sheetId="1" r:id="rId1"/>
  </sheets>
  <definedNames>
    <definedName name="_xlnm.Print_Area" localSheetId="0">'ER-KAZ1-ERU2 V5'!$A$1:$AT$29</definedName>
    <definedName name="OLE_LINK10" localSheetId="0">'ER-KAZ1-ERU2 V5'!$AD$3</definedName>
    <definedName name="OLE_LINK11" localSheetId="0">'ER-KAZ1-ERU2 V5'!$AD$4</definedName>
    <definedName name="OLE_LINK12" localSheetId="0">'ER-KAZ1-ERU2 V5'!$AH$4</definedName>
    <definedName name="OLE_LINK3" localSheetId="0">'ER-KAZ1-ERU2 V5'!$R$4</definedName>
    <definedName name="OLE_LINK4" localSheetId="0">'ER-KAZ1-ERU2 V5'!$Y$3</definedName>
    <definedName name="OLE_LINK5" localSheetId="0">'ER-KAZ1-ERU2 V5'!$Y$4</definedName>
    <definedName name="OLE_LINK7" localSheetId="0">'ER-KAZ1-ERU2 V5'!$AC$3</definedName>
    <definedName name="OLE_LINK8" localSheetId="0">'ER-KAZ1-ERU2 V5'!$AC$4</definedName>
  </definedNames>
  <calcPr fullCalcOnLoad="1"/>
</workbook>
</file>

<file path=xl/comments1.xml><?xml version="1.0" encoding="utf-8"?>
<comments xmlns="http://schemas.openxmlformats.org/spreadsheetml/2006/main">
  <authors>
    <author>Adam Hadulla</author>
    <author>A-TEC5</author>
    <author>A-TEC</author>
  </authors>
  <commentList>
    <comment ref="R6" authorId="0">
      <text>
        <r>
          <rPr>
            <b/>
            <sz val="8"/>
            <rFont val="Tahoma"/>
            <family val="0"/>
          </rPr>
          <t>Adam Hadulla:</t>
        </r>
        <r>
          <rPr>
            <sz val="8"/>
            <rFont val="Tahoma"/>
            <family val="0"/>
          </rPr>
          <t xml:space="preserve">
2008 := 0.695 tCO2eq/MWh
2009 := 0.680
2010 := 0.666
2011 := 0.651
2012 := 0.636
[SenterNovem]</t>
        </r>
      </text>
    </comment>
    <comment ref="T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W6" authorId="0">
      <text>
        <r>
          <rPr>
            <b/>
            <sz val="8"/>
            <rFont val="Tahoma"/>
            <family val="0"/>
          </rPr>
          <t>Adam Hadulla:</t>
        </r>
        <r>
          <rPr>
            <sz val="8"/>
            <rFont val="Tahoma"/>
            <family val="0"/>
          </rPr>
          <t xml:space="preserve">
0 for the whole monitoring period
</t>
        </r>
      </text>
    </comment>
    <comment ref="X6" authorId="0">
      <text>
        <r>
          <rPr>
            <b/>
            <sz val="8"/>
            <rFont val="Tahoma"/>
            <family val="0"/>
          </rPr>
          <t>Adam Hadulla:</t>
        </r>
        <r>
          <rPr>
            <sz val="8"/>
            <rFont val="Tahoma"/>
            <family val="0"/>
          </rPr>
          <t xml:space="preserve">
0 for the whole monitoring period
</t>
        </r>
      </text>
    </comment>
    <comment ref="Y6"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AB6" authorId="0">
      <text>
        <r>
          <rPr>
            <b/>
            <sz val="8"/>
            <rFont val="Tahoma"/>
            <family val="0"/>
          </rPr>
          <t>Adam Hadulla:</t>
        </r>
        <r>
          <rPr>
            <sz val="8"/>
            <rFont val="Tahoma"/>
            <family val="0"/>
          </rPr>
          <t xml:space="preserve">
ex-ante value
constant</t>
        </r>
      </text>
    </comment>
    <comment ref="AC6" authorId="0">
      <text>
        <r>
          <rPr>
            <b/>
            <sz val="8"/>
            <rFont val="Tahoma"/>
            <family val="0"/>
          </rPr>
          <t>Adam Hadulla:</t>
        </r>
        <r>
          <rPr>
            <sz val="8"/>
            <rFont val="Tahoma"/>
            <family val="0"/>
          </rPr>
          <t xml:space="preserve">
ex-ante value
constant</t>
        </r>
      </text>
    </comment>
    <comment ref="AH6" authorId="0">
      <text>
        <r>
          <rPr>
            <b/>
            <sz val="8"/>
            <rFont val="Tahoma"/>
            <family val="0"/>
          </rPr>
          <t>Adam Hadulla:</t>
        </r>
        <r>
          <rPr>
            <sz val="8"/>
            <rFont val="Tahoma"/>
            <family val="0"/>
          </rPr>
          <t xml:space="preserve">
ex-ante value
constant</t>
        </r>
      </text>
    </comment>
    <comment ref="AQ6" authorId="0">
      <text>
        <r>
          <rPr>
            <b/>
            <sz val="8"/>
            <rFont val="Tahoma"/>
            <family val="0"/>
          </rPr>
          <t>Adam Hadulla:</t>
        </r>
        <r>
          <rPr>
            <sz val="8"/>
            <rFont val="Tahoma"/>
            <family val="0"/>
          </rPr>
          <t xml:space="preserve">
ex-ante value
constant</t>
        </r>
      </text>
    </comment>
    <comment ref="AV6" authorId="0">
      <text>
        <r>
          <rPr>
            <b/>
            <sz val="8"/>
            <rFont val="Tahoma"/>
            <family val="0"/>
          </rPr>
          <t>Adam Hadulla:</t>
        </r>
        <r>
          <rPr>
            <sz val="8"/>
            <rFont val="Tahoma"/>
            <family val="0"/>
          </rPr>
          <t xml:space="preserve">
ex-ante value 
constant
IPCC 2006</t>
        </r>
      </text>
    </comment>
    <comment ref="AS6" authorId="0">
      <text>
        <r>
          <rPr>
            <b/>
            <sz val="8"/>
            <rFont val="Tahoma"/>
            <family val="0"/>
          </rPr>
          <t>Adam Hadulla:</t>
        </r>
        <r>
          <rPr>
            <sz val="8"/>
            <rFont val="Tahoma"/>
            <family val="0"/>
          </rPr>
          <t xml:space="preserve">
0 for the whole monitoring period
</t>
        </r>
      </text>
    </comment>
    <comment ref="AR6" authorId="0">
      <text>
        <r>
          <rPr>
            <b/>
            <sz val="8"/>
            <rFont val="Tahoma"/>
            <family val="0"/>
          </rPr>
          <t>Adam Hadulla:</t>
        </r>
        <r>
          <rPr>
            <sz val="8"/>
            <rFont val="Tahoma"/>
            <family val="0"/>
          </rPr>
          <t xml:space="preserve">
ex-ante value
constant</t>
        </r>
      </text>
    </comment>
    <comment ref="AU6" authorId="0">
      <text>
        <r>
          <rPr>
            <b/>
            <sz val="8"/>
            <rFont val="Tahoma"/>
            <family val="0"/>
          </rPr>
          <t>Adam Hadulla:</t>
        </r>
        <r>
          <rPr>
            <sz val="8"/>
            <rFont val="Tahoma"/>
            <family val="0"/>
          </rPr>
          <t xml:space="preserve">
2008 := 0.695 tCO2eq/MWh
2009 := 0.680
2010 := 0.666
2011 := 0.651
2012 := 0.636
[SenterNovem]</t>
        </r>
      </text>
    </comment>
    <comment ref="AW6" authorId="0">
      <text>
        <r>
          <rPr>
            <b/>
            <sz val="8"/>
            <rFont val="Tahoma"/>
            <family val="0"/>
          </rPr>
          <t>Adam Hadulla:</t>
        </r>
        <r>
          <rPr>
            <sz val="8"/>
            <rFont val="Tahoma"/>
            <family val="0"/>
          </rPr>
          <t xml:space="preserve">
ex-ante value 
constant
manufacturer date
boiler pass</t>
        </r>
      </text>
    </comment>
    <comment ref="Q6" authorId="0">
      <text>
        <r>
          <rPr>
            <b/>
            <sz val="8"/>
            <rFont val="Tahoma"/>
            <family val="0"/>
          </rPr>
          <t>Adam Hadulla:</t>
        </r>
        <r>
          <rPr>
            <sz val="8"/>
            <rFont val="Tahoma"/>
            <family val="0"/>
          </rPr>
          <t xml:space="preserve">
0 for the whole monitoring period
</t>
        </r>
      </text>
    </comment>
    <comment ref="AT8" authorId="1">
      <text>
        <r>
          <rPr>
            <b/>
            <sz val="9"/>
            <rFont val="Tahoma"/>
            <family val="0"/>
          </rPr>
          <t>A-TEC5:</t>
        </r>
        <r>
          <rPr>
            <sz val="9"/>
            <rFont val="Tahoma"/>
            <family val="0"/>
          </rPr>
          <t xml:space="preserve">
no steam data from 5.6.10 to 24.6.10, because of disabling equipment for heat measurement</t>
        </r>
      </text>
    </comment>
    <comment ref="V4" authorId="2">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H18" authorId="1">
      <text>
        <r>
          <rPr>
            <b/>
            <sz val="9"/>
            <rFont val="Tahoma"/>
            <family val="0"/>
          </rPr>
          <t>A-TEC5:</t>
        </r>
        <r>
          <rPr>
            <sz val="9"/>
            <rFont val="Tahoma"/>
            <family val="0"/>
          </rPr>
          <t xml:space="preserve">
rounded down</t>
        </r>
      </text>
    </comment>
  </commentList>
</comments>
</file>

<file path=xl/sharedStrings.xml><?xml version="1.0" encoding="utf-8"?>
<sst xmlns="http://schemas.openxmlformats.org/spreadsheetml/2006/main" count="196" uniqueCount="151">
  <si>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</si>
  <si>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</si>
  <si>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</si>
  <si>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</si>
  <si>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</si>
  <si>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</si>
  <si>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</si>
  <si>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</si>
  <si>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</si>
  <si>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</si>
  <si>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</si>
  <si>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</si>
  <si>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</si>
  <si>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</si>
  <si>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</si>
  <si>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</si>
  <si>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</si>
  <si>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</si>
  <si>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</si>
  <si>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</si>
  <si>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</si>
  <si>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</si>
  <si>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</si>
  <si>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</si>
  <si>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</si>
  <si>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</si>
  <si>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</si>
  <si>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</si>
  <si>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</si>
  <si>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</si>
  <si>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</si>
  <si>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</si>
  <si>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</si>
  <si>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P1</t>
  </si>
  <si>
    <t>P11</t>
  </si>
  <si>
    <t>P12</t>
  </si>
  <si>
    <t>P13</t>
  </si>
  <si>
    <t>P14</t>
  </si>
  <si>
    <t>P15</t>
  </si>
  <si>
    <t>P16</t>
  </si>
  <si>
    <t>Project emissions from energy use to capture and use methane</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</si>
  <si>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</si>
  <si>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</si>
  <si>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</si>
  <si>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</si>
  <si>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</si>
  <si>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</si>
  <si>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</si>
  <si>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</si>
  <si>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</si>
  <si>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</si>
  <si>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</si>
  <si>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</si>
  <si>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</si>
  <si>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</si>
  <si>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</si>
  <si>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</si>
  <si>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</si>
  <si>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</si>
  <si>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</si>
  <si>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</si>
  <si>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</si>
  <si>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</si>
  <si>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Total Monitoring Period</t>
  </si>
  <si>
    <t>colour codes</t>
  </si>
  <si>
    <t>green</t>
  </si>
  <si>
    <t>yellow</t>
  </si>
  <si>
    <t>input data</t>
  </si>
  <si>
    <t>data no used, project parts not installed yet</t>
  </si>
  <si>
    <t>white</t>
  </si>
  <si>
    <t>calculated data</t>
  </si>
  <si>
    <t xml:space="preserve">Project emissions </t>
  </si>
  <si>
    <t xml:space="preserve">Baseline emissions </t>
  </si>
  <si>
    <t>CMM captured in the project activity</t>
  </si>
  <si>
    <t>HEAT</t>
  </si>
  <si>
    <t>GEN</t>
  </si>
  <si>
    <t>BE</t>
  </si>
  <si>
    <t>PE</t>
  </si>
  <si>
    <t>data sources:</t>
  </si>
  <si>
    <t>Total 2010</t>
  </si>
  <si>
    <t>Values put into MR</t>
  </si>
  <si>
    <t>blue</t>
  </si>
  <si>
    <t>Total 2011</t>
  </si>
  <si>
    <t>total methane amount utilised (sent to)</t>
  </si>
  <si>
    <t>Emission Reductions - KAZ1 from 2010-04-01 to 2011-02-28</t>
  </si>
  <si>
    <t>methane amount sent to
boiler</t>
  </si>
  <si>
    <t>m³ CH4</t>
  </si>
  <si>
    <t>methane amount destroyed by flare</t>
  </si>
  <si>
    <t>methane amount sent to flare</t>
  </si>
  <si>
    <t>methane amount sent to
power plant</t>
  </si>
  <si>
    <t>KAZ1-B1_Measuring_Data_2010-04-01 to 2011-02-28.V1.xls</t>
  </si>
  <si>
    <t>methane concen-tration (boiler)</t>
  </si>
  <si>
    <t xml:space="preserve">Flare combustion efficiency, determined by the flame temperature and operation hours </t>
  </si>
  <si>
    <t>KAZ1-F1_Measuring_Data_2010-10-27 to 2011-02-28.V3.xls</t>
  </si>
  <si>
    <t>Baseline emissions from release of methane into the atmosphere that is avoided by the project activity (flare)</t>
  </si>
  <si>
    <t>Baseline emissions from release of methane into the atmosphere that is avoided by the project activity (boiler)</t>
  </si>
  <si>
    <t>Baseline emissions from the production of power, heat or supply to gas grid replaced by the project activity (heat)</t>
  </si>
  <si>
    <t>Project emissions from methane destroyed and uncombusted methane (boiler)</t>
  </si>
  <si>
    <t>Project emissions from methane destroyed and uncombusted methane (flare)</t>
  </si>
  <si>
    <t>Project emissions from methane destroyed and uncombusted methane (power)</t>
  </si>
  <si>
    <t>Baseline emissions from the production of power, heat or supply to gas grid replaced by the project activity (power)</t>
  </si>
  <si>
    <t>Project emissions from methane destroyed</t>
  </si>
  <si>
    <t>P3/4</t>
  </si>
  <si>
    <t>turquoise</t>
  </si>
  <si>
    <t>Extension since Version 3a</t>
  </si>
  <si>
    <t>P9</t>
  </si>
  <si>
    <t>Project emissions (flare) from uncombusted methane</t>
  </si>
  <si>
    <t>Baseline emissions from release of methane into the atmosphere that is avoided by the project activity</t>
  </si>
  <si>
    <t>Baseline emissions from the production of power, heat or supply to gas grid replaced by the project activity</t>
  </si>
  <si>
    <t>CO2 Emission factor for heat production replaced by project activity</t>
  </si>
  <si>
    <t>Heat production efficiency of the former coal fired heat generation unit, that is replaced by project aktivity</t>
  </si>
  <si>
    <r>
      <t>Carbon emission factor of CONS</t>
    </r>
    <r>
      <rPr>
        <sz val="8"/>
        <rFont val="Arial"/>
        <family val="2"/>
      </rPr>
      <t>ELEC,PJ</t>
    </r>
  </si>
  <si>
    <r>
      <t>t CO</t>
    </r>
    <r>
      <rPr>
        <sz val="8"/>
        <rFont val="Arial"/>
        <family val="2"/>
      </rPr>
      <t>2eq</t>
    </r>
  </si>
  <si>
    <r>
      <t>t CO</t>
    </r>
    <r>
      <rPr>
        <sz val="8"/>
        <color indexed="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</si>
  <si>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</si>
  <si>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</si>
  <si>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</si>
  <si>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</si>
  <si>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</si>
  <si>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MD+UM,flare</t>
    </r>
  </si>
  <si>
    <r>
      <t>PE</t>
    </r>
    <r>
      <rPr>
        <vertAlign val="subscript"/>
        <sz val="11"/>
        <rFont val="Times New Roman"/>
        <family val="1"/>
      </rPr>
      <t>MD+UM,boiler</t>
    </r>
  </si>
  <si>
    <r>
      <t>PE</t>
    </r>
    <r>
      <rPr>
        <vertAlign val="subscript"/>
        <sz val="11"/>
        <rFont val="Times New Roman"/>
        <family val="1"/>
      </rPr>
      <t>MD+UM,power</t>
    </r>
  </si>
  <si>
    <r>
      <t>PE</t>
    </r>
    <r>
      <rPr>
        <vertAlign val="subscript"/>
        <sz val="11"/>
        <rFont val="Times New Roman"/>
        <family val="1"/>
      </rPr>
      <t>MD</t>
    </r>
  </si>
  <si>
    <r>
      <t>PE</t>
    </r>
    <r>
      <rPr>
        <vertAlign val="subscript"/>
        <sz val="11"/>
        <color indexed="8"/>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</si>
  <si>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</si>
  <si>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</si>
  <si>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PE</t>
    </r>
    <r>
      <rPr>
        <vertAlign val="subscript"/>
        <sz val="11"/>
        <color indexed="8"/>
        <rFont val="Times New Roman"/>
        <family val="1"/>
      </rPr>
      <t>Flare</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</si>
  <si>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</si>
  <si>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</si>
  <si>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</si>
  <si>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</si>
  <si>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</si>
  <si>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</si>
  <si>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</si>
  <si>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</si>
  <si>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</si>
  <si>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</si>
  <si>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</si>
  <si>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</si>
  <si>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</si>
  <si>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</si>
  <si>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MR,flare</t>
    </r>
  </si>
  <si>
    <r>
      <t>BE</t>
    </r>
    <r>
      <rPr>
        <vertAlign val="subscript"/>
        <sz val="11"/>
        <rFont val="Times New Roman"/>
        <family val="1"/>
      </rPr>
      <t>MR,boiler</t>
    </r>
  </si>
  <si>
    <r>
      <t>BE</t>
    </r>
    <r>
      <rPr>
        <vertAlign val="subscript"/>
        <sz val="11"/>
        <rFont val="Times New Roman"/>
        <family val="1"/>
      </rPr>
      <t>Use,heat</t>
    </r>
  </si>
  <si>
    <r>
      <t>BE</t>
    </r>
    <r>
      <rPr>
        <vertAlign val="subscript"/>
        <sz val="11"/>
        <rFont val="Times New Roman"/>
        <family val="1"/>
      </rPr>
      <t>Use,power</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</si>
  <si>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</si>
  <si>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</si>
  <si>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</si>
  <si>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</si>
  <si>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HEAT</t>
    </r>
  </si>
  <si>
    <r>
      <t>Eff</t>
    </r>
    <r>
      <rPr>
        <vertAlign val="subscript"/>
        <sz val="11"/>
        <color indexed="8"/>
        <rFont val="Times New Roman"/>
        <family val="1"/>
      </rPr>
      <t>COAL</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</si>
</sst>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 numFmtId="193" formatCode="[$-409]mmmm\-yy;@"/>
    <numFmt numFmtId="194" formatCode="#,##0.0000"/>
  </numFmts>
  <fonts count="24">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color indexed="8"/>
      <name val="Arial"/>
      <family val="0"/>
    </font>
    <font>
      <sz val="9"/>
      <name val="Tahoma"/>
      <family val="0"/>
    </font>
    <font>
      <b/>
      <sz val="9"/>
      <name val="Tahoma"/>
      <family val="0"/>
    </font>
    <font>
      <b/>
      <sz val="11"/>
      <name val="Arial"/>
      <family val="0"/>
    </font>
    <font>
      <sz val="10"/>
      <color indexed="10"/>
      <name val="Arial"/>
      <family val="0"/>
    </font>
    <font>
      <b/>
      <sz val="10"/>
      <color indexed="8"/>
      <name val="Arial"/>
      <family val="2"/>
    </font>
    <font>
      <sz val="8"/>
      <name val="Arial"/>
      <family val="2"/>
    </font>
    <font>
      <sz val="8"/>
      <color indexed="8"/>
      <name val="Arial"/>
      <family val="2"/>
    </font>
    <font>
      <sz val="11"/>
      <color indexed="8"/>
      <name val="Times New Roman"/>
      <family val="1"/>
    </font>
    <font>
      <vertAlign val="subscript"/>
      <sz val="11"/>
      <name val="Times New Roman"/>
      <family val="1"/>
    </font>
    <font>
      <vertAlign val="subscript"/>
      <sz val="11"/>
      <color indexed="8"/>
      <name val="Times New Roman"/>
      <family val="1"/>
    </font>
    <font>
      <vertAlign val="subscript"/>
      <sz val="10"/>
      <name val="Times New Roman"/>
      <family val="1"/>
    </font>
    <font>
      <b/>
      <sz val="11"/>
      <name val="Times New Roman"/>
      <family val="1"/>
    </font>
    <font>
      <sz val="11"/>
      <name val="Times New Roman"/>
      <family val="1"/>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5"/>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0" fillId="0" borderId="1" xfId="0" applyBorder="1" applyAlignment="1">
      <alignment/>
    </xf>
    <xf numFmtId="184"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189" fontId="2" fillId="0" borderId="2" xfId="0" applyNumberFormat="1" applyFont="1" applyBorder="1" applyAlignment="1">
      <alignment horizontal="right"/>
    </xf>
    <xf numFmtId="3" fontId="2" fillId="0" borderId="2" xfId="0" applyNumberFormat="1" applyFont="1" applyBorder="1" applyAlignment="1">
      <alignment/>
    </xf>
    <xf numFmtId="3" fontId="0" fillId="0" borderId="0" xfId="0" applyNumberFormat="1" applyFill="1" applyAlignment="1">
      <alignment/>
    </xf>
    <xf numFmtId="0" fontId="0" fillId="2" borderId="0" xfId="0" applyFill="1" applyAlignment="1">
      <alignment/>
    </xf>
    <xf numFmtId="0" fontId="0" fillId="0" borderId="0" xfId="0" applyAlignment="1">
      <alignment horizontal="right" vertical="center"/>
    </xf>
    <xf numFmtId="184"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85" fontId="0" fillId="0" borderId="0" xfId="0" applyNumberFormat="1" applyFill="1" applyAlignment="1" quotePrefix="1">
      <alignment horizontal="right"/>
    </xf>
    <xf numFmtId="0" fontId="0" fillId="0" borderId="0" xfId="0" applyFill="1" applyAlignment="1" quotePrefix="1">
      <alignment horizontal="right"/>
    </xf>
    <xf numFmtId="181" fontId="0" fillId="0" borderId="0" xfId="0" applyNumberFormat="1" applyFill="1" applyAlignment="1" quotePrefix="1">
      <alignment horizontal="right"/>
    </xf>
    <xf numFmtId="185" fontId="0" fillId="0" borderId="0" xfId="19" applyNumberForma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4" borderId="1" xfId="0" applyNumberFormat="1" applyFont="1" applyFill="1" applyBorder="1" applyAlignment="1">
      <alignment/>
    </xf>
    <xf numFmtId="1" fontId="0" fillId="4" borderId="0" xfId="0" applyNumberFormat="1" applyFill="1" applyAlignment="1">
      <alignment/>
    </xf>
    <xf numFmtId="181" fontId="0" fillId="0" borderId="0" xfId="0" applyNumberFormat="1" applyFill="1" applyAlignment="1">
      <alignment/>
    </xf>
    <xf numFmtId="3" fontId="0" fillId="0" borderId="0" xfId="0" applyNumberFormat="1" applyAlignment="1">
      <alignment/>
    </xf>
    <xf numFmtId="0" fontId="0" fillId="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0" fontId="0" fillId="0" borderId="0" xfId="0" applyNumberFormat="1" applyFill="1" applyBorder="1" applyAlignment="1">
      <alignment/>
    </xf>
    <xf numFmtId="190" fontId="9" fillId="0" borderId="0" xfId="0" applyNumberFormat="1" applyFont="1" applyFill="1" applyBorder="1" applyAlignment="1">
      <alignment/>
    </xf>
    <xf numFmtId="182" fontId="0" fillId="0" borderId="0" xfId="0" applyNumberFormat="1" applyFill="1" applyBorder="1" applyAlignment="1">
      <alignment/>
    </xf>
    <xf numFmtId="3" fontId="0" fillId="3" borderId="0" xfId="0" applyNumberFormat="1" applyFill="1" applyAlignment="1">
      <alignment/>
    </xf>
    <xf numFmtId="3" fontId="2" fillId="5" borderId="2" xfId="0" applyNumberFormat="1" applyFont="1" applyFill="1" applyBorder="1" applyAlignment="1">
      <alignment horizontal="right" vertical="center"/>
    </xf>
    <xf numFmtId="3" fontId="2" fillId="0" borderId="2" xfId="0" applyNumberFormat="1" applyFont="1" applyFill="1" applyBorder="1" applyAlignment="1">
      <alignment/>
    </xf>
    <xf numFmtId="3" fontId="2" fillId="0" borderId="2" xfId="0" applyNumberFormat="1" applyFont="1" applyFill="1" applyBorder="1" applyAlignment="1">
      <alignment horizontal="right" vertical="center"/>
    </xf>
    <xf numFmtId="3" fontId="0" fillId="2" borderId="0" xfId="0" applyNumberFormat="1" applyFill="1" applyAlignment="1">
      <alignment/>
    </xf>
    <xf numFmtId="190" fontId="0" fillId="3" borderId="0" xfId="0" applyNumberFormat="1" applyFont="1" applyFill="1" applyBorder="1" applyAlignment="1">
      <alignment/>
    </xf>
    <xf numFmtId="0" fontId="0" fillId="0" borderId="3" xfId="0" applyBorder="1" applyAlignment="1">
      <alignment/>
    </xf>
    <xf numFmtId="3" fontId="0" fillId="0" borderId="3" xfId="0" applyNumberFormat="1" applyFill="1" applyBorder="1" applyAlignment="1">
      <alignment/>
    </xf>
    <xf numFmtId="3" fontId="2" fillId="0" borderId="4" xfId="0" applyNumberFormat="1" applyFont="1" applyBorder="1" applyAlignment="1">
      <alignment/>
    </xf>
    <xf numFmtId="182" fontId="0" fillId="0" borderId="0" xfId="0" applyNumberFormat="1" applyBorder="1" applyAlignment="1">
      <alignment/>
    </xf>
    <xf numFmtId="190" fontId="0" fillId="0" borderId="0" xfId="0" applyNumberFormat="1" applyAlignment="1">
      <alignment/>
    </xf>
    <xf numFmtId="3" fontId="0" fillId="0" borderId="0" xfId="0" applyNumberFormat="1" applyAlignment="1">
      <alignment/>
    </xf>
    <xf numFmtId="190" fontId="0" fillId="0" borderId="0" xfId="0" applyNumberFormat="1" applyBorder="1" applyAlignment="1">
      <alignment/>
    </xf>
    <xf numFmtId="3" fontId="0" fillId="0" borderId="0" xfId="0" applyNumberFormat="1" applyBorder="1" applyAlignment="1">
      <alignment/>
    </xf>
    <xf numFmtId="3" fontId="13" fillId="0" borderId="0" xfId="0" applyNumberFormat="1" applyFont="1" applyBorder="1" applyAlignment="1">
      <alignment/>
    </xf>
    <xf numFmtId="3" fontId="12" fillId="0" borderId="0" xfId="0" applyNumberFormat="1" applyFont="1" applyBorder="1" applyAlignment="1">
      <alignment/>
    </xf>
    <xf numFmtId="185" fontId="0" fillId="0" borderId="0" xfId="0" applyNumberFormat="1" applyFont="1" applyFill="1" applyBorder="1" applyAlignment="1">
      <alignment horizontal="center"/>
    </xf>
    <xf numFmtId="189" fontId="0" fillId="0" borderId="0" xfId="0" applyNumberFormat="1" applyBorder="1" applyAlignment="1">
      <alignment/>
    </xf>
    <xf numFmtId="190" fontId="0" fillId="0" borderId="0" xfId="0" applyNumberFormat="1" applyBorder="1" applyAlignment="1">
      <alignment/>
    </xf>
    <xf numFmtId="189" fontId="2" fillId="0" borderId="0" xfId="0" applyNumberFormat="1" applyFont="1" applyBorder="1" applyAlignment="1">
      <alignment horizontal="right"/>
    </xf>
    <xf numFmtId="185" fontId="0" fillId="0" borderId="0" xfId="0" applyNumberFormat="1" applyFill="1" applyBorder="1" applyAlignment="1" quotePrefix="1">
      <alignment horizontal="center"/>
    </xf>
    <xf numFmtId="3" fontId="2" fillId="5" borderId="2" xfId="0" applyNumberFormat="1" applyFont="1" applyFill="1" applyBorder="1" applyAlignment="1">
      <alignment/>
    </xf>
    <xf numFmtId="3" fontId="2" fillId="0" borderId="4" xfId="0" applyNumberFormat="1" applyFont="1" applyFill="1" applyBorder="1" applyAlignment="1">
      <alignment horizontal="right" vertical="center"/>
    </xf>
    <xf numFmtId="193" fontId="0" fillId="0" borderId="0" xfId="0" applyNumberFormat="1" applyAlignment="1">
      <alignment/>
    </xf>
    <xf numFmtId="190" fontId="0" fillId="3" borderId="0" xfId="0" applyNumberFormat="1" applyFill="1" applyAlignment="1">
      <alignment/>
    </xf>
    <xf numFmtId="190" fontId="0" fillId="2" borderId="0" xfId="0" applyNumberFormat="1" applyFill="1" applyAlignment="1">
      <alignment/>
    </xf>
    <xf numFmtId="190" fontId="2" fillId="0" borderId="2" xfId="0" applyNumberFormat="1" applyFont="1" applyBorder="1" applyAlignment="1">
      <alignment/>
    </xf>
    <xf numFmtId="190" fontId="2" fillId="0" borderId="2" xfId="0" applyNumberFormat="1" applyFont="1" applyBorder="1" applyAlignment="1">
      <alignment horizontal="right" vertical="center"/>
    </xf>
    <xf numFmtId="190" fontId="2" fillId="0" borderId="2" xfId="0" applyNumberFormat="1" applyFont="1" applyFill="1" applyBorder="1" applyAlignment="1">
      <alignment horizontal="right" vertical="center"/>
    </xf>
    <xf numFmtId="190" fontId="0" fillId="0" borderId="0" xfId="0" applyNumberFormat="1" applyFill="1" applyAlignment="1">
      <alignment/>
    </xf>
    <xf numFmtId="0" fontId="3" fillId="0" borderId="0" xfId="0" applyFont="1" applyFill="1" applyAlignment="1">
      <alignment/>
    </xf>
    <xf numFmtId="190" fontId="2" fillId="5" borderId="2" xfId="0" applyNumberFormat="1" applyFont="1" applyFill="1" applyBorder="1" applyAlignment="1">
      <alignment/>
    </xf>
    <xf numFmtId="0" fontId="9" fillId="0" borderId="0" xfId="0" applyFont="1" applyAlignment="1">
      <alignment/>
    </xf>
    <xf numFmtId="1" fontId="9" fillId="0" borderId="0" xfId="0" applyNumberFormat="1" applyFont="1" applyAlignment="1">
      <alignment/>
    </xf>
    <xf numFmtId="3" fontId="14" fillId="0" borderId="2" xfId="0" applyNumberFormat="1" applyFont="1" applyBorder="1" applyAlignment="1">
      <alignment/>
    </xf>
    <xf numFmtId="3" fontId="14" fillId="0" borderId="2" xfId="0" applyNumberFormat="1" applyFont="1" applyBorder="1" applyAlignment="1">
      <alignment horizontal="right" vertical="center"/>
    </xf>
    <xf numFmtId="2" fontId="9" fillId="0" borderId="0" xfId="0" applyNumberFormat="1" applyFont="1" applyAlignment="1">
      <alignment/>
    </xf>
    <xf numFmtId="0" fontId="9" fillId="0" borderId="0" xfId="0" applyFont="1" applyFill="1" applyBorder="1" applyAlignment="1">
      <alignment/>
    </xf>
    <xf numFmtId="1" fontId="9" fillId="0" borderId="0" xfId="0" applyNumberFormat="1" applyFont="1" applyFill="1" applyBorder="1" applyAlignment="1">
      <alignment/>
    </xf>
    <xf numFmtId="0" fontId="0" fillId="6" borderId="0" xfId="0" applyFill="1" applyAlignment="1">
      <alignment/>
    </xf>
    <xf numFmtId="0" fontId="3" fillId="6" borderId="0" xfId="0" applyFont="1" applyFill="1" applyAlignment="1">
      <alignment/>
    </xf>
    <xf numFmtId="0" fontId="0" fillId="0" borderId="0" xfId="0" applyFill="1" applyAlignment="1">
      <alignment horizontal="center"/>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9"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5" xfId="0" applyFont="1" applyBorder="1" applyAlignment="1">
      <alignment horizontal="right"/>
    </xf>
    <xf numFmtId="190" fontId="0" fillId="0" borderId="5" xfId="0" applyNumberFormat="1" applyFont="1" applyFill="1" applyBorder="1" applyAlignment="1">
      <alignment horizontal="right" wrapText="1"/>
    </xf>
    <xf numFmtId="190" fontId="0" fillId="0" borderId="6" xfId="0" applyNumberFormat="1" applyFont="1" applyFill="1" applyBorder="1" applyAlignment="1">
      <alignment horizontal="right" wrapText="1"/>
    </xf>
    <xf numFmtId="0" fontId="0" fillId="0" borderId="5" xfId="0" applyFont="1" applyFill="1" applyBorder="1" applyAlignment="1">
      <alignment horizontal="right"/>
    </xf>
    <xf numFmtId="0" fontId="0" fillId="0" borderId="5" xfId="0" applyFont="1" applyBorder="1" applyAlignment="1">
      <alignment horizontal="right" wrapText="1"/>
    </xf>
    <xf numFmtId="0" fontId="9" fillId="0" borderId="5" xfId="0" applyFont="1" applyBorder="1" applyAlignment="1">
      <alignment horizontal="right" wrapText="1"/>
    </xf>
    <xf numFmtId="0" fontId="0" fillId="0" borderId="5" xfId="0" applyFont="1" applyFill="1" applyBorder="1" applyAlignment="1">
      <alignment horizontal="right" wrapText="1"/>
    </xf>
    <xf numFmtId="0" fontId="0" fillId="0" borderId="0" xfId="0" applyFont="1" applyAlignment="1">
      <alignment horizontal="right"/>
    </xf>
    <xf numFmtId="0" fontId="0" fillId="0" borderId="1" xfId="0" applyFont="1" applyBorder="1" applyAlignment="1">
      <alignment wrapText="1"/>
    </xf>
    <xf numFmtId="0" fontId="0" fillId="0" borderId="7" xfId="0" applyFont="1" applyBorder="1" applyAlignment="1">
      <alignment wrapText="1"/>
    </xf>
    <xf numFmtId="0" fontId="17" fillId="0" borderId="1" xfId="0" applyFont="1" applyBorder="1" applyAlignment="1">
      <alignment wrapText="1"/>
    </xf>
    <xf numFmtId="0" fontId="17" fillId="6" borderId="1" xfId="0" applyFont="1" applyFill="1" applyBorder="1" applyAlignment="1">
      <alignment wrapText="1"/>
    </xf>
    <xf numFmtId="0" fontId="17" fillId="0" borderId="1" xfId="0" applyFont="1" applyBorder="1" applyAlignment="1">
      <alignment/>
    </xf>
    <xf numFmtId="0" fontId="17" fillId="0" borderId="1" xfId="0" applyFont="1" applyFill="1" applyBorder="1" applyAlignment="1">
      <alignment wrapText="1"/>
    </xf>
    <xf numFmtId="0" fontId="0" fillId="0" borderId="0" xfId="0" applyFont="1" applyAlignment="1">
      <alignment wrapText="1"/>
    </xf>
    <xf numFmtId="0" fontId="21" fillId="0" borderId="0" xfId="0" applyFont="1" applyAlignment="1">
      <alignment/>
    </xf>
    <xf numFmtId="0" fontId="22" fillId="0" borderId="1" xfId="0" applyFont="1" applyBorder="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8"/>
  <sheetViews>
    <sheetView tabSelected="1" workbookViewId="0" topLeftCell="A1">
      <pane xSplit="1" ySplit="5" topLeftCell="B6" activePane="bottomRight" state="frozen"/>
      <selection pane="topLeft" activeCell="K6" sqref="K6"/>
      <selection pane="topRight" activeCell="A1" sqref="A1"/>
      <selection pane="bottomLeft" activeCell="A7" sqref="A7"/>
      <selection pane="bottomRight" activeCell="AN30" sqref="AN30"/>
    </sheetView>
  </sheetViews>
  <sheetFormatPr defaultColWidth="11.421875" defaultRowHeight="12.75"/>
  <cols>
    <col min="1" max="1" width="15.8515625" style="3" customWidth="1"/>
    <col min="2" max="2" width="7.00390625" style="0" customWidth="1"/>
    <col min="3" max="3" width="6.7109375" style="0" customWidth="1"/>
    <col min="4" max="4" width="8.00390625" style="0" customWidth="1"/>
    <col min="5" max="5" width="8.140625" style="0" customWidth="1"/>
    <col min="6" max="6" width="6.140625" style="0" customWidth="1"/>
    <col min="7" max="7" width="7.8515625" style="0" customWidth="1"/>
    <col min="8" max="8" width="10.8515625" style="0" customWidth="1"/>
    <col min="9" max="9" width="8.7109375" style="0" customWidth="1"/>
    <col min="10" max="10" width="7.8515625" style="0" customWidth="1"/>
    <col min="11" max="11" width="7.57421875" style="0" bestFit="1" customWidth="1"/>
    <col min="12" max="12" width="9.28125" style="0" customWidth="1"/>
    <col min="13" max="14" width="9.7109375" style="0" customWidth="1"/>
    <col min="15" max="15" width="6.8515625" style="0" customWidth="1"/>
    <col min="16" max="16" width="7.8515625" style="78" customWidth="1"/>
    <col min="17" max="17" width="7.421875" style="0" customWidth="1"/>
    <col min="18" max="19" width="7.140625" style="0" customWidth="1"/>
    <col min="20" max="20" width="7.00390625" style="0" customWidth="1"/>
    <col min="21" max="21" width="7.140625" style="9" customWidth="1"/>
    <col min="22" max="22" width="9.57421875" style="9" customWidth="1"/>
    <col min="23" max="23" width="7.00390625" style="0" customWidth="1"/>
    <col min="24" max="24" width="6.8515625" style="0" customWidth="1"/>
    <col min="25" max="25" width="7.7109375" style="0" customWidth="1"/>
    <col min="26" max="26" width="8.140625" style="0" customWidth="1"/>
    <col min="27" max="27" width="8.421875" style="0" customWidth="1"/>
    <col min="28" max="28" width="8.140625" style="0" customWidth="1"/>
    <col min="29" max="29" width="8.8515625" style="0" customWidth="1"/>
    <col min="30" max="30" width="8.57421875" style="0" bestFit="1" customWidth="1"/>
    <col min="31" max="31" width="7.140625" style="0" customWidth="1"/>
    <col min="32" max="32" width="8.00390625" style="0" customWidth="1"/>
    <col min="33" max="33" width="7.28125" style="0" customWidth="1"/>
    <col min="34" max="34" width="9.00390625" style="9" bestFit="1" customWidth="1"/>
    <col min="35" max="35" width="8.421875" style="0" bestFit="1" customWidth="1"/>
    <col min="36" max="37" width="11.140625" style="0" bestFit="1" customWidth="1"/>
    <col min="38" max="38" width="11.57421875" style="0" bestFit="1" customWidth="1"/>
    <col min="39" max="39" width="11.57421875" style="0" customWidth="1"/>
    <col min="40" max="40" width="9.7109375" style="0" bestFit="1" customWidth="1"/>
    <col min="41" max="41" width="10.57421875" style="0" bestFit="1" customWidth="1"/>
    <col min="42" max="42" width="8.140625" style="0" bestFit="1" customWidth="1"/>
    <col min="43" max="44" width="9.00390625" style="0" bestFit="1" customWidth="1"/>
    <col min="45" max="45" width="7.28125" style="0" bestFit="1" customWidth="1"/>
    <col min="46" max="46" width="7.140625" style="0" bestFit="1" customWidth="1"/>
    <col min="47" max="47" width="7.00390625" style="0" bestFit="1" customWidth="1"/>
    <col min="48" max="48" width="7.140625" style="0" bestFit="1" customWidth="1"/>
    <col min="49" max="49" width="10.7109375" style="0" bestFit="1" customWidth="1"/>
  </cols>
  <sheetData>
    <row r="1" ht="18">
      <c r="A1" s="1" t="s">
        <v>84</v>
      </c>
    </row>
    <row r="2" spans="1:49" ht="18">
      <c r="A2" s="1"/>
      <c r="F2" s="5"/>
      <c r="G2" s="52"/>
      <c r="J2" s="113" t="s">
        <v>33</v>
      </c>
      <c r="K2" s="6" t="s">
        <v>2</v>
      </c>
      <c r="L2" s="86" t="s">
        <v>102</v>
      </c>
      <c r="M2" s="86" t="s">
        <v>102</v>
      </c>
      <c r="N2" s="86" t="s">
        <v>102</v>
      </c>
      <c r="O2" s="6" t="s">
        <v>3</v>
      </c>
      <c r="P2" s="6" t="s">
        <v>4</v>
      </c>
      <c r="Q2" s="6" t="s">
        <v>5</v>
      </c>
      <c r="R2" s="6" t="s">
        <v>6</v>
      </c>
      <c r="S2" s="6" t="s">
        <v>105</v>
      </c>
      <c r="T2" s="6" t="s">
        <v>34</v>
      </c>
      <c r="U2" s="22" t="s">
        <v>35</v>
      </c>
      <c r="V2" s="6" t="s">
        <v>36</v>
      </c>
      <c r="W2" s="7" t="s">
        <v>37</v>
      </c>
      <c r="X2" s="7" t="s">
        <v>38</v>
      </c>
      <c r="Y2" s="7" t="s">
        <v>39</v>
      </c>
      <c r="Z2" s="6" t="s">
        <v>7</v>
      </c>
      <c r="AA2" s="6" t="s">
        <v>8</v>
      </c>
      <c r="AB2" s="6" t="s">
        <v>9</v>
      </c>
      <c r="AC2" s="6" t="s">
        <v>10</v>
      </c>
      <c r="AD2" s="6" t="s">
        <v>11</v>
      </c>
      <c r="AE2" s="6" t="s">
        <v>12</v>
      </c>
      <c r="AF2" s="6" t="s">
        <v>13</v>
      </c>
      <c r="AG2" s="6" t="s">
        <v>14</v>
      </c>
      <c r="AH2" s="76" t="s">
        <v>16</v>
      </c>
      <c r="AI2" s="6" t="s">
        <v>17</v>
      </c>
      <c r="AJ2" s="86" t="s">
        <v>18</v>
      </c>
      <c r="AK2" s="86" t="s">
        <v>18</v>
      </c>
      <c r="AL2" s="86" t="s">
        <v>19</v>
      </c>
      <c r="AM2" s="86" t="s">
        <v>19</v>
      </c>
      <c r="AN2" s="76" t="s">
        <v>18</v>
      </c>
      <c r="AO2" s="76" t="s">
        <v>19</v>
      </c>
      <c r="AP2" s="6" t="s">
        <v>20</v>
      </c>
      <c r="AQ2" s="6" t="s">
        <v>21</v>
      </c>
      <c r="AR2" s="6" t="s">
        <v>22</v>
      </c>
      <c r="AS2" s="6" t="s">
        <v>23</v>
      </c>
      <c r="AT2" s="6" t="s">
        <v>24</v>
      </c>
      <c r="AU2" s="6" t="s">
        <v>25</v>
      </c>
      <c r="AV2" s="6" t="s">
        <v>26</v>
      </c>
      <c r="AW2" s="6" t="s">
        <v>27</v>
      </c>
    </row>
    <row r="3" spans="1:49" s="112" customFormat="1" ht="49.5">
      <c r="A3" s="106"/>
      <c r="B3" s="106"/>
      <c r="C3" s="106"/>
      <c r="D3" s="106"/>
      <c r="E3" s="106"/>
      <c r="F3" s="106"/>
      <c r="G3" s="107"/>
      <c r="H3" s="106"/>
      <c r="I3" s="108" t="s">
        <v>61</v>
      </c>
      <c r="J3" s="114" t="s">
        <v>77</v>
      </c>
      <c r="K3" s="108" t="s">
        <v>118</v>
      </c>
      <c r="L3" s="109" t="s">
        <v>119</v>
      </c>
      <c r="M3" s="109" t="s">
        <v>120</v>
      </c>
      <c r="N3" s="109" t="s">
        <v>121</v>
      </c>
      <c r="O3" s="110" t="s">
        <v>122</v>
      </c>
      <c r="P3" s="108" t="s">
        <v>123</v>
      </c>
      <c r="Q3" s="108" t="s">
        <v>124</v>
      </c>
      <c r="R3" s="108" t="s">
        <v>125</v>
      </c>
      <c r="S3" s="108" t="s">
        <v>126</v>
      </c>
      <c r="T3" s="108" t="s">
        <v>127</v>
      </c>
      <c r="U3" s="108" t="s">
        <v>128</v>
      </c>
      <c r="V3" s="108" t="s">
        <v>129</v>
      </c>
      <c r="W3" s="108" t="s">
        <v>130</v>
      </c>
      <c r="X3" s="108" t="s">
        <v>131</v>
      </c>
      <c r="Y3" s="108" t="s">
        <v>132</v>
      </c>
      <c r="Z3" s="108" t="s">
        <v>133</v>
      </c>
      <c r="AA3" s="108" t="s">
        <v>134</v>
      </c>
      <c r="AB3" s="108" t="s">
        <v>135</v>
      </c>
      <c r="AC3" s="108" t="s">
        <v>136</v>
      </c>
      <c r="AD3" s="108" t="s">
        <v>137</v>
      </c>
      <c r="AE3" s="108" t="s">
        <v>138</v>
      </c>
      <c r="AF3" s="108" t="s">
        <v>139</v>
      </c>
      <c r="AG3" s="108" t="s">
        <v>15</v>
      </c>
      <c r="AH3" s="111" t="s">
        <v>140</v>
      </c>
      <c r="AI3" s="108" t="s">
        <v>76</v>
      </c>
      <c r="AJ3" s="109" t="s">
        <v>141</v>
      </c>
      <c r="AK3" s="109" t="s">
        <v>142</v>
      </c>
      <c r="AL3" s="109" t="s">
        <v>143</v>
      </c>
      <c r="AM3" s="109" t="s">
        <v>144</v>
      </c>
      <c r="AN3" s="111" t="s">
        <v>145</v>
      </c>
      <c r="AO3" s="111" t="s">
        <v>146</v>
      </c>
      <c r="AP3" s="108" t="s">
        <v>147</v>
      </c>
      <c r="AQ3" s="108" t="s">
        <v>140</v>
      </c>
      <c r="AR3" s="108" t="s">
        <v>136</v>
      </c>
      <c r="AS3" s="108" t="s">
        <v>75</v>
      </c>
      <c r="AT3" s="108" t="s">
        <v>74</v>
      </c>
      <c r="AU3" s="108" t="s">
        <v>148</v>
      </c>
      <c r="AV3" s="108" t="s">
        <v>149</v>
      </c>
      <c r="AW3" s="108" t="s">
        <v>150</v>
      </c>
    </row>
    <row r="4" spans="1:49" s="97" customFormat="1" ht="178.5">
      <c r="A4" s="88" t="s">
        <v>0</v>
      </c>
      <c r="B4" s="89" t="s">
        <v>87</v>
      </c>
      <c r="C4" s="89" t="s">
        <v>88</v>
      </c>
      <c r="D4" s="90" t="s">
        <v>89</v>
      </c>
      <c r="E4" s="90" t="s">
        <v>85</v>
      </c>
      <c r="F4" s="91" t="s">
        <v>91</v>
      </c>
      <c r="G4" s="92" t="s">
        <v>83</v>
      </c>
      <c r="H4" s="93" t="s">
        <v>83</v>
      </c>
      <c r="I4" s="94" t="s">
        <v>62</v>
      </c>
      <c r="J4" s="94" t="s">
        <v>71</v>
      </c>
      <c r="K4" s="94" t="s">
        <v>40</v>
      </c>
      <c r="L4" s="94" t="s">
        <v>98</v>
      </c>
      <c r="M4" s="94" t="s">
        <v>97</v>
      </c>
      <c r="N4" s="94" t="s">
        <v>99</v>
      </c>
      <c r="O4" s="94" t="s">
        <v>101</v>
      </c>
      <c r="P4" s="95" t="s">
        <v>41</v>
      </c>
      <c r="Q4" s="96" t="s">
        <v>42</v>
      </c>
      <c r="R4" s="94" t="s">
        <v>111</v>
      </c>
      <c r="S4" s="94" t="s">
        <v>106</v>
      </c>
      <c r="T4" s="94" t="s">
        <v>43</v>
      </c>
      <c r="U4" s="96" t="s">
        <v>44</v>
      </c>
      <c r="V4" s="96" t="s">
        <v>92</v>
      </c>
      <c r="W4" s="94" t="s">
        <v>45</v>
      </c>
      <c r="X4" s="94" t="s">
        <v>46</v>
      </c>
      <c r="Y4" s="94" t="s">
        <v>47</v>
      </c>
      <c r="Z4" s="94" t="s">
        <v>48</v>
      </c>
      <c r="AA4" s="94" t="s">
        <v>49</v>
      </c>
      <c r="AB4" s="94" t="s">
        <v>50</v>
      </c>
      <c r="AC4" s="94" t="s">
        <v>29</v>
      </c>
      <c r="AD4" s="94" t="s">
        <v>51</v>
      </c>
      <c r="AE4" s="94" t="s">
        <v>52</v>
      </c>
      <c r="AF4" s="94" t="s">
        <v>54</v>
      </c>
      <c r="AG4" s="94" t="s">
        <v>53</v>
      </c>
      <c r="AH4" s="96" t="s">
        <v>28</v>
      </c>
      <c r="AI4" s="94" t="s">
        <v>72</v>
      </c>
      <c r="AJ4" s="94" t="s">
        <v>94</v>
      </c>
      <c r="AK4" s="94" t="s">
        <v>95</v>
      </c>
      <c r="AL4" s="94" t="s">
        <v>96</v>
      </c>
      <c r="AM4" s="94" t="s">
        <v>100</v>
      </c>
      <c r="AN4" s="94" t="s">
        <v>107</v>
      </c>
      <c r="AO4" s="94" t="s">
        <v>108</v>
      </c>
      <c r="AP4" s="94" t="s">
        <v>73</v>
      </c>
      <c r="AQ4" s="94" t="s">
        <v>28</v>
      </c>
      <c r="AR4" s="94" t="s">
        <v>29</v>
      </c>
      <c r="AS4" s="94" t="s">
        <v>30</v>
      </c>
      <c r="AT4" s="94" t="s">
        <v>31</v>
      </c>
      <c r="AU4" s="94" t="s">
        <v>32</v>
      </c>
      <c r="AV4" s="94" t="s">
        <v>109</v>
      </c>
      <c r="AW4" s="94" t="s">
        <v>110</v>
      </c>
    </row>
    <row r="5" spans="1:49" s="105" customFormat="1" ht="39" thickBot="1">
      <c r="A5" s="98"/>
      <c r="B5" s="99" t="s">
        <v>57</v>
      </c>
      <c r="C5" s="99" t="s">
        <v>57</v>
      </c>
      <c r="D5" s="99" t="s">
        <v>57</v>
      </c>
      <c r="E5" s="99" t="s">
        <v>57</v>
      </c>
      <c r="F5" s="98" t="s">
        <v>1</v>
      </c>
      <c r="G5" s="100" t="s">
        <v>57</v>
      </c>
      <c r="H5" s="101" t="s">
        <v>86</v>
      </c>
      <c r="I5" s="102" t="s">
        <v>112</v>
      </c>
      <c r="J5" s="102" t="s">
        <v>112</v>
      </c>
      <c r="K5" s="102" t="s">
        <v>112</v>
      </c>
      <c r="L5" s="102" t="s">
        <v>112</v>
      </c>
      <c r="M5" s="102" t="s">
        <v>112</v>
      </c>
      <c r="N5" s="102" t="s">
        <v>112</v>
      </c>
      <c r="O5" s="102" t="s">
        <v>112</v>
      </c>
      <c r="P5" s="103" t="s">
        <v>113</v>
      </c>
      <c r="Q5" s="102" t="s">
        <v>56</v>
      </c>
      <c r="R5" s="102" t="s">
        <v>112</v>
      </c>
      <c r="S5" s="102" t="s">
        <v>112</v>
      </c>
      <c r="T5" s="102" t="s">
        <v>114</v>
      </c>
      <c r="U5" s="102" t="s">
        <v>115</v>
      </c>
      <c r="V5" s="104" t="s">
        <v>1</v>
      </c>
      <c r="W5" s="102" t="s">
        <v>115</v>
      </c>
      <c r="X5" s="102" t="s">
        <v>115</v>
      </c>
      <c r="Y5" s="102" t="s">
        <v>1</v>
      </c>
      <c r="Z5" s="102" t="s">
        <v>115</v>
      </c>
      <c r="AA5" s="102" t="s">
        <v>115</v>
      </c>
      <c r="AB5" s="102" t="s">
        <v>1</v>
      </c>
      <c r="AC5" s="102" t="s">
        <v>116</v>
      </c>
      <c r="AD5" s="102" t="s">
        <v>117</v>
      </c>
      <c r="AE5" s="102" t="s">
        <v>1</v>
      </c>
      <c r="AF5" s="102" t="s">
        <v>1</v>
      </c>
      <c r="AG5" s="102" t="s">
        <v>58</v>
      </c>
      <c r="AH5" s="104" t="s">
        <v>60</v>
      </c>
      <c r="AI5" s="102" t="s">
        <v>55</v>
      </c>
      <c r="AJ5" s="102" t="s">
        <v>55</v>
      </c>
      <c r="AK5" s="102" t="s">
        <v>55</v>
      </c>
      <c r="AL5" s="102" t="s">
        <v>55</v>
      </c>
      <c r="AM5" s="102" t="s">
        <v>55</v>
      </c>
      <c r="AN5" s="102" t="s">
        <v>55</v>
      </c>
      <c r="AO5" s="102" t="s">
        <v>55</v>
      </c>
      <c r="AP5" s="102" t="s">
        <v>57</v>
      </c>
      <c r="AQ5" s="102" t="s">
        <v>60</v>
      </c>
      <c r="AR5" s="102" t="s">
        <v>60</v>
      </c>
      <c r="AS5" s="102" t="s">
        <v>56</v>
      </c>
      <c r="AT5" s="102" t="s">
        <v>56</v>
      </c>
      <c r="AU5" s="102" t="s">
        <v>59</v>
      </c>
      <c r="AV5" s="102" t="s">
        <v>59</v>
      </c>
      <c r="AW5" s="102" t="s">
        <v>1</v>
      </c>
    </row>
    <row r="6" spans="1:49" ht="12.75">
      <c r="A6" s="69">
        <v>40269</v>
      </c>
      <c r="B6" s="75"/>
      <c r="C6" s="75"/>
      <c r="D6" s="71"/>
      <c r="E6" s="70">
        <v>449.409999999999</v>
      </c>
      <c r="F6" s="51">
        <v>27.64399417064131</v>
      </c>
      <c r="G6" s="53">
        <f>SUM(C6:E6)</f>
        <v>449.409999999999</v>
      </c>
      <c r="H6" s="16">
        <f>G6/0.717*1000</f>
        <v>626792.1896792176</v>
      </c>
      <c r="I6" s="31">
        <f aca="true" t="shared" si="0" ref="I6:I14">AI6-J6</f>
        <v>9356.258491181667</v>
      </c>
      <c r="J6" s="31">
        <f>K6+O6+P6</f>
        <v>1276.8861624999972</v>
      </c>
      <c r="K6" s="34">
        <f>Q6*R6</f>
        <v>0</v>
      </c>
      <c r="L6" s="31">
        <f>(T6)*(AC$6+AD6*AG6)+(AH$6*(U6-T6))</f>
        <v>0</v>
      </c>
      <c r="M6" s="31">
        <f>(Z6)*(AC$6+AD6*AG6)+(AH$6*AA6*(1-AB$6))</f>
        <v>1276.8861624999972</v>
      </c>
      <c r="N6" s="31">
        <f>(W6)*(AC$6+AD6*AG6)+(AH$6*X6*(1-Y$6))</f>
        <v>0</v>
      </c>
      <c r="O6" s="31">
        <f>(T6+W6+Z6)*(AC$6+AD6*AG6)</f>
        <v>1229.6981124999973</v>
      </c>
      <c r="P6" s="79">
        <f>AH$6*(X6*(1-Y$6)+AA6*(1-AB$6))+S6</f>
        <v>47.18804999999994</v>
      </c>
      <c r="Q6" s="9">
        <v>0</v>
      </c>
      <c r="R6" s="25">
        <v>0.666</v>
      </c>
      <c r="S6" s="16">
        <f>AH$6*(U6-T6)</f>
        <v>0</v>
      </c>
      <c r="T6" s="16">
        <f>B6</f>
        <v>0</v>
      </c>
      <c r="U6" s="16">
        <f aca="true" t="shared" si="1" ref="T6:U14">C6</f>
        <v>0</v>
      </c>
      <c r="V6" s="24"/>
      <c r="W6" s="17">
        <v>0</v>
      </c>
      <c r="X6" s="50">
        <f aca="true" t="shared" si="2" ref="X6:X14">D6</f>
        <v>0</v>
      </c>
      <c r="Y6" s="24">
        <v>0.995</v>
      </c>
      <c r="Z6" s="23">
        <f>AA6*AB$6</f>
        <v>447.162949999999</v>
      </c>
      <c r="AA6" s="16">
        <f>E6</f>
        <v>449.409999999999</v>
      </c>
      <c r="AB6" s="11">
        <v>0.995</v>
      </c>
      <c r="AC6" s="10">
        <v>2.75</v>
      </c>
      <c r="AD6">
        <v>0</v>
      </c>
      <c r="AE6" s="27">
        <f aca="true" t="shared" si="3" ref="AE6:AE14">F6/100</f>
        <v>0.2764399417064131</v>
      </c>
      <c r="AF6" s="9">
        <v>0</v>
      </c>
      <c r="AG6">
        <f aca="true" t="shared" si="4" ref="AG6:AG11">IF(AE6,AF6/AE6,0)</f>
        <v>0</v>
      </c>
      <c r="AH6" s="10">
        <v>21</v>
      </c>
      <c r="AI6" s="31">
        <f>AJ6+AK6+AL6+AM6</f>
        <v>10633.144653681664</v>
      </c>
      <c r="AJ6" s="31">
        <f>U6*$AQ$6</f>
        <v>0</v>
      </c>
      <c r="AK6" s="31">
        <f>AA6*$AQ$6</f>
        <v>9437.609999999979</v>
      </c>
      <c r="AL6" s="23">
        <f>AT6*AV$6/AW$6</f>
        <v>1195.534653681685</v>
      </c>
      <c r="AM6" s="23">
        <f>AS6*AU$6</f>
        <v>0</v>
      </c>
      <c r="AN6" s="31">
        <f>AP6*$AH$6</f>
        <v>9437.609999999979</v>
      </c>
      <c r="AO6" s="31">
        <f>AS6*$AU$6+AT6/$AW$6*$AV$6</f>
        <v>1195.534653681685</v>
      </c>
      <c r="AP6" s="31">
        <f>U6+X6+AA6</f>
        <v>449.409999999999</v>
      </c>
      <c r="AQ6" s="29">
        <v>21</v>
      </c>
      <c r="AR6" s="29">
        <v>2.75</v>
      </c>
      <c r="AS6" s="17">
        <v>0</v>
      </c>
      <c r="AT6" s="46">
        <v>2579.9118333999954</v>
      </c>
      <c r="AU6" s="26">
        <v>0.666</v>
      </c>
      <c r="AV6" s="28">
        <v>0.3406</v>
      </c>
      <c r="AW6" s="11">
        <v>0.735</v>
      </c>
    </row>
    <row r="7" spans="1:49" ht="12.75">
      <c r="A7" s="69">
        <v>40299</v>
      </c>
      <c r="B7" s="75"/>
      <c r="C7" s="75"/>
      <c r="D7" s="71"/>
      <c r="E7" s="70">
        <v>263.8259999999992</v>
      </c>
      <c r="F7" s="51">
        <v>32.076394978567116</v>
      </c>
      <c r="G7" s="53">
        <f aca="true" t="shared" si="5" ref="G7:G17">SUM(C7:E7)</f>
        <v>263.8259999999992</v>
      </c>
      <c r="H7" s="16">
        <f aca="true" t="shared" si="6" ref="H7:H17">G7/0.717*1000</f>
        <v>367958.1589958148</v>
      </c>
      <c r="I7" s="31">
        <f t="shared" si="0"/>
        <v>5435.0803808354685</v>
      </c>
      <c r="J7" s="31">
        <f aca="true" t="shared" si="7" ref="J7:J17">K7+O7+P7</f>
        <v>749.595622499998</v>
      </c>
      <c r="K7" s="34">
        <f aca="true" t="shared" si="8" ref="K7:K14">Q7*R7</f>
        <v>0</v>
      </c>
      <c r="L7" s="31">
        <f aca="true" t="shared" si="9" ref="L7:L17">(T7)*(AC$6+AD7*AG7)+(AH$6*(U7-T7))</f>
        <v>0</v>
      </c>
      <c r="M7" s="31">
        <f aca="true" t="shared" si="10" ref="M7:M13">(Z7)*(AC$6+AD7*AG7)+(AH$6*AA7*(1-AB$6))</f>
        <v>749.595622499998</v>
      </c>
      <c r="N7" s="31">
        <f aca="true" t="shared" si="11" ref="N7:N13">(W7)*(AC$6+AD7*AG7)+(AH$6*X7*(1-Y$6))</f>
        <v>0</v>
      </c>
      <c r="O7" s="31">
        <f aca="true" t="shared" si="12" ref="O7:O17">(T7+W7+Z7)*(AC$6+AD7*AG7)</f>
        <v>721.893892499998</v>
      </c>
      <c r="P7" s="79">
        <f aca="true" t="shared" si="13" ref="P7:P17">AH$6*(X7*(1-Y$6)+AA7*(1-AB$6))+S7</f>
        <v>27.70172999999994</v>
      </c>
      <c r="Q7" s="38"/>
      <c r="R7" s="25">
        <v>0.666</v>
      </c>
      <c r="S7" s="16">
        <f aca="true" t="shared" si="14" ref="S7:S17">AH$6*(U7-T7)</f>
        <v>0</v>
      </c>
      <c r="T7" s="16">
        <f t="shared" si="1"/>
        <v>0</v>
      </c>
      <c r="U7" s="16">
        <f t="shared" si="1"/>
        <v>0</v>
      </c>
      <c r="V7" s="24"/>
      <c r="W7" s="17">
        <v>0</v>
      </c>
      <c r="X7" s="50">
        <f t="shared" si="2"/>
        <v>0</v>
      </c>
      <c r="Y7" s="24"/>
      <c r="Z7" s="23">
        <f aca="true" t="shared" si="15" ref="Z7:Z14">AA7*AB$6</f>
        <v>262.50686999999925</v>
      </c>
      <c r="AA7" s="16">
        <f aca="true" t="shared" si="16" ref="AA7:AA17">E7</f>
        <v>263.8259999999992</v>
      </c>
      <c r="AB7" s="11"/>
      <c r="AC7" s="10"/>
      <c r="AD7">
        <v>0</v>
      </c>
      <c r="AE7" s="27">
        <f t="shared" si="3"/>
        <v>0.32076394978567113</v>
      </c>
      <c r="AF7" s="9">
        <v>0</v>
      </c>
      <c r="AG7">
        <f t="shared" si="4"/>
        <v>0</v>
      </c>
      <c r="AH7" s="10"/>
      <c r="AI7" s="31">
        <f aca="true" t="shared" si="17" ref="AI7:AI17">AJ7+AK7+AL7+AM7</f>
        <v>6184.676003335467</v>
      </c>
      <c r="AJ7" s="31">
        <f aca="true" t="shared" si="18" ref="AJ7:AJ14">U7*$AQ$6</f>
        <v>0</v>
      </c>
      <c r="AK7" s="31">
        <f aca="true" t="shared" si="19" ref="AK7:AK14">AA7*$AQ$6</f>
        <v>5540.345999999984</v>
      </c>
      <c r="AL7" s="23">
        <f aca="true" t="shared" si="20" ref="AL7:AL14">AT7*AV$6/AW$6</f>
        <v>644.3300033354823</v>
      </c>
      <c r="AM7" s="23">
        <f aca="true" t="shared" si="21" ref="AM7:AM14">AS7*AU$6</f>
        <v>0</v>
      </c>
      <c r="AN7" s="31">
        <f aca="true" t="shared" si="22" ref="AN7:AN17">AP7*$AH$6</f>
        <v>5540.345999999984</v>
      </c>
      <c r="AO7" s="31">
        <f aca="true" t="shared" si="23" ref="AO7:AO17">AS7*$AU$6+AT7/$AW$6*$AV$6</f>
        <v>644.3300033354823</v>
      </c>
      <c r="AP7" s="31">
        <f aca="true" t="shared" si="24" ref="AP7:AP17">U7+X7+AA7</f>
        <v>263.8259999999992</v>
      </c>
      <c r="AQ7" s="30"/>
      <c r="AR7" s="30"/>
      <c r="AS7" s="17"/>
      <c r="AT7" s="46">
        <v>1390.4361492999983</v>
      </c>
      <c r="AU7" s="26"/>
      <c r="AV7" s="28"/>
      <c r="AW7" s="35"/>
    </row>
    <row r="8" spans="1:49" ht="12.75">
      <c r="A8" s="69">
        <v>40330</v>
      </c>
      <c r="B8" s="75"/>
      <c r="C8" s="75"/>
      <c r="D8" s="71"/>
      <c r="E8" s="70">
        <v>206.1729999999997</v>
      </c>
      <c r="F8" s="51">
        <v>26.84245854361936</v>
      </c>
      <c r="G8" s="53">
        <f t="shared" si="5"/>
        <v>206.1729999999997</v>
      </c>
      <c r="H8" s="16">
        <f t="shared" si="6"/>
        <v>287549.51185495075</v>
      </c>
      <c r="I8" s="31">
        <f t="shared" si="0"/>
        <v>3933.4518919623206</v>
      </c>
      <c r="J8" s="31">
        <f t="shared" si="7"/>
        <v>585.7890362499991</v>
      </c>
      <c r="K8" s="34">
        <f t="shared" si="8"/>
        <v>0</v>
      </c>
      <c r="L8" s="31">
        <f t="shared" si="9"/>
        <v>0</v>
      </c>
      <c r="M8" s="31">
        <f t="shared" si="10"/>
        <v>585.7890362499991</v>
      </c>
      <c r="N8" s="31">
        <f t="shared" si="11"/>
        <v>0</v>
      </c>
      <c r="O8" s="31">
        <f t="shared" si="12"/>
        <v>564.1408712499991</v>
      </c>
      <c r="P8" s="79">
        <f t="shared" si="13"/>
        <v>21.648164999999985</v>
      </c>
      <c r="Q8" s="38"/>
      <c r="R8" s="25">
        <v>0.666</v>
      </c>
      <c r="S8" s="16">
        <f t="shared" si="14"/>
        <v>0</v>
      </c>
      <c r="T8" s="16">
        <f t="shared" si="1"/>
        <v>0</v>
      </c>
      <c r="U8" s="16">
        <f t="shared" si="1"/>
        <v>0</v>
      </c>
      <c r="V8" s="24"/>
      <c r="W8" s="17">
        <v>0</v>
      </c>
      <c r="X8" s="50">
        <f t="shared" si="2"/>
        <v>0</v>
      </c>
      <c r="Y8" s="24"/>
      <c r="Z8" s="23">
        <f t="shared" si="15"/>
        <v>205.14213499999968</v>
      </c>
      <c r="AA8" s="16">
        <f t="shared" si="16"/>
        <v>206.1729999999997</v>
      </c>
      <c r="AB8" s="11"/>
      <c r="AC8" s="10"/>
      <c r="AD8">
        <v>0</v>
      </c>
      <c r="AE8" s="27">
        <f t="shared" si="3"/>
        <v>0.26842458543619363</v>
      </c>
      <c r="AF8" s="9">
        <v>0</v>
      </c>
      <c r="AG8">
        <f t="shared" si="4"/>
        <v>0</v>
      </c>
      <c r="AH8" s="10"/>
      <c r="AI8" s="31">
        <f t="shared" si="17"/>
        <v>4519.24092821232</v>
      </c>
      <c r="AJ8" s="31">
        <f t="shared" si="18"/>
        <v>0</v>
      </c>
      <c r="AK8" s="31">
        <f t="shared" si="19"/>
        <v>4329.632999999993</v>
      </c>
      <c r="AL8" s="23">
        <f t="shared" si="20"/>
        <v>189.6079282123265</v>
      </c>
      <c r="AM8" s="23">
        <f t="shared" si="21"/>
        <v>0</v>
      </c>
      <c r="AN8" s="31">
        <f t="shared" si="22"/>
        <v>4329.632999999993</v>
      </c>
      <c r="AO8" s="31">
        <f t="shared" si="23"/>
        <v>189.60792821232653</v>
      </c>
      <c r="AP8" s="31">
        <f t="shared" si="24"/>
        <v>206.1729999999997</v>
      </c>
      <c r="AQ8" s="30"/>
      <c r="AR8" s="30"/>
      <c r="AS8" s="17"/>
      <c r="AT8" s="46">
        <v>409.16567009999994</v>
      </c>
      <c r="AU8" s="26"/>
      <c r="AV8" s="28"/>
      <c r="AW8" s="35"/>
    </row>
    <row r="9" spans="1:49" ht="12.75">
      <c r="A9" s="69">
        <v>40360</v>
      </c>
      <c r="B9" s="75"/>
      <c r="C9" s="75"/>
      <c r="D9" s="71"/>
      <c r="E9" s="70">
        <v>101.73400000000021</v>
      </c>
      <c r="F9" s="51">
        <v>26.213963483146088</v>
      </c>
      <c r="G9" s="53">
        <f t="shared" si="5"/>
        <v>101.73400000000021</v>
      </c>
      <c r="H9" s="16">
        <f t="shared" si="6"/>
        <v>141888.4239888427</v>
      </c>
      <c r="I9" s="31">
        <f t="shared" si="0"/>
        <v>2064.5483949884388</v>
      </c>
      <c r="J9" s="31">
        <f t="shared" si="7"/>
        <v>289.0517275000006</v>
      </c>
      <c r="K9" s="34">
        <f t="shared" si="8"/>
        <v>0</v>
      </c>
      <c r="L9" s="31">
        <f t="shared" si="9"/>
        <v>0</v>
      </c>
      <c r="M9" s="31">
        <f t="shared" si="10"/>
        <v>289.0517275000006</v>
      </c>
      <c r="N9" s="31">
        <f t="shared" si="11"/>
        <v>0</v>
      </c>
      <c r="O9" s="31">
        <f t="shared" si="12"/>
        <v>278.3696575000006</v>
      </c>
      <c r="P9" s="79">
        <f t="shared" si="13"/>
        <v>10.682070000000031</v>
      </c>
      <c r="Q9" s="38"/>
      <c r="R9" s="25">
        <v>0.666</v>
      </c>
      <c r="S9" s="16">
        <f t="shared" si="14"/>
        <v>0</v>
      </c>
      <c r="T9" s="16">
        <f t="shared" si="1"/>
        <v>0</v>
      </c>
      <c r="U9" s="16">
        <f t="shared" si="1"/>
        <v>0</v>
      </c>
      <c r="V9" s="24"/>
      <c r="W9" s="17">
        <v>0</v>
      </c>
      <c r="X9" s="50">
        <f t="shared" si="2"/>
        <v>0</v>
      </c>
      <c r="Y9" s="24"/>
      <c r="Z9" s="23">
        <f t="shared" si="15"/>
        <v>101.22533000000021</v>
      </c>
      <c r="AA9" s="16">
        <f t="shared" si="16"/>
        <v>101.73400000000021</v>
      </c>
      <c r="AB9" s="11"/>
      <c r="AC9" s="10"/>
      <c r="AD9">
        <v>0</v>
      </c>
      <c r="AE9" s="27">
        <f t="shared" si="3"/>
        <v>0.26213963483146085</v>
      </c>
      <c r="AF9" s="9">
        <v>0</v>
      </c>
      <c r="AG9">
        <f t="shared" si="4"/>
        <v>0</v>
      </c>
      <c r="AH9" s="10"/>
      <c r="AI9" s="31">
        <f t="shared" si="17"/>
        <v>2353.6001224884394</v>
      </c>
      <c r="AJ9" s="31">
        <f t="shared" si="18"/>
        <v>0</v>
      </c>
      <c r="AK9" s="31">
        <f t="shared" si="19"/>
        <v>2136.4140000000043</v>
      </c>
      <c r="AL9" s="23">
        <f t="shared" si="20"/>
        <v>217.1861224884352</v>
      </c>
      <c r="AM9" s="23">
        <f t="shared" si="21"/>
        <v>0</v>
      </c>
      <c r="AN9" s="31">
        <f t="shared" si="22"/>
        <v>2136.4140000000043</v>
      </c>
      <c r="AO9" s="31">
        <f t="shared" si="23"/>
        <v>217.18612248843516</v>
      </c>
      <c r="AP9" s="31">
        <f t="shared" si="24"/>
        <v>101.73400000000021</v>
      </c>
      <c r="AQ9" s="30"/>
      <c r="AR9" s="30"/>
      <c r="AS9" s="17"/>
      <c r="AT9" s="46">
        <v>468.67821499999957</v>
      </c>
      <c r="AU9" s="26"/>
      <c r="AV9" s="28"/>
      <c r="AW9" s="35"/>
    </row>
    <row r="10" spans="1:49" ht="12.75">
      <c r="A10" s="69">
        <v>40391</v>
      </c>
      <c r="B10" s="75"/>
      <c r="C10" s="75"/>
      <c r="D10" s="71"/>
      <c r="E10" s="70">
        <v>160.995</v>
      </c>
      <c r="F10" s="51">
        <v>29.18400905349791</v>
      </c>
      <c r="G10" s="53">
        <f t="shared" si="5"/>
        <v>160.995</v>
      </c>
      <c r="H10" s="16">
        <f t="shared" si="6"/>
        <v>224539.7489539749</v>
      </c>
      <c r="I10" s="31">
        <f t="shared" si="0"/>
        <v>3291.9315112766662</v>
      </c>
      <c r="J10" s="31">
        <f t="shared" si="7"/>
        <v>457.42704375</v>
      </c>
      <c r="K10" s="34">
        <f t="shared" si="8"/>
        <v>0</v>
      </c>
      <c r="L10" s="31">
        <f t="shared" si="9"/>
        <v>0</v>
      </c>
      <c r="M10" s="31">
        <f t="shared" si="10"/>
        <v>457.42704375</v>
      </c>
      <c r="N10" s="31">
        <f t="shared" si="11"/>
        <v>0</v>
      </c>
      <c r="O10" s="31">
        <f t="shared" si="12"/>
        <v>440.52256875</v>
      </c>
      <c r="P10" s="79">
        <f t="shared" si="13"/>
        <v>16.904475000000016</v>
      </c>
      <c r="Q10" s="38"/>
      <c r="R10" s="25">
        <v>0.666</v>
      </c>
      <c r="S10" s="16">
        <f t="shared" si="14"/>
        <v>0</v>
      </c>
      <c r="T10" s="16">
        <f t="shared" si="1"/>
        <v>0</v>
      </c>
      <c r="U10" s="16">
        <f t="shared" si="1"/>
        <v>0</v>
      </c>
      <c r="V10" s="24"/>
      <c r="W10" s="17">
        <v>0</v>
      </c>
      <c r="X10" s="50">
        <f t="shared" si="2"/>
        <v>0</v>
      </c>
      <c r="Y10" s="24"/>
      <c r="Z10" s="23">
        <f t="shared" si="15"/>
        <v>160.190025</v>
      </c>
      <c r="AA10" s="16">
        <f t="shared" si="16"/>
        <v>160.995</v>
      </c>
      <c r="AB10" s="11"/>
      <c r="AC10" s="10"/>
      <c r="AD10">
        <v>0</v>
      </c>
      <c r="AE10" s="27">
        <f t="shared" si="3"/>
        <v>0.2918400905349791</v>
      </c>
      <c r="AF10" s="9">
        <v>0</v>
      </c>
      <c r="AG10">
        <f t="shared" si="4"/>
        <v>0</v>
      </c>
      <c r="AH10" s="10"/>
      <c r="AI10" s="31">
        <f t="shared" si="17"/>
        <v>3749.358555026666</v>
      </c>
      <c r="AJ10" s="31">
        <f t="shared" si="18"/>
        <v>0</v>
      </c>
      <c r="AK10" s="31">
        <f t="shared" si="19"/>
        <v>3380.895</v>
      </c>
      <c r="AL10" s="23">
        <f t="shared" si="20"/>
        <v>368.46355502666626</v>
      </c>
      <c r="AM10" s="23">
        <f t="shared" si="21"/>
        <v>0</v>
      </c>
      <c r="AN10" s="31">
        <f t="shared" si="22"/>
        <v>3380.895</v>
      </c>
      <c r="AO10" s="31">
        <f t="shared" si="23"/>
        <v>368.4635550266662</v>
      </c>
      <c r="AP10" s="31">
        <f t="shared" si="24"/>
        <v>160.995</v>
      </c>
      <c r="AQ10" s="30"/>
      <c r="AR10" s="30"/>
      <c r="AS10" s="17"/>
      <c r="AT10" s="46">
        <v>795.1283409999991</v>
      </c>
      <c r="AU10" s="26"/>
      <c r="AV10" s="28"/>
      <c r="AW10" s="35"/>
    </row>
    <row r="11" spans="1:49" ht="12.75">
      <c r="A11" s="69">
        <v>40422</v>
      </c>
      <c r="B11" s="75"/>
      <c r="C11" s="75"/>
      <c r="D11" s="71"/>
      <c r="E11" s="70">
        <v>199.96399999999957</v>
      </c>
      <c r="F11" s="51">
        <v>38.17956231454001</v>
      </c>
      <c r="G11" s="53">
        <f t="shared" si="5"/>
        <v>199.96399999999957</v>
      </c>
      <c r="H11" s="16">
        <f t="shared" si="6"/>
        <v>278889.8186889813</v>
      </c>
      <c r="I11" s="31">
        <f t="shared" si="0"/>
        <v>4115.600315455528</v>
      </c>
      <c r="J11" s="31">
        <f t="shared" si="7"/>
        <v>568.1477149999988</v>
      </c>
      <c r="K11" s="34">
        <f t="shared" si="8"/>
        <v>0</v>
      </c>
      <c r="L11" s="31">
        <f t="shared" si="9"/>
        <v>0</v>
      </c>
      <c r="M11" s="31">
        <f t="shared" si="10"/>
        <v>568.1477149999988</v>
      </c>
      <c r="N11" s="31">
        <f t="shared" si="11"/>
        <v>0</v>
      </c>
      <c r="O11" s="31">
        <f t="shared" si="12"/>
        <v>547.1514949999988</v>
      </c>
      <c r="P11" s="79">
        <f t="shared" si="13"/>
        <v>20.996219999999973</v>
      </c>
      <c r="Q11" s="38"/>
      <c r="R11" s="25">
        <v>0.666</v>
      </c>
      <c r="S11" s="16">
        <f t="shared" si="14"/>
        <v>0</v>
      </c>
      <c r="T11" s="16">
        <f t="shared" si="1"/>
        <v>0</v>
      </c>
      <c r="U11" s="16">
        <f t="shared" si="1"/>
        <v>0</v>
      </c>
      <c r="V11" s="24"/>
      <c r="W11" s="17">
        <v>0</v>
      </c>
      <c r="X11" s="50">
        <f t="shared" si="2"/>
        <v>0</v>
      </c>
      <c r="Y11" s="24"/>
      <c r="Z11" s="23">
        <f t="shared" si="15"/>
        <v>198.96417999999957</v>
      </c>
      <c r="AA11" s="16">
        <f t="shared" si="16"/>
        <v>199.96399999999957</v>
      </c>
      <c r="AB11" s="11"/>
      <c r="AC11" s="10"/>
      <c r="AD11">
        <v>0</v>
      </c>
      <c r="AE11" s="27">
        <f t="shared" si="3"/>
        <v>0.38179562314540005</v>
      </c>
      <c r="AF11" s="9">
        <v>0</v>
      </c>
      <c r="AG11">
        <f t="shared" si="4"/>
        <v>0</v>
      </c>
      <c r="AH11" s="10"/>
      <c r="AI11" s="31">
        <f t="shared" si="17"/>
        <v>4683.748030455527</v>
      </c>
      <c r="AJ11" s="31">
        <f t="shared" si="18"/>
        <v>0</v>
      </c>
      <c r="AK11" s="31">
        <f t="shared" si="19"/>
        <v>4199.243999999991</v>
      </c>
      <c r="AL11" s="23">
        <f t="shared" si="20"/>
        <v>484.50403045553696</v>
      </c>
      <c r="AM11" s="23">
        <f t="shared" si="21"/>
        <v>0</v>
      </c>
      <c r="AN11" s="31">
        <f t="shared" si="22"/>
        <v>4199.243999999991</v>
      </c>
      <c r="AO11" s="31">
        <f t="shared" si="23"/>
        <v>484.5040304555369</v>
      </c>
      <c r="AP11" s="31">
        <f t="shared" si="24"/>
        <v>199.96399999999957</v>
      </c>
      <c r="AQ11" s="30"/>
      <c r="AR11" s="30"/>
      <c r="AS11" s="17"/>
      <c r="AT11" s="46">
        <v>1045.538644699999</v>
      </c>
      <c r="AU11" s="26"/>
      <c r="AV11" s="28"/>
      <c r="AW11" s="35"/>
    </row>
    <row r="12" spans="1:49" ht="12.75">
      <c r="A12" s="69">
        <v>40452</v>
      </c>
      <c r="B12" s="70">
        <v>2.3021934877879855</v>
      </c>
      <c r="C12" s="70">
        <v>2.5579927642088727</v>
      </c>
      <c r="D12" s="71"/>
      <c r="E12" s="70">
        <v>724.8960000000018</v>
      </c>
      <c r="F12" s="51">
        <v>34.783822231139744</v>
      </c>
      <c r="G12" s="53">
        <f t="shared" si="5"/>
        <v>727.4539927642106</v>
      </c>
      <c r="H12" s="16">
        <f t="shared" si="6"/>
        <v>1014580.1851662631</v>
      </c>
      <c r="I12" s="31">
        <f>AI12-J12</f>
        <v>15407.653486044139</v>
      </c>
      <c r="J12" s="31">
        <f t="shared" si="7"/>
        <v>2071.3135768962607</v>
      </c>
      <c r="K12" s="34">
        <f t="shared" si="8"/>
        <v>0</v>
      </c>
      <c r="L12" s="31">
        <f t="shared" si="9"/>
        <v>11.702816896255591</v>
      </c>
      <c r="M12" s="31">
        <f t="shared" si="10"/>
        <v>2059.610760000005</v>
      </c>
      <c r="N12" s="31">
        <f t="shared" si="11"/>
        <v>0</v>
      </c>
      <c r="O12" s="31">
        <f t="shared" si="12"/>
        <v>1989.8277120914217</v>
      </c>
      <c r="P12" s="79">
        <f t="shared" si="13"/>
        <v>81.48586480483888</v>
      </c>
      <c r="Q12" s="38"/>
      <c r="R12" s="25">
        <v>0.666</v>
      </c>
      <c r="S12" s="16">
        <f t="shared" si="14"/>
        <v>5.371784804838631</v>
      </c>
      <c r="T12" s="16">
        <f t="shared" si="1"/>
        <v>2.3021934877879855</v>
      </c>
      <c r="U12" s="16">
        <f t="shared" si="1"/>
        <v>2.5579927642088727</v>
      </c>
      <c r="V12" s="24">
        <f>T12/U12</f>
        <v>0.9</v>
      </c>
      <c r="W12" s="17">
        <v>0</v>
      </c>
      <c r="X12" s="50">
        <f t="shared" si="2"/>
        <v>0</v>
      </c>
      <c r="Y12" s="24"/>
      <c r="Z12" s="23">
        <f t="shared" si="15"/>
        <v>721.2715200000017</v>
      </c>
      <c r="AA12" s="16">
        <f t="shared" si="16"/>
        <v>724.8960000000018</v>
      </c>
      <c r="AB12" s="11"/>
      <c r="AC12" s="10"/>
      <c r="AD12">
        <v>0</v>
      </c>
      <c r="AE12" s="27">
        <f t="shared" si="3"/>
        <v>0.34783822231139744</v>
      </c>
      <c r="AF12" s="9">
        <v>0</v>
      </c>
      <c r="AG12">
        <f>IF(AE12,AF12/AE12,0)</f>
        <v>0</v>
      </c>
      <c r="AH12" s="10"/>
      <c r="AI12" s="31">
        <f t="shared" si="17"/>
        <v>17478.9670629404</v>
      </c>
      <c r="AJ12" s="31">
        <f t="shared" si="18"/>
        <v>53.71784804838633</v>
      </c>
      <c r="AK12" s="31">
        <f t="shared" si="19"/>
        <v>15222.816000000037</v>
      </c>
      <c r="AL12" s="23">
        <f t="shared" si="20"/>
        <v>2202.433214891975</v>
      </c>
      <c r="AM12" s="23">
        <f t="shared" si="21"/>
        <v>0</v>
      </c>
      <c r="AN12" s="31">
        <f t="shared" si="22"/>
        <v>15276.533848048422</v>
      </c>
      <c r="AO12" s="31">
        <f t="shared" si="23"/>
        <v>2202.4332148919743</v>
      </c>
      <c r="AP12" s="31">
        <f t="shared" si="24"/>
        <v>727.4539927642106</v>
      </c>
      <c r="AQ12" s="30"/>
      <c r="AR12" s="30"/>
      <c r="AS12" s="17"/>
      <c r="AT12" s="46">
        <v>4752.755176000003</v>
      </c>
      <c r="AU12" s="26"/>
      <c r="AV12" s="28"/>
      <c r="AW12" s="35"/>
    </row>
    <row r="13" spans="1:49" ht="12.75">
      <c r="A13" s="69">
        <v>40483</v>
      </c>
      <c r="B13" s="70">
        <v>193.53828236733193</v>
      </c>
      <c r="C13" s="70">
        <v>213.68640497015355</v>
      </c>
      <c r="D13" s="71"/>
      <c r="E13" s="70">
        <v>902.5270000000014</v>
      </c>
      <c r="F13" s="51">
        <v>30.097071158213414</v>
      </c>
      <c r="G13" s="53">
        <f t="shared" si="5"/>
        <v>1116.213404970155</v>
      </c>
      <c r="H13" s="16">
        <f t="shared" si="6"/>
        <v>1556782.9915901744</v>
      </c>
      <c r="I13" s="31">
        <f t="shared" si="0"/>
        <v>22452.246833230813</v>
      </c>
      <c r="J13" s="31">
        <f t="shared" si="7"/>
        <v>3519.645689919421</v>
      </c>
      <c r="K13" s="34">
        <f t="shared" si="8"/>
        <v>0</v>
      </c>
      <c r="L13" s="31">
        <f t="shared" si="9"/>
        <v>955.3408511694167</v>
      </c>
      <c r="M13" s="31">
        <f t="shared" si="10"/>
        <v>2564.304838750004</v>
      </c>
      <c r="N13" s="31">
        <f t="shared" si="11"/>
        <v>0</v>
      </c>
      <c r="O13" s="31">
        <f t="shared" si="12"/>
        <v>3001.7697802601665</v>
      </c>
      <c r="P13" s="79">
        <f t="shared" si="13"/>
        <v>517.8759096592541</v>
      </c>
      <c r="Q13" s="38"/>
      <c r="R13" s="25">
        <v>0.666</v>
      </c>
      <c r="S13" s="16">
        <f t="shared" si="14"/>
        <v>423.1105746592539</v>
      </c>
      <c r="T13" s="16">
        <f t="shared" si="1"/>
        <v>193.53828236733193</v>
      </c>
      <c r="U13" s="16">
        <f t="shared" si="1"/>
        <v>213.68640497015355</v>
      </c>
      <c r="V13" s="24">
        <f>T13/U13</f>
        <v>0.9057117245917643</v>
      </c>
      <c r="W13" s="17">
        <v>0</v>
      </c>
      <c r="X13" s="50">
        <f t="shared" si="2"/>
        <v>0</v>
      </c>
      <c r="Y13" s="24"/>
      <c r="Z13" s="23">
        <f t="shared" si="15"/>
        <v>898.0143650000014</v>
      </c>
      <c r="AA13" s="16">
        <f t="shared" si="16"/>
        <v>902.5270000000014</v>
      </c>
      <c r="AB13" s="11"/>
      <c r="AC13" s="10"/>
      <c r="AD13">
        <v>0</v>
      </c>
      <c r="AE13" s="27">
        <f t="shared" si="3"/>
        <v>0.3009707115821341</v>
      </c>
      <c r="AF13" s="9">
        <v>0</v>
      </c>
      <c r="AG13">
        <v>0</v>
      </c>
      <c r="AH13" s="10"/>
      <c r="AI13" s="31">
        <f t="shared" si="17"/>
        <v>25971.892523150233</v>
      </c>
      <c r="AJ13" s="31">
        <f t="shared" si="18"/>
        <v>4487.414504373224</v>
      </c>
      <c r="AK13" s="31">
        <f t="shared" si="19"/>
        <v>18953.06700000003</v>
      </c>
      <c r="AL13" s="23">
        <f t="shared" si="20"/>
        <v>2531.4110187769816</v>
      </c>
      <c r="AM13" s="23">
        <f t="shared" si="21"/>
        <v>0</v>
      </c>
      <c r="AN13" s="31">
        <f t="shared" si="22"/>
        <v>23440.481504373252</v>
      </c>
      <c r="AO13" s="31">
        <f t="shared" si="23"/>
        <v>2531.4110187769816</v>
      </c>
      <c r="AP13" s="31">
        <f t="shared" si="24"/>
        <v>1116.213404970155</v>
      </c>
      <c r="AQ13" s="30"/>
      <c r="AR13" s="30"/>
      <c r="AS13" s="17"/>
      <c r="AT13" s="46">
        <v>5462.6749818000035</v>
      </c>
      <c r="AU13" s="26"/>
      <c r="AV13" s="28"/>
      <c r="AW13" s="35"/>
    </row>
    <row r="14" spans="1:49" ht="13.5" thickBot="1">
      <c r="A14" s="69">
        <v>40513</v>
      </c>
      <c r="B14" s="70">
        <v>17.443562450224587</v>
      </c>
      <c r="C14" s="70">
        <v>19.278064738707503</v>
      </c>
      <c r="D14" s="71"/>
      <c r="E14" s="70">
        <v>1123.9179999999994</v>
      </c>
      <c r="F14" s="51">
        <v>31.139296965564473</v>
      </c>
      <c r="G14" s="53">
        <f t="shared" si="5"/>
        <v>1143.196064738707</v>
      </c>
      <c r="H14" s="16">
        <f t="shared" si="6"/>
        <v>1594415.710932646</v>
      </c>
      <c r="I14" s="31">
        <f t="shared" si="0"/>
        <v>24199.260393718167</v>
      </c>
      <c r="J14" s="31">
        <f t="shared" si="7"/>
        <v>3279.8263622962572</v>
      </c>
      <c r="K14" s="34">
        <f t="shared" si="8"/>
        <v>0</v>
      </c>
      <c r="L14" s="31">
        <f t="shared" si="9"/>
        <v>86.49434479625886</v>
      </c>
      <c r="M14" s="31">
        <f>(Z14)*(AC$6+AD14*AG14)+(AH$6*AA14*(1-AB$6))</f>
        <v>3193.3320174999985</v>
      </c>
      <c r="N14" s="31">
        <f>(W14)*(AC$6+AD14*AG14)+(AH$6*X14*(1-Y$6))</f>
        <v>0</v>
      </c>
      <c r="O14" s="31">
        <f t="shared" si="12"/>
        <v>3123.290424238116</v>
      </c>
      <c r="P14" s="79">
        <f t="shared" si="13"/>
        <v>156.53593805814128</v>
      </c>
      <c r="Q14" s="38"/>
      <c r="R14" s="25">
        <v>0.666</v>
      </c>
      <c r="S14" s="16">
        <f t="shared" si="14"/>
        <v>38.52454805814124</v>
      </c>
      <c r="T14" s="16">
        <f t="shared" si="1"/>
        <v>17.443562450224587</v>
      </c>
      <c r="U14" s="16">
        <f t="shared" si="1"/>
        <v>19.278064738707503</v>
      </c>
      <c r="V14" s="24">
        <f>T14/U14</f>
        <v>0.9048399145169636</v>
      </c>
      <c r="W14" s="17">
        <v>0</v>
      </c>
      <c r="X14" s="50">
        <f t="shared" si="2"/>
        <v>0</v>
      </c>
      <c r="Y14" s="24"/>
      <c r="Z14" s="23">
        <f t="shared" si="15"/>
        <v>1118.2984099999994</v>
      </c>
      <c r="AA14" s="16">
        <f t="shared" si="16"/>
        <v>1123.9179999999994</v>
      </c>
      <c r="AB14" s="11"/>
      <c r="AC14" s="10"/>
      <c r="AD14">
        <v>0</v>
      </c>
      <c r="AE14" s="27">
        <f t="shared" si="3"/>
        <v>0.3113929696556447</v>
      </c>
      <c r="AF14" s="9">
        <v>0</v>
      </c>
      <c r="AG14">
        <v>0</v>
      </c>
      <c r="AH14" s="10"/>
      <c r="AI14" s="31">
        <f t="shared" si="17"/>
        <v>27479.086756014425</v>
      </c>
      <c r="AJ14" s="31">
        <f t="shared" si="18"/>
        <v>404.8393595128576</v>
      </c>
      <c r="AK14" s="31">
        <f t="shared" si="19"/>
        <v>23602.277999999988</v>
      </c>
      <c r="AL14" s="23">
        <f t="shared" si="20"/>
        <v>3471.9693965015804</v>
      </c>
      <c r="AM14" s="23">
        <f t="shared" si="21"/>
        <v>0</v>
      </c>
      <c r="AN14" s="31">
        <f t="shared" si="22"/>
        <v>24007.11735951285</v>
      </c>
      <c r="AO14" s="31">
        <f t="shared" si="23"/>
        <v>3471.9693965015804</v>
      </c>
      <c r="AP14" s="31">
        <f t="shared" si="24"/>
        <v>1143.196064738707</v>
      </c>
      <c r="AQ14" s="30"/>
      <c r="AR14" s="30"/>
      <c r="AS14" s="17"/>
      <c r="AT14" s="46">
        <v>7492.359091100004</v>
      </c>
      <c r="AU14" s="26"/>
      <c r="AV14" s="28"/>
      <c r="AW14" s="35"/>
    </row>
    <row r="15" spans="1:49" ht="13.5" thickBot="1">
      <c r="A15" s="14" t="s">
        <v>79</v>
      </c>
      <c r="B15" s="72">
        <f>SUM(B6:B14)</f>
        <v>213.2840383053445</v>
      </c>
      <c r="C15" s="72">
        <f>SUM(C6:C14)</f>
        <v>235.52246247306994</v>
      </c>
      <c r="D15" s="72"/>
      <c r="E15" s="72">
        <f>SUM(E6:E14)</f>
        <v>4133.443</v>
      </c>
      <c r="F15" s="15"/>
      <c r="G15" s="54">
        <f>SUM(G6:G14)</f>
        <v>4368.96546247307</v>
      </c>
      <c r="H15" s="67">
        <f>SUM(H6:H14)</f>
        <v>6093396.739850866</v>
      </c>
      <c r="I15" s="67">
        <f aca="true" t="shared" si="25" ref="I15:AT15">SUM(I6:I14)</f>
        <v>90256.03169869322</v>
      </c>
      <c r="J15" s="67">
        <f t="shared" si="25"/>
        <v>12797.682936611933</v>
      </c>
      <c r="K15" s="15">
        <f t="shared" si="25"/>
        <v>0</v>
      </c>
      <c r="L15" s="67">
        <f>SUM(L6:L14)</f>
        <v>1053.5380128619313</v>
      </c>
      <c r="M15" s="67">
        <f t="shared" si="25"/>
        <v>11744.144923750002</v>
      </c>
      <c r="N15" s="67">
        <f>SUM(N6:N14)</f>
        <v>0</v>
      </c>
      <c r="O15" s="15">
        <f>SUM(O6:O14)</f>
        <v>11896.664514089698</v>
      </c>
      <c r="P15" s="80">
        <f>SUM(P6:P14)</f>
        <v>901.0184225222342</v>
      </c>
      <c r="Q15" s="15"/>
      <c r="R15" s="15"/>
      <c r="S15" s="15">
        <f t="shared" si="25"/>
        <v>467.0069075222338</v>
      </c>
      <c r="T15" s="15">
        <f t="shared" si="25"/>
        <v>213.2840383053445</v>
      </c>
      <c r="U15" s="15">
        <f>SUM(U6:U14)</f>
        <v>235.52246247306994</v>
      </c>
      <c r="V15" s="15"/>
      <c r="W15" s="15">
        <f t="shared" si="25"/>
        <v>0</v>
      </c>
      <c r="X15" s="15">
        <f t="shared" si="25"/>
        <v>0</v>
      </c>
      <c r="Y15" s="48"/>
      <c r="Z15" s="15">
        <f t="shared" si="25"/>
        <v>4112.775785</v>
      </c>
      <c r="AA15" s="48">
        <f t="shared" si="25"/>
        <v>4133.443</v>
      </c>
      <c r="AB15" s="15"/>
      <c r="AC15" s="15"/>
      <c r="AD15" s="15">
        <f t="shared" si="25"/>
        <v>0</v>
      </c>
      <c r="AE15" s="15"/>
      <c r="AF15" s="15">
        <f t="shared" si="25"/>
        <v>0</v>
      </c>
      <c r="AG15" s="15">
        <f t="shared" si="25"/>
        <v>0</v>
      </c>
      <c r="AH15" s="48"/>
      <c r="AI15" s="67">
        <f t="shared" si="25"/>
        <v>103053.71463530514</v>
      </c>
      <c r="AJ15" s="67">
        <f t="shared" si="25"/>
        <v>4945.971711934468</v>
      </c>
      <c r="AK15" s="67">
        <f t="shared" si="25"/>
        <v>86802.30300000001</v>
      </c>
      <c r="AL15" s="77">
        <f>ROUNDUP(SUM(AL6:AL14),0)</f>
        <v>11306</v>
      </c>
      <c r="AM15" s="67">
        <f t="shared" si="25"/>
        <v>0</v>
      </c>
      <c r="AN15" s="48">
        <f>SUM(AN6:AN14)</f>
        <v>91748.27471193449</v>
      </c>
      <c r="AO15" s="48">
        <f>SUM(AO6:AO14)</f>
        <v>11305.439923370668</v>
      </c>
      <c r="AP15" s="15">
        <f t="shared" si="25"/>
        <v>4368.96546247307</v>
      </c>
      <c r="AQ15" s="15"/>
      <c r="AR15" s="15"/>
      <c r="AS15" s="15"/>
      <c r="AT15" s="67">
        <f t="shared" si="25"/>
        <v>24396.648102400002</v>
      </c>
      <c r="AU15" s="15"/>
      <c r="AV15" s="15"/>
      <c r="AW15" s="15"/>
    </row>
    <row r="16" spans="1:49" ht="12.75">
      <c r="A16" s="69">
        <v>40544</v>
      </c>
      <c r="B16" s="70">
        <v>12.708939952989894</v>
      </c>
      <c r="C16" s="70">
        <v>14.006444141344138</v>
      </c>
      <c r="D16" s="71"/>
      <c r="E16" s="70">
        <v>1028.8409999999994</v>
      </c>
      <c r="F16" s="51">
        <v>29.798613445378212</v>
      </c>
      <c r="G16" s="53">
        <f t="shared" si="5"/>
        <v>1042.8474441413437</v>
      </c>
      <c r="H16" s="16">
        <f t="shared" si="6"/>
        <v>1454459.4757898797</v>
      </c>
      <c r="I16" s="31">
        <f>AI16-J16</f>
        <v>22005.644578654286</v>
      </c>
      <c r="J16" s="31">
        <f t="shared" si="7"/>
        <v>2985.3916640761595</v>
      </c>
      <c r="K16" s="34">
        <f>Q16*R16</f>
        <v>0</v>
      </c>
      <c r="L16" s="31">
        <f t="shared" si="9"/>
        <v>62.197172826161335</v>
      </c>
      <c r="M16" s="31">
        <f>(Z16)*(AC$6+AD16*AG16)+(AH$6*AA16*(1-AB$6))</f>
        <v>2923.1944912499985</v>
      </c>
      <c r="N16" s="31">
        <f>(W16)*(AC$6+AD16*AG16)+(AH$6*X16*(1-Y$6))</f>
        <v>0</v>
      </c>
      <c r="O16" s="31">
        <f t="shared" si="12"/>
        <v>2850.11577112072</v>
      </c>
      <c r="P16" s="79">
        <f t="shared" si="13"/>
        <v>135.2758929554392</v>
      </c>
      <c r="Q16" s="38"/>
      <c r="R16" s="25">
        <v>0.651</v>
      </c>
      <c r="S16" s="16">
        <f t="shared" si="14"/>
        <v>27.24758795543913</v>
      </c>
      <c r="T16" s="16">
        <f>B16</f>
        <v>12.708939952989894</v>
      </c>
      <c r="U16" s="16">
        <f>C16</f>
        <v>14.006444141344138</v>
      </c>
      <c r="V16" s="24">
        <f>T16/U16</f>
        <v>0.9073637694720619</v>
      </c>
      <c r="W16" s="17">
        <v>0</v>
      </c>
      <c r="X16" s="50">
        <f>D16</f>
        <v>0</v>
      </c>
      <c r="Y16" s="24"/>
      <c r="Z16" s="23">
        <f>AA16*AB$6</f>
        <v>1023.6967949999994</v>
      </c>
      <c r="AA16" s="16">
        <f t="shared" si="16"/>
        <v>1028.8409999999994</v>
      </c>
      <c r="AB16" s="11"/>
      <c r="AC16" s="10"/>
      <c r="AD16">
        <v>0</v>
      </c>
      <c r="AE16" s="27">
        <f>F16/100</f>
        <v>0.29798613445378214</v>
      </c>
      <c r="AF16" s="9">
        <v>0</v>
      </c>
      <c r="AG16">
        <f>IF(AE16,AF16/AE16,0)</f>
        <v>0</v>
      </c>
      <c r="AH16" s="10"/>
      <c r="AI16" s="31">
        <f t="shared" si="17"/>
        <v>24991.036242730446</v>
      </c>
      <c r="AJ16" s="31">
        <f>U16*$AQ$6</f>
        <v>294.1353269682269</v>
      </c>
      <c r="AK16" s="31">
        <f>AA16*$AQ$6</f>
        <v>21605.66099999999</v>
      </c>
      <c r="AL16" s="23">
        <f>AT16*AV$6/AW$6</f>
        <v>3091.2399157622326</v>
      </c>
      <c r="AM16" s="23">
        <f>AS16*AU$6</f>
        <v>0</v>
      </c>
      <c r="AN16" s="31">
        <f t="shared" si="22"/>
        <v>21899.796326968215</v>
      </c>
      <c r="AO16" s="31">
        <f t="shared" si="23"/>
        <v>3091.2399157622326</v>
      </c>
      <c r="AP16" s="31">
        <f t="shared" si="24"/>
        <v>1042.8474441413437</v>
      </c>
      <c r="AQ16" s="30"/>
      <c r="AR16" s="30"/>
      <c r="AS16" s="17"/>
      <c r="AT16" s="46">
        <v>6670.761415400002</v>
      </c>
      <c r="AU16" s="26"/>
      <c r="AV16" s="28"/>
      <c r="AW16" s="35"/>
    </row>
    <row r="17" spans="1:49" ht="13.5" thickBot="1">
      <c r="A17" s="69">
        <v>40575</v>
      </c>
      <c r="B17" s="70">
        <v>63.57700689122369</v>
      </c>
      <c r="C17" s="70">
        <v>69.35402857557428</v>
      </c>
      <c r="D17" s="71"/>
      <c r="E17" s="70">
        <v>1044.4889999999982</v>
      </c>
      <c r="F17" s="51">
        <v>32.550091495823935</v>
      </c>
      <c r="G17" s="53">
        <f t="shared" si="5"/>
        <v>1113.8430285755726</v>
      </c>
      <c r="H17" s="16">
        <f t="shared" si="6"/>
        <v>1553477.0273020538</v>
      </c>
      <c r="I17" s="31">
        <f>AI17-J17</f>
        <v>23135.097125828986</v>
      </c>
      <c r="J17" s="31">
        <f t="shared" si="7"/>
        <v>3263.8085955722217</v>
      </c>
      <c r="K17" s="34">
        <f>Q17*R17</f>
        <v>0</v>
      </c>
      <c r="L17" s="31">
        <f t="shared" si="9"/>
        <v>296.1542243222275</v>
      </c>
      <c r="M17" s="31">
        <f>(Z17)*(AC$6+AD17*AG17)+(AH$6*AA17*(1-AB$6))</f>
        <v>2967.6543712499947</v>
      </c>
      <c r="N17" s="31">
        <f>(W17)*(AC$6+AD17*AG17)+(AH$6*X17*(1-Y$6))</f>
        <v>0</v>
      </c>
      <c r="O17" s="31">
        <f t="shared" si="12"/>
        <v>3032.8197952008595</v>
      </c>
      <c r="P17" s="79">
        <f t="shared" si="13"/>
        <v>230.98880037136223</v>
      </c>
      <c r="Q17" s="38"/>
      <c r="R17" s="25">
        <v>0.651</v>
      </c>
      <c r="S17" s="16">
        <f t="shared" si="14"/>
        <v>121.31745537136231</v>
      </c>
      <c r="T17" s="16">
        <f>B17</f>
        <v>63.57700689122369</v>
      </c>
      <c r="U17" s="16">
        <f>C17</f>
        <v>69.35402857557428</v>
      </c>
      <c r="V17" s="24">
        <f>T17/U17</f>
        <v>0.9167024352730219</v>
      </c>
      <c r="W17" s="17">
        <v>0</v>
      </c>
      <c r="X17" s="50">
        <f>D17</f>
        <v>0</v>
      </c>
      <c r="Y17" s="24"/>
      <c r="Z17" s="23">
        <f>AA17*AB$6</f>
        <v>1039.266554999998</v>
      </c>
      <c r="AA17" s="16">
        <f t="shared" si="16"/>
        <v>1044.4889999999982</v>
      </c>
      <c r="AB17" s="11"/>
      <c r="AC17" s="10"/>
      <c r="AD17">
        <v>0</v>
      </c>
      <c r="AE17" s="27">
        <f>F17/100</f>
        <v>0.32550091495823935</v>
      </c>
      <c r="AF17" s="9">
        <v>0</v>
      </c>
      <c r="AG17">
        <f>IF(AE17,AF17/AE17,0)</f>
        <v>0</v>
      </c>
      <c r="AH17" s="10"/>
      <c r="AI17" s="31">
        <f t="shared" si="17"/>
        <v>26398.905721401206</v>
      </c>
      <c r="AJ17" s="31">
        <f>U17*$AQ$6</f>
        <v>1456.4346000870598</v>
      </c>
      <c r="AK17" s="31">
        <f>AA17*$AQ$6</f>
        <v>21934.268999999964</v>
      </c>
      <c r="AL17" s="23">
        <f>AT17*AV$6/AW$6</f>
        <v>3008.2021213141807</v>
      </c>
      <c r="AM17" s="23">
        <f>AS17*AU$6</f>
        <v>0</v>
      </c>
      <c r="AN17" s="31">
        <f t="shared" si="22"/>
        <v>23390.703600087025</v>
      </c>
      <c r="AO17" s="31">
        <f t="shared" si="23"/>
        <v>3008.2021213141807</v>
      </c>
      <c r="AP17" s="31">
        <f t="shared" si="24"/>
        <v>1113.8430285755726</v>
      </c>
      <c r="AQ17" s="30"/>
      <c r="AR17" s="30"/>
      <c r="AS17" s="17"/>
      <c r="AT17" s="46">
        <v>6491.569463200007</v>
      </c>
      <c r="AU17" s="26"/>
      <c r="AV17" s="28"/>
      <c r="AW17" s="35"/>
    </row>
    <row r="18" spans="1:49" ht="13.5" thickBot="1">
      <c r="A18" s="14" t="s">
        <v>82</v>
      </c>
      <c r="B18" s="72">
        <f>SUM(B16:B17)</f>
        <v>76.28594684421358</v>
      </c>
      <c r="C18" s="72">
        <f>SUM(C16:C17)</f>
        <v>83.36047271691841</v>
      </c>
      <c r="D18" s="72"/>
      <c r="E18" s="72">
        <f>SUM(E16:E17)</f>
        <v>2073.3299999999977</v>
      </c>
      <c r="F18" s="15"/>
      <c r="G18" s="54">
        <f aca="true" t="shared" si="26" ref="G18:P18">SUM(G16:G17)</f>
        <v>2156.6904727169162</v>
      </c>
      <c r="H18" s="67">
        <f>ROUNDDOWN(SUM(H16:H17),0)</f>
        <v>3007936</v>
      </c>
      <c r="I18" s="67">
        <f>ROUNDUP(SUM(I16:I17),0)</f>
        <v>45141</v>
      </c>
      <c r="J18" s="67">
        <f t="shared" si="26"/>
        <v>6249.200259648382</v>
      </c>
      <c r="K18" s="15">
        <f t="shared" si="26"/>
        <v>0</v>
      </c>
      <c r="L18" s="67">
        <f t="shared" si="26"/>
        <v>358.35139714838886</v>
      </c>
      <c r="M18" s="67">
        <f t="shared" si="26"/>
        <v>5890.848862499994</v>
      </c>
      <c r="N18" s="67">
        <f t="shared" si="26"/>
        <v>0</v>
      </c>
      <c r="O18" s="15">
        <f t="shared" si="26"/>
        <v>5882.935566321579</v>
      </c>
      <c r="P18" s="80">
        <f t="shared" si="26"/>
        <v>366.2646933268014</v>
      </c>
      <c r="Q18" s="15"/>
      <c r="R18" s="15"/>
      <c r="S18" s="15">
        <f>SUM(S16:S17)</f>
        <v>148.56504332680146</v>
      </c>
      <c r="T18" s="15">
        <f>SUM(T16:T17)</f>
        <v>76.28594684421358</v>
      </c>
      <c r="U18" s="15">
        <f>SUM(U16:U17)</f>
        <v>83.36047271691841</v>
      </c>
      <c r="V18" s="15"/>
      <c r="W18" s="15">
        <f>SUM(W16:W17)</f>
        <v>0</v>
      </c>
      <c r="X18" s="15">
        <f>SUM(X16:X17)</f>
        <v>0</v>
      </c>
      <c r="Y18" s="15"/>
      <c r="Z18" s="15">
        <f>SUM(Z16:Z17)</f>
        <v>2062.9633499999973</v>
      </c>
      <c r="AA18" s="15">
        <f>SUM(AA16:AA17)</f>
        <v>2073.3299999999977</v>
      </c>
      <c r="AB18" s="15"/>
      <c r="AC18" s="15"/>
      <c r="AD18" s="15">
        <f>SUM(AD16:AD17)</f>
        <v>0</v>
      </c>
      <c r="AE18" s="15"/>
      <c r="AF18" s="15">
        <f>SUM(AF16:AF17)</f>
        <v>0</v>
      </c>
      <c r="AG18" s="15">
        <f>SUM(AG16:AG17)</f>
        <v>0</v>
      </c>
      <c r="AH18" s="48"/>
      <c r="AI18" s="67">
        <f aca="true" t="shared" si="27" ref="AI18:AP18">SUM(AI16:AI17)</f>
        <v>51389.94196413165</v>
      </c>
      <c r="AJ18" s="67">
        <f t="shared" si="27"/>
        <v>1750.5699270552868</v>
      </c>
      <c r="AK18" s="67">
        <f t="shared" si="27"/>
        <v>43539.92999999995</v>
      </c>
      <c r="AL18" s="67">
        <f t="shared" si="27"/>
        <v>6099.442037076413</v>
      </c>
      <c r="AM18" s="67">
        <f t="shared" si="27"/>
        <v>0</v>
      </c>
      <c r="AN18" s="48">
        <f>SUM(AN16:AN17)</f>
        <v>45290.499927055236</v>
      </c>
      <c r="AO18" s="48">
        <f>SUM(AO16:AO17)</f>
        <v>6099.442037076413</v>
      </c>
      <c r="AP18" s="15">
        <f t="shared" si="27"/>
        <v>2156.6904727169162</v>
      </c>
      <c r="AQ18" s="15"/>
      <c r="AR18" s="15"/>
      <c r="AS18" s="15"/>
      <c r="AT18" s="67">
        <f>SUM(AT16:AT17)</f>
        <v>13162.330878600009</v>
      </c>
      <c r="AU18" s="15"/>
      <c r="AV18" s="15"/>
      <c r="AW18" s="15"/>
    </row>
    <row r="19" spans="1:49" s="18" customFormat="1" ht="39" thickBot="1">
      <c r="A19" s="19" t="s">
        <v>63</v>
      </c>
      <c r="B19" s="73">
        <f>B15+B18</f>
        <v>289.5699851495581</v>
      </c>
      <c r="C19" s="74">
        <f>C15+C18</f>
        <v>318.88293518998836</v>
      </c>
      <c r="D19" s="74"/>
      <c r="E19" s="74">
        <f>E15+E18</f>
        <v>6206.772999999997</v>
      </c>
      <c r="F19" s="20"/>
      <c r="G19" s="68">
        <f aca="true" t="shared" si="28" ref="G19:P19">G15+G18</f>
        <v>6525.655935189987</v>
      </c>
      <c r="H19" s="47">
        <f t="shared" si="28"/>
        <v>9101332.739850866</v>
      </c>
      <c r="I19" s="47">
        <f t="shared" si="28"/>
        <v>135397.03169869323</v>
      </c>
      <c r="J19" s="47">
        <f t="shared" si="28"/>
        <v>19046.883196260314</v>
      </c>
      <c r="K19" s="20">
        <f t="shared" si="28"/>
        <v>0</v>
      </c>
      <c r="L19" s="47">
        <f t="shared" si="28"/>
        <v>1411.8894100103203</v>
      </c>
      <c r="M19" s="47">
        <f t="shared" si="28"/>
        <v>17634.993786249994</v>
      </c>
      <c r="N19" s="47">
        <f t="shared" si="28"/>
        <v>0</v>
      </c>
      <c r="O19" s="20">
        <f t="shared" si="28"/>
        <v>17779.600080411277</v>
      </c>
      <c r="P19" s="81">
        <f t="shared" si="28"/>
        <v>1267.2831158490358</v>
      </c>
      <c r="Q19" s="20"/>
      <c r="R19" s="20"/>
      <c r="S19" s="20">
        <f>S15+S18</f>
        <v>615.5719508490353</v>
      </c>
      <c r="T19" s="20">
        <f>T15+T18</f>
        <v>289.5699851495581</v>
      </c>
      <c r="U19" s="20">
        <f>U15+U18</f>
        <v>318.88293518998836</v>
      </c>
      <c r="V19" s="20"/>
      <c r="W19" s="20">
        <f>W15+W18</f>
        <v>0</v>
      </c>
      <c r="X19" s="20">
        <f>X15+X18</f>
        <v>0</v>
      </c>
      <c r="Y19" s="20"/>
      <c r="Z19" s="20">
        <f>Z15+Z18</f>
        <v>6175.739134999997</v>
      </c>
      <c r="AA19" s="49">
        <f>AA15+AA18</f>
        <v>6206.772999999997</v>
      </c>
      <c r="AB19" s="20"/>
      <c r="AC19" s="20"/>
      <c r="AD19" s="20">
        <f>AD15+AD18</f>
        <v>0</v>
      </c>
      <c r="AE19" s="20"/>
      <c r="AF19" s="20">
        <f>AF15+AF18</f>
        <v>0</v>
      </c>
      <c r="AG19" s="20">
        <f>AG15+AG18</f>
        <v>0</v>
      </c>
      <c r="AH19" s="49"/>
      <c r="AI19" s="47">
        <f aca="true" t="shared" si="29" ref="AI19:AP19">AI15+AI18</f>
        <v>154443.65659943677</v>
      </c>
      <c r="AJ19" s="47">
        <f t="shared" si="29"/>
        <v>6696.541638989755</v>
      </c>
      <c r="AK19" s="47">
        <f t="shared" si="29"/>
        <v>130342.23299999996</v>
      </c>
      <c r="AL19" s="47">
        <f t="shared" si="29"/>
        <v>17405.442037076413</v>
      </c>
      <c r="AM19" s="47">
        <f t="shared" si="29"/>
        <v>0</v>
      </c>
      <c r="AN19" s="49">
        <f>AN15+AN18</f>
        <v>137038.7746389897</v>
      </c>
      <c r="AO19" s="49">
        <f>AO15+AO18</f>
        <v>17404.88196044708</v>
      </c>
      <c r="AP19" s="20">
        <f t="shared" si="29"/>
        <v>6525.655935189987</v>
      </c>
      <c r="AQ19" s="20"/>
      <c r="AR19" s="20"/>
      <c r="AS19" s="20"/>
      <c r="AT19" s="47">
        <f>AT15+AT18</f>
        <v>37558.97898100001</v>
      </c>
      <c r="AU19" s="20"/>
      <c r="AV19" s="20"/>
      <c r="AW19" s="20"/>
    </row>
    <row r="20" spans="6:46" ht="12.75">
      <c r="F20" s="4"/>
      <c r="I20" s="4"/>
      <c r="J20" s="4"/>
      <c r="L20" s="4"/>
      <c r="M20" s="4"/>
      <c r="N20" s="4"/>
      <c r="O20" s="4"/>
      <c r="P20" s="82"/>
      <c r="Q20" s="9"/>
      <c r="R20" s="12"/>
      <c r="S20" s="87"/>
      <c r="T20" s="9"/>
      <c r="V20" s="13"/>
      <c r="W20" s="9"/>
      <c r="X20" s="9"/>
      <c r="Y20" s="13"/>
      <c r="Z20" s="4"/>
      <c r="AA20" s="4"/>
      <c r="AB20" s="11"/>
      <c r="AC20" s="10"/>
      <c r="AE20" s="8"/>
      <c r="AF20" s="9"/>
      <c r="AH20" s="10"/>
      <c r="AI20" s="4"/>
      <c r="AJ20" s="4"/>
      <c r="AK20" s="4"/>
      <c r="AL20" s="4"/>
      <c r="AM20" s="4"/>
      <c r="AN20" s="4"/>
      <c r="AO20" s="4"/>
      <c r="AP20" s="4"/>
      <c r="AT20" s="4"/>
    </row>
    <row r="21" spans="1:46" ht="12.75">
      <c r="A21" s="33" t="s">
        <v>64</v>
      </c>
      <c r="B21" s="2"/>
      <c r="C21" s="2"/>
      <c r="D21" s="5"/>
      <c r="E21" s="5"/>
      <c r="G21" s="5"/>
      <c r="H21" s="5"/>
      <c r="I21" s="41"/>
      <c r="J21" s="42"/>
      <c r="K21" s="21"/>
      <c r="L21" s="21"/>
      <c r="M21" s="21"/>
      <c r="N21" s="21"/>
      <c r="O21" s="21"/>
      <c r="P21" s="83"/>
      <c r="Q21" s="21"/>
      <c r="T21" s="9"/>
      <c r="V21" s="21"/>
      <c r="W21" s="5"/>
      <c r="X21" s="5"/>
      <c r="Y21" s="13"/>
      <c r="Z21" s="4"/>
      <c r="AA21" s="4"/>
      <c r="AB21" s="11"/>
      <c r="AC21" s="10"/>
      <c r="AE21" s="8"/>
      <c r="AF21" s="9"/>
      <c r="AH21" s="10"/>
      <c r="AI21" s="4"/>
      <c r="AJ21" s="4"/>
      <c r="AK21" s="4"/>
      <c r="AL21" s="4"/>
      <c r="AM21" s="4"/>
      <c r="AO21" s="4"/>
      <c r="AP21" s="4"/>
      <c r="AT21" s="4"/>
    </row>
    <row r="22" spans="1:46" ht="12.75">
      <c r="A22" s="32" t="s">
        <v>65</v>
      </c>
      <c r="B22" t="s">
        <v>67</v>
      </c>
      <c r="H22" s="56"/>
      <c r="I22" s="43"/>
      <c r="J22" s="42"/>
      <c r="K22" s="21"/>
      <c r="L22" s="21"/>
      <c r="M22" s="21"/>
      <c r="N22" s="21"/>
      <c r="O22" s="21"/>
      <c r="P22" s="83"/>
      <c r="Q22" s="21"/>
      <c r="T22" s="9"/>
      <c r="V22" s="62"/>
      <c r="W22" s="21"/>
      <c r="X22" s="21"/>
      <c r="Y22" s="13"/>
      <c r="Z22" s="4"/>
      <c r="AA22" s="4"/>
      <c r="AB22" s="11"/>
      <c r="AC22" s="10"/>
      <c r="AE22" s="8"/>
      <c r="AF22" s="9"/>
      <c r="AH22" s="10"/>
      <c r="AI22" s="4"/>
      <c r="AJ22" s="4"/>
      <c r="AK22" s="4"/>
      <c r="AL22" s="4"/>
      <c r="AM22" s="4"/>
      <c r="AO22" s="4"/>
      <c r="AP22" s="4"/>
      <c r="AR22" s="59"/>
      <c r="AS22" s="59"/>
      <c r="AT22" s="4"/>
    </row>
    <row r="23" spans="1:46" ht="12.75">
      <c r="A23" s="17" t="s">
        <v>66</v>
      </c>
      <c r="B23" t="s">
        <v>68</v>
      </c>
      <c r="H23" s="56"/>
      <c r="I23" s="43"/>
      <c r="J23" s="42"/>
      <c r="K23" s="21"/>
      <c r="L23" s="21"/>
      <c r="M23" s="21"/>
      <c r="N23" s="21"/>
      <c r="O23" s="21"/>
      <c r="P23" s="83"/>
      <c r="Q23" s="21"/>
      <c r="T23" s="9"/>
      <c r="V23" s="63"/>
      <c r="W23" s="45"/>
      <c r="X23" s="21"/>
      <c r="Y23" s="58"/>
      <c r="Z23" s="4"/>
      <c r="AA23" s="4"/>
      <c r="AB23" s="11"/>
      <c r="AC23" s="10"/>
      <c r="AE23" s="8"/>
      <c r="AF23" s="9"/>
      <c r="AH23" s="10"/>
      <c r="AI23" s="4"/>
      <c r="AJ23" s="4"/>
      <c r="AK23" s="4"/>
      <c r="AL23" s="4"/>
      <c r="AM23" s="4"/>
      <c r="AN23" s="4"/>
      <c r="AO23" s="4"/>
      <c r="AP23" s="4"/>
      <c r="AR23" s="59"/>
      <c r="AS23" s="59"/>
      <c r="AT23" s="4"/>
    </row>
    <row r="24" spans="1:46" ht="12.75">
      <c r="A24" t="s">
        <v>69</v>
      </c>
      <c r="B24" t="s">
        <v>70</v>
      </c>
      <c r="H24" s="56"/>
      <c r="I24" s="43"/>
      <c r="J24" s="41"/>
      <c r="K24" s="43"/>
      <c r="L24" s="42"/>
      <c r="M24" s="42"/>
      <c r="N24" s="42"/>
      <c r="O24" s="42"/>
      <c r="P24" s="84"/>
      <c r="Q24" s="42"/>
      <c r="R24" s="12"/>
      <c r="S24" s="12"/>
      <c r="T24" s="9"/>
      <c r="V24" s="63"/>
      <c r="W24" s="45"/>
      <c r="X24" s="21"/>
      <c r="Y24" s="58"/>
      <c r="Z24" s="4"/>
      <c r="AA24" s="4"/>
      <c r="AB24" s="11"/>
      <c r="AC24" s="10"/>
      <c r="AE24" s="8"/>
      <c r="AF24" s="9"/>
      <c r="AH24" s="10"/>
      <c r="AI24" s="4"/>
      <c r="AJ24" s="4"/>
      <c r="AK24" s="4"/>
      <c r="AL24" s="4"/>
      <c r="AM24" s="4"/>
      <c r="AN24" s="4"/>
      <c r="AO24" s="4"/>
      <c r="AP24" s="4"/>
      <c r="AR24" s="60"/>
      <c r="AS24" s="59"/>
      <c r="AT24" s="4"/>
    </row>
    <row r="25" spans="1:46" ht="12.75">
      <c r="A25" s="40" t="s">
        <v>81</v>
      </c>
      <c r="B25" t="s">
        <v>80</v>
      </c>
      <c r="C25" s="21"/>
      <c r="D25" s="21"/>
      <c r="E25" s="21"/>
      <c r="F25" s="21"/>
      <c r="G25" s="21"/>
      <c r="H25" s="43"/>
      <c r="I25" s="43"/>
      <c r="J25" s="39"/>
      <c r="K25" s="56"/>
      <c r="L25" s="4"/>
      <c r="M25" s="4"/>
      <c r="N25" s="4"/>
      <c r="O25" s="4"/>
      <c r="P25" s="82"/>
      <c r="Q25" s="9"/>
      <c r="R25" s="12"/>
      <c r="S25" s="12"/>
      <c r="T25" s="9"/>
      <c r="V25" s="63"/>
      <c r="W25" s="45"/>
      <c r="X25" s="21"/>
      <c r="Y25" s="58"/>
      <c r="Z25" s="4"/>
      <c r="AA25" s="4"/>
      <c r="AB25" s="11"/>
      <c r="AC25" s="10"/>
      <c r="AE25" s="8"/>
      <c r="AF25" s="9"/>
      <c r="AH25" s="10"/>
      <c r="AI25" s="4"/>
      <c r="AJ25" s="4"/>
      <c r="AK25" s="4"/>
      <c r="AL25" s="4"/>
      <c r="AM25" s="4"/>
      <c r="AN25" s="4"/>
      <c r="AO25" s="4"/>
      <c r="AP25" s="4"/>
      <c r="AR25" s="59"/>
      <c r="AS25" s="59"/>
      <c r="AT25" s="4"/>
    </row>
    <row r="26" spans="1:46" ht="12.75">
      <c r="A26" s="85" t="s">
        <v>103</v>
      </c>
      <c r="B26" t="s">
        <v>104</v>
      </c>
      <c r="C26" s="21"/>
      <c r="D26" s="21"/>
      <c r="E26" s="21"/>
      <c r="F26" s="43"/>
      <c r="G26" s="21"/>
      <c r="H26" s="43"/>
      <c r="I26" s="43"/>
      <c r="J26" s="39"/>
      <c r="K26" s="56"/>
      <c r="L26" s="4"/>
      <c r="M26" s="4"/>
      <c r="N26" s="4"/>
      <c r="O26" s="4"/>
      <c r="P26" s="82"/>
      <c r="Q26" s="9"/>
      <c r="R26" s="12"/>
      <c r="S26" s="12"/>
      <c r="T26" s="9"/>
      <c r="V26" s="63"/>
      <c r="W26" s="45"/>
      <c r="X26" s="21"/>
      <c r="Y26" s="58"/>
      <c r="Z26" s="4"/>
      <c r="AA26" s="4"/>
      <c r="AB26" s="11"/>
      <c r="AC26" s="10"/>
      <c r="AE26" s="8"/>
      <c r="AF26" s="9"/>
      <c r="AH26" s="10"/>
      <c r="AI26" s="4"/>
      <c r="AJ26" s="4"/>
      <c r="AK26" s="4"/>
      <c r="AL26" s="4"/>
      <c r="AM26" s="4"/>
      <c r="AN26" s="4"/>
      <c r="AO26" s="4"/>
      <c r="AP26" s="4"/>
      <c r="AR26" s="59"/>
      <c r="AS26" s="59"/>
      <c r="AT26" s="4"/>
    </row>
    <row r="27" spans="1:45" ht="12.75">
      <c r="A27" s="36" t="s">
        <v>78</v>
      </c>
      <c r="B27" s="2"/>
      <c r="C27" s="2"/>
      <c r="D27" s="5"/>
      <c r="E27" s="5"/>
      <c r="F27" s="43"/>
      <c r="G27" s="5"/>
      <c r="H27" s="64"/>
      <c r="I27" s="43"/>
      <c r="J27" s="39"/>
      <c r="K27" s="56"/>
      <c r="U27"/>
      <c r="V27" s="63"/>
      <c r="W27" s="45"/>
      <c r="X27" s="21"/>
      <c r="Y27" s="58"/>
      <c r="AR27" s="59"/>
      <c r="AS27" s="59"/>
    </row>
    <row r="28" spans="1:46" ht="12.75">
      <c r="A28" s="37" t="s">
        <v>90</v>
      </c>
      <c r="B28" s="39"/>
      <c r="C28" s="21"/>
      <c r="D28" s="21"/>
      <c r="E28" s="21"/>
      <c r="F28" s="44"/>
      <c r="G28" s="21"/>
      <c r="H28" s="43"/>
      <c r="I28" s="43"/>
      <c r="J28" s="39"/>
      <c r="K28" s="56"/>
      <c r="L28" s="4"/>
      <c r="M28" s="4"/>
      <c r="N28" s="4"/>
      <c r="O28" s="4"/>
      <c r="P28" s="82"/>
      <c r="Q28" s="9"/>
      <c r="R28" s="12"/>
      <c r="S28" s="12"/>
      <c r="T28" s="9"/>
      <c r="V28" s="63"/>
      <c r="W28" s="55"/>
      <c r="X28" s="5"/>
      <c r="Y28" s="58"/>
      <c r="Z28" s="4"/>
      <c r="AA28" s="4"/>
      <c r="AB28" s="11"/>
      <c r="AC28" s="10"/>
      <c r="AE28" s="8"/>
      <c r="AF28" s="9"/>
      <c r="AH28" s="10"/>
      <c r="AI28" s="4"/>
      <c r="AJ28" s="4"/>
      <c r="AK28" s="4"/>
      <c r="AL28" s="4"/>
      <c r="AM28" s="4"/>
      <c r="AN28" s="4"/>
      <c r="AO28" s="4"/>
      <c r="AP28" s="4"/>
      <c r="AR28" s="59"/>
      <c r="AS28" s="59"/>
      <c r="AT28" s="4"/>
    </row>
    <row r="29" spans="1:46" ht="12.75">
      <c r="A29" s="37" t="s">
        <v>93</v>
      </c>
      <c r="B29" s="39"/>
      <c r="C29" s="21"/>
      <c r="D29" s="21"/>
      <c r="E29" s="21"/>
      <c r="F29" s="43"/>
      <c r="G29" s="21"/>
      <c r="H29" s="43"/>
      <c r="I29" s="43"/>
      <c r="J29" s="39"/>
      <c r="K29" s="56"/>
      <c r="L29" s="4"/>
      <c r="M29" s="4"/>
      <c r="N29" s="4"/>
      <c r="O29" s="4"/>
      <c r="P29" s="82"/>
      <c r="Q29" s="9"/>
      <c r="R29" s="12"/>
      <c r="S29" s="12"/>
      <c r="T29" s="9"/>
      <c r="V29" s="63"/>
      <c r="W29" s="45"/>
      <c r="X29" s="43"/>
      <c r="Y29" s="58"/>
      <c r="Z29" s="4"/>
      <c r="AA29" s="4"/>
      <c r="AB29" s="11"/>
      <c r="AC29" s="10"/>
      <c r="AE29" s="8"/>
      <c r="AF29" s="9"/>
      <c r="AH29" s="10"/>
      <c r="AI29" s="4"/>
      <c r="AJ29" s="4"/>
      <c r="AK29" s="4"/>
      <c r="AL29" s="4"/>
      <c r="AM29" s="4"/>
      <c r="AN29" s="4"/>
      <c r="AO29" s="4"/>
      <c r="AP29" s="4"/>
      <c r="AR29" s="59"/>
      <c r="AS29" s="59"/>
      <c r="AT29" s="4"/>
    </row>
    <row r="30" spans="1:46" ht="12.75">
      <c r="A30"/>
      <c r="B30" s="39"/>
      <c r="C30" s="21"/>
      <c r="D30" s="21"/>
      <c r="E30" s="21"/>
      <c r="F30" s="43"/>
      <c r="G30" s="21"/>
      <c r="H30" s="43"/>
      <c r="I30" s="43"/>
      <c r="J30" s="4"/>
      <c r="L30" s="4"/>
      <c r="M30" s="4"/>
      <c r="N30" s="4"/>
      <c r="O30" s="4"/>
      <c r="P30" s="82"/>
      <c r="Q30" s="9"/>
      <c r="R30" s="12"/>
      <c r="S30" s="12"/>
      <c r="T30" s="9"/>
      <c r="V30" s="63"/>
      <c r="W30" s="45"/>
      <c r="X30" s="64"/>
      <c r="Y30" s="58"/>
      <c r="Z30" s="4"/>
      <c r="AA30" s="4"/>
      <c r="AB30" s="11"/>
      <c r="AC30" s="10"/>
      <c r="AE30" s="8"/>
      <c r="AF30" s="9"/>
      <c r="AH30" s="10"/>
      <c r="AI30" s="4"/>
      <c r="AJ30" s="4"/>
      <c r="AK30" s="4"/>
      <c r="AL30" s="4"/>
      <c r="AM30" s="4"/>
      <c r="AN30" s="4"/>
      <c r="AO30" s="4"/>
      <c r="AP30" s="4"/>
      <c r="AR30" s="59"/>
      <c r="AS30" s="59"/>
      <c r="AT30" s="4"/>
    </row>
    <row r="31" spans="1:46" ht="12.75">
      <c r="A31"/>
      <c r="B31" s="39"/>
      <c r="C31" s="21"/>
      <c r="D31" s="21"/>
      <c r="E31" s="21"/>
      <c r="F31" s="43"/>
      <c r="G31" s="21"/>
      <c r="H31" s="43"/>
      <c r="I31" s="43"/>
      <c r="J31" s="4"/>
      <c r="L31" s="4"/>
      <c r="M31" s="4"/>
      <c r="N31" s="4"/>
      <c r="O31" s="4"/>
      <c r="P31" s="82"/>
      <c r="Q31" s="9"/>
      <c r="R31" s="12"/>
      <c r="S31" s="12"/>
      <c r="T31" s="9"/>
      <c r="V31" s="63"/>
      <c r="W31" s="45"/>
      <c r="X31" s="64"/>
      <c r="Y31" s="58"/>
      <c r="Z31" s="4"/>
      <c r="AA31" s="4"/>
      <c r="AB31" s="11"/>
      <c r="AC31" s="10"/>
      <c r="AE31" s="8"/>
      <c r="AF31" s="9"/>
      <c r="AH31" s="10"/>
      <c r="AI31" s="4"/>
      <c r="AJ31" s="4"/>
      <c r="AK31" s="4"/>
      <c r="AL31" s="4"/>
      <c r="AM31" s="4"/>
      <c r="AN31" s="4"/>
      <c r="AO31" s="4"/>
      <c r="AP31" s="4"/>
      <c r="AR31" s="59"/>
      <c r="AS31" s="59"/>
      <c r="AT31" s="4"/>
    </row>
    <row r="32" spans="1:46" ht="15">
      <c r="A32"/>
      <c r="B32" s="39"/>
      <c r="C32" s="21"/>
      <c r="D32" s="21"/>
      <c r="E32" s="21"/>
      <c r="F32" s="43"/>
      <c r="G32" s="21"/>
      <c r="H32" s="57"/>
      <c r="I32" s="43"/>
      <c r="J32" s="4"/>
      <c r="L32" s="4"/>
      <c r="M32" s="4"/>
      <c r="N32" s="4"/>
      <c r="O32" s="4"/>
      <c r="P32" s="82"/>
      <c r="Q32" s="9"/>
      <c r="R32" s="12"/>
      <c r="S32" s="12"/>
      <c r="T32" s="9"/>
      <c r="V32" s="65"/>
      <c r="W32" s="45"/>
      <c r="X32" s="45"/>
      <c r="Y32" s="58"/>
      <c r="Z32" s="4"/>
      <c r="AA32" s="4"/>
      <c r="AB32" s="11"/>
      <c r="AC32" s="10"/>
      <c r="AE32" s="8"/>
      <c r="AF32" s="9"/>
      <c r="AH32" s="10"/>
      <c r="AI32" s="4"/>
      <c r="AJ32" s="4"/>
      <c r="AK32" s="4"/>
      <c r="AL32" s="4"/>
      <c r="AM32" s="4"/>
      <c r="AN32" s="4"/>
      <c r="AO32" s="4"/>
      <c r="AP32" s="4"/>
      <c r="AR32" s="61"/>
      <c r="AS32" s="61"/>
      <c r="AT32" s="4"/>
    </row>
    <row r="33" spans="1:46" ht="12.75">
      <c r="A33"/>
      <c r="B33" s="39"/>
      <c r="C33" s="21"/>
      <c r="D33" s="21"/>
      <c r="E33" s="21"/>
      <c r="F33" s="43"/>
      <c r="G33" s="21"/>
      <c r="H33" s="57"/>
      <c r="I33" s="43"/>
      <c r="J33" s="4"/>
      <c r="L33" s="4"/>
      <c r="M33" s="4"/>
      <c r="N33" s="4"/>
      <c r="O33" s="4"/>
      <c r="P33" s="82"/>
      <c r="Q33" s="9"/>
      <c r="R33" s="12"/>
      <c r="S33" s="12"/>
      <c r="T33" s="9"/>
      <c r="V33" s="63"/>
      <c r="W33" s="58"/>
      <c r="X33" s="64"/>
      <c r="Y33" s="58"/>
      <c r="Z33" s="4"/>
      <c r="AA33" s="4"/>
      <c r="AB33" s="11"/>
      <c r="AC33" s="10"/>
      <c r="AE33" s="8"/>
      <c r="AF33" s="9"/>
      <c r="AH33" s="10"/>
      <c r="AI33" s="4"/>
      <c r="AJ33" s="4"/>
      <c r="AK33" s="4"/>
      <c r="AL33" s="4"/>
      <c r="AM33" s="4"/>
      <c r="AN33" s="4"/>
      <c r="AO33" s="4"/>
      <c r="AP33" s="4"/>
      <c r="AR33" s="59"/>
      <c r="AS33" s="59"/>
      <c r="AT33" s="4"/>
    </row>
    <row r="34" spans="1:46" ht="12.75">
      <c r="A34"/>
      <c r="B34" s="39"/>
      <c r="C34" s="21"/>
      <c r="D34" s="21"/>
      <c r="E34" s="21"/>
      <c r="F34" s="43"/>
      <c r="G34" s="21"/>
      <c r="H34" s="21"/>
      <c r="I34" s="43"/>
      <c r="J34" s="4"/>
      <c r="L34" s="4"/>
      <c r="M34" s="4"/>
      <c r="N34" s="4"/>
      <c r="O34" s="4"/>
      <c r="P34" s="82"/>
      <c r="Q34" s="9"/>
      <c r="R34" s="12"/>
      <c r="S34" s="12"/>
      <c r="T34" s="9"/>
      <c r="V34" s="63"/>
      <c r="W34" s="58"/>
      <c r="X34" s="45"/>
      <c r="Y34" s="58"/>
      <c r="Z34" s="4"/>
      <c r="AA34" s="4"/>
      <c r="AB34" s="11"/>
      <c r="AC34" s="10"/>
      <c r="AE34" s="8"/>
      <c r="AF34" s="9"/>
      <c r="AH34" s="10"/>
      <c r="AI34" s="4"/>
      <c r="AJ34" s="4"/>
      <c r="AK34" s="4"/>
      <c r="AL34" s="4"/>
      <c r="AM34" s="4"/>
      <c r="AN34" s="4"/>
      <c r="AO34" s="4"/>
      <c r="AP34" s="4"/>
      <c r="AR34" s="59"/>
      <c r="AS34" s="59"/>
      <c r="AT34" s="4"/>
    </row>
    <row r="35" spans="1:46" ht="12.75">
      <c r="A35"/>
      <c r="B35" s="39"/>
      <c r="C35" s="21"/>
      <c r="D35" s="21"/>
      <c r="E35" s="21"/>
      <c r="F35" s="43"/>
      <c r="G35" s="21"/>
      <c r="H35" s="21"/>
      <c r="I35" s="43"/>
      <c r="J35" s="4"/>
      <c r="L35" s="4"/>
      <c r="M35" s="4"/>
      <c r="N35" s="4"/>
      <c r="O35" s="4"/>
      <c r="P35" s="82"/>
      <c r="Q35" s="9"/>
      <c r="R35" s="12"/>
      <c r="S35" s="12"/>
      <c r="T35" s="9"/>
      <c r="V35" s="66"/>
      <c r="W35" s="21"/>
      <c r="X35" s="21"/>
      <c r="Y35" s="58"/>
      <c r="Z35" s="4"/>
      <c r="AA35" s="4"/>
      <c r="AB35" s="11"/>
      <c r="AC35" s="10"/>
      <c r="AE35" s="8"/>
      <c r="AF35" s="9"/>
      <c r="AH35" s="10"/>
      <c r="AI35" s="4"/>
      <c r="AJ35" s="4"/>
      <c r="AK35" s="4"/>
      <c r="AL35" s="4"/>
      <c r="AM35" s="4"/>
      <c r="AN35" s="4"/>
      <c r="AO35" s="4"/>
      <c r="AP35" s="4"/>
      <c r="AT35" s="4"/>
    </row>
    <row r="36" spans="2:46" ht="12.75">
      <c r="B36" s="39"/>
      <c r="C36" s="21"/>
      <c r="D36" s="21"/>
      <c r="E36" s="21"/>
      <c r="F36" s="43"/>
      <c r="G36" s="21"/>
      <c r="H36" s="21"/>
      <c r="I36" s="43"/>
      <c r="J36" s="4"/>
      <c r="L36" s="4"/>
      <c r="M36" s="4"/>
      <c r="N36" s="4"/>
      <c r="O36" s="4"/>
      <c r="P36" s="82"/>
      <c r="Q36" s="9"/>
      <c r="R36" s="12"/>
      <c r="S36" s="12"/>
      <c r="T36" s="9"/>
      <c r="V36" s="13"/>
      <c r="W36" s="9"/>
      <c r="X36" s="9"/>
      <c r="Y36" s="13"/>
      <c r="Z36" s="4"/>
      <c r="AA36" s="4"/>
      <c r="AB36" s="11"/>
      <c r="AC36" s="10"/>
      <c r="AE36" s="8"/>
      <c r="AF36" s="9"/>
      <c r="AH36" s="10"/>
      <c r="AI36" s="4"/>
      <c r="AJ36" s="4"/>
      <c r="AK36" s="4"/>
      <c r="AL36" s="4"/>
      <c r="AM36" s="4"/>
      <c r="AN36" s="4"/>
      <c r="AO36" s="4"/>
      <c r="AP36" s="4"/>
      <c r="AT36" s="4"/>
    </row>
    <row r="37" spans="2:46" ht="12.75">
      <c r="B37" s="39"/>
      <c r="C37" s="41"/>
      <c r="D37" s="41"/>
      <c r="E37" s="41"/>
      <c r="F37" s="45"/>
      <c r="G37" s="41"/>
      <c r="H37" s="41"/>
      <c r="I37" s="45"/>
      <c r="J37" s="4"/>
      <c r="L37" s="4"/>
      <c r="M37" s="4"/>
      <c r="N37" s="4"/>
      <c r="O37" s="4"/>
      <c r="P37" s="82"/>
      <c r="Q37" s="9"/>
      <c r="R37" s="12"/>
      <c r="S37" s="12"/>
      <c r="T37" s="9"/>
      <c r="V37" s="13"/>
      <c r="W37" s="9"/>
      <c r="X37" s="9"/>
      <c r="Y37" s="13"/>
      <c r="Z37" s="4"/>
      <c r="AA37" s="4"/>
      <c r="AB37" s="11"/>
      <c r="AC37" s="10"/>
      <c r="AE37" s="8"/>
      <c r="AF37" s="9"/>
      <c r="AH37" s="10"/>
      <c r="AI37" s="4"/>
      <c r="AJ37" s="4"/>
      <c r="AK37" s="4"/>
      <c r="AL37" s="4"/>
      <c r="AM37" s="4"/>
      <c r="AN37" s="4"/>
      <c r="AO37" s="4"/>
      <c r="AP37" s="4"/>
      <c r="AT37" s="4"/>
    </row>
    <row r="38" spans="3:9" ht="12.75">
      <c r="C38" s="21"/>
      <c r="D38" s="21"/>
      <c r="E38" s="21"/>
      <c r="F38" s="21"/>
      <c r="G38" s="21"/>
      <c r="H38" s="21"/>
      <c r="I38" s="21"/>
    </row>
  </sheetData>
  <printOptions horizontalCentered="1"/>
  <pageMargins left="0.2" right="0.17" top="0.61" bottom="0.61" header="0.5118110236220472" footer="0.3"/>
  <pageSetup fitToHeight="1" fitToWidth="1" horizontalDpi="600" verticalDpi="600" orientation="landscape" paperSize="9" scale="37"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A-TEC5</cp:lastModifiedBy>
  <cp:lastPrinted>2011-05-04T14:59:09Z</cp:lastPrinted>
  <dcterms:created xsi:type="dcterms:W3CDTF">2008-12-06T07:55:45Z</dcterms:created>
  <dcterms:modified xsi:type="dcterms:W3CDTF">2011-05-17T09:34:39Z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