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10" windowHeight="8910" activeTab="3"/>
  </bookViews>
  <sheets>
    <sheet name="Title" sheetId="1" r:id="rId1"/>
    <sheet name="historical data" sheetId="2" r:id="rId2"/>
    <sheet name="project" sheetId="3" r:id="rId3"/>
    <sheet name="ER" sheetId="4" r:id="rId4"/>
  </sheets>
  <definedNames/>
  <calcPr fullCalcOnLoad="1"/>
</workbook>
</file>

<file path=xl/sharedStrings.xml><?xml version="1.0" encoding="utf-8"?>
<sst xmlns="http://schemas.openxmlformats.org/spreadsheetml/2006/main" count="148" uniqueCount="87">
  <si>
    <t>INDEX</t>
  </si>
  <si>
    <t>U/M</t>
  </si>
  <si>
    <t>coke production (6% moister content)</t>
  </si>
  <si>
    <t>t</t>
  </si>
  <si>
    <t xml:space="preserve">coke oven gas production </t>
  </si>
  <si>
    <t>m3</t>
  </si>
  <si>
    <t>coke oven gas consumption on the boiler</t>
  </si>
  <si>
    <t>coke oven gas consumption on the garage-defrosting unit</t>
  </si>
  <si>
    <t>coke oven gas consumption on the flare</t>
  </si>
  <si>
    <t>Natural gas consumption on boiler</t>
  </si>
  <si>
    <t>electricity consumption</t>
  </si>
  <si>
    <t>MWh</t>
  </si>
  <si>
    <t>Note: boiler have been switched to coke oven gas in June 2006. That is why NG consumption presents.</t>
  </si>
  <si>
    <t>Steam production</t>
  </si>
  <si>
    <t>Gcal</t>
  </si>
  <si>
    <t>HISTORICAL DATA</t>
  </si>
  <si>
    <t>COKE OVEN GAS CONTENT AND NCV</t>
  </si>
  <si>
    <t>ELEMENT</t>
  </si>
  <si>
    <t>CONTENT, %</t>
  </si>
  <si>
    <t>H2</t>
  </si>
  <si>
    <t>CO</t>
  </si>
  <si>
    <t>CH4</t>
  </si>
  <si>
    <t>O2</t>
  </si>
  <si>
    <t>CO2</t>
  </si>
  <si>
    <t>N2</t>
  </si>
  <si>
    <t>CmHn</t>
  </si>
  <si>
    <t>TOTAL</t>
  </si>
  <si>
    <t>NCV, MJ/nm3</t>
  </si>
  <si>
    <t>coke oven gas consumption on the oven battery</t>
  </si>
  <si>
    <t>amount of owens in the battery</t>
  </si>
  <si>
    <t>coking period</t>
  </si>
  <si>
    <t xml:space="preserve">coefficient of charge usage for coke production </t>
  </si>
  <si>
    <t>one owen charge load (dry)</t>
  </si>
  <si>
    <t>coke production (dry)</t>
  </si>
  <si>
    <t xml:space="preserve">specific coke oven gas production </t>
  </si>
  <si>
    <t>coke ovens battery</t>
  </si>
  <si>
    <t>boiler house</t>
  </si>
  <si>
    <t>garage-defrosting unit</t>
  </si>
  <si>
    <t>CHP</t>
  </si>
  <si>
    <t>flare</t>
  </si>
  <si>
    <t>steam production</t>
  </si>
  <si>
    <t>pc.</t>
  </si>
  <si>
    <t>CHP auxiliaries</t>
  </si>
  <si>
    <t>electricity to the grid</t>
  </si>
  <si>
    <t>h</t>
  </si>
  <si>
    <t>t/t</t>
  </si>
  <si>
    <t>t/h</t>
  </si>
  <si>
    <t>consumption of charge</t>
  </si>
  <si>
    <t>annual operation period of the plant</t>
  </si>
  <si>
    <t>annual operation period of the CHP</t>
  </si>
  <si>
    <t>average electricity consumption</t>
  </si>
  <si>
    <t>average electricity load</t>
  </si>
  <si>
    <t>MW</t>
  </si>
  <si>
    <t xml:space="preserve">ELECTRICITY </t>
  </si>
  <si>
    <t>Emission factor for electricity consumed from the grid</t>
  </si>
  <si>
    <t>Emission factor for electricity produced on-site and consumed on-site</t>
  </si>
  <si>
    <t>Emission factor for electricity produced on-site and supplyed to the grid</t>
  </si>
  <si>
    <t>tCO2e/MWh</t>
  </si>
  <si>
    <t>average load of plant auxiliaries</t>
  </si>
  <si>
    <t>average load of CHP auxiliaries</t>
  </si>
  <si>
    <t>average output of generator, including</t>
  </si>
  <si>
    <t>Baseline emmisions</t>
  </si>
  <si>
    <t>tCO2e</t>
  </si>
  <si>
    <t>Project emmisions</t>
  </si>
  <si>
    <t>Emmisions reduction</t>
  </si>
  <si>
    <t xml:space="preserve"> coke oven gas consumption (dry), including:</t>
  </si>
  <si>
    <t>electricity production/consumption, including:</t>
  </si>
  <si>
    <t>service water consumption</t>
  </si>
  <si>
    <t>feed water consumption</t>
  </si>
  <si>
    <t>average output to the grid</t>
  </si>
  <si>
    <t>emissions from electricity consumed on HCP’s site</t>
  </si>
  <si>
    <t>emissions from electricity supplyed by CHP in the project scenario and consumed by the third party</t>
  </si>
  <si>
    <t>emissions from electricity consumed by CHP auxiliaries</t>
  </si>
  <si>
    <t>coke plant auxiliaries covered by CHP</t>
  </si>
  <si>
    <t>electricity from the grid during CHP maintenance</t>
  </si>
  <si>
    <t>emissions from electricity consumed from the grid during CHP maintenance</t>
  </si>
  <si>
    <t>emissions reduction on HCP site</t>
  </si>
  <si>
    <t>emissions reduction due to electricity supplyied to the grid</t>
  </si>
  <si>
    <t>-</t>
  </si>
  <si>
    <t>steam production, including:</t>
  </si>
  <si>
    <t xml:space="preserve">coke plant auxiliaries </t>
  </si>
  <si>
    <t>Nm3/t of dry charge</t>
  </si>
  <si>
    <t>соke production</t>
  </si>
  <si>
    <t>coke gas balance</t>
  </si>
  <si>
    <t>Electricity balance</t>
  </si>
  <si>
    <t>Steam balance</t>
  </si>
  <si>
    <t>EF for electricity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</si>
</sst>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_р_.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Border="1" applyAlignment="1">
      <alignment horizontal="right"/>
    </xf>
    <xf numFmtId="4" fontId="0" fillId="0" borderId="0" xfId="0" applyNumberFormat="1" applyAlignment="1">
      <alignment/>
    </xf>
    <xf numFmtId="0" fontId="6" fillId="0" borderId="0" xfId="0" applyFont="1" applyAlignment="1">
      <alignment vertical="center" wrapTex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0" borderId="0" xfId="0" applyFont="1" applyAlignment="1">
      <alignment vertical="justify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4" fontId="0" fillId="0" borderId="27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30" xfId="0" applyFont="1" applyBorder="1" applyAlignment="1">
      <alignment/>
    </xf>
    <xf numFmtId="3" fontId="0" fillId="0" borderId="16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16" xfId="0" applyNumberFormat="1" applyBorder="1" applyAlignment="1">
      <alignment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6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3" fillId="0" borderId="15" xfId="0" applyNumberFormat="1" applyFont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M10" sqref="M10"/>
    </sheetView>
  </sheetViews>
  <sheetFormatPr defaultColWidth="9.00390625" defaultRowHeight="12.75"/>
  <sheetData>
    <row r="1" spans="1:10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2.75" customHeight="1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2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231557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B23" sqref="B23:C23"/>
    </sheetView>
  </sheetViews>
  <sheetFormatPr defaultColWidth="9.00390625" defaultRowHeight="12.75"/>
  <cols>
    <col min="2" max="2" width="49.25390625" style="0" bestFit="1" customWidth="1"/>
    <col min="3" max="3" width="12.375" style="0" bestFit="1" customWidth="1"/>
    <col min="4" max="4" width="13.125" style="0" bestFit="1" customWidth="1"/>
    <col min="5" max="5" width="13.875" style="0" bestFit="1" customWidth="1"/>
    <col min="8" max="8" width="11.125" style="0" bestFit="1" customWidth="1"/>
    <col min="9" max="9" width="42.875" style="0" bestFit="1" customWidth="1"/>
    <col min="10" max="10" width="12.75390625" style="0" bestFit="1" customWidth="1"/>
  </cols>
  <sheetData>
    <row r="2" ht="13.5" thickBot="1"/>
    <row r="3" spans="1:5" ht="13.5" thickBot="1">
      <c r="A3" s="35" t="s">
        <v>15</v>
      </c>
      <c r="B3" s="36"/>
      <c r="C3" s="36"/>
      <c r="D3" s="36"/>
      <c r="E3" s="40"/>
    </row>
    <row r="4" spans="2:5" ht="12.75">
      <c r="B4" s="8" t="s">
        <v>0</v>
      </c>
      <c r="C4" s="8" t="s">
        <v>1</v>
      </c>
      <c r="D4" s="52">
        <v>2006</v>
      </c>
      <c r="E4" s="52">
        <v>2007</v>
      </c>
    </row>
    <row r="5" spans="2:5" ht="13.5" thickBot="1">
      <c r="B5" s="9"/>
      <c r="C5" s="9"/>
      <c r="D5" s="53"/>
      <c r="E5" s="53"/>
    </row>
    <row r="6" spans="2:5" ht="13.5" thickBot="1">
      <c r="B6" s="3" t="s">
        <v>2</v>
      </c>
      <c r="C6" s="3" t="s">
        <v>3</v>
      </c>
      <c r="D6" s="54">
        <v>298276</v>
      </c>
      <c r="E6" s="54">
        <v>417300</v>
      </c>
    </row>
    <row r="7" spans="2:10" ht="13.5" thickBot="1">
      <c r="B7" s="3" t="s">
        <v>4</v>
      </c>
      <c r="C7" s="3" t="s">
        <v>5</v>
      </c>
      <c r="D7" s="54">
        <v>119403410</v>
      </c>
      <c r="E7" s="54">
        <v>170798680</v>
      </c>
      <c r="J7" s="2"/>
    </row>
    <row r="8" spans="2:10" ht="13.5" thickBot="1">
      <c r="B8" s="3" t="s">
        <v>28</v>
      </c>
      <c r="C8" s="3" t="s">
        <v>5</v>
      </c>
      <c r="D8" s="54">
        <v>60288560</v>
      </c>
      <c r="E8" s="54">
        <v>87584660</v>
      </c>
      <c r="J8" s="2"/>
    </row>
    <row r="9" spans="2:10" ht="13.5" thickBot="1">
      <c r="B9" s="3" t="s">
        <v>6</v>
      </c>
      <c r="C9" s="3" t="s">
        <v>5</v>
      </c>
      <c r="D9" s="54">
        <v>8339450</v>
      </c>
      <c r="E9" s="54">
        <v>22414624</v>
      </c>
      <c r="J9" s="2"/>
    </row>
    <row r="10" spans="2:5" ht="13.5" thickBot="1">
      <c r="B10" s="3" t="s">
        <v>7</v>
      </c>
      <c r="C10" s="3" t="s">
        <v>5</v>
      </c>
      <c r="D10" s="54">
        <v>0</v>
      </c>
      <c r="E10" s="54">
        <v>280800</v>
      </c>
    </row>
    <row r="11" spans="2:8" ht="13.5" thickBot="1">
      <c r="B11" s="3" t="s">
        <v>8</v>
      </c>
      <c r="C11" s="3" t="s">
        <v>5</v>
      </c>
      <c r="D11" s="54">
        <v>50775400</v>
      </c>
      <c r="E11" s="54">
        <v>60518596</v>
      </c>
      <c r="H11" s="2"/>
    </row>
    <row r="12" spans="2:10" ht="13.5" thickBot="1">
      <c r="B12" s="3" t="s">
        <v>9</v>
      </c>
      <c r="C12" s="3" t="s">
        <v>5</v>
      </c>
      <c r="D12" s="54">
        <v>2458360</v>
      </c>
      <c r="E12" s="54">
        <v>0</v>
      </c>
      <c r="F12" s="38" t="s">
        <v>12</v>
      </c>
      <c r="G12" s="38"/>
      <c r="H12" s="38"/>
      <c r="I12" s="38"/>
      <c r="J12" s="38"/>
    </row>
    <row r="13" spans="2:5" ht="13.5" thickBot="1">
      <c r="B13" s="3" t="s">
        <v>10</v>
      </c>
      <c r="C13" s="3" t="s">
        <v>11</v>
      </c>
      <c r="D13" s="55">
        <v>8036.305</v>
      </c>
      <c r="E13" s="55">
        <v>10103</v>
      </c>
    </row>
    <row r="14" spans="2:5" ht="13.5" thickBot="1">
      <c r="B14" s="13" t="s">
        <v>67</v>
      </c>
      <c r="C14" s="3" t="s">
        <v>5</v>
      </c>
      <c r="D14" s="54">
        <v>598098</v>
      </c>
      <c r="E14" s="54">
        <v>489040</v>
      </c>
    </row>
    <row r="15" spans="2:10" ht="13.5" thickBot="1">
      <c r="B15" s="17" t="s">
        <v>68</v>
      </c>
      <c r="C15" s="3" t="s">
        <v>5</v>
      </c>
      <c r="D15" s="54">
        <v>88261</v>
      </c>
      <c r="E15" s="54">
        <v>133087</v>
      </c>
      <c r="J15" t="s">
        <v>78</v>
      </c>
    </row>
    <row r="16" spans="2:5" ht="13.5" thickBot="1">
      <c r="B16" s="3" t="s">
        <v>13</v>
      </c>
      <c r="C16" s="3" t="s">
        <v>14</v>
      </c>
      <c r="D16" s="54">
        <v>52218</v>
      </c>
      <c r="E16" s="54">
        <v>93537</v>
      </c>
    </row>
    <row r="17" spans="1:5" ht="13.5" thickBot="1">
      <c r="A17" s="35" t="s">
        <v>53</v>
      </c>
      <c r="B17" s="39"/>
      <c r="C17" s="39"/>
      <c r="D17" s="39"/>
      <c r="E17" s="37"/>
    </row>
    <row r="18" spans="2:5" ht="12.75">
      <c r="B18" s="20" t="s">
        <v>0</v>
      </c>
      <c r="C18" s="20" t="s">
        <v>1</v>
      </c>
      <c r="D18" s="45"/>
      <c r="E18" s="46"/>
    </row>
    <row r="19" spans="2:5" ht="13.5" thickBot="1">
      <c r="B19" s="9"/>
      <c r="C19" s="9"/>
      <c r="D19" s="47"/>
      <c r="E19" s="48"/>
    </row>
    <row r="20" spans="2:5" ht="12.75">
      <c r="B20" s="18" t="s">
        <v>50</v>
      </c>
      <c r="C20" s="18" t="s">
        <v>11</v>
      </c>
      <c r="D20" s="41">
        <f>(D13+E13)/2</f>
        <v>9069.6525</v>
      </c>
      <c r="E20" s="56"/>
    </row>
    <row r="21" spans="2:5" ht="13.5" thickBot="1">
      <c r="B21" s="18"/>
      <c r="C21" s="18"/>
      <c r="D21" s="57"/>
      <c r="E21" s="58"/>
    </row>
    <row r="22" spans="2:5" ht="12.75">
      <c r="B22" s="18" t="s">
        <v>51</v>
      </c>
      <c r="C22" s="18" t="s">
        <v>52</v>
      </c>
      <c r="D22" s="41">
        <f>D20/8760</f>
        <v>1.0353484589041095</v>
      </c>
      <c r="E22" s="42"/>
    </row>
    <row r="23" spans="2:5" ht="13.5" thickBot="1">
      <c r="B23" s="19"/>
      <c r="C23" s="19"/>
      <c r="D23" s="43"/>
      <c r="E23" s="44"/>
    </row>
    <row r="24" ht="13.5" thickBot="1"/>
    <row r="25" spans="1:5" ht="13.5" thickBot="1">
      <c r="A25" s="35" t="s">
        <v>16</v>
      </c>
      <c r="B25" s="36"/>
      <c r="C25" s="36"/>
      <c r="D25" s="36"/>
      <c r="E25" s="37"/>
    </row>
    <row r="26" spans="2:4" ht="13.5" thickBot="1">
      <c r="B26" s="10" t="s">
        <v>17</v>
      </c>
      <c r="C26" s="10" t="s">
        <v>18</v>
      </c>
      <c r="D26" s="10" t="s">
        <v>27</v>
      </c>
    </row>
    <row r="27" spans="2:4" ht="12.75">
      <c r="B27" s="6" t="s">
        <v>19</v>
      </c>
      <c r="C27" s="6">
        <v>58.5</v>
      </c>
      <c r="D27" s="6">
        <v>10.8</v>
      </c>
    </row>
    <row r="28" spans="2:4" ht="12.75">
      <c r="B28" s="4" t="s">
        <v>20</v>
      </c>
      <c r="C28" s="4">
        <v>7.4</v>
      </c>
      <c r="D28" s="4"/>
    </row>
    <row r="29" spans="2:4" ht="12.75">
      <c r="B29" s="4" t="s">
        <v>21</v>
      </c>
      <c r="C29" s="4">
        <v>25.4</v>
      </c>
      <c r="D29" s="4">
        <v>35.82</v>
      </c>
    </row>
    <row r="30" spans="2:4" ht="12.75">
      <c r="B30" s="4" t="s">
        <v>22</v>
      </c>
      <c r="C30" s="4">
        <v>0.5</v>
      </c>
      <c r="D30" s="4"/>
    </row>
    <row r="31" spans="2:4" ht="12.75">
      <c r="B31" s="4" t="s">
        <v>23</v>
      </c>
      <c r="C31" s="4">
        <v>2.3</v>
      </c>
      <c r="D31" s="4"/>
    </row>
    <row r="32" spans="2:4" ht="12.75">
      <c r="B32" s="4" t="s">
        <v>24</v>
      </c>
      <c r="C32" s="4">
        <v>3.7</v>
      </c>
      <c r="D32" s="4"/>
    </row>
    <row r="33" spans="2:4" ht="13.5" thickBot="1">
      <c r="B33" s="11" t="s">
        <v>25</v>
      </c>
      <c r="C33" s="11">
        <v>2.2</v>
      </c>
      <c r="D33" s="11"/>
    </row>
    <row r="34" spans="2:4" ht="13.5" thickBot="1">
      <c r="B34" s="10" t="s">
        <v>26</v>
      </c>
      <c r="C34" s="10">
        <f>SUM(C27:C33)</f>
        <v>100.00000000000001</v>
      </c>
      <c r="D34" s="12">
        <f>D27*C27%+D29*C29%</f>
        <v>15.41628</v>
      </c>
    </row>
  </sheetData>
  <sheetProtection/>
  <mergeCells count="7">
    <mergeCell ref="D22:E23"/>
    <mergeCell ref="D20:E21"/>
    <mergeCell ref="D18:E19"/>
    <mergeCell ref="A3:E3"/>
    <mergeCell ref="A25:E25"/>
    <mergeCell ref="F12:J12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6"/>
  <sheetViews>
    <sheetView zoomScalePageLayoutView="0" workbookViewId="0" topLeftCell="A9">
      <selection activeCell="I13" sqref="I13"/>
    </sheetView>
  </sheetViews>
  <sheetFormatPr defaultColWidth="9.00390625" defaultRowHeight="12.75"/>
  <cols>
    <col min="2" max="2" width="57.75390625" style="0" bestFit="1" customWidth="1"/>
    <col min="3" max="3" width="17.875" style="1" bestFit="1" customWidth="1"/>
    <col min="4" max="6" width="13.875" style="0" bestFit="1" customWidth="1"/>
    <col min="8" max="8" width="10.00390625" style="0" bestFit="1" customWidth="1"/>
  </cols>
  <sheetData>
    <row r="2" ht="13.5" thickBot="1"/>
    <row r="3" spans="2:6" ht="13.5" thickBot="1">
      <c r="B3" s="8" t="s">
        <v>0</v>
      </c>
      <c r="C3" s="15" t="s">
        <v>1</v>
      </c>
      <c r="D3" s="52">
        <v>2010</v>
      </c>
      <c r="E3" s="52">
        <v>2011</v>
      </c>
      <c r="F3" s="52">
        <v>2012</v>
      </c>
    </row>
    <row r="4" spans="2:6" ht="13.5" thickBot="1">
      <c r="B4" s="35" t="s">
        <v>82</v>
      </c>
      <c r="C4" s="39"/>
      <c r="D4" s="39"/>
      <c r="E4" s="39"/>
      <c r="F4" s="37"/>
    </row>
    <row r="5" spans="2:6" ht="13.5" thickBot="1">
      <c r="B5" s="14" t="s">
        <v>48</v>
      </c>
      <c r="C5" s="16" t="s">
        <v>44</v>
      </c>
      <c r="D5" s="54">
        <v>8760</v>
      </c>
      <c r="E5" s="54">
        <v>8760</v>
      </c>
      <c r="F5" s="54">
        <v>8784</v>
      </c>
    </row>
    <row r="6" spans="2:6" ht="13.5" thickBot="1">
      <c r="B6" s="6" t="s">
        <v>29</v>
      </c>
      <c r="C6" s="26" t="s">
        <v>41</v>
      </c>
      <c r="D6" s="59">
        <v>57</v>
      </c>
      <c r="E6" s="59">
        <v>57</v>
      </c>
      <c r="F6" s="59">
        <v>57</v>
      </c>
    </row>
    <row r="7" spans="2:6" ht="13.5" thickBot="1">
      <c r="B7" s="3" t="s">
        <v>30</v>
      </c>
      <c r="C7" s="29" t="s">
        <v>44</v>
      </c>
      <c r="D7" s="59">
        <v>16</v>
      </c>
      <c r="E7" s="59">
        <v>16</v>
      </c>
      <c r="F7" s="59">
        <v>16</v>
      </c>
    </row>
    <row r="8" spans="2:6" ht="13.5" thickBot="1">
      <c r="B8" s="3" t="s">
        <v>32</v>
      </c>
      <c r="C8" s="7" t="s">
        <v>3</v>
      </c>
      <c r="D8" s="59">
        <v>17.6</v>
      </c>
      <c r="E8" s="59">
        <v>17.6</v>
      </c>
      <c r="F8" s="59">
        <v>17.6</v>
      </c>
    </row>
    <row r="9" spans="2:6" ht="13.5" thickBot="1">
      <c r="B9" s="3" t="s">
        <v>47</v>
      </c>
      <c r="C9" s="7" t="s">
        <v>3</v>
      </c>
      <c r="D9" s="59">
        <f>D8*D6*8760/D7</f>
        <v>549252</v>
      </c>
      <c r="E9" s="59">
        <f>E8*E6*8760/E7</f>
        <v>549252</v>
      </c>
      <c r="F9" s="59">
        <v>550757</v>
      </c>
    </row>
    <row r="10" spans="2:6" ht="13.5" thickBot="1">
      <c r="B10" s="3" t="s">
        <v>31</v>
      </c>
      <c r="C10" s="7" t="s">
        <v>45</v>
      </c>
      <c r="D10" s="59">
        <v>1.32</v>
      </c>
      <c r="E10" s="59">
        <v>1.32</v>
      </c>
      <c r="F10" s="59">
        <v>1.32</v>
      </c>
    </row>
    <row r="11" spans="2:6" ht="13.5" thickBot="1">
      <c r="B11" s="3" t="s">
        <v>33</v>
      </c>
      <c r="C11" s="7" t="s">
        <v>3</v>
      </c>
      <c r="D11" s="59">
        <f>D9/D10</f>
        <v>416100</v>
      </c>
      <c r="E11" s="59">
        <f>E9/E10</f>
        <v>416100</v>
      </c>
      <c r="F11" s="59">
        <f>F9/F10</f>
        <v>417240.1515151515</v>
      </c>
    </row>
    <row r="12" spans="2:6" ht="13.5" thickBot="1">
      <c r="B12" s="6" t="s">
        <v>2</v>
      </c>
      <c r="C12" s="26" t="s">
        <v>3</v>
      </c>
      <c r="D12" s="59">
        <f>D11/(1-6%)</f>
        <v>442659.57446808513</v>
      </c>
      <c r="E12" s="59">
        <f>E11/(1-6%)</f>
        <v>442659.57446808513</v>
      </c>
      <c r="F12" s="59">
        <f>F11/(1-6%)</f>
        <v>443872.5016118633</v>
      </c>
    </row>
    <row r="13" spans="2:6" ht="13.5" thickBot="1">
      <c r="B13" s="35" t="s">
        <v>83</v>
      </c>
      <c r="C13" s="39"/>
      <c r="D13" s="39"/>
      <c r="E13" s="39"/>
      <c r="F13" s="37"/>
    </row>
    <row r="14" spans="2:6" ht="13.5" thickBot="1">
      <c r="B14" s="3" t="s">
        <v>34</v>
      </c>
      <c r="C14" s="7" t="s">
        <v>81</v>
      </c>
      <c r="D14" s="59">
        <v>320</v>
      </c>
      <c r="E14" s="59">
        <v>320</v>
      </c>
      <c r="F14" s="59">
        <v>320</v>
      </c>
    </row>
    <row r="15" spans="2:6" ht="13.5" thickBot="1">
      <c r="B15" s="3" t="s">
        <v>65</v>
      </c>
      <c r="C15" s="7" t="s">
        <v>5</v>
      </c>
      <c r="D15" s="59">
        <f>D9*D14*1.1713</f>
        <v>205868437.632</v>
      </c>
      <c r="E15" s="59">
        <f>E9*E14*1.1713</f>
        <v>205868437.632</v>
      </c>
      <c r="F15" s="59">
        <f>F9*F14*1.1713</f>
        <v>206432535.712</v>
      </c>
    </row>
    <row r="16" spans="2:6" ht="13.5" thickBot="1">
      <c r="B16" s="30" t="s">
        <v>35</v>
      </c>
      <c r="C16" s="7" t="s">
        <v>5</v>
      </c>
      <c r="D16" s="59">
        <v>96600000</v>
      </c>
      <c r="E16" s="59">
        <v>96600000</v>
      </c>
      <c r="F16" s="59">
        <v>96864693</v>
      </c>
    </row>
    <row r="17" spans="2:6" ht="13.5" thickBot="1">
      <c r="B17" s="30" t="s">
        <v>36</v>
      </c>
      <c r="C17" s="7" t="s">
        <v>5</v>
      </c>
      <c r="D17" s="59">
        <v>1958000</v>
      </c>
      <c r="E17" s="59">
        <v>1958000</v>
      </c>
      <c r="F17" s="59">
        <v>1958000</v>
      </c>
    </row>
    <row r="18" spans="2:6" ht="13.5" thickBot="1">
      <c r="B18" s="30" t="s">
        <v>37</v>
      </c>
      <c r="C18" s="7" t="s">
        <v>5</v>
      </c>
      <c r="D18" s="59">
        <v>2025000</v>
      </c>
      <c r="E18" s="59">
        <v>2025000</v>
      </c>
      <c r="F18" s="59">
        <v>2030548.68</v>
      </c>
    </row>
    <row r="19" spans="2:6" ht="13.5" thickBot="1">
      <c r="B19" s="30" t="s">
        <v>38</v>
      </c>
      <c r="C19" s="7" t="s">
        <v>5</v>
      </c>
      <c r="D19" s="59">
        <v>98066000</v>
      </c>
      <c r="E19" s="59">
        <v>98066000</v>
      </c>
      <c r="F19" s="59">
        <v>98334710</v>
      </c>
    </row>
    <row r="20" spans="2:6" ht="13.5" thickBot="1">
      <c r="B20" s="30" t="s">
        <v>39</v>
      </c>
      <c r="C20" s="7" t="s">
        <v>5</v>
      </c>
      <c r="D20" s="59">
        <f>D15-D16-D17-D18-D19</f>
        <v>7219437.631999999</v>
      </c>
      <c r="E20" s="59">
        <f>E15-E16-E17-E18-E19</f>
        <v>7219437.631999999</v>
      </c>
      <c r="F20" s="59">
        <f>F15-F16-F17-F18-F19</f>
        <v>7244584.032000005</v>
      </c>
    </row>
    <row r="21" spans="2:6" ht="13.5" thickBot="1">
      <c r="B21" s="35" t="s">
        <v>38</v>
      </c>
      <c r="C21" s="39"/>
      <c r="D21" s="39"/>
      <c r="E21" s="39"/>
      <c r="F21" s="37"/>
    </row>
    <row r="22" spans="2:6" ht="13.5" thickBot="1">
      <c r="B22" s="14" t="s">
        <v>49</v>
      </c>
      <c r="C22" s="16" t="s">
        <v>44</v>
      </c>
      <c r="D22" s="59">
        <v>8000</v>
      </c>
      <c r="E22" s="59">
        <v>8000</v>
      </c>
      <c r="F22" s="59">
        <v>8024</v>
      </c>
    </row>
    <row r="23" spans="2:6" ht="13.5" thickBot="1">
      <c r="B23" s="3" t="s">
        <v>40</v>
      </c>
      <c r="C23" s="7" t="s">
        <v>46</v>
      </c>
      <c r="D23" s="59">
        <v>75</v>
      </c>
      <c r="E23" s="59">
        <v>75</v>
      </c>
      <c r="F23" s="59">
        <v>75</v>
      </c>
    </row>
    <row r="24" spans="2:6" ht="13.5" thickBot="1">
      <c r="B24" s="35" t="s">
        <v>84</v>
      </c>
      <c r="C24" s="39"/>
      <c r="D24" s="39"/>
      <c r="E24" s="39"/>
      <c r="F24" s="37"/>
    </row>
    <row r="25" spans="2:6" ht="13.5" thickBot="1">
      <c r="B25" s="3" t="s">
        <v>66</v>
      </c>
      <c r="C25" s="7" t="s">
        <v>11</v>
      </c>
      <c r="D25" s="59">
        <f>82432+D29</f>
        <v>83952</v>
      </c>
      <c r="E25" s="59">
        <f>82432+E29</f>
        <v>83952</v>
      </c>
      <c r="F25" s="59">
        <f>82432/365*366+F29</f>
        <v>84177.44666275148</v>
      </c>
    </row>
    <row r="26" spans="2:6" ht="13.5" thickBot="1">
      <c r="B26" s="30" t="s">
        <v>73</v>
      </c>
      <c r="C26" s="7" t="s">
        <v>11</v>
      </c>
      <c r="D26" s="59">
        <v>16000</v>
      </c>
      <c r="E26" s="59">
        <v>16000</v>
      </c>
      <c r="F26" s="59">
        <f>16000/365*366</f>
        <v>16043.835616438355</v>
      </c>
    </row>
    <row r="27" spans="2:6" ht="13.5" thickBot="1">
      <c r="B27" s="30" t="s">
        <v>42</v>
      </c>
      <c r="C27" s="7" t="s">
        <v>11</v>
      </c>
      <c r="D27" s="59">
        <v>12000</v>
      </c>
      <c r="E27" s="59">
        <v>12000</v>
      </c>
      <c r="F27" s="59">
        <f>12000/365*366</f>
        <v>12032.876712328769</v>
      </c>
    </row>
    <row r="28" spans="2:6" ht="13.5" thickBot="1">
      <c r="B28" s="30" t="s">
        <v>43</v>
      </c>
      <c r="C28" s="7" t="s">
        <v>11</v>
      </c>
      <c r="D28" s="59">
        <f>D25-D26-D27-D29</f>
        <v>54432</v>
      </c>
      <c r="E28" s="59">
        <f>E25-E26-E27-E29</f>
        <v>54432</v>
      </c>
      <c r="F28" s="59">
        <f>F25-F26-F27-F29</f>
        <v>54581.128767123286</v>
      </c>
    </row>
    <row r="29" spans="2:6" ht="13.5" thickBot="1">
      <c r="B29" s="32" t="s">
        <v>74</v>
      </c>
      <c r="C29" s="7" t="s">
        <v>11</v>
      </c>
      <c r="D29" s="59">
        <f>D31*D5-D26</f>
        <v>1520</v>
      </c>
      <c r="E29" s="59">
        <f>E31*E5-E26</f>
        <v>1520</v>
      </c>
      <c r="F29" s="59">
        <f>F31*F5-F26</f>
        <v>1519.6055668610607</v>
      </c>
    </row>
    <row r="30" spans="2:6" ht="13.5" thickBot="1">
      <c r="B30" s="3" t="s">
        <v>60</v>
      </c>
      <c r="C30" s="7" t="s">
        <v>52</v>
      </c>
      <c r="D30" s="59">
        <f>(D25-D29)/D22</f>
        <v>10.304</v>
      </c>
      <c r="E30" s="59">
        <f>(E25-E29)/E22</f>
        <v>10.304</v>
      </c>
      <c r="F30" s="59">
        <f>(F25-F29)/F22</f>
        <v>10.301326158510768</v>
      </c>
    </row>
    <row r="31" spans="2:6" ht="13.5" thickBot="1">
      <c r="B31" s="31" t="s">
        <v>58</v>
      </c>
      <c r="C31" s="7" t="s">
        <v>11</v>
      </c>
      <c r="D31" s="59">
        <f>D26/D22</f>
        <v>2</v>
      </c>
      <c r="E31" s="59">
        <f>E26/E22</f>
        <v>2</v>
      </c>
      <c r="F31" s="59">
        <f>F26/F22</f>
        <v>1.9994810090277113</v>
      </c>
    </row>
    <row r="32" spans="2:6" ht="13.5" thickBot="1">
      <c r="B32" s="31" t="s">
        <v>59</v>
      </c>
      <c r="C32" s="7" t="s">
        <v>11</v>
      </c>
      <c r="D32" s="59">
        <f>D27/D22</f>
        <v>1.5</v>
      </c>
      <c r="E32" s="59">
        <f>E27/E22</f>
        <v>1.5</v>
      </c>
      <c r="F32" s="59">
        <f>F27/F22</f>
        <v>1.4996107567707837</v>
      </c>
    </row>
    <row r="33" spans="2:7" ht="13.5" thickBot="1">
      <c r="B33" s="21" t="s">
        <v>69</v>
      </c>
      <c r="C33" s="26" t="s">
        <v>11</v>
      </c>
      <c r="D33" s="59">
        <f>D28/D22</f>
        <v>6.804</v>
      </c>
      <c r="E33" s="59">
        <f>E28/E22</f>
        <v>6.804</v>
      </c>
      <c r="F33" s="59">
        <f>F28/F22</f>
        <v>6.802234392712274</v>
      </c>
      <c r="G33" s="33"/>
    </row>
    <row r="34" spans="2:6" ht="13.5" thickBot="1">
      <c r="B34" s="35" t="s">
        <v>85</v>
      </c>
      <c r="C34" s="39"/>
      <c r="D34" s="39"/>
      <c r="E34" s="39"/>
      <c r="F34" s="39"/>
    </row>
    <row r="35" spans="2:6" ht="13.5" thickBot="1">
      <c r="B35" s="3" t="s">
        <v>79</v>
      </c>
      <c r="C35" s="7" t="s">
        <v>14</v>
      </c>
      <c r="D35" s="59">
        <f>(D17+D19)*0.2388*'historical data'!$D$34/1000*0.92</f>
        <v>338770.7905692212</v>
      </c>
      <c r="E35" s="59">
        <f>(E17+E19)*0.2388*'historical data'!$D$34/1000*0.92</f>
        <v>338770.7905692212</v>
      </c>
      <c r="F35" s="59">
        <f>(F17+F19)*0.2388*'historical data'!$D$34/1000*0.92</f>
        <v>339680.8831383431</v>
      </c>
    </row>
    <row r="36" spans="2:6" ht="13.5" thickBot="1">
      <c r="B36" s="60" t="s">
        <v>80</v>
      </c>
      <c r="C36" s="61" t="s">
        <v>14</v>
      </c>
      <c r="D36" s="62">
        <f>'historical data'!$E$16</f>
        <v>93537</v>
      </c>
      <c r="E36" s="62">
        <f>'historical data'!$E$16</f>
        <v>93537</v>
      </c>
      <c r="F36" s="62">
        <f>'historical data'!$E$16/365*366</f>
        <v>93793.26575342465</v>
      </c>
    </row>
  </sheetData>
  <sheetProtection/>
  <mergeCells count="5">
    <mergeCell ref="B34:F34"/>
    <mergeCell ref="B13:F13"/>
    <mergeCell ref="B21:F21"/>
    <mergeCell ref="B24:F24"/>
    <mergeCell ref="B4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31"/>
  <sheetViews>
    <sheetView tabSelected="1" zoomScalePageLayoutView="0" workbookViewId="0" topLeftCell="A1">
      <selection activeCell="E37" sqref="E37"/>
    </sheetView>
  </sheetViews>
  <sheetFormatPr defaultColWidth="9.00390625" defaultRowHeight="12.75"/>
  <cols>
    <col min="2" max="2" width="94.75390625" style="0" bestFit="1" customWidth="1"/>
    <col min="3" max="3" width="11.25390625" style="0" bestFit="1" customWidth="1"/>
    <col min="7" max="7" width="7.625" style="0" bestFit="1" customWidth="1"/>
    <col min="8" max="8" width="6.625" style="0" bestFit="1" customWidth="1"/>
    <col min="9" max="15" width="5.00390625" style="0" bestFit="1" customWidth="1"/>
    <col min="16" max="16" width="9.625" style="0" bestFit="1" customWidth="1"/>
    <col min="17" max="17" width="0" style="0" hidden="1" customWidth="1"/>
  </cols>
  <sheetData>
    <row r="2" ht="13.5" thickBot="1"/>
    <row r="3" spans="2:4" ht="13.5" thickBot="1">
      <c r="B3" s="49" t="s">
        <v>86</v>
      </c>
      <c r="C3" s="50"/>
      <c r="D3" s="51"/>
    </row>
    <row r="4" spans="2:4" ht="13.5" thickBot="1">
      <c r="B4" s="10" t="s">
        <v>0</v>
      </c>
      <c r="C4" s="66" t="s">
        <v>1</v>
      </c>
      <c r="D4" s="67"/>
    </row>
    <row r="5" spans="2:4" ht="12.75">
      <c r="B5" s="6" t="s">
        <v>54</v>
      </c>
      <c r="C5" s="6" t="s">
        <v>57</v>
      </c>
      <c r="D5" s="65">
        <v>0.896</v>
      </c>
    </row>
    <row r="6" spans="2:4" ht="12.75">
      <c r="B6" s="4" t="s">
        <v>55</v>
      </c>
      <c r="C6" s="4" t="s">
        <v>57</v>
      </c>
      <c r="D6" s="63">
        <v>0.896</v>
      </c>
    </row>
    <row r="7" spans="2:4" ht="13.5" thickBot="1">
      <c r="B7" s="5" t="s">
        <v>56</v>
      </c>
      <c r="C7" s="5" t="s">
        <v>57</v>
      </c>
      <c r="D7" s="64">
        <v>0.807</v>
      </c>
    </row>
    <row r="8" ht="13.5" thickBot="1"/>
    <row r="9" spans="2:7" ht="13.5" thickBot="1">
      <c r="B9" s="72" t="s">
        <v>61</v>
      </c>
      <c r="C9" s="73"/>
      <c r="D9" s="73"/>
      <c r="E9" s="73"/>
      <c r="F9" s="73"/>
      <c r="G9" s="73"/>
    </row>
    <row r="10" spans="2:7" ht="13.5" thickBot="1">
      <c r="B10" s="8" t="s">
        <v>0</v>
      </c>
      <c r="C10" s="24" t="s">
        <v>1</v>
      </c>
      <c r="D10" s="8"/>
      <c r="E10" s="8"/>
      <c r="F10" s="8"/>
      <c r="G10" s="8"/>
    </row>
    <row r="11" spans="2:7" ht="13.5" thickBot="1">
      <c r="B11" s="9"/>
      <c r="C11" s="25"/>
      <c r="D11" s="9">
        <v>2010</v>
      </c>
      <c r="E11" s="9">
        <v>2011</v>
      </c>
      <c r="F11" s="9">
        <v>2012</v>
      </c>
      <c r="G11" s="8" t="s">
        <v>26</v>
      </c>
    </row>
    <row r="12" spans="2:7" ht="12.75">
      <c r="B12" s="6" t="s">
        <v>70</v>
      </c>
      <c r="C12" s="22" t="s">
        <v>62</v>
      </c>
      <c r="D12" s="68">
        <f>(project!D26+project!D27+project!D29)*$D$5</f>
        <v>26449.920000000002</v>
      </c>
      <c r="E12" s="68">
        <f>(project!E26+project!E27+project!E29)*$D$5</f>
        <v>26449.920000000002</v>
      </c>
      <c r="F12" s="68">
        <f>(project!F26+project!F27+project!F29)*$D$5</f>
        <v>26518.300834482852</v>
      </c>
      <c r="G12" s="69">
        <f>SUM(D12:F12)</f>
        <v>79418.14083448285</v>
      </c>
    </row>
    <row r="13" spans="2:7" ht="13.5" thickBot="1">
      <c r="B13" s="4" t="s">
        <v>71</v>
      </c>
      <c r="C13" s="23" t="s">
        <v>62</v>
      </c>
      <c r="D13" s="70">
        <f>project!D28*$D$7</f>
        <v>43926.624</v>
      </c>
      <c r="E13" s="70">
        <f>project!E28*$D$7</f>
        <v>43926.624</v>
      </c>
      <c r="F13" s="70">
        <f>project!F28*$D$7</f>
        <v>44046.970915068494</v>
      </c>
      <c r="G13" s="71">
        <f>SUM(D13:F13)</f>
        <v>131900.2189150685</v>
      </c>
    </row>
    <row r="14" spans="2:7" ht="13.5" thickBot="1">
      <c r="B14" s="27" t="s">
        <v>26</v>
      </c>
      <c r="C14" s="10" t="s">
        <v>62</v>
      </c>
      <c r="D14" s="28">
        <f>SUM(D12:D13)</f>
        <v>70376.54400000001</v>
      </c>
      <c r="E14" s="28">
        <f>SUM(E12:E13)</f>
        <v>70376.54400000001</v>
      </c>
      <c r="F14" s="28">
        <f>SUM(F12:F13)</f>
        <v>70565.27174955135</v>
      </c>
      <c r="G14" s="28">
        <f>SUM(G12:G13)</f>
        <v>211318.35974955134</v>
      </c>
    </row>
    <row r="15" ht="13.5" thickBot="1"/>
    <row r="16" spans="2:7" ht="13.5" thickBot="1">
      <c r="B16" s="72" t="s">
        <v>63</v>
      </c>
      <c r="C16" s="73"/>
      <c r="D16" s="73"/>
      <c r="E16" s="73"/>
      <c r="F16" s="73"/>
      <c r="G16" s="73"/>
    </row>
    <row r="17" spans="2:7" ht="13.5" thickBot="1">
      <c r="B17" s="8" t="s">
        <v>0</v>
      </c>
      <c r="C17" s="24" t="s">
        <v>1</v>
      </c>
      <c r="D17" s="8"/>
      <c r="E17" s="8"/>
      <c r="F17" s="8"/>
      <c r="G17" s="8"/>
    </row>
    <row r="18" spans="2:7" ht="13.5" thickBot="1">
      <c r="B18" s="9"/>
      <c r="C18" s="25"/>
      <c r="D18" s="9">
        <v>2010</v>
      </c>
      <c r="E18" s="9">
        <v>2011</v>
      </c>
      <c r="F18" s="9">
        <v>2012</v>
      </c>
      <c r="G18" s="8" t="s">
        <v>26</v>
      </c>
    </row>
    <row r="19" spans="2:7" ht="13.5" thickBot="1">
      <c r="B19" s="6" t="s">
        <v>72</v>
      </c>
      <c r="C19" s="22" t="s">
        <v>62</v>
      </c>
      <c r="D19" s="68">
        <f>project!D27*'ER'!$D$6</f>
        <v>10752</v>
      </c>
      <c r="E19" s="68">
        <f>project!E27*'ER'!$D$6</f>
        <v>10752</v>
      </c>
      <c r="F19" s="68">
        <f>project!F27*'ER'!$D$6</f>
        <v>10781.457534246578</v>
      </c>
      <c r="G19" s="69">
        <f>SUM(D19:F19)</f>
        <v>32285.457534246576</v>
      </c>
    </row>
    <row r="20" spans="2:7" ht="13.5" thickBot="1">
      <c r="B20" s="4" t="s">
        <v>75</v>
      </c>
      <c r="C20" s="22" t="s">
        <v>62</v>
      </c>
      <c r="D20" s="70">
        <f>project!D29*'ER'!$D$5</f>
        <v>1361.92</v>
      </c>
      <c r="E20" s="70">
        <f>project!E29*'ER'!$D$5</f>
        <v>1361.92</v>
      </c>
      <c r="F20" s="70">
        <f>project!F29*'ER'!$D$5</f>
        <v>1361.5665879075104</v>
      </c>
      <c r="G20" s="69">
        <f>SUM(D20:F20)</f>
        <v>4085.4065879075106</v>
      </c>
    </row>
    <row r="21" spans="2:7" ht="13.5" thickBot="1">
      <c r="B21" s="27" t="s">
        <v>26</v>
      </c>
      <c r="C21" s="10" t="s">
        <v>62</v>
      </c>
      <c r="D21" s="28">
        <f>SUM(D19:D20)</f>
        <v>12113.92</v>
      </c>
      <c r="E21" s="28">
        <f>SUM(E19:E20)</f>
        <v>12113.92</v>
      </c>
      <c r="F21" s="28">
        <f>SUM(F19:F20)</f>
        <v>12143.02412215409</v>
      </c>
      <c r="G21" s="28">
        <f>SUM(G19:G20)</f>
        <v>36370.86412215409</v>
      </c>
    </row>
    <row r="22" ht="13.5" thickBot="1"/>
    <row r="23" spans="2:7" ht="13.5" thickBot="1">
      <c r="B23" s="72" t="s">
        <v>64</v>
      </c>
      <c r="C23" s="73"/>
      <c r="D23" s="73"/>
      <c r="E23" s="73"/>
      <c r="F23" s="73"/>
      <c r="G23" s="73"/>
    </row>
    <row r="24" spans="2:7" ht="13.5" thickBot="1">
      <c r="B24" s="8" t="s">
        <v>0</v>
      </c>
      <c r="C24" s="24" t="s">
        <v>1</v>
      </c>
      <c r="D24" s="8"/>
      <c r="E24" s="8"/>
      <c r="F24" s="8"/>
      <c r="G24" s="8"/>
    </row>
    <row r="25" spans="2:7" ht="13.5" thickBot="1">
      <c r="B25" s="9"/>
      <c r="C25" s="25"/>
      <c r="D25" s="9">
        <v>2010</v>
      </c>
      <c r="E25" s="9">
        <v>2011</v>
      </c>
      <c r="F25" s="9">
        <v>2012</v>
      </c>
      <c r="G25" s="8" t="s">
        <v>26</v>
      </c>
    </row>
    <row r="26" spans="2:7" ht="12.75">
      <c r="B26" s="6" t="s">
        <v>76</v>
      </c>
      <c r="C26" s="22" t="s">
        <v>62</v>
      </c>
      <c r="D26" s="68">
        <f>D12-D19-D20</f>
        <v>14336.000000000002</v>
      </c>
      <c r="E26" s="68">
        <f>E12-E19-E20</f>
        <v>14336.000000000002</v>
      </c>
      <c r="F26" s="68">
        <f>F12-F19-F20</f>
        <v>14375.276712328763</v>
      </c>
      <c r="G26" s="69">
        <f>SUM(D26:F26)</f>
        <v>43047.27671232876</v>
      </c>
    </row>
    <row r="27" spans="2:7" ht="13.5" thickBot="1">
      <c r="B27" s="4" t="s">
        <v>77</v>
      </c>
      <c r="C27" s="23" t="s">
        <v>62</v>
      </c>
      <c r="D27" s="70">
        <f>D13</f>
        <v>43926.624</v>
      </c>
      <c r="E27" s="70">
        <f>E13</f>
        <v>43926.624</v>
      </c>
      <c r="F27" s="70">
        <f>F13</f>
        <v>44046.970915068494</v>
      </c>
      <c r="G27" s="70">
        <f>G13</f>
        <v>131900.2189150685</v>
      </c>
    </row>
    <row r="28" spans="2:7" ht="13.5" thickBot="1">
      <c r="B28" s="27" t="s">
        <v>26</v>
      </c>
      <c r="C28" s="10" t="s">
        <v>62</v>
      </c>
      <c r="D28" s="28">
        <f>SUM(D26:D27)</f>
        <v>58262.624</v>
      </c>
      <c r="E28" s="28">
        <f>SUM(E26:E27)</f>
        <v>58262.624</v>
      </c>
      <c r="F28" s="28">
        <f>SUM(F26:F27)</f>
        <v>58422.24762739726</v>
      </c>
      <c r="G28" s="28">
        <f>SUM(G26:G27)</f>
        <v>174947.49562739726</v>
      </c>
    </row>
    <row r="30" spans="4:17" ht="12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ht="12.75">
      <c r="D31" s="2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Bulany</dc:creator>
  <cp:keywords/>
  <dc:description/>
  <cp:lastModifiedBy>Your User Name</cp:lastModifiedBy>
  <dcterms:created xsi:type="dcterms:W3CDTF">2008-02-26T08:01:48Z</dcterms:created>
  <dcterms:modified xsi:type="dcterms:W3CDTF">2010-03-15T15:14:12Z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