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9320" windowHeight="14544" tabRatio="157" activeTab="0"/>
  </bookViews>
  <sheets>
    <sheet name="Tabelle1" sheetId="1" r:id="rId1"/>
  </sheets>
  <definedNames>
    <definedName name="_xlnm.Print_Area" localSheetId="0">'Tabelle1'!$A$1:$Z$37</definedName>
    <definedName name="OLE_LINK10" localSheetId="0">'Tabelle1'!$AK$3</definedName>
    <definedName name="OLE_LINK11" localSheetId="0">'Tabelle1'!$AK$4</definedName>
    <definedName name="OLE_LINK12" localSheetId="0">'Tabelle1'!$AO$4</definedName>
    <definedName name="OLE_LINK3" localSheetId="0">'Tabelle1'!$Z$4</definedName>
    <definedName name="OLE_LINK4" localSheetId="0">'Tabelle1'!$AF$3</definedName>
    <definedName name="OLE_LINK5" localSheetId="0">'Tabelle1'!$AF$4</definedName>
    <definedName name="OLE_LINK7" localSheetId="0">'Tabelle1'!$AJ$3</definedName>
    <definedName name="OLE_LINK8" localSheetId="0">'Tabelle1'!$AJ$4</definedName>
  </definedNames>
  <calcPr fullCalcOnLoad="1"/>
</workbook>
</file>

<file path=xl/comments1.xml><?xml version="1.0" encoding="utf-8"?>
<comments xmlns="http://schemas.openxmlformats.org/spreadsheetml/2006/main">
  <authors>
    <author>Adam Hadulla</author>
    <author>A-TEC</author>
  </authors>
  <commentList>
    <comment ref="AC6" authorId="0">
      <text>
        <r>
          <rPr>
            <b/>
            <sz val="8"/>
            <rFont val="Tahoma"/>
            <family val="0"/>
          </rPr>
          <t xml:space="preserve">Adam Hadulla:
</t>
        </r>
        <r>
          <rPr>
            <sz val="8"/>
            <rFont val="Tahoma"/>
            <family val="0"/>
          </rPr>
          <t xml:space="preserve">
99.5%  for T</t>
        </r>
        <r>
          <rPr>
            <sz val="6"/>
            <rFont val="Tahoma"/>
            <family val="2"/>
          </rPr>
          <t>FLAME</t>
        </r>
        <r>
          <rPr>
            <sz val="8"/>
            <rFont val="Tahoma"/>
            <family val="0"/>
          </rPr>
          <t xml:space="preserve"> &gt; 850°C
90.0%  for 500°C &lt; T</t>
        </r>
        <r>
          <rPr>
            <sz val="6"/>
            <rFont val="Tahoma"/>
            <family val="2"/>
          </rPr>
          <t xml:space="preserve">FLAME </t>
        </r>
        <r>
          <rPr>
            <sz val="8"/>
            <rFont val="Tahoma"/>
            <family val="0"/>
          </rPr>
          <t>&lt; 850°C
  0.0 %  for T</t>
        </r>
        <r>
          <rPr>
            <sz val="6"/>
            <rFont val="Tahoma"/>
            <family val="2"/>
          </rPr>
          <t xml:space="preserve">FLAME </t>
        </r>
        <r>
          <rPr>
            <sz val="8"/>
            <rFont val="Tahoma"/>
            <family val="0"/>
          </rPr>
          <t>&lt; 500°C
The calculation is carried out in 15 min cycle in the main data sheet</t>
        </r>
      </text>
    </comment>
    <comment ref="AI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ex-ante value
constant</t>
        </r>
      </text>
    </comment>
    <comment ref="AJ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ex-ante value
constant</t>
        </r>
      </text>
    </comment>
    <comment ref="AO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ex-ante value
constant</t>
        </r>
      </text>
    </comment>
    <comment ref="AT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ex-ante value
constant</t>
        </r>
      </text>
    </comment>
    <comment ref="BA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ex-ante value 
constant
IPCC 2006</t>
        </r>
      </text>
    </comment>
    <comment ref="BB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ex-ante value 
constant
manufacturer date
boiler pass</t>
        </r>
      </text>
    </comment>
    <comment ref="AU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ex-ante value
constant</t>
        </r>
      </text>
    </comment>
    <comment ref="X6" authorId="0">
      <text>
        <r>
          <rPr>
            <b/>
            <sz val="10"/>
            <rFont val="Tahoma"/>
            <family val="0"/>
          </rPr>
          <t>Adam Hadulla:</t>
        </r>
        <r>
          <rPr>
            <sz val="10"/>
            <rFont val="Tahoma"/>
            <family val="0"/>
          </rPr>
          <t xml:space="preserve">
Formula modified, uncombusted methane from flaring 
= MM</t>
        </r>
        <r>
          <rPr>
            <sz val="7"/>
            <rFont val="Tahoma"/>
            <family val="2"/>
          </rPr>
          <t>FL</t>
        </r>
        <r>
          <rPr>
            <sz val="10"/>
            <rFont val="Tahoma"/>
            <family val="0"/>
          </rPr>
          <t>-MD</t>
        </r>
        <r>
          <rPr>
            <sz val="7"/>
            <rFont val="Tahoma"/>
            <family val="2"/>
          </rPr>
          <t>FL</t>
        </r>
      </text>
    </comment>
    <comment ref="AX6" authorId="1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The heat has not been measured but calculated using the utilised methane amount, the heating value of methane 9.965 kWh/m³ and the boiler efficiency</t>
        </r>
      </text>
    </comment>
    <comment ref="AY6" authorId="1">
      <text>
        <r>
          <rPr>
            <b/>
            <sz val="8"/>
            <rFont val="Tahoma"/>
            <family val="0"/>
          </rPr>
          <t xml:space="preserve">Adam Hadulla:
</t>
        </r>
        <r>
          <rPr>
            <sz val="8"/>
            <rFont val="Tahoma"/>
            <family val="2"/>
          </rPr>
          <t>The heat has not been measured but calculated using the utilised methane amount, the heating value of methane 9.965 kWh/m³ and the boiler efficiency</t>
        </r>
      </text>
    </comment>
    <comment ref="Y6" authorId="1">
      <text>
        <r>
          <rPr>
            <b/>
            <sz val="8"/>
            <rFont val="Tahoma"/>
            <family val="0"/>
          </rPr>
          <t>A-TEC:</t>
        </r>
        <r>
          <rPr>
            <sz val="8"/>
            <rFont val="Tahoma"/>
            <family val="0"/>
          </rPr>
          <t xml:space="preserve">
The own consumption of the cogeneration unit is zero!
This is because the power meter is measuring the net amount of the power fed-in
Therefore CONS</t>
        </r>
        <r>
          <rPr>
            <sz val="5"/>
            <rFont val="Tahoma"/>
            <family val="2"/>
          </rPr>
          <t>ELEC</t>
        </r>
        <r>
          <rPr>
            <sz val="8"/>
            <rFont val="Tahoma"/>
            <family val="0"/>
          </rPr>
          <t xml:space="preserve"> is already subtracted from the power amount produced.</t>
        </r>
      </text>
    </comment>
    <comment ref="O19" authorId="1">
      <text>
        <r>
          <rPr>
            <b/>
            <sz val="8"/>
            <rFont val="Tahoma"/>
            <family val="0"/>
          </rPr>
          <t>A-TEC:</t>
        </r>
        <r>
          <rPr>
            <sz val="8"/>
            <rFont val="Tahoma"/>
            <family val="0"/>
          </rPr>
          <t xml:space="preserve">
uncertainty for disc 1</t>
        </r>
      </text>
    </comment>
    <comment ref="O30" authorId="1">
      <text>
        <r>
          <rPr>
            <b/>
            <sz val="8"/>
            <rFont val="Tahoma"/>
            <family val="0"/>
          </rPr>
          <t>A-TEC:</t>
        </r>
        <r>
          <rPr>
            <sz val="8"/>
            <rFont val="Tahoma"/>
            <family val="0"/>
          </rPr>
          <t xml:space="preserve">
uncertainty for disc 2</t>
        </r>
      </text>
    </comment>
    <comment ref="O29" authorId="1">
      <text>
        <r>
          <rPr>
            <b/>
            <sz val="8"/>
            <rFont val="Tahoma"/>
            <family val="0"/>
          </rPr>
          <t>A-TEC:</t>
        </r>
        <r>
          <rPr>
            <sz val="8"/>
            <rFont val="Tahoma"/>
            <family val="0"/>
          </rPr>
          <t xml:space="preserve">
uncertainty for disc 1 until 12/11/2009
uncertainty for disc 2 since 13/11/2009</t>
        </r>
      </text>
    </comment>
    <comment ref="P19" authorId="1">
      <text>
        <r>
          <rPr>
            <b/>
            <sz val="8"/>
            <rFont val="Tahoma"/>
            <family val="0"/>
          </rPr>
          <t>A-TEC:</t>
        </r>
        <r>
          <rPr>
            <sz val="8"/>
            <rFont val="Tahoma"/>
            <family val="0"/>
          </rPr>
          <t xml:space="preserve">
uncertainty for disc 1</t>
        </r>
      </text>
    </comment>
    <comment ref="P29" authorId="1">
      <text>
        <r>
          <rPr>
            <b/>
            <sz val="8"/>
            <rFont val="Tahoma"/>
            <family val="0"/>
          </rPr>
          <t>A-TEC:</t>
        </r>
        <r>
          <rPr>
            <sz val="8"/>
            <rFont val="Tahoma"/>
            <family val="0"/>
          </rPr>
          <t xml:space="preserve">
uncertainty for disc 1 until 12/11/2009
uncertainty for disc 2 since 13/11/2009</t>
        </r>
      </text>
    </comment>
    <comment ref="P30" authorId="1">
      <text>
        <r>
          <rPr>
            <b/>
            <sz val="8"/>
            <rFont val="Tahoma"/>
            <family val="0"/>
          </rPr>
          <t>A-TEC:</t>
        </r>
        <r>
          <rPr>
            <sz val="8"/>
            <rFont val="Tahoma"/>
            <family val="0"/>
          </rPr>
          <t xml:space="preserve">
uncertainty for disc 2</t>
        </r>
      </text>
    </comment>
    <comment ref="O17" authorId="1">
      <text>
        <r>
          <rPr>
            <b/>
            <sz val="8"/>
            <rFont val="Tahoma"/>
            <family val="0"/>
          </rPr>
          <t>A-TEC:</t>
        </r>
        <r>
          <rPr>
            <sz val="8"/>
            <rFont val="Tahoma"/>
            <family val="0"/>
          </rPr>
          <t xml:space="preserve">
uncertainty for disc 1</t>
        </r>
      </text>
    </comment>
  </commentList>
</comments>
</file>

<file path=xl/sharedStrings.xml><?xml version="1.0" encoding="utf-8"?>
<sst xmlns="http://schemas.openxmlformats.org/spreadsheetml/2006/main" count="201" uniqueCount="138">
  <si>
    <t>Date</t>
  </si>
  <si>
    <t>%</t>
  </si>
  <si>
    <t>m³</t>
  </si>
  <si>
    <t>P2</t>
  </si>
  <si>
    <t>P3</t>
  </si>
  <si>
    <t>P4</t>
  </si>
  <si>
    <t>P5</t>
  </si>
  <si>
    <t>P8</t>
  </si>
  <si>
    <t>P17</t>
  </si>
  <si>
    <t>P18</t>
  </si>
  <si>
    <t>P19</t>
  </si>
  <si>
    <t>P23</t>
  </si>
  <si>
    <t>P24</t>
  </si>
  <si>
    <t>P25</t>
  </si>
  <si>
    <t>P26</t>
  </si>
  <si>
    <t>P27</t>
  </si>
  <si>
    <t>r</t>
  </si>
  <si>
    <t>P28</t>
  </si>
  <si>
    <t>B1</t>
  </si>
  <si>
    <t>B3</t>
  </si>
  <si>
    <t>B4</t>
  </si>
  <si>
    <t>B14</t>
  </si>
  <si>
    <t>B18</t>
  </si>
  <si>
    <t>B19</t>
  </si>
  <si>
    <t>B46</t>
  </si>
  <si>
    <t>B47</t>
  </si>
  <si>
    <t>B49</t>
  </si>
  <si>
    <t>B55</t>
  </si>
  <si>
    <t>B57</t>
  </si>
  <si>
    <t>Global warming potential of methane</t>
  </si>
  <si>
    <t>Carbon emission factor for combusted methane</t>
  </si>
  <si>
    <t>Electricity generation by project</t>
  </si>
  <si>
    <t>Heat generation by project</t>
  </si>
  <si>
    <t>CO2 emission factor of the grid</t>
  </si>
  <si>
    <t>CO2 emission factor of fuel used for captive power or heat</t>
  </si>
  <si>
    <t>P1</t>
  </si>
  <si>
    <t>P11</t>
  </si>
  <si>
    <t>P12</t>
  </si>
  <si>
    <t>P13</t>
  </si>
  <si>
    <t>P14</t>
  </si>
  <si>
    <t>P15</t>
  </si>
  <si>
    <t>P16</t>
  </si>
  <si>
    <t>Project emissions from energy use to capture and use methane</t>
  </si>
  <si>
    <t>Project emissions from methane destroyed</t>
  </si>
  <si>
    <t>Project emissions from uncombusted methane</t>
  </si>
  <si>
    <t>Additional electricity consumption by project</t>
  </si>
  <si>
    <t>Methane destroyed by flare</t>
  </si>
  <si>
    <t>Methane sent to flare</t>
  </si>
  <si>
    <t>Flare/combustion efficiency, determined by the operation hours and the methane content in the exhaust gas</t>
  </si>
  <si>
    <t>Methane destroyed by power generation</t>
  </si>
  <si>
    <t>Methane sent to power plant</t>
  </si>
  <si>
    <t>Efficiency of methane destruction / oxidation in power plant</t>
  </si>
  <si>
    <t>Methane destroyed by heat generation</t>
  </si>
  <si>
    <t>Efficiency of methane destruction / oxidation in heat plant</t>
  </si>
  <si>
    <t>Carbon emission factor for combusted non methane hydrocarbons (various)</t>
  </si>
  <si>
    <t>Concentration of methane in extracted gas</t>
  </si>
  <si>
    <t>Relative proportion of NMHC compared to methane</t>
  </si>
  <si>
    <t>NMHC concentration in coal mine gas</t>
  </si>
  <si>
    <r>
      <t>PE</t>
    </r>
    <r>
      <rPr>
        <b/>
        <vertAlign val="subscript"/>
        <sz val="11"/>
        <color indexed="8"/>
        <rFont val="Times New Roman"/>
        <family val="1"/>
      </rPr>
      <t>y</t>
    </r>
  </si>
  <si>
    <r>
      <t>PE</t>
    </r>
    <r>
      <rPr>
        <b/>
        <vertAlign val="subscript"/>
        <sz val="11"/>
        <rFont val="Times New Roman"/>
        <family val="1"/>
      </rPr>
      <t>ME</t>
    </r>
  </si>
  <si>
    <r>
      <t>PE</t>
    </r>
    <r>
      <rPr>
        <b/>
        <vertAlign val="subscript"/>
        <sz val="11"/>
        <rFont val="Times New Roman"/>
        <family val="1"/>
      </rPr>
      <t>MD</t>
    </r>
  </si>
  <si>
    <r>
      <t>PE</t>
    </r>
    <r>
      <rPr>
        <b/>
        <vertAlign val="subscript"/>
        <sz val="11"/>
        <rFont val="Times New Roman"/>
        <family val="1"/>
      </rPr>
      <t>UM</t>
    </r>
  </si>
  <si>
    <r>
      <t>CONS</t>
    </r>
    <r>
      <rPr>
        <b/>
        <vertAlign val="subscript"/>
        <sz val="11"/>
        <rFont val="Times New Roman"/>
        <family val="1"/>
      </rPr>
      <t>ELEC,PJ</t>
    </r>
  </si>
  <si>
    <r>
      <t>CEF</t>
    </r>
    <r>
      <rPr>
        <b/>
        <vertAlign val="subscript"/>
        <sz val="11"/>
        <color indexed="8"/>
        <rFont val="Times New Roman"/>
        <family val="1"/>
      </rPr>
      <t>E</t>
    </r>
    <r>
      <rPr>
        <b/>
        <vertAlign val="subscript"/>
        <sz val="11"/>
        <rFont val="Times New Roman"/>
        <family val="1"/>
      </rPr>
      <t>LEC,PJ</t>
    </r>
  </si>
  <si>
    <r>
      <t>MD</t>
    </r>
    <r>
      <rPr>
        <b/>
        <vertAlign val="subscript"/>
        <sz val="11"/>
        <rFont val="Times New Roman"/>
        <family val="1"/>
      </rPr>
      <t>FL</t>
    </r>
  </si>
  <si>
    <r>
      <t>MM</t>
    </r>
    <r>
      <rPr>
        <b/>
        <vertAlign val="subscript"/>
        <sz val="11"/>
        <rFont val="Times New Roman"/>
        <family val="1"/>
      </rPr>
      <t>FL</t>
    </r>
  </si>
  <si>
    <r>
      <t>Eff</t>
    </r>
    <r>
      <rPr>
        <b/>
        <vertAlign val="subscript"/>
        <sz val="11"/>
        <rFont val="Times New Roman"/>
        <family val="1"/>
      </rPr>
      <t>FL</t>
    </r>
  </si>
  <si>
    <r>
      <t>MD</t>
    </r>
    <r>
      <rPr>
        <b/>
        <vertAlign val="subscript"/>
        <sz val="11"/>
        <rFont val="Times New Roman"/>
        <family val="1"/>
      </rPr>
      <t>ELEC</t>
    </r>
  </si>
  <si>
    <r>
      <t>MM</t>
    </r>
    <r>
      <rPr>
        <b/>
        <vertAlign val="subscript"/>
        <sz val="11"/>
        <rFont val="Times New Roman"/>
        <family val="1"/>
      </rPr>
      <t>ELEC</t>
    </r>
  </si>
  <si>
    <r>
      <t>Eff</t>
    </r>
    <r>
      <rPr>
        <b/>
        <vertAlign val="subscript"/>
        <sz val="11"/>
        <rFont val="Times New Roman"/>
        <family val="1"/>
      </rPr>
      <t>ELEC</t>
    </r>
  </si>
  <si>
    <r>
      <t>MD</t>
    </r>
    <r>
      <rPr>
        <b/>
        <vertAlign val="subscript"/>
        <sz val="11"/>
        <rFont val="Times New Roman"/>
        <family val="1"/>
      </rPr>
      <t>HEAT</t>
    </r>
  </si>
  <si>
    <r>
      <t>MM</t>
    </r>
    <r>
      <rPr>
        <b/>
        <vertAlign val="subscript"/>
        <sz val="11"/>
        <rFont val="Times New Roman"/>
        <family val="1"/>
      </rPr>
      <t>HEAT</t>
    </r>
  </si>
  <si>
    <r>
      <t>Eff</t>
    </r>
    <r>
      <rPr>
        <b/>
        <vertAlign val="subscript"/>
        <sz val="11"/>
        <rFont val="Times New Roman"/>
        <family val="1"/>
      </rPr>
      <t>HEAT</t>
    </r>
  </si>
  <si>
    <r>
      <t>CEF</t>
    </r>
    <r>
      <rPr>
        <b/>
        <vertAlign val="subscript"/>
        <sz val="11"/>
        <rFont val="Times New Roman"/>
        <family val="1"/>
      </rPr>
      <t>CH4</t>
    </r>
  </si>
  <si>
    <r>
      <t>CEF</t>
    </r>
    <r>
      <rPr>
        <b/>
        <vertAlign val="subscript"/>
        <sz val="11"/>
        <rFont val="Times New Roman"/>
        <family val="1"/>
      </rPr>
      <t>NMHC</t>
    </r>
  </si>
  <si>
    <r>
      <t>PC</t>
    </r>
    <r>
      <rPr>
        <b/>
        <vertAlign val="subscript"/>
        <sz val="10"/>
        <rFont val="Times New Roman"/>
        <family val="1"/>
      </rPr>
      <t>CH4</t>
    </r>
  </si>
  <si>
    <r>
      <t>PC</t>
    </r>
    <r>
      <rPr>
        <b/>
        <vertAlign val="subscript"/>
        <sz val="10"/>
        <rFont val="Times New Roman"/>
        <family val="1"/>
      </rPr>
      <t>NMHC</t>
    </r>
  </si>
  <si>
    <r>
      <t>GWP</t>
    </r>
    <r>
      <rPr>
        <b/>
        <vertAlign val="subscript"/>
        <sz val="11"/>
        <rFont val="Times New Roman"/>
        <family val="1"/>
      </rPr>
      <t>CH4</t>
    </r>
  </si>
  <si>
    <r>
      <t>BE</t>
    </r>
    <r>
      <rPr>
        <b/>
        <vertAlign val="subscript"/>
        <sz val="11"/>
        <color indexed="8"/>
        <rFont val="Times New Roman"/>
        <family val="1"/>
      </rPr>
      <t>y</t>
    </r>
  </si>
  <si>
    <r>
      <t>BE</t>
    </r>
    <r>
      <rPr>
        <b/>
        <vertAlign val="subscript"/>
        <sz val="11"/>
        <rFont val="Times New Roman"/>
        <family val="1"/>
      </rPr>
      <t>MR,y</t>
    </r>
  </si>
  <si>
    <r>
      <t>BE</t>
    </r>
    <r>
      <rPr>
        <b/>
        <vertAlign val="subscript"/>
        <sz val="11"/>
        <rFont val="Times New Roman"/>
        <family val="1"/>
      </rPr>
      <t>Use,y</t>
    </r>
  </si>
  <si>
    <r>
      <t>CMM</t>
    </r>
    <r>
      <rPr>
        <b/>
        <vertAlign val="subscript"/>
        <sz val="11"/>
        <color indexed="8"/>
        <rFont val="Times New Roman"/>
        <family val="1"/>
      </rPr>
      <t>PJ,y</t>
    </r>
  </si>
  <si>
    <r>
      <t>GEN</t>
    </r>
    <r>
      <rPr>
        <b/>
        <vertAlign val="subscript"/>
        <sz val="11"/>
        <rFont val="Times New Roman"/>
        <family val="1"/>
      </rPr>
      <t>y</t>
    </r>
  </si>
  <si>
    <r>
      <t>HEAT</t>
    </r>
    <r>
      <rPr>
        <b/>
        <vertAlign val="subscript"/>
        <sz val="11"/>
        <rFont val="Times New Roman"/>
        <family val="1"/>
      </rPr>
      <t>y</t>
    </r>
  </si>
  <si>
    <r>
      <t>EF</t>
    </r>
    <r>
      <rPr>
        <b/>
        <vertAlign val="subscript"/>
        <sz val="11"/>
        <rFont val="Times New Roman"/>
        <family val="1"/>
      </rPr>
      <t>elec</t>
    </r>
  </si>
  <si>
    <r>
      <t>EF</t>
    </r>
    <r>
      <rPr>
        <b/>
        <vertAlign val="subscript"/>
        <sz val="11"/>
        <rFont val="Times New Roman"/>
        <family val="1"/>
      </rPr>
      <t>CO2,Coal</t>
    </r>
  </si>
  <si>
    <r>
      <t>Carbon emission factor of CONS</t>
    </r>
    <r>
      <rPr>
        <b/>
        <sz val="8"/>
        <rFont val="Arial"/>
        <family val="2"/>
      </rPr>
      <t>ELEC,PJ</t>
    </r>
  </si>
  <si>
    <t>t CO2eq</t>
  </si>
  <si>
    <t>MWh</t>
  </si>
  <si>
    <t>t CH4</t>
  </si>
  <si>
    <t>-</t>
  </si>
  <si>
    <t>t CO2 / MWh</t>
  </si>
  <si>
    <t>t CO2eq / 
t CH4</t>
  </si>
  <si>
    <t>t CO2eq / 
t NMHC</t>
  </si>
  <si>
    <t>t</t>
  </si>
  <si>
    <t>tCO2/MWh</t>
  </si>
  <si>
    <t>Total MP</t>
  </si>
  <si>
    <t>ER</t>
  </si>
  <si>
    <t>Emission reductions</t>
  </si>
  <si>
    <t>total methane amount</t>
  </si>
  <si>
    <r>
      <t>Eff</t>
    </r>
    <r>
      <rPr>
        <b/>
        <vertAlign val="subscript"/>
        <sz val="11"/>
        <color indexed="8"/>
        <rFont val="Times New Roman"/>
        <family val="1"/>
      </rPr>
      <t>hea</t>
    </r>
    <r>
      <rPr>
        <b/>
        <vertAlign val="subscript"/>
        <sz val="10"/>
        <rFont val="Times New Roman"/>
        <family val="1"/>
      </rPr>
      <t>t,VAH</t>
    </r>
  </si>
  <si>
    <r>
      <t>Eff</t>
    </r>
    <r>
      <rPr>
        <b/>
        <vertAlign val="subscript"/>
        <sz val="11"/>
        <color indexed="8"/>
        <rFont val="Times New Roman"/>
        <family val="1"/>
      </rPr>
      <t>hea</t>
    </r>
    <r>
      <rPr>
        <b/>
        <vertAlign val="subscript"/>
        <sz val="10"/>
        <rFont val="Times New Roman"/>
        <family val="1"/>
      </rPr>
      <t>t,coal</t>
    </r>
  </si>
  <si>
    <t>Energy efficiency of VAH</t>
  </si>
  <si>
    <t>Total 2008</t>
  </si>
  <si>
    <t>Total 2009</t>
  </si>
  <si>
    <t>Total 2010</t>
  </si>
  <si>
    <t>Total for monitoring period 2008-01-01 to 2010-03-31</t>
  </si>
  <si>
    <t>n.a.</t>
  </si>
  <si>
    <t>methane sent to cogene-ration unit</t>
  </si>
  <si>
    <t>Methane sent to heat generation</t>
  </si>
  <si>
    <t>Heat generation by VAH</t>
  </si>
  <si>
    <t>methane amount sent to VAH</t>
  </si>
  <si>
    <t>Uncertainties</t>
  </si>
  <si>
    <t>Monitoring Method</t>
  </si>
  <si>
    <t>Period</t>
  </si>
  <si>
    <t xml:space="preserve">Flare 1 </t>
  </si>
  <si>
    <t>Flare 1a</t>
  </si>
  <si>
    <t>CHP 1</t>
  </si>
  <si>
    <t>Uncertainty</t>
  </si>
  <si>
    <t>uncertainty weighted values</t>
  </si>
  <si>
    <t>Power production</t>
  </si>
  <si>
    <t>measured values</t>
  </si>
  <si>
    <t>total methane amount utilised</t>
  </si>
  <si>
    <t>Emission Reductions -  from 2008-07-07 to 2010-03-31</t>
  </si>
  <si>
    <t>methane amount sent to boilers</t>
  </si>
  <si>
    <t>Heat generation by boilers</t>
  </si>
  <si>
    <t>Energy efficiency of boilers</t>
  </si>
  <si>
    <t>Electricity generation</t>
  </si>
  <si>
    <t>Project emissions</t>
  </si>
  <si>
    <t>Baseline emissions</t>
  </si>
  <si>
    <t>Baseline emissions from release of methane into the atmosphere that is avoided by the project activity</t>
  </si>
  <si>
    <t>Baseline emissions from the production of power, heat or supply to gas grid replaced by the project activity</t>
  </si>
  <si>
    <t>CMM captured in the project activity</t>
  </si>
  <si>
    <t>since 11/11/2009</t>
  </si>
  <si>
    <t>&lt; 1%</t>
  </si>
  <si>
    <t>since 20/12/2008</t>
  </si>
  <si>
    <t>since 01/01/2009</t>
  </si>
  <si>
    <t>The diaphragm for CMM flow measurement in flare 1 has been changed at 11/11/2009, a slightly higher uncertainty results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</si>
</sst>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-yyyy"/>
    <numFmt numFmtId="183" formatCode="[$-809]dd\ mmmm\ yyyy"/>
    <numFmt numFmtId="184" formatCode="d\.m\.yy\ h:mm;@"/>
    <numFmt numFmtId="185" formatCode="0.00000"/>
    <numFmt numFmtId="186" formatCode="0.0000"/>
    <numFmt numFmtId="187" formatCode="0.000"/>
    <numFmt numFmtId="188" formatCode="0.0"/>
    <numFmt numFmtId="189" formatCode="d/m/yy\ h:mm;@"/>
    <numFmt numFmtId="190" formatCode="yyyy\-mm\-dd;@"/>
    <numFmt numFmtId="191" formatCode="0.0%"/>
    <numFmt numFmtId="192" formatCode="0.000%"/>
    <numFmt numFmtId="193" formatCode="0.0000000"/>
    <numFmt numFmtId="194" formatCode="0.000000"/>
    <numFmt numFmtId="195" formatCode="mmmm\-yy"/>
    <numFmt numFmtId="196" formatCode="mmmm\-yyyy"/>
    <numFmt numFmtId="197" formatCode="#,##0.0"/>
    <numFmt numFmtId="198" formatCode="mmm\ yyyy"/>
    <numFmt numFmtId="199" formatCode="[$-407]dddd\,\ d\.\ mmmm\ yyyy"/>
    <numFmt numFmtId="200" formatCode="[$-407]mmm/\ yy;@"/>
  </numFmts>
  <fonts count="1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vertAlign val="subscript"/>
      <sz val="11"/>
      <name val="Times New Roman"/>
      <family val="1"/>
    </font>
    <font>
      <b/>
      <vertAlign val="subscript"/>
      <sz val="10"/>
      <name val="Times New Roman"/>
      <family val="1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sz val="7"/>
      <name val="Tahoma"/>
      <family val="2"/>
    </font>
    <font>
      <sz val="10"/>
      <color indexed="8"/>
      <name val="Arial"/>
      <family val="0"/>
    </font>
    <font>
      <b/>
      <i/>
      <sz val="10"/>
      <name val="Arial"/>
      <family val="2"/>
    </font>
    <font>
      <sz val="5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9" fontId="0" fillId="0" borderId="0" xfId="19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91" fontId="0" fillId="0" borderId="0" xfId="0" applyNumberFormat="1" applyFill="1" applyAlignment="1">
      <alignment/>
    </xf>
    <xf numFmtId="0" fontId="0" fillId="0" borderId="0" xfId="0" applyFill="1" applyAlignment="1" quotePrefix="1">
      <alignment horizontal="center"/>
    </xf>
    <xf numFmtId="191" fontId="0" fillId="0" borderId="0" xfId="0" applyNumberFormat="1" applyFill="1" applyAlignment="1" quotePrefix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0" fillId="0" borderId="2" xfId="0" applyFill="1" applyBorder="1" applyAlignment="1">
      <alignment/>
    </xf>
    <xf numFmtId="0" fontId="0" fillId="0" borderId="2" xfId="0" applyFill="1" applyBorder="1" applyAlignment="1" quotePrefix="1">
      <alignment horizontal="center"/>
    </xf>
    <xf numFmtId="191" fontId="0" fillId="0" borderId="2" xfId="0" applyNumberFormat="1" applyFill="1" applyBorder="1" applyAlignment="1" quotePrefix="1">
      <alignment horizontal="center"/>
    </xf>
    <xf numFmtId="191" fontId="0" fillId="0" borderId="2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9" fontId="0" fillId="0" borderId="2" xfId="19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90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190" fontId="2" fillId="2" borderId="6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97" fontId="2" fillId="2" borderId="2" xfId="0" applyNumberFormat="1" applyFont="1" applyFill="1" applyBorder="1" applyAlignment="1">
      <alignment/>
    </xf>
    <xf numFmtId="9" fontId="2" fillId="2" borderId="2" xfId="19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 horizontal="right"/>
    </xf>
    <xf numFmtId="3" fontId="0" fillId="0" borderId="0" xfId="0" applyNumberFormat="1" applyFill="1" applyAlignment="1">
      <alignment/>
    </xf>
    <xf numFmtId="1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190" fontId="2" fillId="0" borderId="7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97" fontId="2" fillId="0" borderId="3" xfId="0" applyNumberFormat="1" applyFont="1" applyBorder="1" applyAlignment="1">
      <alignment/>
    </xf>
    <xf numFmtId="0" fontId="0" fillId="0" borderId="3" xfId="0" applyFill="1" applyBorder="1" applyAlignment="1" quotePrefix="1">
      <alignment horizontal="center"/>
    </xf>
    <xf numFmtId="191" fontId="0" fillId="0" borderId="3" xfId="0" applyNumberFormat="1" applyFill="1" applyBorder="1" applyAlignment="1" quotePrefix="1">
      <alignment horizontal="center"/>
    </xf>
    <xf numFmtId="191" fontId="0" fillId="0" borderId="3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9" fontId="2" fillId="0" borderId="3" xfId="19" applyFont="1" applyBorder="1" applyAlignment="1">
      <alignment/>
    </xf>
    <xf numFmtId="3" fontId="0" fillId="0" borderId="3" xfId="0" applyNumberFormat="1" applyBorder="1" applyAlignment="1">
      <alignment/>
    </xf>
    <xf numFmtId="200" fontId="0" fillId="0" borderId="0" xfId="0" applyNumberFormat="1" applyAlignment="1">
      <alignment/>
    </xf>
    <xf numFmtId="3" fontId="0" fillId="3" borderId="0" xfId="0" applyNumberFormat="1" applyFill="1" applyAlignment="1">
      <alignment/>
    </xf>
    <xf numFmtId="3" fontId="0" fillId="3" borderId="0" xfId="0" applyNumberFormat="1" applyFill="1" applyBorder="1" applyAlignment="1">
      <alignment/>
    </xf>
    <xf numFmtId="3" fontId="0" fillId="3" borderId="2" xfId="0" applyNumberFormat="1" applyFill="1" applyBorder="1" applyAlignment="1" quotePrefix="1">
      <alignment/>
    </xf>
    <xf numFmtId="197" fontId="0" fillId="0" borderId="0" xfId="0" applyNumberFormat="1" applyAlignment="1">
      <alignment/>
    </xf>
    <xf numFmtId="197" fontId="3" fillId="0" borderId="0" xfId="0" applyNumberFormat="1" applyFont="1" applyBorder="1" applyAlignment="1">
      <alignment/>
    </xf>
    <xf numFmtId="197" fontId="3" fillId="0" borderId="1" xfId="0" applyNumberFormat="1" applyFont="1" applyBorder="1" applyAlignment="1">
      <alignment vertical="top" wrapText="1"/>
    </xf>
    <xf numFmtId="197" fontId="3" fillId="0" borderId="1" xfId="0" applyNumberFormat="1" applyFont="1" applyBorder="1" applyAlignment="1">
      <alignment/>
    </xf>
    <xf numFmtId="197" fontId="2" fillId="0" borderId="0" xfId="0" applyNumberFormat="1" applyFont="1" applyAlignment="1">
      <alignment wrapText="1"/>
    </xf>
    <xf numFmtId="197" fontId="2" fillId="0" borderId="2" xfId="0" applyNumberFormat="1" applyFont="1" applyBorder="1" applyAlignment="1">
      <alignment horizontal="right" wrapText="1"/>
    </xf>
    <xf numFmtId="188" fontId="0" fillId="0" borderId="0" xfId="0" applyNumberFormat="1" applyFill="1" applyAlignment="1" quotePrefix="1">
      <alignment horizontal="center"/>
    </xf>
    <xf numFmtId="187" fontId="0" fillId="0" borderId="0" xfId="0" applyNumberFormat="1" applyFill="1" applyAlignment="1" quotePrefix="1">
      <alignment horizontal="center"/>
    </xf>
    <xf numFmtId="0" fontId="2" fillId="2" borderId="2" xfId="0" applyFont="1" applyFill="1" applyBorder="1" applyAlignment="1">
      <alignment horizontal="center"/>
    </xf>
    <xf numFmtId="187" fontId="0" fillId="0" borderId="2" xfId="0" applyNumberFormat="1" applyFill="1" applyBorder="1" applyAlignment="1" quotePrefix="1">
      <alignment horizontal="center"/>
    </xf>
    <xf numFmtId="187" fontId="0" fillId="0" borderId="3" xfId="0" applyNumberFormat="1" applyFill="1" applyBorder="1" applyAlignment="1" quotePrefix="1">
      <alignment horizontal="center"/>
    </xf>
    <xf numFmtId="197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9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2" fillId="0" borderId="0" xfId="0" applyFont="1" applyFill="1" applyAlignment="1">
      <alignment horizontal="left" wrapText="1"/>
    </xf>
    <xf numFmtId="1" fontId="0" fillId="0" borderId="0" xfId="0" applyNumberForma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87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/>
    </xf>
    <xf numFmtId="10" fontId="0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wrapText="1"/>
    </xf>
    <xf numFmtId="0" fontId="2" fillId="3" borderId="2" xfId="0" applyFont="1" applyFill="1" applyBorder="1" applyAlignment="1">
      <alignment horizontal="right"/>
    </xf>
    <xf numFmtId="0" fontId="0" fillId="4" borderId="1" xfId="0" applyFill="1" applyBorder="1" applyAlignment="1">
      <alignment/>
    </xf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>
      <alignment wrapText="1"/>
    </xf>
    <xf numFmtId="0" fontId="2" fillId="4" borderId="2" xfId="0" applyFont="1" applyFill="1" applyBorder="1" applyAlignment="1">
      <alignment horizontal="right"/>
    </xf>
    <xf numFmtId="3" fontId="0" fillId="4" borderId="0" xfId="0" applyNumberFormat="1" applyFill="1" applyBorder="1" applyAlignment="1">
      <alignment/>
    </xf>
    <xf numFmtId="3" fontId="0" fillId="4" borderId="0" xfId="0" applyNumberFormat="1" applyFill="1" applyAlignment="1">
      <alignment/>
    </xf>
    <xf numFmtId="10" fontId="16" fillId="0" borderId="0" xfId="19" applyNumberFormat="1" applyFont="1" applyFill="1" applyAlignment="1">
      <alignment/>
    </xf>
    <xf numFmtId="197" fontId="3" fillId="3" borderId="1" xfId="0" applyNumberFormat="1" applyFont="1" applyFill="1" applyBorder="1" applyAlignment="1">
      <alignment/>
    </xf>
    <xf numFmtId="197" fontId="3" fillId="3" borderId="1" xfId="0" applyNumberFormat="1" applyFont="1" applyFill="1" applyBorder="1" applyAlignment="1">
      <alignment vertical="top" wrapText="1"/>
    </xf>
    <xf numFmtId="197" fontId="2" fillId="3" borderId="0" xfId="0" applyNumberFormat="1" applyFont="1" applyFill="1" applyAlignment="1">
      <alignment wrapText="1"/>
    </xf>
    <xf numFmtId="197" fontId="2" fillId="3" borderId="2" xfId="0" applyNumberFormat="1" applyFont="1" applyFill="1" applyBorder="1" applyAlignment="1">
      <alignment horizontal="right" wrapText="1"/>
    </xf>
    <xf numFmtId="197" fontId="3" fillId="4" borderId="1" xfId="0" applyNumberFormat="1" applyFont="1" applyFill="1" applyBorder="1" applyAlignment="1">
      <alignment/>
    </xf>
    <xf numFmtId="197" fontId="3" fillId="4" borderId="1" xfId="0" applyNumberFormat="1" applyFont="1" applyFill="1" applyBorder="1" applyAlignment="1">
      <alignment vertical="top" wrapText="1"/>
    </xf>
    <xf numFmtId="197" fontId="2" fillId="4" borderId="0" xfId="0" applyNumberFormat="1" applyFont="1" applyFill="1" applyAlignment="1">
      <alignment wrapText="1"/>
    </xf>
    <xf numFmtId="197" fontId="2" fillId="4" borderId="2" xfId="0" applyNumberFormat="1" applyFont="1" applyFill="1" applyBorder="1" applyAlignment="1">
      <alignment horizontal="right" wrapText="1"/>
    </xf>
    <xf numFmtId="3" fontId="0" fillId="3" borderId="2" xfId="0" applyNumberFormat="1" applyFill="1" applyBorder="1" applyAlignment="1">
      <alignment/>
    </xf>
    <xf numFmtId="0" fontId="2" fillId="4" borderId="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0" fontId="17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9" fontId="0" fillId="0" borderId="0" xfId="19" applyFill="1" applyAlignment="1">
      <alignment/>
    </xf>
    <xf numFmtId="191" fontId="0" fillId="0" borderId="0" xfId="19" applyNumberFormat="1" applyFill="1" applyAlignment="1">
      <alignment/>
    </xf>
    <xf numFmtId="9" fontId="0" fillId="0" borderId="0" xfId="19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2"/>
  <sheetViews>
    <sheetView tabSelected="1" zoomScale="75" zoomScaleNormal="75" workbookViewId="0" topLeftCell="AI1">
      <selection activeCell="T18" sqref="T18"/>
    </sheetView>
  </sheetViews>
  <sheetFormatPr defaultColWidth="11.421875" defaultRowHeight="12.75"/>
  <cols>
    <col min="1" max="1" width="21.8515625" style="5" customWidth="1"/>
    <col min="2" max="4" width="10.7109375" style="0" customWidth="1"/>
    <col min="5" max="5" width="10.57421875" style="0" bestFit="1" customWidth="1"/>
    <col min="6" max="6" width="10.140625" style="0" customWidth="1"/>
    <col min="7" max="7" width="10.8515625" style="62" bestFit="1" customWidth="1"/>
    <col min="8" max="8" width="10.8515625" style="62" customWidth="1"/>
    <col min="9" max="9" width="12.7109375" style="62" bestFit="1" customWidth="1"/>
    <col min="10" max="11" width="10.421875" style="0" customWidth="1"/>
    <col min="12" max="12" width="10.28125" style="4" customWidth="1"/>
    <col min="13" max="13" width="9.7109375" style="0" bestFit="1" customWidth="1"/>
    <col min="14" max="14" width="10.140625" style="0" customWidth="1"/>
    <col min="15" max="15" width="10.7109375" style="0" customWidth="1"/>
    <col min="16" max="16" width="10.140625" style="0" customWidth="1"/>
    <col min="17" max="17" width="10.8515625" style="62" bestFit="1" customWidth="1"/>
    <col min="18" max="18" width="9.7109375" style="62" bestFit="1" customWidth="1"/>
    <col min="19" max="19" width="10.421875" style="62" customWidth="1"/>
    <col min="20" max="20" width="12.00390625" style="4" bestFit="1" customWidth="1"/>
    <col min="21" max="21" width="10.421875" style="0" bestFit="1" customWidth="1"/>
    <col min="23" max="23" width="11.28125" style="0" customWidth="1"/>
    <col min="24" max="24" width="13.28125" style="0" customWidth="1"/>
    <col min="25" max="25" width="13.00390625" style="0" bestFit="1" customWidth="1"/>
    <col min="26" max="26" width="13.421875" style="0" customWidth="1"/>
    <col min="27" max="27" width="12.7109375" style="0" customWidth="1"/>
    <col min="28" max="28" width="12.8515625" style="0" customWidth="1"/>
    <col min="29" max="29" width="14.7109375" style="62" customWidth="1"/>
    <col min="30" max="30" width="10.8515625" style="62" bestFit="1" customWidth="1"/>
    <col min="31" max="31" width="16.8515625" style="0" customWidth="1"/>
    <col min="37" max="37" width="15.28125" style="0" bestFit="1" customWidth="1"/>
    <col min="38" max="38" width="13.8515625" style="0" bestFit="1" customWidth="1"/>
    <col min="39" max="40" width="14.140625" style="0" customWidth="1"/>
    <col min="41" max="41" width="10.28125" style="0" customWidth="1"/>
    <col min="43" max="44" width="15.57421875" style="0" bestFit="1" customWidth="1"/>
    <col min="45" max="45" width="15.8515625" style="0" customWidth="1"/>
    <col min="46" max="46" width="16.421875" style="0" customWidth="1"/>
    <col min="47" max="47" width="13.00390625" style="0" customWidth="1"/>
  </cols>
  <sheetData>
    <row r="1" spans="1:20" ht="18">
      <c r="A1" s="1" t="s">
        <v>123</v>
      </c>
      <c r="L1"/>
      <c r="T1"/>
    </row>
    <row r="2" spans="1:57" ht="18">
      <c r="A2" s="1"/>
      <c r="G2" s="63"/>
      <c r="H2" s="63"/>
      <c r="I2" s="73"/>
      <c r="J2" s="9"/>
      <c r="K2" s="9"/>
      <c r="L2"/>
      <c r="Q2" s="63"/>
      <c r="R2" s="73"/>
      <c r="S2" s="73"/>
      <c r="U2" s="9" t="s">
        <v>35</v>
      </c>
      <c r="V2" s="9" t="s">
        <v>3</v>
      </c>
      <c r="W2" s="9" t="s">
        <v>4</v>
      </c>
      <c r="X2" s="9" t="s">
        <v>5</v>
      </c>
      <c r="Y2" s="9" t="s">
        <v>6</v>
      </c>
      <c r="Z2" s="9" t="s">
        <v>7</v>
      </c>
      <c r="AA2" s="73" t="s">
        <v>36</v>
      </c>
      <c r="AB2" s="63" t="s">
        <v>37</v>
      </c>
      <c r="AC2" s="74" t="s">
        <v>38</v>
      </c>
      <c r="AD2" s="10" t="s">
        <v>39</v>
      </c>
      <c r="AE2" s="74" t="s">
        <v>40</v>
      </c>
      <c r="AF2" s="74" t="s">
        <v>41</v>
      </c>
      <c r="AG2" s="9" t="s">
        <v>8</v>
      </c>
      <c r="AH2" s="9" t="s">
        <v>9</v>
      </c>
      <c r="AI2" s="9" t="s">
        <v>10</v>
      </c>
      <c r="AJ2" s="9" t="s">
        <v>11</v>
      </c>
      <c r="AK2" s="9" t="s">
        <v>12</v>
      </c>
      <c r="AL2" s="9" t="s">
        <v>13</v>
      </c>
      <c r="AM2" s="9" t="s">
        <v>14</v>
      </c>
      <c r="AN2" s="9" t="s">
        <v>15</v>
      </c>
      <c r="AO2" s="9" t="s">
        <v>17</v>
      </c>
      <c r="AP2" s="9" t="s">
        <v>18</v>
      </c>
      <c r="AQ2" s="9" t="s">
        <v>19</v>
      </c>
      <c r="AR2" s="9" t="s">
        <v>20</v>
      </c>
      <c r="AS2" s="9" t="s">
        <v>21</v>
      </c>
      <c r="AT2" s="9" t="s">
        <v>22</v>
      </c>
      <c r="AU2" s="9" t="s">
        <v>23</v>
      </c>
      <c r="AV2" s="9" t="s">
        <v>24</v>
      </c>
      <c r="AW2" s="9" t="s">
        <v>25</v>
      </c>
      <c r="AX2" s="9"/>
      <c r="AY2" s="9"/>
      <c r="AZ2" s="9" t="s">
        <v>26</v>
      </c>
      <c r="BA2" s="9" t="s">
        <v>27</v>
      </c>
      <c r="BB2" s="9" t="s">
        <v>28</v>
      </c>
      <c r="BE2" s="9"/>
    </row>
    <row r="3" spans="1:55" ht="16.5">
      <c r="A3" s="3"/>
      <c r="B3" s="92"/>
      <c r="C3" s="92"/>
      <c r="D3" s="114" t="s">
        <v>121</v>
      </c>
      <c r="E3" s="103"/>
      <c r="F3" s="104"/>
      <c r="G3" s="115"/>
      <c r="H3" s="116"/>
      <c r="I3" s="116"/>
      <c r="J3" s="3"/>
      <c r="K3" s="3"/>
      <c r="L3" s="96"/>
      <c r="M3" s="96"/>
      <c r="N3" s="96" t="s">
        <v>119</v>
      </c>
      <c r="O3" s="107"/>
      <c r="P3" s="108"/>
      <c r="Q3" s="108"/>
      <c r="R3" s="3"/>
      <c r="S3" s="3"/>
      <c r="T3" s="20" t="s">
        <v>97</v>
      </c>
      <c r="U3" s="20" t="s">
        <v>58</v>
      </c>
      <c r="V3" s="20" t="s">
        <v>59</v>
      </c>
      <c r="W3" s="20" t="s">
        <v>60</v>
      </c>
      <c r="X3" s="20" t="s">
        <v>61</v>
      </c>
      <c r="Y3" s="20" t="s">
        <v>62</v>
      </c>
      <c r="Z3" s="20" t="s">
        <v>63</v>
      </c>
      <c r="AA3" s="64" t="s">
        <v>64</v>
      </c>
      <c r="AB3" s="65" t="s">
        <v>65</v>
      </c>
      <c r="AC3" s="21" t="s">
        <v>66</v>
      </c>
      <c r="AD3" s="20" t="s">
        <v>67</v>
      </c>
      <c r="AE3" s="21" t="s">
        <v>68</v>
      </c>
      <c r="AF3" s="21" t="s">
        <v>69</v>
      </c>
      <c r="AG3" s="20" t="s">
        <v>70</v>
      </c>
      <c r="AH3" s="20" t="s">
        <v>71</v>
      </c>
      <c r="AI3" s="20" t="s">
        <v>72</v>
      </c>
      <c r="AJ3" s="20" t="s">
        <v>73</v>
      </c>
      <c r="AK3" s="20" t="s">
        <v>74</v>
      </c>
      <c r="AL3" s="20" t="s">
        <v>75</v>
      </c>
      <c r="AM3" s="20" t="s">
        <v>76</v>
      </c>
      <c r="AN3" s="20" t="s">
        <v>16</v>
      </c>
      <c r="AO3" s="20" t="s">
        <v>77</v>
      </c>
      <c r="AP3" s="20" t="s">
        <v>78</v>
      </c>
      <c r="AQ3" s="20" t="s">
        <v>79</v>
      </c>
      <c r="AR3" s="20" t="s">
        <v>80</v>
      </c>
      <c r="AS3" s="20" t="s">
        <v>81</v>
      </c>
      <c r="AT3" s="20" t="s">
        <v>77</v>
      </c>
      <c r="AU3" s="20" t="s">
        <v>73</v>
      </c>
      <c r="AV3" s="20" t="s">
        <v>82</v>
      </c>
      <c r="AW3" s="20" t="s">
        <v>83</v>
      </c>
      <c r="AX3" s="20"/>
      <c r="AY3" s="20"/>
      <c r="AZ3" s="20" t="s">
        <v>84</v>
      </c>
      <c r="BA3" s="20" t="s">
        <v>85</v>
      </c>
      <c r="BB3" s="20" t="s">
        <v>101</v>
      </c>
      <c r="BC3" s="20" t="s">
        <v>100</v>
      </c>
    </row>
    <row r="4" spans="1:55" ht="140.25">
      <c r="A4" s="2" t="s">
        <v>0</v>
      </c>
      <c r="B4" s="93" t="s">
        <v>124</v>
      </c>
      <c r="C4" s="93" t="s">
        <v>111</v>
      </c>
      <c r="D4" s="94" t="s">
        <v>108</v>
      </c>
      <c r="E4" s="105" t="s">
        <v>47</v>
      </c>
      <c r="F4" s="105" t="s">
        <v>46</v>
      </c>
      <c r="G4" s="94" t="s">
        <v>127</v>
      </c>
      <c r="H4" s="118" t="s">
        <v>108</v>
      </c>
      <c r="I4" s="117" t="s">
        <v>47</v>
      </c>
      <c r="J4" s="13" t="s">
        <v>122</v>
      </c>
      <c r="K4" s="77"/>
      <c r="L4" s="97" t="s">
        <v>124</v>
      </c>
      <c r="M4" s="97" t="s">
        <v>111</v>
      </c>
      <c r="N4" s="98" t="s">
        <v>108</v>
      </c>
      <c r="O4" s="109" t="s">
        <v>47</v>
      </c>
      <c r="P4" s="109" t="s">
        <v>46</v>
      </c>
      <c r="Q4" s="98" t="s">
        <v>127</v>
      </c>
      <c r="R4" s="13" t="s">
        <v>122</v>
      </c>
      <c r="S4" s="77" t="s">
        <v>99</v>
      </c>
      <c r="T4" s="11" t="s">
        <v>98</v>
      </c>
      <c r="U4" s="11" t="s">
        <v>128</v>
      </c>
      <c r="V4" s="11" t="s">
        <v>42</v>
      </c>
      <c r="W4" s="11" t="s">
        <v>43</v>
      </c>
      <c r="X4" s="11" t="s">
        <v>44</v>
      </c>
      <c r="Y4" s="11" t="s">
        <v>45</v>
      </c>
      <c r="Z4" s="11" t="s">
        <v>86</v>
      </c>
      <c r="AA4" s="66" t="s">
        <v>46</v>
      </c>
      <c r="AB4" s="66" t="s">
        <v>47</v>
      </c>
      <c r="AC4" s="11" t="s">
        <v>48</v>
      </c>
      <c r="AD4" s="11" t="s">
        <v>49</v>
      </c>
      <c r="AE4" s="11" t="s">
        <v>50</v>
      </c>
      <c r="AF4" s="11" t="s">
        <v>51</v>
      </c>
      <c r="AG4" s="11" t="s">
        <v>52</v>
      </c>
      <c r="AH4" s="11" t="s">
        <v>109</v>
      </c>
      <c r="AI4" s="11" t="s">
        <v>53</v>
      </c>
      <c r="AJ4" s="11" t="s">
        <v>30</v>
      </c>
      <c r="AK4" s="11" t="s">
        <v>54</v>
      </c>
      <c r="AL4" s="11" t="s">
        <v>55</v>
      </c>
      <c r="AM4" s="11" t="s">
        <v>57</v>
      </c>
      <c r="AN4" s="11" t="s">
        <v>56</v>
      </c>
      <c r="AO4" s="11" t="s">
        <v>29</v>
      </c>
      <c r="AP4" s="11" t="s">
        <v>129</v>
      </c>
      <c r="AQ4" s="11" t="s">
        <v>130</v>
      </c>
      <c r="AR4" s="11" t="s">
        <v>131</v>
      </c>
      <c r="AS4" s="11" t="s">
        <v>132</v>
      </c>
      <c r="AT4" s="11" t="s">
        <v>29</v>
      </c>
      <c r="AU4" s="11" t="s">
        <v>30</v>
      </c>
      <c r="AV4" s="11" t="s">
        <v>31</v>
      </c>
      <c r="AW4" s="11" t="s">
        <v>32</v>
      </c>
      <c r="AX4" s="11" t="s">
        <v>125</v>
      </c>
      <c r="AY4" s="11" t="s">
        <v>110</v>
      </c>
      <c r="AZ4" s="11" t="s">
        <v>33</v>
      </c>
      <c r="BA4" s="11" t="s">
        <v>34</v>
      </c>
      <c r="BB4" s="11" t="s">
        <v>126</v>
      </c>
      <c r="BC4" s="11" t="s">
        <v>102</v>
      </c>
    </row>
    <row r="5" spans="1:55" s="6" customFormat="1" ht="39" thickBot="1">
      <c r="A5" s="31"/>
      <c r="B5" s="95" t="s">
        <v>2</v>
      </c>
      <c r="C5" s="95" t="s">
        <v>2</v>
      </c>
      <c r="D5" s="106" t="s">
        <v>89</v>
      </c>
      <c r="E5" s="106" t="s">
        <v>89</v>
      </c>
      <c r="F5" s="106" t="s">
        <v>89</v>
      </c>
      <c r="G5" s="113" t="s">
        <v>88</v>
      </c>
      <c r="H5" s="32" t="s">
        <v>2</v>
      </c>
      <c r="I5" s="32" t="s">
        <v>2</v>
      </c>
      <c r="J5" s="32" t="s">
        <v>2</v>
      </c>
      <c r="K5" s="32" t="s">
        <v>94</v>
      </c>
      <c r="L5" s="99" t="s">
        <v>2</v>
      </c>
      <c r="M5" s="99" t="s">
        <v>2</v>
      </c>
      <c r="N5" s="110" t="s">
        <v>89</v>
      </c>
      <c r="O5" s="110" t="s">
        <v>89</v>
      </c>
      <c r="P5" s="110" t="s">
        <v>89</v>
      </c>
      <c r="Q5" s="112" t="s">
        <v>88</v>
      </c>
      <c r="R5" s="32" t="s">
        <v>2</v>
      </c>
      <c r="S5" s="32" t="s">
        <v>94</v>
      </c>
      <c r="T5" s="12" t="s">
        <v>87</v>
      </c>
      <c r="U5" s="12" t="s">
        <v>87</v>
      </c>
      <c r="V5" s="12" t="s">
        <v>87</v>
      </c>
      <c r="W5" s="12" t="s">
        <v>87</v>
      </c>
      <c r="X5" s="12" t="s">
        <v>87</v>
      </c>
      <c r="Y5" s="12" t="s">
        <v>88</v>
      </c>
      <c r="Z5" s="12" t="s">
        <v>87</v>
      </c>
      <c r="AA5" s="67" t="s">
        <v>89</v>
      </c>
      <c r="AB5" s="67" t="s">
        <v>89</v>
      </c>
      <c r="AC5" s="12" t="s">
        <v>1</v>
      </c>
      <c r="AD5" s="12" t="s">
        <v>89</v>
      </c>
      <c r="AE5" s="12" t="s">
        <v>89</v>
      </c>
      <c r="AF5" s="12" t="s">
        <v>1</v>
      </c>
      <c r="AG5" s="12" t="s">
        <v>89</v>
      </c>
      <c r="AH5" s="12" t="s">
        <v>89</v>
      </c>
      <c r="AI5" s="12" t="s">
        <v>1</v>
      </c>
      <c r="AJ5" s="12" t="s">
        <v>92</v>
      </c>
      <c r="AK5" s="12" t="s">
        <v>93</v>
      </c>
      <c r="AL5" s="12" t="s">
        <v>1</v>
      </c>
      <c r="AM5" s="12" t="s">
        <v>1</v>
      </c>
      <c r="AN5" s="12" t="s">
        <v>90</v>
      </c>
      <c r="AO5" s="12" t="s">
        <v>92</v>
      </c>
      <c r="AP5" s="12" t="s">
        <v>87</v>
      </c>
      <c r="AQ5" s="12" t="s">
        <v>87</v>
      </c>
      <c r="AR5" s="12" t="s">
        <v>87</v>
      </c>
      <c r="AS5" s="12" t="s">
        <v>89</v>
      </c>
      <c r="AT5" s="12" t="s">
        <v>92</v>
      </c>
      <c r="AU5" s="12" t="s">
        <v>92</v>
      </c>
      <c r="AV5" s="12" t="s">
        <v>88</v>
      </c>
      <c r="AW5" s="12" t="s">
        <v>88</v>
      </c>
      <c r="AX5" s="12" t="s">
        <v>88</v>
      </c>
      <c r="AY5" s="12" t="s">
        <v>88</v>
      </c>
      <c r="AZ5" s="12" t="s">
        <v>91</v>
      </c>
      <c r="BA5" s="12" t="s">
        <v>95</v>
      </c>
      <c r="BB5" s="12" t="s">
        <v>1</v>
      </c>
      <c r="BC5" s="45" t="s">
        <v>1</v>
      </c>
    </row>
    <row r="6" spans="1:55" ht="12.75">
      <c r="A6" s="58">
        <v>39448</v>
      </c>
      <c r="B6" s="59"/>
      <c r="C6" s="60"/>
      <c r="D6" s="60"/>
      <c r="E6" s="59"/>
      <c r="F6" s="59"/>
      <c r="G6" s="59"/>
      <c r="H6" s="46"/>
      <c r="I6" s="46"/>
      <c r="J6" s="4"/>
      <c r="K6" s="78"/>
      <c r="L6" s="100"/>
      <c r="M6" s="100"/>
      <c r="N6" s="100"/>
      <c r="O6" s="101"/>
      <c r="P6" s="101"/>
      <c r="Q6" s="101"/>
      <c r="R6" s="4"/>
      <c r="S6" s="78"/>
      <c r="U6" s="39"/>
      <c r="V6" s="8"/>
      <c r="W6" s="4"/>
      <c r="X6" s="4"/>
      <c r="Y6" s="78"/>
      <c r="Z6" s="18"/>
      <c r="AA6" s="46"/>
      <c r="AB6" s="46"/>
      <c r="AC6" s="75" t="s">
        <v>107</v>
      </c>
      <c r="AD6" s="76"/>
      <c r="AE6" s="76"/>
      <c r="AF6" s="19">
        <v>0.995</v>
      </c>
      <c r="AG6" s="7"/>
      <c r="AH6" s="7"/>
      <c r="AI6" s="17">
        <v>0.995</v>
      </c>
      <c r="AJ6" s="16">
        <v>2.75</v>
      </c>
      <c r="AK6" t="s">
        <v>107</v>
      </c>
      <c r="AM6" s="121" t="s">
        <v>134</v>
      </c>
      <c r="AN6" t="s">
        <v>107</v>
      </c>
      <c r="AO6" s="16">
        <v>21</v>
      </c>
      <c r="AP6" s="4"/>
      <c r="AQ6" s="4"/>
      <c r="AR6" s="4"/>
      <c r="AS6" s="4"/>
      <c r="AT6" s="4">
        <v>21</v>
      </c>
      <c r="AU6" s="80">
        <v>2.75</v>
      </c>
      <c r="AV6" s="4"/>
      <c r="AW6" s="46"/>
      <c r="AX6" s="46"/>
      <c r="AY6" s="46"/>
      <c r="BA6">
        <v>0.3406</v>
      </c>
      <c r="BB6">
        <v>0.906</v>
      </c>
      <c r="BC6">
        <v>0.985</v>
      </c>
    </row>
    <row r="7" spans="1:51" ht="12.75">
      <c r="A7" s="58">
        <v>39479</v>
      </c>
      <c r="B7" s="59"/>
      <c r="C7" s="60"/>
      <c r="D7" s="60"/>
      <c r="E7" s="59"/>
      <c r="F7" s="59"/>
      <c r="G7" s="59"/>
      <c r="H7" s="46"/>
      <c r="I7" s="46"/>
      <c r="J7" s="4"/>
      <c r="K7" s="78"/>
      <c r="L7" s="100"/>
      <c r="M7" s="100"/>
      <c r="N7" s="100"/>
      <c r="O7" s="101"/>
      <c r="P7" s="101"/>
      <c r="Q7" s="101"/>
      <c r="R7" s="4"/>
      <c r="S7" s="78"/>
      <c r="U7" s="39"/>
      <c r="V7" s="8"/>
      <c r="W7" s="4"/>
      <c r="X7" s="4"/>
      <c r="Y7" s="78"/>
      <c r="Z7" s="18"/>
      <c r="AA7" s="46"/>
      <c r="AB7" s="46"/>
      <c r="AC7" s="19"/>
      <c r="AD7" s="76"/>
      <c r="AE7" s="76"/>
      <c r="AF7" s="19"/>
      <c r="AG7" s="7"/>
      <c r="AH7" s="7"/>
      <c r="AI7" s="17"/>
      <c r="AJ7" s="16"/>
      <c r="AL7" s="14"/>
      <c r="AM7" s="15"/>
      <c r="AO7" s="16"/>
      <c r="AP7" s="4"/>
      <c r="AQ7" s="4"/>
      <c r="AR7" s="4"/>
      <c r="AS7" s="4"/>
      <c r="AT7" s="4"/>
      <c r="AU7" s="4"/>
      <c r="AV7" s="4"/>
      <c r="AW7" s="46"/>
      <c r="AX7" s="46"/>
      <c r="AY7" s="46"/>
    </row>
    <row r="8" spans="1:51" ht="12.75">
      <c r="A8" s="58">
        <v>39508</v>
      </c>
      <c r="B8" s="59"/>
      <c r="C8" s="60"/>
      <c r="D8" s="60"/>
      <c r="E8" s="59"/>
      <c r="F8" s="59"/>
      <c r="G8" s="59"/>
      <c r="H8" s="46"/>
      <c r="I8" s="46"/>
      <c r="J8" s="4"/>
      <c r="K8" s="78"/>
      <c r="L8" s="100"/>
      <c r="M8" s="100"/>
      <c r="N8" s="100"/>
      <c r="O8" s="101"/>
      <c r="P8" s="101"/>
      <c r="Q8" s="101"/>
      <c r="R8" s="4"/>
      <c r="S8" s="78"/>
      <c r="U8" s="39"/>
      <c r="V8" s="8"/>
      <c r="W8" s="4"/>
      <c r="X8" s="4"/>
      <c r="Y8" s="78"/>
      <c r="Z8" s="18"/>
      <c r="AA8" s="46"/>
      <c r="AB8" s="46"/>
      <c r="AC8" s="19"/>
      <c r="AD8" s="76"/>
      <c r="AE8" s="76"/>
      <c r="AF8" s="19"/>
      <c r="AG8" s="7"/>
      <c r="AH8" s="7"/>
      <c r="AI8" s="17"/>
      <c r="AJ8" s="16"/>
      <c r="AL8" s="14"/>
      <c r="AM8" s="15"/>
      <c r="AO8" s="16"/>
      <c r="AP8" s="4"/>
      <c r="AQ8" s="4"/>
      <c r="AR8" s="4"/>
      <c r="AS8" s="4"/>
      <c r="AT8" s="4"/>
      <c r="AU8" s="4"/>
      <c r="AV8" s="4"/>
      <c r="AW8" s="46"/>
      <c r="AX8" s="46"/>
      <c r="AY8" s="46"/>
    </row>
    <row r="9" spans="1:51" ht="12.75">
      <c r="A9" s="58">
        <v>39539</v>
      </c>
      <c r="B9" s="59"/>
      <c r="C9" s="60"/>
      <c r="D9" s="60"/>
      <c r="E9" s="59"/>
      <c r="F9" s="59"/>
      <c r="G9" s="59"/>
      <c r="H9" s="46"/>
      <c r="I9" s="46"/>
      <c r="J9" s="4"/>
      <c r="K9" s="78"/>
      <c r="L9" s="100"/>
      <c r="M9" s="100"/>
      <c r="N9" s="100"/>
      <c r="O9" s="101"/>
      <c r="P9" s="101"/>
      <c r="Q9" s="101"/>
      <c r="R9" s="4"/>
      <c r="S9" s="78"/>
      <c r="U9" s="39"/>
      <c r="V9" s="8"/>
      <c r="W9" s="4"/>
      <c r="X9" s="4"/>
      <c r="Y9" s="78"/>
      <c r="Z9" s="18"/>
      <c r="AA9" s="46"/>
      <c r="AB9" s="46"/>
      <c r="AC9" s="19"/>
      <c r="AD9" s="76"/>
      <c r="AE9" s="76"/>
      <c r="AF9" s="19"/>
      <c r="AG9" s="7"/>
      <c r="AH9" s="7"/>
      <c r="AI9" s="17"/>
      <c r="AJ9" s="16"/>
      <c r="AL9" s="14"/>
      <c r="AM9" s="15"/>
      <c r="AO9" s="16"/>
      <c r="AP9" s="4"/>
      <c r="AQ9" s="4"/>
      <c r="AR9" s="4"/>
      <c r="AS9" s="4"/>
      <c r="AT9" s="4"/>
      <c r="AU9" s="4"/>
      <c r="AV9" s="4"/>
      <c r="AW9" s="46"/>
      <c r="AX9" s="46"/>
      <c r="AY9" s="46"/>
    </row>
    <row r="10" spans="1:51" ht="12.75">
      <c r="A10" s="58">
        <v>39569</v>
      </c>
      <c r="B10" s="59"/>
      <c r="C10" s="60"/>
      <c r="D10" s="60"/>
      <c r="E10" s="59"/>
      <c r="F10" s="59"/>
      <c r="G10" s="59"/>
      <c r="H10" s="46"/>
      <c r="I10" s="46"/>
      <c r="J10" s="4"/>
      <c r="K10" s="78"/>
      <c r="L10" s="100"/>
      <c r="M10" s="100"/>
      <c r="N10" s="100"/>
      <c r="O10" s="101"/>
      <c r="P10" s="101"/>
      <c r="Q10" s="101"/>
      <c r="R10" s="4"/>
      <c r="S10" s="78"/>
      <c r="U10" s="39"/>
      <c r="V10" s="8"/>
      <c r="W10" s="4"/>
      <c r="X10" s="4"/>
      <c r="Y10" s="78"/>
      <c r="Z10" s="18"/>
      <c r="AA10" s="46"/>
      <c r="AB10" s="46"/>
      <c r="AC10" s="19"/>
      <c r="AD10" s="76"/>
      <c r="AE10" s="76"/>
      <c r="AF10" s="19"/>
      <c r="AG10" s="7"/>
      <c r="AH10" s="7"/>
      <c r="AI10" s="17"/>
      <c r="AJ10" s="16"/>
      <c r="AL10" s="14"/>
      <c r="AM10" s="15"/>
      <c r="AO10" s="16"/>
      <c r="AP10" s="4"/>
      <c r="AQ10" s="4"/>
      <c r="AR10" s="4"/>
      <c r="AS10" s="4"/>
      <c r="AT10" s="4"/>
      <c r="AU10" s="4"/>
      <c r="AV10" s="4"/>
      <c r="AW10" s="46"/>
      <c r="AX10" s="46"/>
      <c r="AY10" s="46"/>
    </row>
    <row r="11" spans="1:51" ht="12.75">
      <c r="A11" s="58">
        <v>39600</v>
      </c>
      <c r="B11" s="59"/>
      <c r="C11" s="60"/>
      <c r="D11" s="60"/>
      <c r="E11" s="59"/>
      <c r="F11" s="59"/>
      <c r="G11" s="59"/>
      <c r="H11" s="46"/>
      <c r="I11" s="46"/>
      <c r="J11" s="4"/>
      <c r="K11" s="78"/>
      <c r="L11" s="100"/>
      <c r="M11" s="100"/>
      <c r="N11" s="100"/>
      <c r="O11" s="101"/>
      <c r="P11" s="101"/>
      <c r="Q11" s="101"/>
      <c r="R11" s="4"/>
      <c r="S11" s="78"/>
      <c r="U11" s="39"/>
      <c r="V11" s="8"/>
      <c r="W11" s="4"/>
      <c r="X11" s="4"/>
      <c r="Y11" s="78"/>
      <c r="Z11" s="18"/>
      <c r="AA11" s="46"/>
      <c r="AB11" s="46"/>
      <c r="AC11" s="19"/>
      <c r="AD11" s="76"/>
      <c r="AE11" s="76"/>
      <c r="AF11" s="19"/>
      <c r="AG11" s="7"/>
      <c r="AH11" s="7"/>
      <c r="AI11" s="17"/>
      <c r="AJ11" s="16"/>
      <c r="AL11" s="14"/>
      <c r="AM11" s="15"/>
      <c r="AO11" s="16"/>
      <c r="AP11" s="4"/>
      <c r="AQ11" s="4"/>
      <c r="AR11" s="4"/>
      <c r="AS11" s="4"/>
      <c r="AT11" s="4"/>
      <c r="AU11" s="4"/>
      <c r="AV11" s="4"/>
      <c r="AW11" s="46"/>
      <c r="AX11" s="46"/>
      <c r="AY11" s="46"/>
    </row>
    <row r="12" spans="1:52" ht="12.75">
      <c r="A12" s="58">
        <v>39630</v>
      </c>
      <c r="B12" s="59">
        <v>0</v>
      </c>
      <c r="C12" s="60">
        <v>0</v>
      </c>
      <c r="D12" s="60">
        <v>0</v>
      </c>
      <c r="E12" s="59">
        <v>0</v>
      </c>
      <c r="F12" s="59">
        <v>0</v>
      </c>
      <c r="G12" s="59">
        <v>0</v>
      </c>
      <c r="H12" s="46">
        <f>D12*1000/0.717</f>
        <v>0</v>
      </c>
      <c r="I12" s="46">
        <f>E12*1000/0.717</f>
        <v>0</v>
      </c>
      <c r="J12" s="4">
        <f>B12+C12+H12+I12</f>
        <v>0</v>
      </c>
      <c r="K12" s="78">
        <f aca="true" t="shared" si="0" ref="K12:K30">J12*0.717/1000</f>
        <v>0</v>
      </c>
      <c r="L12" s="100">
        <v>0</v>
      </c>
      <c r="M12" s="100">
        <v>0</v>
      </c>
      <c r="N12" s="100">
        <f>D12*(1-$D$48)</f>
        <v>0</v>
      </c>
      <c r="O12" s="101">
        <v>0</v>
      </c>
      <c r="P12" s="101">
        <v>0</v>
      </c>
      <c r="Q12" s="101">
        <v>0</v>
      </c>
      <c r="R12" s="4">
        <f>L12+M12+(N12+O12)*1000/0.717</f>
        <v>0</v>
      </c>
      <c r="S12" s="78">
        <f aca="true" t="shared" si="1" ref="S7:S30">R12*0.717/1000</f>
        <v>0</v>
      </c>
      <c r="T12" s="4">
        <f aca="true" t="shared" si="2" ref="T6:T17">AP12-U12</f>
        <v>0</v>
      </c>
      <c r="U12" s="39">
        <f aca="true" t="shared" si="3" ref="U8:U16">V12+W12+X12</f>
        <v>0</v>
      </c>
      <c r="V12" s="8">
        <f aca="true" t="shared" si="4" ref="V8:V16">Y12*Z12</f>
        <v>0</v>
      </c>
      <c r="W12" s="4">
        <f aca="true" t="shared" si="5" ref="W7:W17">(AA12+AD12+AG12)*(AJ$6+AK12*AN12)</f>
        <v>0</v>
      </c>
      <c r="X12" s="4">
        <f aca="true" t="shared" si="6" ref="X6:X17">AO$6*((AB12-AA12)+AE12*(1-AF$6)+AH12*(1-AI$6))</f>
        <v>0</v>
      </c>
      <c r="Y12" s="78">
        <v>0</v>
      </c>
      <c r="Z12" s="18">
        <v>0.695</v>
      </c>
      <c r="AA12" s="46">
        <f aca="true" t="shared" si="7" ref="AA7:AA16">P12</f>
        <v>0</v>
      </c>
      <c r="AB12" s="46">
        <f aca="true" t="shared" si="8" ref="AB7:AB17">O12</f>
        <v>0</v>
      </c>
      <c r="AC12" s="19"/>
      <c r="AD12" s="76">
        <f>AE12*AF$6</f>
        <v>0</v>
      </c>
      <c r="AE12" s="76">
        <f>N12</f>
        <v>0</v>
      </c>
      <c r="AF12" s="19"/>
      <c r="AG12" s="7">
        <f aca="true" t="shared" si="9" ref="AG6:AG17">AH12*AI$6</f>
        <v>0</v>
      </c>
      <c r="AH12" s="7">
        <f>(L12+M12)*0.717/1000</f>
        <v>0</v>
      </c>
      <c r="AI12" s="17"/>
      <c r="AJ12" s="16"/>
      <c r="AL12" s="14"/>
      <c r="AM12" s="15"/>
      <c r="AO12" s="16"/>
      <c r="AP12" s="4">
        <f aca="true" t="shared" si="10" ref="AP7:AP17">AQ12+AR12</f>
        <v>0</v>
      </c>
      <c r="AQ12" s="4">
        <f aca="true" t="shared" si="11" ref="AQ7:AQ17">AS12*AT$6</f>
        <v>0</v>
      </c>
      <c r="AR12" s="4">
        <f>AV12*AZ12+AW12*BA$6</f>
        <v>0</v>
      </c>
      <c r="AS12" s="4">
        <f aca="true" t="shared" si="12" ref="AS6:AS17">(AB12+AE12+AH12)</f>
        <v>0</v>
      </c>
      <c r="AT12" s="4"/>
      <c r="AU12" s="4"/>
      <c r="AV12" s="4">
        <f aca="true" t="shared" si="13" ref="AV7:AV17">Q12</f>
        <v>0</v>
      </c>
      <c r="AW12" s="46">
        <f>AX12+AY12</f>
        <v>0</v>
      </c>
      <c r="AX12" s="46">
        <v>0</v>
      </c>
      <c r="AY12" s="46">
        <v>0</v>
      </c>
      <c r="AZ12">
        <f aca="true" t="shared" si="14" ref="AZ7:AZ17">Z12</f>
        <v>0.695</v>
      </c>
    </row>
    <row r="13" spans="1:52" ht="12.75">
      <c r="A13" s="58">
        <v>39661</v>
      </c>
      <c r="B13" s="59">
        <v>0</v>
      </c>
      <c r="C13" s="60">
        <v>0</v>
      </c>
      <c r="D13" s="60">
        <v>0</v>
      </c>
      <c r="E13" s="59">
        <v>0</v>
      </c>
      <c r="F13" s="59">
        <v>0</v>
      </c>
      <c r="G13" s="59">
        <v>0</v>
      </c>
      <c r="H13" s="46">
        <f>D13*1000/0.717</f>
        <v>0</v>
      </c>
      <c r="I13" s="46">
        <f>E13*1000/0.717</f>
        <v>0</v>
      </c>
      <c r="J13" s="4">
        <f>B13+C13+H13+I13</f>
        <v>0</v>
      </c>
      <c r="K13" s="78">
        <f t="shared" si="0"/>
        <v>0</v>
      </c>
      <c r="L13" s="100">
        <v>0</v>
      </c>
      <c r="M13" s="100">
        <v>0</v>
      </c>
      <c r="N13" s="100">
        <f>D13*(1-$D$48)</f>
        <v>0</v>
      </c>
      <c r="O13" s="101">
        <v>0</v>
      </c>
      <c r="P13" s="101">
        <v>0</v>
      </c>
      <c r="Q13" s="101">
        <v>0</v>
      </c>
      <c r="R13" s="4">
        <f>L13+M13+(N13+O13)*1000/0.717</f>
        <v>0</v>
      </c>
      <c r="S13" s="78">
        <f t="shared" si="1"/>
        <v>0</v>
      </c>
      <c r="T13" s="4">
        <f t="shared" si="2"/>
        <v>0</v>
      </c>
      <c r="U13" s="39">
        <f t="shared" si="3"/>
        <v>0</v>
      </c>
      <c r="V13" s="8">
        <f t="shared" si="4"/>
        <v>0</v>
      </c>
      <c r="W13" s="4">
        <f t="shared" si="5"/>
        <v>0</v>
      </c>
      <c r="X13" s="4">
        <f t="shared" si="6"/>
        <v>0</v>
      </c>
      <c r="Y13" s="78">
        <v>0</v>
      </c>
      <c r="Z13" s="18">
        <v>0.695</v>
      </c>
      <c r="AA13" s="46">
        <f t="shared" si="7"/>
        <v>0</v>
      </c>
      <c r="AB13" s="46">
        <f t="shared" si="8"/>
        <v>0</v>
      </c>
      <c r="AC13" s="19"/>
      <c r="AD13" s="76">
        <f>AE13*AF$6</f>
        <v>0</v>
      </c>
      <c r="AE13" s="76">
        <f>N13</f>
        <v>0</v>
      </c>
      <c r="AF13" s="19"/>
      <c r="AG13" s="7">
        <f t="shared" si="9"/>
        <v>0</v>
      </c>
      <c r="AH13" s="7">
        <f>(L13+M13)*0.717/1000</f>
        <v>0</v>
      </c>
      <c r="AI13" s="17"/>
      <c r="AJ13" s="16"/>
      <c r="AL13" s="14"/>
      <c r="AM13" s="15"/>
      <c r="AO13" s="16"/>
      <c r="AP13" s="4">
        <f t="shared" si="10"/>
        <v>0</v>
      </c>
      <c r="AQ13" s="4">
        <f t="shared" si="11"/>
        <v>0</v>
      </c>
      <c r="AR13" s="4">
        <f>AV13*AZ13+AW13*BA$6</f>
        <v>0</v>
      </c>
      <c r="AS13" s="4">
        <f t="shared" si="12"/>
        <v>0</v>
      </c>
      <c r="AT13" s="4"/>
      <c r="AU13" s="4"/>
      <c r="AV13" s="4">
        <f t="shared" si="13"/>
        <v>0</v>
      </c>
      <c r="AW13" s="46">
        <f>AX13+AY13</f>
        <v>0</v>
      </c>
      <c r="AX13" s="46">
        <v>0</v>
      </c>
      <c r="AY13" s="46">
        <v>0</v>
      </c>
      <c r="AZ13">
        <f t="shared" si="14"/>
        <v>0.695</v>
      </c>
    </row>
    <row r="14" spans="1:52" ht="12.75">
      <c r="A14" s="58">
        <v>39692</v>
      </c>
      <c r="B14" s="59">
        <v>0</v>
      </c>
      <c r="C14" s="60">
        <v>0</v>
      </c>
      <c r="D14" s="60">
        <v>0</v>
      </c>
      <c r="E14" s="59">
        <v>0</v>
      </c>
      <c r="F14" s="59">
        <v>0</v>
      </c>
      <c r="G14" s="59">
        <v>0</v>
      </c>
      <c r="H14" s="46">
        <f>D14*1000/0.717</f>
        <v>0</v>
      </c>
      <c r="I14" s="46">
        <f>E14*1000/0.717</f>
        <v>0</v>
      </c>
      <c r="J14" s="4">
        <f>B14+C14+H14+I14</f>
        <v>0</v>
      </c>
      <c r="K14" s="78">
        <f t="shared" si="0"/>
        <v>0</v>
      </c>
      <c r="L14" s="100">
        <v>0</v>
      </c>
      <c r="M14" s="100">
        <v>0</v>
      </c>
      <c r="N14" s="100">
        <f>D14*(1-$D$48)</f>
        <v>0</v>
      </c>
      <c r="O14" s="101">
        <v>0</v>
      </c>
      <c r="P14" s="101">
        <v>0</v>
      </c>
      <c r="Q14" s="101">
        <v>0</v>
      </c>
      <c r="R14" s="4">
        <f>L14+M14+(N14+O14)*1000/0.717</f>
        <v>0</v>
      </c>
      <c r="S14" s="78">
        <f t="shared" si="1"/>
        <v>0</v>
      </c>
      <c r="T14" s="4">
        <f t="shared" si="2"/>
        <v>0</v>
      </c>
      <c r="U14" s="39">
        <f t="shared" si="3"/>
        <v>0</v>
      </c>
      <c r="V14" s="8">
        <f t="shared" si="4"/>
        <v>0</v>
      </c>
      <c r="W14" s="4">
        <f t="shared" si="5"/>
        <v>0</v>
      </c>
      <c r="X14" s="4">
        <f t="shared" si="6"/>
        <v>0</v>
      </c>
      <c r="Y14" s="78">
        <v>0</v>
      </c>
      <c r="Z14" s="18">
        <v>0.695</v>
      </c>
      <c r="AA14" s="46">
        <f t="shared" si="7"/>
        <v>0</v>
      </c>
      <c r="AB14" s="46">
        <f t="shared" si="8"/>
        <v>0</v>
      </c>
      <c r="AC14" s="19"/>
      <c r="AD14" s="76">
        <f>AE14*AF$6</f>
        <v>0</v>
      </c>
      <c r="AE14" s="76">
        <f>N14</f>
        <v>0</v>
      </c>
      <c r="AF14" s="19"/>
      <c r="AG14" s="7">
        <f t="shared" si="9"/>
        <v>0</v>
      </c>
      <c r="AH14" s="7">
        <f>(L14+M14)*0.717/1000</f>
        <v>0</v>
      </c>
      <c r="AI14" s="17"/>
      <c r="AJ14" s="16"/>
      <c r="AL14" s="14"/>
      <c r="AM14" s="15"/>
      <c r="AO14" s="16"/>
      <c r="AP14" s="4">
        <f t="shared" si="10"/>
        <v>0</v>
      </c>
      <c r="AQ14" s="4">
        <f t="shared" si="11"/>
        <v>0</v>
      </c>
      <c r="AR14" s="4">
        <f>AV14*AZ14+AW14*BA$6</f>
        <v>0</v>
      </c>
      <c r="AS14" s="4">
        <f t="shared" si="12"/>
        <v>0</v>
      </c>
      <c r="AT14" s="4"/>
      <c r="AU14" s="4"/>
      <c r="AV14" s="4">
        <f t="shared" si="13"/>
        <v>0</v>
      </c>
      <c r="AW14" s="46">
        <f>AX14+AY14</f>
        <v>0</v>
      </c>
      <c r="AX14" s="46">
        <v>0</v>
      </c>
      <c r="AY14" s="46">
        <v>0</v>
      </c>
      <c r="AZ14">
        <f t="shared" si="14"/>
        <v>0.695</v>
      </c>
    </row>
    <row r="15" spans="1:52" ht="12.75">
      <c r="A15" s="58">
        <v>39722</v>
      </c>
      <c r="B15" s="59">
        <v>0</v>
      </c>
      <c r="C15" s="60">
        <v>0</v>
      </c>
      <c r="D15" s="60">
        <v>0</v>
      </c>
      <c r="E15" s="59">
        <v>0</v>
      </c>
      <c r="F15" s="59">
        <v>0</v>
      </c>
      <c r="G15" s="59">
        <v>0</v>
      </c>
      <c r="H15" s="46">
        <f>D15*1000/0.717</f>
        <v>0</v>
      </c>
      <c r="I15" s="46">
        <f>E15*1000/0.717</f>
        <v>0</v>
      </c>
      <c r="J15" s="4">
        <f>B15+C15+H15+I15</f>
        <v>0</v>
      </c>
      <c r="K15" s="78">
        <f t="shared" si="0"/>
        <v>0</v>
      </c>
      <c r="L15" s="100">
        <v>0</v>
      </c>
      <c r="M15" s="100">
        <v>0</v>
      </c>
      <c r="N15" s="100">
        <f>D15*(1-$D$48)</f>
        <v>0</v>
      </c>
      <c r="O15" s="101">
        <v>0</v>
      </c>
      <c r="P15" s="101">
        <v>0</v>
      </c>
      <c r="Q15" s="101">
        <v>0</v>
      </c>
      <c r="R15" s="4">
        <f>L15+M15+(N15+O15)*1000/0.717</f>
        <v>0</v>
      </c>
      <c r="S15" s="78">
        <f t="shared" si="1"/>
        <v>0</v>
      </c>
      <c r="T15" s="4">
        <f t="shared" si="2"/>
        <v>0</v>
      </c>
      <c r="U15" s="39">
        <f t="shared" si="3"/>
        <v>0</v>
      </c>
      <c r="V15" s="8">
        <f t="shared" si="4"/>
        <v>0</v>
      </c>
      <c r="W15" s="4">
        <f t="shared" si="5"/>
        <v>0</v>
      </c>
      <c r="X15" s="4">
        <f t="shared" si="6"/>
        <v>0</v>
      </c>
      <c r="Y15" s="78">
        <v>0</v>
      </c>
      <c r="Z15" s="18">
        <v>0.695</v>
      </c>
      <c r="AA15" s="46">
        <f t="shared" si="7"/>
        <v>0</v>
      </c>
      <c r="AB15" s="46">
        <f t="shared" si="8"/>
        <v>0</v>
      </c>
      <c r="AC15" s="19"/>
      <c r="AD15" s="76">
        <f>AE15*AF$6</f>
        <v>0</v>
      </c>
      <c r="AE15" s="76">
        <f>N15</f>
        <v>0</v>
      </c>
      <c r="AF15" s="19"/>
      <c r="AG15" s="7">
        <f t="shared" si="9"/>
        <v>0</v>
      </c>
      <c r="AH15" s="7">
        <f>(L15+M15)*0.717/1000</f>
        <v>0</v>
      </c>
      <c r="AI15" s="17"/>
      <c r="AJ15" s="16"/>
      <c r="AL15" s="14"/>
      <c r="AM15" s="15"/>
      <c r="AO15" s="16"/>
      <c r="AP15" s="4">
        <f t="shared" si="10"/>
        <v>0</v>
      </c>
      <c r="AQ15" s="4">
        <f t="shared" si="11"/>
        <v>0</v>
      </c>
      <c r="AR15" s="4">
        <f>AV15*AZ15+AW15*BA$6</f>
        <v>0</v>
      </c>
      <c r="AS15" s="4">
        <f t="shared" si="12"/>
        <v>0</v>
      </c>
      <c r="AT15" s="4"/>
      <c r="AU15" s="4"/>
      <c r="AV15" s="4">
        <f t="shared" si="13"/>
        <v>0</v>
      </c>
      <c r="AW15" s="46">
        <f>AX15+AY15</f>
        <v>0</v>
      </c>
      <c r="AX15" s="46">
        <v>0</v>
      </c>
      <c r="AY15" s="46">
        <v>0</v>
      </c>
      <c r="AZ15">
        <f t="shared" si="14"/>
        <v>0.695</v>
      </c>
    </row>
    <row r="16" spans="1:52" ht="12.75">
      <c r="A16" s="58">
        <v>39753</v>
      </c>
      <c r="B16" s="59">
        <v>0</v>
      </c>
      <c r="C16" s="60">
        <v>0</v>
      </c>
      <c r="D16" s="60">
        <v>0</v>
      </c>
      <c r="E16" s="59">
        <v>0</v>
      </c>
      <c r="F16" s="59">
        <v>0</v>
      </c>
      <c r="G16" s="59">
        <v>0</v>
      </c>
      <c r="H16" s="46">
        <f>D16*1000/0.717</f>
        <v>0</v>
      </c>
      <c r="I16" s="46">
        <f>E16*1000/0.717</f>
        <v>0</v>
      </c>
      <c r="J16" s="4">
        <f>B16+C16+H16+I16</f>
        <v>0</v>
      </c>
      <c r="K16" s="78">
        <f t="shared" si="0"/>
        <v>0</v>
      </c>
      <c r="L16" s="100">
        <v>0</v>
      </c>
      <c r="M16" s="100">
        <v>0</v>
      </c>
      <c r="N16" s="100">
        <f>D16*(1-$D$48)</f>
        <v>0</v>
      </c>
      <c r="O16" s="101">
        <v>0</v>
      </c>
      <c r="P16" s="101">
        <v>0</v>
      </c>
      <c r="Q16" s="101">
        <v>0</v>
      </c>
      <c r="R16" s="4">
        <f>L16+M16+(N16+O16)*1000/0.717</f>
        <v>0</v>
      </c>
      <c r="S16" s="78">
        <f t="shared" si="1"/>
        <v>0</v>
      </c>
      <c r="T16" s="4">
        <f t="shared" si="2"/>
        <v>0</v>
      </c>
      <c r="U16" s="39">
        <f t="shared" si="3"/>
        <v>0</v>
      </c>
      <c r="V16" s="8">
        <f t="shared" si="4"/>
        <v>0</v>
      </c>
      <c r="W16" s="4">
        <f t="shared" si="5"/>
        <v>0</v>
      </c>
      <c r="X16" s="4">
        <f t="shared" si="6"/>
        <v>0</v>
      </c>
      <c r="Y16" s="78">
        <v>0</v>
      </c>
      <c r="Z16" s="18">
        <v>0.695</v>
      </c>
      <c r="AA16" s="46">
        <f t="shared" si="7"/>
        <v>0</v>
      </c>
      <c r="AB16" s="46">
        <f t="shared" si="8"/>
        <v>0</v>
      </c>
      <c r="AC16" s="19"/>
      <c r="AD16" s="76">
        <f>AE16*AF$6</f>
        <v>0</v>
      </c>
      <c r="AE16" s="76">
        <f>N16</f>
        <v>0</v>
      </c>
      <c r="AF16" s="19"/>
      <c r="AG16" s="7">
        <f t="shared" si="9"/>
        <v>0</v>
      </c>
      <c r="AH16" s="7">
        <f>(L16+M16)*0.717/1000</f>
        <v>0</v>
      </c>
      <c r="AI16" s="17"/>
      <c r="AJ16" s="16"/>
      <c r="AL16" s="14"/>
      <c r="AM16" s="15"/>
      <c r="AO16" s="16"/>
      <c r="AP16" s="4">
        <f t="shared" si="10"/>
        <v>0</v>
      </c>
      <c r="AQ16" s="4">
        <f t="shared" si="11"/>
        <v>0</v>
      </c>
      <c r="AR16" s="4">
        <f>AV16*AZ16+AW16*BA$6</f>
        <v>0</v>
      </c>
      <c r="AS16" s="4">
        <f t="shared" si="12"/>
        <v>0</v>
      </c>
      <c r="AT16" s="4"/>
      <c r="AU16" s="4"/>
      <c r="AV16" s="4">
        <f t="shared" si="13"/>
        <v>0</v>
      </c>
      <c r="AW16" s="46">
        <f>AX16+AY16</f>
        <v>0</v>
      </c>
      <c r="AX16" s="46">
        <v>0</v>
      </c>
      <c r="AY16" s="46">
        <v>0</v>
      </c>
      <c r="AZ16">
        <f t="shared" si="14"/>
        <v>0.695</v>
      </c>
    </row>
    <row r="17" spans="1:52" ht="13.5" thickBot="1">
      <c r="A17" s="58">
        <v>39783</v>
      </c>
      <c r="B17" s="59">
        <v>0</v>
      </c>
      <c r="C17" s="60">
        <v>0</v>
      </c>
      <c r="D17" s="60">
        <v>0</v>
      </c>
      <c r="E17" s="59">
        <v>92.43945880071271</v>
      </c>
      <c r="F17" s="59">
        <v>91.33431327896052</v>
      </c>
      <c r="G17" s="59">
        <v>0</v>
      </c>
      <c r="H17" s="46">
        <f>D17*1000/0.717</f>
        <v>0</v>
      </c>
      <c r="I17" s="46">
        <f>E17*1000/0.717</f>
        <v>128925.32608188664</v>
      </c>
      <c r="J17" s="4">
        <f>B17+C17+H17+I17</f>
        <v>128925.32608188664</v>
      </c>
      <c r="K17" s="78">
        <f t="shared" si="0"/>
        <v>92.43945880071271</v>
      </c>
      <c r="L17" s="100">
        <v>0</v>
      </c>
      <c r="M17" s="100">
        <v>0</v>
      </c>
      <c r="N17" s="100">
        <f>D17*(1-$D$48)</f>
        <v>0</v>
      </c>
      <c r="O17" s="101">
        <f>E17*(1-$D$46)</f>
        <v>90.8679880011006</v>
      </c>
      <c r="P17" s="101">
        <f>F17*(1-$D$46)</f>
        <v>89.78162995321819</v>
      </c>
      <c r="Q17" s="101">
        <v>0</v>
      </c>
      <c r="R17" s="4">
        <f>L17+M17+(N17+O17)*1000/0.717</f>
        <v>126733.59553849457</v>
      </c>
      <c r="S17" s="78">
        <f t="shared" si="1"/>
        <v>90.8679880011006</v>
      </c>
      <c r="T17" s="4">
        <f t="shared" si="2"/>
        <v>1638.5147466462317</v>
      </c>
      <c r="U17" s="39">
        <f aca="true" t="shared" si="15" ref="U17:U30">V17+W17+X17</f>
        <v>269.7130013768807</v>
      </c>
      <c r="V17" s="8">
        <f aca="true" t="shared" si="16" ref="V17:V30">Y17*Z17</f>
        <v>0</v>
      </c>
      <c r="W17" s="4">
        <f t="shared" si="5"/>
        <v>246.89948237135002</v>
      </c>
      <c r="X17" s="4">
        <f t="shared" si="6"/>
        <v>22.81351900553068</v>
      </c>
      <c r="Y17" s="78">
        <v>0</v>
      </c>
      <c r="Z17" s="23">
        <v>0.695</v>
      </c>
      <c r="AA17" s="46">
        <f>P17</f>
        <v>89.78162995321819</v>
      </c>
      <c r="AB17" s="46">
        <f>O17</f>
        <v>90.8679880011006</v>
      </c>
      <c r="AC17" s="19"/>
      <c r="AD17" s="76">
        <f>AE17*AF$6</f>
        <v>0</v>
      </c>
      <c r="AE17" s="76">
        <f>N17</f>
        <v>0</v>
      </c>
      <c r="AF17" s="19"/>
      <c r="AG17" s="7">
        <f t="shared" si="9"/>
        <v>0</v>
      </c>
      <c r="AH17" s="7">
        <f>(L17+M17)*0.717/1000</f>
        <v>0</v>
      </c>
      <c r="AI17" s="17"/>
      <c r="AJ17" s="16"/>
      <c r="AL17" s="14"/>
      <c r="AM17" s="15"/>
      <c r="AO17" s="16"/>
      <c r="AP17" s="4">
        <f t="shared" si="10"/>
        <v>1908.2277480231126</v>
      </c>
      <c r="AQ17" s="4">
        <f t="shared" si="11"/>
        <v>1908.2277480231126</v>
      </c>
      <c r="AR17" s="4">
        <f>AV17*AZ17+AW17*BA$6</f>
        <v>0</v>
      </c>
      <c r="AS17" s="4">
        <f t="shared" si="12"/>
        <v>90.8679880011006</v>
      </c>
      <c r="AT17" s="4"/>
      <c r="AU17" s="4"/>
      <c r="AV17" s="4">
        <f t="shared" si="13"/>
        <v>0</v>
      </c>
      <c r="AW17" s="46">
        <f>AX17+AY17</f>
        <v>0</v>
      </c>
      <c r="AX17" s="46">
        <v>0</v>
      </c>
      <c r="AY17" s="46">
        <v>0</v>
      </c>
      <c r="AZ17">
        <f t="shared" si="14"/>
        <v>0.695</v>
      </c>
    </row>
    <row r="18" spans="1:55" ht="13.5" thickBot="1">
      <c r="A18" s="49" t="s">
        <v>103</v>
      </c>
      <c r="B18" s="50">
        <f aca="true" t="shared" si="17" ref="B18:Y18">SUM(B6:B17)</f>
        <v>0</v>
      </c>
      <c r="C18" s="50">
        <f t="shared" si="17"/>
        <v>0</v>
      </c>
      <c r="D18" s="50">
        <f>SUM(D6:D17)</f>
        <v>0</v>
      </c>
      <c r="E18" s="50">
        <f>SUM(E6:E17)</f>
        <v>92.43945880071271</v>
      </c>
      <c r="F18" s="50">
        <f>SUM(F6:F17)</f>
        <v>91.33431327896052</v>
      </c>
      <c r="G18" s="50">
        <v>0</v>
      </c>
      <c r="H18" s="50">
        <v>0</v>
      </c>
      <c r="I18" s="50">
        <f t="shared" si="17"/>
        <v>128925.32608188664</v>
      </c>
      <c r="J18" s="50">
        <f t="shared" si="17"/>
        <v>128925.32608188664</v>
      </c>
      <c r="K18" s="79">
        <f t="shared" si="17"/>
        <v>92.43945880071271</v>
      </c>
      <c r="L18" s="50">
        <f aca="true" t="shared" si="18" ref="L18:Q18">SUM(L6:L17)</f>
        <v>0</v>
      </c>
      <c r="M18" s="50">
        <f t="shared" si="18"/>
        <v>0</v>
      </c>
      <c r="N18" s="50">
        <f t="shared" si="18"/>
        <v>0</v>
      </c>
      <c r="O18" s="50">
        <f t="shared" si="18"/>
        <v>90.8679880011006</v>
      </c>
      <c r="P18" s="50">
        <f>SUM(P6:P17)</f>
        <v>89.78162995321819</v>
      </c>
      <c r="Q18" s="50">
        <f t="shared" si="18"/>
        <v>0</v>
      </c>
      <c r="R18" s="50">
        <f t="shared" si="17"/>
        <v>126733.59553849457</v>
      </c>
      <c r="S18" s="79">
        <f t="shared" si="17"/>
        <v>90.8679880011006</v>
      </c>
      <c r="T18" s="50">
        <f t="shared" si="17"/>
        <v>1638.5147466462317</v>
      </c>
      <c r="U18" s="50">
        <f t="shared" si="17"/>
        <v>269.7130013768807</v>
      </c>
      <c r="V18" s="50">
        <f t="shared" si="17"/>
        <v>0</v>
      </c>
      <c r="W18" s="50">
        <f t="shared" si="17"/>
        <v>246.89948237135002</v>
      </c>
      <c r="X18" s="50">
        <f>SUM(X6:X17)</f>
        <v>22.81351900553068</v>
      </c>
      <c r="Y18" s="50">
        <f t="shared" si="17"/>
        <v>0</v>
      </c>
      <c r="Z18" s="52">
        <v>0.695</v>
      </c>
      <c r="AA18" s="50">
        <f>SUM(AA6:AA17)</f>
        <v>89.78162995321819</v>
      </c>
      <c r="AB18" s="50">
        <f>SUM(AB6:AB17)</f>
        <v>90.8679880011006</v>
      </c>
      <c r="AC18" s="53"/>
      <c r="AD18" s="50">
        <f>SUM(AD6:AD17)</f>
        <v>0</v>
      </c>
      <c r="AE18" s="50">
        <f>SUM(AE6:AE17)</f>
        <v>0</v>
      </c>
      <c r="AF18" s="53"/>
      <c r="AG18" s="50">
        <f>SUM(AG6:AG17)</f>
        <v>0</v>
      </c>
      <c r="AH18" s="50">
        <f>SUM(AH6:AH17)</f>
        <v>0</v>
      </c>
      <c r="AI18" s="54"/>
      <c r="AJ18" s="55"/>
      <c r="AK18" s="50"/>
      <c r="AL18" s="56"/>
      <c r="AM18" s="50"/>
      <c r="AN18" s="50"/>
      <c r="AO18" s="55"/>
      <c r="AP18" s="50">
        <f>ROUNDUP(SUM(AP6:AP17),0)</f>
        <v>1909</v>
      </c>
      <c r="AQ18" s="50">
        <f>SUM(AQ6:AQ17)</f>
        <v>1908.2277480231126</v>
      </c>
      <c r="AR18" s="50">
        <f>SUM(AR6:AR17)</f>
        <v>0</v>
      </c>
      <c r="AS18" s="50">
        <f>SUM(AS6:AS17)</f>
        <v>90.8679880011006</v>
      </c>
      <c r="AT18" s="57"/>
      <c r="AU18" s="57"/>
      <c r="AV18" s="50">
        <f>SUM(AV6:AV17)</f>
        <v>0</v>
      </c>
      <c r="AW18" s="50">
        <f>SUM(AW6:AW17)</f>
        <v>0</v>
      </c>
      <c r="AX18" s="50">
        <f>SUM(AX6:AX17)</f>
        <v>0</v>
      </c>
      <c r="AY18" s="50">
        <f>SUM(AY6:AY17)</f>
        <v>0</v>
      </c>
      <c r="AZ18" s="30"/>
      <c r="BA18" s="30"/>
      <c r="BB18" s="30"/>
      <c r="BC18" s="30"/>
    </row>
    <row r="19" spans="1:52" ht="12.75">
      <c r="A19" s="58">
        <v>39814</v>
      </c>
      <c r="B19" s="60">
        <v>0</v>
      </c>
      <c r="C19" s="60">
        <v>0</v>
      </c>
      <c r="D19" s="59">
        <v>21.12584564708469</v>
      </c>
      <c r="E19" s="59">
        <v>183.8990853677977</v>
      </c>
      <c r="F19" s="59">
        <v>181.11192352886795</v>
      </c>
      <c r="G19" s="59">
        <v>101.883</v>
      </c>
      <c r="H19" s="46">
        <f aca="true" t="shared" si="19" ref="H19:H30">D19*1000/0.717</f>
        <v>29464.219870411005</v>
      </c>
      <c r="I19" s="46">
        <f>E19*1000/0.717</f>
        <v>256484.08001087545</v>
      </c>
      <c r="J19" s="4">
        <f aca="true" t="shared" si="20" ref="J19:J34">B19+C19+H19+I19</f>
        <v>285948.29988128645</v>
      </c>
      <c r="K19" s="78">
        <f t="shared" si="0"/>
        <v>205.02493101488238</v>
      </c>
      <c r="L19" s="100">
        <v>0</v>
      </c>
      <c r="M19" s="100">
        <v>0</v>
      </c>
      <c r="N19" s="100">
        <f>D19*(1-$D$48)</f>
        <v>20.76881885564896</v>
      </c>
      <c r="O19" s="101">
        <f aca="true" t="shared" si="21" ref="O17:P28">E19*(1-$D$46)</f>
        <v>180.77280091654515</v>
      </c>
      <c r="P19" s="101">
        <f t="shared" si="21"/>
        <v>178.0330208288772</v>
      </c>
      <c r="Q19" s="101">
        <f>G19*(1-$D$49)</f>
        <v>101.37358499999999</v>
      </c>
      <c r="R19" s="4">
        <f>L19+M19+(N19+O19)*1000/0.717</f>
        <v>281090.12520529167</v>
      </c>
      <c r="S19" s="78">
        <f t="shared" si="1"/>
        <v>201.54161977219414</v>
      </c>
      <c r="T19" s="4">
        <f aca="true" t="shared" si="22" ref="T19:T30">AP19-U19</f>
        <v>3695.172457322024</v>
      </c>
      <c r="U19" s="39">
        <f t="shared" si="15"/>
        <v>606.1355956940519</v>
      </c>
      <c r="V19" s="8">
        <f t="shared" si="16"/>
        <v>0</v>
      </c>
      <c r="W19" s="4">
        <f>(AA19+AD19+AG19)*(AJ$6+AK19*AN19)</f>
        <v>546.4194878731818</v>
      </c>
      <c r="X19" s="4">
        <f aca="true" t="shared" si="23" ref="X19:X30">AO$6*((AB19-AA19)+AE19*(1-AF$6)+AH19*(1-AI$6))</f>
        <v>59.71610782087014</v>
      </c>
      <c r="Y19" s="78">
        <v>0</v>
      </c>
      <c r="Z19" s="69">
        <v>0.68</v>
      </c>
      <c r="AA19" s="46">
        <f>P19</f>
        <v>178.0330208288772</v>
      </c>
      <c r="AB19" s="46">
        <f>O19</f>
        <v>180.77280091654515</v>
      </c>
      <c r="AC19" s="19"/>
      <c r="AD19" s="76">
        <f aca="true" t="shared" si="24" ref="AD19:AD28">AE19*AF$6</f>
        <v>20.664974761370715</v>
      </c>
      <c r="AE19" s="76">
        <f aca="true" t="shared" si="25" ref="AE19:AE30">N19</f>
        <v>20.76881885564896</v>
      </c>
      <c r="AF19" s="19"/>
      <c r="AG19" s="7">
        <f aca="true" t="shared" si="26" ref="AG19:AG30">AH19*AI$6</f>
        <v>0</v>
      </c>
      <c r="AH19" s="7">
        <f>(L19+M19)*0.717/1000</f>
        <v>0</v>
      </c>
      <c r="AI19" s="17"/>
      <c r="AJ19" s="16"/>
      <c r="AL19" s="14"/>
      <c r="AM19" s="15"/>
      <c r="AO19" s="16"/>
      <c r="AP19" s="4">
        <f aca="true" t="shared" si="27" ref="AP19:AP30">AQ19+AR19</f>
        <v>4301.308053016076</v>
      </c>
      <c r="AQ19" s="4">
        <f aca="true" t="shared" si="28" ref="AQ19:AQ30">AS19*AT$6</f>
        <v>4232.374015216076</v>
      </c>
      <c r="AR19" s="4">
        <f>AV19*AZ19+AW19*BA$6</f>
        <v>68.9340378</v>
      </c>
      <c r="AS19" s="4">
        <f aca="true" t="shared" si="29" ref="AS19:AS30">(AB19+AE19+AH19)</f>
        <v>201.5416197721941</v>
      </c>
      <c r="AT19" s="4"/>
      <c r="AU19" s="4"/>
      <c r="AV19" s="4">
        <f>Q19</f>
        <v>101.37358499999999</v>
      </c>
      <c r="AW19" s="46">
        <f>AX19+AY19</f>
        <v>0</v>
      </c>
      <c r="AX19" s="46">
        <v>0</v>
      </c>
      <c r="AY19" s="46">
        <v>0</v>
      </c>
      <c r="AZ19" s="81">
        <f>Z19</f>
        <v>0.68</v>
      </c>
    </row>
    <row r="20" spans="1:52" ht="12.75">
      <c r="A20" s="58">
        <v>39845</v>
      </c>
      <c r="B20" s="60">
        <v>0</v>
      </c>
      <c r="C20" s="60">
        <v>0</v>
      </c>
      <c r="D20" s="59">
        <v>84.75542135225449</v>
      </c>
      <c r="E20" s="59">
        <v>217.52869294684243</v>
      </c>
      <c r="F20" s="59">
        <v>216.41163137102248</v>
      </c>
      <c r="G20" s="59">
        <v>408.76275</v>
      </c>
      <c r="H20" s="46">
        <f t="shared" si="19"/>
        <v>118208.39798082913</v>
      </c>
      <c r="I20" s="46">
        <f aca="true" t="shared" si="30" ref="I20:I34">E20*1000/0.717</f>
        <v>303387.298391691</v>
      </c>
      <c r="J20" s="4">
        <f t="shared" si="20"/>
        <v>421595.6963725201</v>
      </c>
      <c r="K20" s="78">
        <f t="shared" si="0"/>
        <v>302.2841142990969</v>
      </c>
      <c r="L20" s="100">
        <v>0</v>
      </c>
      <c r="M20" s="100">
        <v>0</v>
      </c>
      <c r="N20" s="100">
        <f aca="true" t="shared" si="31" ref="N20:N34">D20*(1-$D$48)</f>
        <v>83.32305473140138</v>
      </c>
      <c r="O20" s="101">
        <f t="shared" si="21"/>
        <v>213.8307051667461</v>
      </c>
      <c r="P20" s="101">
        <f t="shared" si="21"/>
        <v>212.73263363771508</v>
      </c>
      <c r="Q20" s="101">
        <f aca="true" t="shared" si="32" ref="Q20:Q34">G20*(1-$D$49)</f>
        <v>406.71893624999996</v>
      </c>
      <c r="R20" s="4">
        <f aca="true" t="shared" si="33" ref="R20:R30">L20+M20+(N20+O20)*1000/0.717</f>
        <v>414440.39037398534</v>
      </c>
      <c r="S20" s="78">
        <f t="shared" si="1"/>
        <v>297.1537598981475</v>
      </c>
      <c r="T20" s="4">
        <f t="shared" si="22"/>
        <v>5671.981960642135</v>
      </c>
      <c r="U20" s="39">
        <f t="shared" si="15"/>
        <v>844.8158738689621</v>
      </c>
      <c r="V20" s="8">
        <f t="shared" si="16"/>
        <v>0</v>
      </c>
      <c r="W20" s="4">
        <f aca="true" t="shared" si="34" ref="W20:W34">(AA20+AD20+AG20)*(AJ$6+AK20*AN20)</f>
        <v>813.0074510125136</v>
      </c>
      <c r="X20" s="4">
        <f t="shared" si="23"/>
        <v>31.808422856448512</v>
      </c>
      <c r="Y20" s="78">
        <v>0</v>
      </c>
      <c r="Z20" s="69">
        <v>0.68</v>
      </c>
      <c r="AA20" s="46">
        <f aca="true" t="shared" si="35" ref="AA20:AA30">P20</f>
        <v>212.73263363771508</v>
      </c>
      <c r="AB20" s="46">
        <f aca="true" t="shared" si="36" ref="AB20:AB30">O20</f>
        <v>213.8307051667461</v>
      </c>
      <c r="AC20" s="19"/>
      <c r="AD20" s="76">
        <f t="shared" si="24"/>
        <v>82.90643945774438</v>
      </c>
      <c r="AE20" s="76">
        <f t="shared" si="25"/>
        <v>83.32305473140138</v>
      </c>
      <c r="AF20" s="19"/>
      <c r="AG20" s="7">
        <f t="shared" si="26"/>
        <v>0</v>
      </c>
      <c r="AH20" s="7">
        <f>(L20+M20)*0.717/1000</f>
        <v>0</v>
      </c>
      <c r="AI20" s="17"/>
      <c r="AJ20" s="16"/>
      <c r="AL20" s="14"/>
      <c r="AM20" s="15"/>
      <c r="AO20" s="16"/>
      <c r="AP20" s="4">
        <f t="shared" si="27"/>
        <v>6516.797834511097</v>
      </c>
      <c r="AQ20" s="4">
        <f t="shared" si="28"/>
        <v>6240.228957861097</v>
      </c>
      <c r="AR20" s="4">
        <f>AV20*AZ20+AW20*BA$6</f>
        <v>276.56887665</v>
      </c>
      <c r="AS20" s="4">
        <f t="shared" si="29"/>
        <v>297.1537598981475</v>
      </c>
      <c r="AT20" s="4"/>
      <c r="AU20" s="4"/>
      <c r="AV20" s="4">
        <f aca="true" t="shared" si="37" ref="AV20:AV34">Q20</f>
        <v>406.71893624999996</v>
      </c>
      <c r="AW20" s="46">
        <f>AX20+AY20</f>
        <v>0</v>
      </c>
      <c r="AX20" s="46">
        <v>0</v>
      </c>
      <c r="AY20" s="46">
        <v>0</v>
      </c>
      <c r="AZ20" s="81">
        <f aca="true" t="shared" si="38" ref="AZ20:AZ30">Z20</f>
        <v>0.68</v>
      </c>
    </row>
    <row r="21" spans="1:52" ht="12.75">
      <c r="A21" s="58">
        <v>39873</v>
      </c>
      <c r="B21" s="60">
        <v>0</v>
      </c>
      <c r="C21" s="60">
        <v>0</v>
      </c>
      <c r="D21" s="59">
        <v>8.1005942990669</v>
      </c>
      <c r="E21" s="59">
        <v>261.8067217493169</v>
      </c>
      <c r="F21" s="59">
        <v>260.05666064162523</v>
      </c>
      <c r="G21" s="59">
        <v>39.0665</v>
      </c>
      <c r="H21" s="46">
        <f t="shared" si="19"/>
        <v>11297.899998698605</v>
      </c>
      <c r="I21" s="46">
        <f t="shared" si="30"/>
        <v>365141.8713379595</v>
      </c>
      <c r="J21" s="4">
        <f t="shared" si="20"/>
        <v>376439.7713366581</v>
      </c>
      <c r="K21" s="78">
        <f t="shared" si="0"/>
        <v>269.90731604838385</v>
      </c>
      <c r="L21" s="100">
        <v>0</v>
      </c>
      <c r="M21" s="100">
        <v>0</v>
      </c>
      <c r="N21" s="100">
        <f t="shared" si="31"/>
        <v>7.963694255412669</v>
      </c>
      <c r="O21" s="101">
        <f t="shared" si="21"/>
        <v>257.3560074795785</v>
      </c>
      <c r="P21" s="101">
        <f t="shared" si="21"/>
        <v>255.6356974107176</v>
      </c>
      <c r="Q21" s="101">
        <f t="shared" si="32"/>
        <v>38.8711675</v>
      </c>
      <c r="R21" s="4">
        <f t="shared" si="33"/>
        <v>370041.4250139348</v>
      </c>
      <c r="S21" s="78">
        <f t="shared" si="1"/>
        <v>265.3197017349912</v>
      </c>
      <c r="T21" s="4">
        <f t="shared" si="22"/>
        <v>4836.394604706071</v>
      </c>
      <c r="U21" s="39">
        <f t="shared" si="15"/>
        <v>761.751525628744</v>
      </c>
      <c r="V21" s="8">
        <f t="shared" si="16"/>
        <v>0</v>
      </c>
      <c r="W21" s="4">
        <f t="shared" si="34"/>
        <v>724.7888262858463</v>
      </c>
      <c r="X21" s="4">
        <f t="shared" si="23"/>
        <v>36.962699342897764</v>
      </c>
      <c r="Y21" s="78">
        <v>0</v>
      </c>
      <c r="Z21" s="69">
        <v>0.68</v>
      </c>
      <c r="AA21" s="46">
        <f t="shared" si="35"/>
        <v>255.6356974107176</v>
      </c>
      <c r="AB21" s="46">
        <f t="shared" si="36"/>
        <v>257.3560074795785</v>
      </c>
      <c r="AC21" s="19"/>
      <c r="AD21" s="76">
        <f t="shared" si="24"/>
        <v>7.923875784135606</v>
      </c>
      <c r="AE21" s="76">
        <f t="shared" si="25"/>
        <v>7.963694255412669</v>
      </c>
      <c r="AF21" s="19"/>
      <c r="AG21" s="7">
        <f t="shared" si="26"/>
        <v>0</v>
      </c>
      <c r="AH21" s="7">
        <f>(L21+M21)*0.717/1000</f>
        <v>0</v>
      </c>
      <c r="AI21" s="17"/>
      <c r="AJ21" s="16"/>
      <c r="AL21" s="14"/>
      <c r="AM21" s="15"/>
      <c r="AO21" s="16"/>
      <c r="AP21" s="4">
        <f t="shared" si="27"/>
        <v>5598.146130334815</v>
      </c>
      <c r="AQ21" s="4">
        <f t="shared" si="28"/>
        <v>5571.7137364348155</v>
      </c>
      <c r="AR21" s="4">
        <f>AV21*AZ21+AW21*BA$6</f>
        <v>26.4323939</v>
      </c>
      <c r="AS21" s="4">
        <f t="shared" si="29"/>
        <v>265.3197017349912</v>
      </c>
      <c r="AT21" s="4"/>
      <c r="AU21" s="4"/>
      <c r="AV21" s="4">
        <f t="shared" si="37"/>
        <v>38.8711675</v>
      </c>
      <c r="AW21" s="46">
        <f>AX21+AY21</f>
        <v>0</v>
      </c>
      <c r="AX21" s="46">
        <v>0</v>
      </c>
      <c r="AY21" s="46">
        <v>0</v>
      </c>
      <c r="AZ21" s="81">
        <f t="shared" si="38"/>
        <v>0.68</v>
      </c>
    </row>
    <row r="22" spans="1:52" ht="12.75">
      <c r="A22" s="58">
        <v>39904</v>
      </c>
      <c r="B22" s="60">
        <v>0</v>
      </c>
      <c r="C22" s="60">
        <v>0</v>
      </c>
      <c r="D22" s="59">
        <v>0.5171926671303454</v>
      </c>
      <c r="E22" s="59">
        <v>234.2009864468271</v>
      </c>
      <c r="F22" s="59">
        <v>232.69339993545134</v>
      </c>
      <c r="G22" s="59">
        <v>2.49425</v>
      </c>
      <c r="H22" s="46">
        <f t="shared" si="19"/>
        <v>721.3286849795612</v>
      </c>
      <c r="I22" s="46">
        <f t="shared" si="30"/>
        <v>326640.1484614046</v>
      </c>
      <c r="J22" s="4">
        <f t="shared" si="20"/>
        <v>327361.4771463842</v>
      </c>
      <c r="K22" s="78">
        <f t="shared" si="0"/>
        <v>234.71817911395746</v>
      </c>
      <c r="L22" s="100">
        <v>0</v>
      </c>
      <c r="M22" s="100">
        <v>0</v>
      </c>
      <c r="N22" s="100">
        <f t="shared" si="31"/>
        <v>0.5084521110558425</v>
      </c>
      <c r="O22" s="101">
        <f t="shared" si="21"/>
        <v>230.21956967723105</v>
      </c>
      <c r="P22" s="101">
        <f t="shared" si="21"/>
        <v>228.73761213654868</v>
      </c>
      <c r="Q22" s="101">
        <f t="shared" si="32"/>
        <v>2.48177875</v>
      </c>
      <c r="R22" s="4">
        <f t="shared" si="33"/>
        <v>321796.4041677642</v>
      </c>
      <c r="S22" s="78">
        <f t="shared" si="1"/>
        <v>230.72802178828692</v>
      </c>
      <c r="T22" s="4">
        <f t="shared" si="22"/>
        <v>4185.381885813649</v>
      </c>
      <c r="U22" s="39">
        <f t="shared" si="15"/>
        <v>661.594181290376</v>
      </c>
      <c r="V22" s="8">
        <f t="shared" si="16"/>
        <v>0</v>
      </c>
      <c r="W22" s="4">
        <f t="shared" si="34"/>
        <v>630.4196854643853</v>
      </c>
      <c r="X22" s="4">
        <f t="shared" si="23"/>
        <v>31.174495825990697</v>
      </c>
      <c r="Y22" s="78">
        <v>0</v>
      </c>
      <c r="Z22" s="69">
        <v>0.68</v>
      </c>
      <c r="AA22" s="46">
        <f t="shared" si="35"/>
        <v>228.73761213654868</v>
      </c>
      <c r="AB22" s="46">
        <f t="shared" si="36"/>
        <v>230.21956967723105</v>
      </c>
      <c r="AC22" s="19"/>
      <c r="AD22" s="76">
        <f t="shared" si="24"/>
        <v>0.5059098505005634</v>
      </c>
      <c r="AE22" s="76">
        <f t="shared" si="25"/>
        <v>0.5084521110558425</v>
      </c>
      <c r="AF22" s="19"/>
      <c r="AG22" s="7">
        <f t="shared" si="26"/>
        <v>0</v>
      </c>
      <c r="AH22" s="7">
        <f>(L22+M22)*0.717/1000</f>
        <v>0</v>
      </c>
      <c r="AI22" s="17"/>
      <c r="AJ22" s="16"/>
      <c r="AL22" s="14"/>
      <c r="AM22" s="15"/>
      <c r="AO22" s="16"/>
      <c r="AP22" s="4">
        <f t="shared" si="27"/>
        <v>4846.976067104025</v>
      </c>
      <c r="AQ22" s="4">
        <f t="shared" si="28"/>
        <v>4845.288457554025</v>
      </c>
      <c r="AR22" s="4">
        <f>AV22*AZ22+AW22*BA$6</f>
        <v>1.6876095500000001</v>
      </c>
      <c r="AS22" s="4">
        <f t="shared" si="29"/>
        <v>230.7280217882869</v>
      </c>
      <c r="AT22" s="4"/>
      <c r="AU22" s="4"/>
      <c r="AV22" s="4">
        <f t="shared" si="37"/>
        <v>2.48177875</v>
      </c>
      <c r="AW22" s="46">
        <f>AX22+AY22</f>
        <v>0</v>
      </c>
      <c r="AX22" s="46">
        <v>0</v>
      </c>
      <c r="AY22" s="46">
        <v>0</v>
      </c>
      <c r="AZ22" s="81">
        <f t="shared" si="38"/>
        <v>0.68</v>
      </c>
    </row>
    <row r="23" spans="1:52" ht="12.75">
      <c r="A23" s="58">
        <v>39934</v>
      </c>
      <c r="B23" s="60">
        <v>0</v>
      </c>
      <c r="C23" s="60">
        <v>0</v>
      </c>
      <c r="D23" s="59">
        <v>68.33516327318534</v>
      </c>
      <c r="E23" s="59">
        <v>205.39586594596895</v>
      </c>
      <c r="F23" s="59">
        <v>204.3352779793432</v>
      </c>
      <c r="G23" s="59">
        <v>329.60775</v>
      </c>
      <c r="H23" s="46">
        <f t="shared" si="19"/>
        <v>95307.06174781777</v>
      </c>
      <c r="I23" s="46">
        <f t="shared" si="30"/>
        <v>286465.64288140717</v>
      </c>
      <c r="J23" s="4">
        <f t="shared" si="20"/>
        <v>381772.70462922496</v>
      </c>
      <c r="K23" s="78">
        <f t="shared" si="0"/>
        <v>273.73102921915427</v>
      </c>
      <c r="L23" s="100">
        <v>0</v>
      </c>
      <c r="M23" s="100">
        <v>0</v>
      </c>
      <c r="N23" s="100">
        <f t="shared" si="31"/>
        <v>67.1802990138685</v>
      </c>
      <c r="O23" s="101">
        <f t="shared" si="21"/>
        <v>201.90413622488748</v>
      </c>
      <c r="P23" s="101">
        <f t="shared" si="21"/>
        <v>200.86157825369438</v>
      </c>
      <c r="Q23" s="101">
        <f t="shared" si="32"/>
        <v>327.95971125</v>
      </c>
      <c r="R23" s="4">
        <f t="shared" si="33"/>
        <v>375292.09935670294</v>
      </c>
      <c r="S23" s="78">
        <f t="shared" si="1"/>
        <v>269.084435238756</v>
      </c>
      <c r="T23" s="4">
        <f t="shared" si="22"/>
        <v>5108.646661498006</v>
      </c>
      <c r="U23" s="39">
        <f t="shared" si="15"/>
        <v>765.1390821658687</v>
      </c>
      <c r="V23" s="8">
        <f t="shared" si="16"/>
        <v>0</v>
      </c>
      <c r="W23" s="4">
        <f t="shared" si="34"/>
        <v>736.1914333743573</v>
      </c>
      <c r="X23" s="4">
        <f t="shared" si="23"/>
        <v>28.947648791511405</v>
      </c>
      <c r="Y23" s="78">
        <v>0</v>
      </c>
      <c r="Z23" s="69">
        <v>0.68</v>
      </c>
      <c r="AA23" s="46">
        <f t="shared" si="35"/>
        <v>200.86157825369438</v>
      </c>
      <c r="AB23" s="46">
        <f t="shared" si="36"/>
        <v>201.90413622488748</v>
      </c>
      <c r="AC23" s="19"/>
      <c r="AD23" s="76">
        <f t="shared" si="24"/>
        <v>66.84439751879917</v>
      </c>
      <c r="AE23" s="76">
        <f t="shared" si="25"/>
        <v>67.1802990138685</v>
      </c>
      <c r="AF23" s="19"/>
      <c r="AG23" s="7">
        <f t="shared" si="26"/>
        <v>0</v>
      </c>
      <c r="AH23" s="7">
        <f>(L23+M23)*0.717/1000</f>
        <v>0</v>
      </c>
      <c r="AI23" s="17"/>
      <c r="AJ23" s="16"/>
      <c r="AL23" s="14"/>
      <c r="AM23" s="15"/>
      <c r="AO23" s="16"/>
      <c r="AP23" s="4">
        <f t="shared" si="27"/>
        <v>5873.785743663875</v>
      </c>
      <c r="AQ23" s="4">
        <f t="shared" si="28"/>
        <v>5650.7731400138755</v>
      </c>
      <c r="AR23" s="4">
        <f>AV23*AZ23+AW23*BA$6</f>
        <v>223.01260365000002</v>
      </c>
      <c r="AS23" s="4">
        <f t="shared" si="29"/>
        <v>269.084435238756</v>
      </c>
      <c r="AT23" s="4"/>
      <c r="AU23" s="4"/>
      <c r="AV23" s="4">
        <f t="shared" si="37"/>
        <v>327.95971125</v>
      </c>
      <c r="AW23" s="46">
        <f>AX23+AY23</f>
        <v>0</v>
      </c>
      <c r="AX23" s="46">
        <v>0</v>
      </c>
      <c r="AY23" s="46">
        <v>0</v>
      </c>
      <c r="AZ23" s="81">
        <f t="shared" si="38"/>
        <v>0.68</v>
      </c>
    </row>
    <row r="24" spans="1:52" ht="12.75">
      <c r="A24" s="58">
        <v>39965</v>
      </c>
      <c r="B24" s="60">
        <v>0</v>
      </c>
      <c r="C24" s="60">
        <v>0</v>
      </c>
      <c r="D24" s="59">
        <v>28.38261292043768</v>
      </c>
      <c r="E24" s="59">
        <v>26.65081941878489</v>
      </c>
      <c r="F24" s="59">
        <v>26.493480478322283</v>
      </c>
      <c r="G24" s="59">
        <v>136.88</v>
      </c>
      <c r="H24" s="46">
        <f t="shared" si="19"/>
        <v>39585.234198657854</v>
      </c>
      <c r="I24" s="46">
        <f t="shared" si="30"/>
        <v>37169.90156036945</v>
      </c>
      <c r="J24" s="4">
        <f t="shared" si="20"/>
        <v>76755.1357590273</v>
      </c>
      <c r="K24" s="78">
        <f t="shared" si="0"/>
        <v>55.03343233922257</v>
      </c>
      <c r="L24" s="100">
        <v>0</v>
      </c>
      <c r="M24" s="100">
        <v>0</v>
      </c>
      <c r="N24" s="100">
        <f t="shared" si="31"/>
        <v>27.902946762082284</v>
      </c>
      <c r="O24" s="101">
        <f t="shared" si="21"/>
        <v>26.197755488665546</v>
      </c>
      <c r="P24" s="101">
        <f t="shared" si="21"/>
        <v>26.043091310190803</v>
      </c>
      <c r="Q24" s="101">
        <f t="shared" si="32"/>
        <v>136.19559999999998</v>
      </c>
      <c r="R24" s="4">
        <f t="shared" si="33"/>
        <v>75454.2569745437</v>
      </c>
      <c r="S24" s="78">
        <f t="shared" si="1"/>
        <v>54.10070225074783</v>
      </c>
      <c r="T24" s="4">
        <f t="shared" si="22"/>
        <v>1074.5820589269438</v>
      </c>
      <c r="U24" s="39">
        <f t="shared" si="15"/>
        <v>154.14569633876062</v>
      </c>
      <c r="V24" s="8">
        <f t="shared" si="16"/>
        <v>0</v>
      </c>
      <c r="W24" s="4">
        <f t="shared" si="34"/>
        <v>147.96793918077236</v>
      </c>
      <c r="X24" s="4">
        <f t="shared" si="23"/>
        <v>6.1777571579882435</v>
      </c>
      <c r="Y24" s="78">
        <v>0</v>
      </c>
      <c r="Z24" s="69">
        <v>0.68</v>
      </c>
      <c r="AA24" s="46">
        <f t="shared" si="35"/>
        <v>26.043091310190803</v>
      </c>
      <c r="AB24" s="46">
        <f t="shared" si="36"/>
        <v>26.197755488665546</v>
      </c>
      <c r="AC24" s="19"/>
      <c r="AD24" s="76">
        <f t="shared" si="24"/>
        <v>27.763432028271872</v>
      </c>
      <c r="AE24" s="76">
        <f t="shared" si="25"/>
        <v>27.902946762082284</v>
      </c>
      <c r="AF24" s="19"/>
      <c r="AG24" s="7">
        <f t="shared" si="26"/>
        <v>0</v>
      </c>
      <c r="AH24" s="7">
        <f>(L24+M24)*0.717/1000</f>
        <v>0</v>
      </c>
      <c r="AI24" s="17"/>
      <c r="AJ24" s="16"/>
      <c r="AL24" s="14"/>
      <c r="AM24" s="15"/>
      <c r="AO24" s="16"/>
      <c r="AP24" s="4">
        <f t="shared" si="27"/>
        <v>1228.7277552657044</v>
      </c>
      <c r="AQ24" s="4">
        <f t="shared" si="28"/>
        <v>1136.1147472657044</v>
      </c>
      <c r="AR24" s="4">
        <f>AV24*AZ24+AW24*BA$6</f>
        <v>92.613008</v>
      </c>
      <c r="AS24" s="4">
        <f t="shared" si="29"/>
        <v>54.10070225074783</v>
      </c>
      <c r="AT24" s="4"/>
      <c r="AU24" s="4"/>
      <c r="AV24" s="4">
        <f t="shared" si="37"/>
        <v>136.19559999999998</v>
      </c>
      <c r="AW24" s="46">
        <f>AX24+AY24</f>
        <v>0</v>
      </c>
      <c r="AX24" s="46">
        <v>0</v>
      </c>
      <c r="AY24" s="46">
        <v>0</v>
      </c>
      <c r="AZ24" s="81">
        <f t="shared" si="38"/>
        <v>0.68</v>
      </c>
    </row>
    <row r="25" spans="1:52" ht="12.75">
      <c r="A25" s="58">
        <v>39995</v>
      </c>
      <c r="B25" s="60">
        <v>0</v>
      </c>
      <c r="C25" s="60">
        <v>0</v>
      </c>
      <c r="D25" s="59">
        <v>35.9802183000733</v>
      </c>
      <c r="E25" s="59">
        <v>87.40767917889576</v>
      </c>
      <c r="F25" s="59">
        <v>86.96231827267337</v>
      </c>
      <c r="G25" s="59">
        <v>173.52075</v>
      </c>
      <c r="H25" s="46">
        <f t="shared" si="19"/>
        <v>50181.61548127378</v>
      </c>
      <c r="I25" s="46">
        <f t="shared" si="30"/>
        <v>121907.50234155616</v>
      </c>
      <c r="J25" s="4">
        <f t="shared" si="20"/>
        <v>172089.11782282992</v>
      </c>
      <c r="K25" s="78">
        <f t="shared" si="0"/>
        <v>123.38789747896905</v>
      </c>
      <c r="L25" s="100">
        <v>0</v>
      </c>
      <c r="M25" s="100">
        <v>0</v>
      </c>
      <c r="N25" s="100">
        <f t="shared" si="31"/>
        <v>35.372152610802054</v>
      </c>
      <c r="O25" s="101">
        <f t="shared" si="21"/>
        <v>85.92174863285453</v>
      </c>
      <c r="P25" s="101">
        <f t="shared" si="21"/>
        <v>85.48395886203792</v>
      </c>
      <c r="Q25" s="101">
        <f t="shared" si="32"/>
        <v>172.65314625</v>
      </c>
      <c r="R25" s="4">
        <f t="shared" si="33"/>
        <v>169168.62098138995</v>
      </c>
      <c r="S25" s="78">
        <f t="shared" si="1"/>
        <v>121.29390124365658</v>
      </c>
      <c r="T25" s="4">
        <f t="shared" si="22"/>
        <v>2319.800464903594</v>
      </c>
      <c r="U25" s="39">
        <f t="shared" si="15"/>
        <v>344.7756006631944</v>
      </c>
      <c r="V25" s="8">
        <f t="shared" si="16"/>
        <v>0</v>
      </c>
      <c r="W25" s="4">
        <f t="shared" si="34"/>
        <v>331.8679394519114</v>
      </c>
      <c r="X25" s="4">
        <f t="shared" si="23"/>
        <v>12.907661211282974</v>
      </c>
      <c r="Y25" s="78">
        <v>0</v>
      </c>
      <c r="Z25" s="69">
        <v>0.68</v>
      </c>
      <c r="AA25" s="46">
        <f t="shared" si="35"/>
        <v>85.48395886203792</v>
      </c>
      <c r="AB25" s="46">
        <f t="shared" si="36"/>
        <v>85.92174863285453</v>
      </c>
      <c r="AC25" s="19"/>
      <c r="AD25" s="76">
        <f t="shared" si="24"/>
        <v>35.195291847748045</v>
      </c>
      <c r="AE25" s="76">
        <f t="shared" si="25"/>
        <v>35.372152610802054</v>
      </c>
      <c r="AF25" s="19"/>
      <c r="AG25" s="7">
        <f t="shared" si="26"/>
        <v>0</v>
      </c>
      <c r="AH25" s="7">
        <f>(L25+M25)*0.717/1000</f>
        <v>0</v>
      </c>
      <c r="AI25" s="17"/>
      <c r="AJ25" s="16"/>
      <c r="AL25" s="14"/>
      <c r="AM25" s="15"/>
      <c r="AO25" s="16"/>
      <c r="AP25" s="4">
        <f t="shared" si="27"/>
        <v>2664.576065566788</v>
      </c>
      <c r="AQ25" s="4">
        <f t="shared" si="28"/>
        <v>2547.171926116788</v>
      </c>
      <c r="AR25" s="4">
        <f>AV25*AZ25+AW25*BA$6</f>
        <v>117.40413945</v>
      </c>
      <c r="AS25" s="4">
        <f t="shared" si="29"/>
        <v>121.29390124365659</v>
      </c>
      <c r="AT25" s="4"/>
      <c r="AU25" s="4"/>
      <c r="AV25" s="4">
        <f t="shared" si="37"/>
        <v>172.65314625</v>
      </c>
      <c r="AW25" s="46">
        <f>AX25+AY25</f>
        <v>0</v>
      </c>
      <c r="AX25" s="46">
        <v>0</v>
      </c>
      <c r="AY25" s="46">
        <v>0</v>
      </c>
      <c r="AZ25" s="81">
        <f t="shared" si="38"/>
        <v>0.68</v>
      </c>
    </row>
    <row r="26" spans="1:52" ht="12.75">
      <c r="A26" s="58">
        <v>40026</v>
      </c>
      <c r="B26" s="60">
        <v>0</v>
      </c>
      <c r="C26" s="60">
        <v>0</v>
      </c>
      <c r="D26" s="59">
        <v>110.51158507224854</v>
      </c>
      <c r="E26" s="59">
        <v>256.5387513464909</v>
      </c>
      <c r="F26" s="59">
        <v>255.24008815445728</v>
      </c>
      <c r="G26" s="59">
        <v>532.9625</v>
      </c>
      <c r="H26" s="46">
        <f t="shared" si="19"/>
        <v>154130.52311331735</v>
      </c>
      <c r="I26" s="46">
        <f t="shared" si="30"/>
        <v>357794.6322824141</v>
      </c>
      <c r="J26" s="4">
        <f t="shared" si="20"/>
        <v>511925.15539573145</v>
      </c>
      <c r="K26" s="78">
        <f t="shared" si="0"/>
        <v>367.0503364187394</v>
      </c>
      <c r="L26" s="100">
        <v>0</v>
      </c>
      <c r="M26" s="100">
        <v>0</v>
      </c>
      <c r="N26" s="100">
        <f t="shared" si="31"/>
        <v>108.64393928452753</v>
      </c>
      <c r="O26" s="101">
        <f t="shared" si="21"/>
        <v>252.17759257360058</v>
      </c>
      <c r="P26" s="101">
        <f t="shared" si="21"/>
        <v>250.9010066558315</v>
      </c>
      <c r="Q26" s="101">
        <f t="shared" si="32"/>
        <v>530.2976874999999</v>
      </c>
      <c r="R26" s="4">
        <f t="shared" si="33"/>
        <v>503237.84080631536</v>
      </c>
      <c r="S26" s="78">
        <f t="shared" si="1"/>
        <v>360.8215318581281</v>
      </c>
      <c r="T26" s="4">
        <f t="shared" si="22"/>
        <v>6912.383931451839</v>
      </c>
      <c r="U26" s="39">
        <f t="shared" si="15"/>
        <v>1025.4706650688508</v>
      </c>
      <c r="V26" s="8">
        <f t="shared" si="16"/>
        <v>0</v>
      </c>
      <c r="W26" s="4">
        <f t="shared" si="34"/>
        <v>987.2547471708251</v>
      </c>
      <c r="X26" s="4">
        <f t="shared" si="23"/>
        <v>38.21591789802584</v>
      </c>
      <c r="Y26" s="78">
        <v>0</v>
      </c>
      <c r="Z26" s="69">
        <v>0.68</v>
      </c>
      <c r="AA26" s="46">
        <f t="shared" si="35"/>
        <v>250.9010066558315</v>
      </c>
      <c r="AB26" s="46">
        <f t="shared" si="36"/>
        <v>252.17759257360058</v>
      </c>
      <c r="AC26" s="19"/>
      <c r="AD26" s="76">
        <f t="shared" si="24"/>
        <v>108.1007195881049</v>
      </c>
      <c r="AE26" s="76">
        <f t="shared" si="25"/>
        <v>108.64393928452753</v>
      </c>
      <c r="AF26" s="19"/>
      <c r="AG26" s="7">
        <f t="shared" si="26"/>
        <v>0</v>
      </c>
      <c r="AH26" s="7">
        <f>(L26+M26)*0.717/1000</f>
        <v>0</v>
      </c>
      <c r="AI26" s="17"/>
      <c r="AJ26" s="16"/>
      <c r="AL26" s="14"/>
      <c r="AM26" s="15"/>
      <c r="AO26" s="16"/>
      <c r="AP26" s="4">
        <f t="shared" si="27"/>
        <v>7937.8545965206895</v>
      </c>
      <c r="AQ26" s="4">
        <f t="shared" si="28"/>
        <v>7577.2521690206895</v>
      </c>
      <c r="AR26" s="4">
        <f>AV26*AZ26+AW26*BA$6</f>
        <v>360.6024275</v>
      </c>
      <c r="AS26" s="4">
        <f t="shared" si="29"/>
        <v>360.8215318581281</v>
      </c>
      <c r="AT26" s="4"/>
      <c r="AU26" s="4"/>
      <c r="AV26" s="4">
        <f t="shared" si="37"/>
        <v>530.2976874999999</v>
      </c>
      <c r="AW26" s="46">
        <f>AX26+AY26</f>
        <v>0</v>
      </c>
      <c r="AX26" s="46">
        <v>0</v>
      </c>
      <c r="AY26" s="46">
        <v>0</v>
      </c>
      <c r="AZ26" s="81">
        <f t="shared" si="38"/>
        <v>0.68</v>
      </c>
    </row>
    <row r="27" spans="1:52" ht="12.75">
      <c r="A27" s="58">
        <v>40057</v>
      </c>
      <c r="B27" s="60">
        <v>0</v>
      </c>
      <c r="C27" s="60">
        <v>0</v>
      </c>
      <c r="D27" s="59">
        <v>130.17794378222854</v>
      </c>
      <c r="E27" s="59">
        <v>194.8628089655834</v>
      </c>
      <c r="F27" s="59">
        <v>193.8884949207555</v>
      </c>
      <c r="G27" s="59">
        <v>639.3368387734974</v>
      </c>
      <c r="H27" s="46">
        <f t="shared" si="19"/>
        <v>181559.19634899378</v>
      </c>
      <c r="I27" s="46">
        <f t="shared" si="30"/>
        <v>271775.18684181786</v>
      </c>
      <c r="J27" s="4">
        <f t="shared" si="20"/>
        <v>453334.3831908116</v>
      </c>
      <c r="K27" s="78">
        <f t="shared" si="0"/>
        <v>325.0407527478119</v>
      </c>
      <c r="L27" s="100">
        <v>0</v>
      </c>
      <c r="M27" s="100">
        <v>0</v>
      </c>
      <c r="N27" s="100">
        <f t="shared" si="31"/>
        <v>127.97793653230887</v>
      </c>
      <c r="O27" s="101">
        <f t="shared" si="21"/>
        <v>191.5501412131685</v>
      </c>
      <c r="P27" s="101">
        <f t="shared" si="21"/>
        <v>190.59239050710266</v>
      </c>
      <c r="Q27" s="101">
        <f t="shared" si="32"/>
        <v>636.14015457963</v>
      </c>
      <c r="R27" s="4">
        <f t="shared" si="33"/>
        <v>445645.8545962028</v>
      </c>
      <c r="S27" s="78">
        <f t="shared" si="1"/>
        <v>319.5280777454774</v>
      </c>
      <c r="T27" s="4">
        <f t="shared" si="22"/>
        <v>6234.8057868748365</v>
      </c>
      <c r="U27" s="39">
        <f t="shared" si="15"/>
        <v>907.8591508943374</v>
      </c>
      <c r="V27" s="8">
        <f t="shared" si="16"/>
        <v>0</v>
      </c>
      <c r="W27" s="4">
        <f t="shared" si="34"/>
        <v>874.3087027310623</v>
      </c>
      <c r="X27" s="4">
        <f t="shared" si="23"/>
        <v>33.55044816327503</v>
      </c>
      <c r="Y27" s="78">
        <v>0</v>
      </c>
      <c r="Z27" s="69">
        <v>0.68</v>
      </c>
      <c r="AA27" s="46">
        <f t="shared" si="35"/>
        <v>190.59239050710266</v>
      </c>
      <c r="AB27" s="46">
        <f t="shared" si="36"/>
        <v>191.5501412131685</v>
      </c>
      <c r="AC27" s="19"/>
      <c r="AD27" s="76">
        <f t="shared" si="24"/>
        <v>127.33804684964733</v>
      </c>
      <c r="AE27" s="76">
        <f t="shared" si="25"/>
        <v>127.97793653230887</v>
      </c>
      <c r="AF27" s="19"/>
      <c r="AG27" s="7">
        <f t="shared" si="26"/>
        <v>0</v>
      </c>
      <c r="AH27" s="7">
        <f>(L27+M27)*0.717/1000</f>
        <v>0</v>
      </c>
      <c r="AI27" s="17"/>
      <c r="AJ27" s="16"/>
      <c r="AL27" s="14"/>
      <c r="AM27" s="15"/>
      <c r="AO27" s="16"/>
      <c r="AP27" s="4">
        <f t="shared" si="27"/>
        <v>7142.664937769174</v>
      </c>
      <c r="AQ27" s="4">
        <f t="shared" si="28"/>
        <v>6710.0896326550255</v>
      </c>
      <c r="AR27" s="4">
        <f>AV27*AZ27+AW27*BA$6</f>
        <v>432.5753051141484</v>
      </c>
      <c r="AS27" s="4">
        <f t="shared" si="29"/>
        <v>319.5280777454774</v>
      </c>
      <c r="AT27" s="4"/>
      <c r="AU27" s="4"/>
      <c r="AV27" s="4">
        <f t="shared" si="37"/>
        <v>636.14015457963</v>
      </c>
      <c r="AW27" s="46">
        <f>AX27+AY27</f>
        <v>0</v>
      </c>
      <c r="AX27" s="46">
        <v>0</v>
      </c>
      <c r="AY27" s="46">
        <v>0</v>
      </c>
      <c r="AZ27" s="81">
        <f t="shared" si="38"/>
        <v>0.68</v>
      </c>
    </row>
    <row r="28" spans="1:52" ht="12.75">
      <c r="A28" s="58">
        <v>40087</v>
      </c>
      <c r="B28" s="60">
        <v>0</v>
      </c>
      <c r="C28" s="60">
        <v>0</v>
      </c>
      <c r="D28" s="59">
        <v>134.6944776875585</v>
      </c>
      <c r="E28" s="59">
        <v>175.96161792203233</v>
      </c>
      <c r="F28" s="59">
        <v>173.53435659137747</v>
      </c>
      <c r="G28" s="59">
        <v>651.6646419202506</v>
      </c>
      <c r="H28" s="46">
        <f t="shared" si="19"/>
        <v>187858.40681667853</v>
      </c>
      <c r="I28" s="46">
        <f t="shared" si="30"/>
        <v>245413.69305722782</v>
      </c>
      <c r="J28" s="4">
        <f t="shared" si="20"/>
        <v>433272.09987390635</v>
      </c>
      <c r="K28" s="78">
        <f t="shared" si="0"/>
        <v>310.6560956095908</v>
      </c>
      <c r="L28" s="100">
        <v>0</v>
      </c>
      <c r="M28" s="100">
        <v>0</v>
      </c>
      <c r="N28" s="100">
        <f t="shared" si="31"/>
        <v>132.41814101463876</v>
      </c>
      <c r="O28" s="101">
        <f t="shared" si="21"/>
        <v>172.97027041735777</v>
      </c>
      <c r="P28" s="101">
        <f t="shared" si="21"/>
        <v>170.58427252932407</v>
      </c>
      <c r="Q28" s="101">
        <f t="shared" si="32"/>
        <v>648.4063187106493</v>
      </c>
      <c r="R28" s="4">
        <f t="shared" si="33"/>
        <v>425925.2600167316</v>
      </c>
      <c r="S28" s="78">
        <f t="shared" si="1"/>
        <v>305.3884114319966</v>
      </c>
      <c r="T28" s="4">
        <f t="shared" si="22"/>
        <v>5958.627188532978</v>
      </c>
      <c r="U28" s="39">
        <f t="shared" si="15"/>
        <v>895.4457482621912</v>
      </c>
      <c r="V28" s="8">
        <f t="shared" si="16"/>
        <v>0</v>
      </c>
      <c r="W28" s="4">
        <f t="shared" si="34"/>
        <v>831.4358878069464</v>
      </c>
      <c r="X28" s="4">
        <f t="shared" si="23"/>
        <v>64.00986045524478</v>
      </c>
      <c r="Y28" s="78">
        <v>0</v>
      </c>
      <c r="Z28" s="69">
        <v>0.68</v>
      </c>
      <c r="AA28" s="46">
        <f t="shared" si="35"/>
        <v>170.58427252932407</v>
      </c>
      <c r="AB28" s="46">
        <f t="shared" si="36"/>
        <v>172.97027041735777</v>
      </c>
      <c r="AC28" s="19"/>
      <c r="AD28" s="76">
        <f t="shared" si="24"/>
        <v>131.75605030956558</v>
      </c>
      <c r="AE28" s="76">
        <f t="shared" si="25"/>
        <v>132.41814101463876</v>
      </c>
      <c r="AF28" s="19"/>
      <c r="AG28" s="7">
        <f t="shared" si="26"/>
        <v>0</v>
      </c>
      <c r="AH28" s="7">
        <f>(L28+M28)*0.717/1000</f>
        <v>0</v>
      </c>
      <c r="AI28" s="17"/>
      <c r="AJ28" s="16"/>
      <c r="AL28" s="14"/>
      <c r="AM28" s="15"/>
      <c r="AO28" s="16"/>
      <c r="AP28" s="4">
        <f t="shared" si="27"/>
        <v>6854.072936795169</v>
      </c>
      <c r="AQ28" s="4">
        <f t="shared" si="28"/>
        <v>6413.1566400719275</v>
      </c>
      <c r="AR28" s="4">
        <f>AV28*AZ28+AW28*BA$6</f>
        <v>440.91629672324154</v>
      </c>
      <c r="AS28" s="4">
        <f t="shared" si="29"/>
        <v>305.38841143199653</v>
      </c>
      <c r="AT28" s="4"/>
      <c r="AU28" s="4"/>
      <c r="AV28" s="4">
        <f t="shared" si="37"/>
        <v>648.4063187106493</v>
      </c>
      <c r="AW28" s="46">
        <f>AX28+AY28</f>
        <v>0</v>
      </c>
      <c r="AX28" s="46">
        <v>0</v>
      </c>
      <c r="AY28" s="46">
        <v>0</v>
      </c>
      <c r="AZ28" s="81">
        <f t="shared" si="38"/>
        <v>0.68</v>
      </c>
    </row>
    <row r="29" spans="1:52" ht="12.75">
      <c r="A29" s="58">
        <v>40118</v>
      </c>
      <c r="B29" s="60">
        <v>0</v>
      </c>
      <c r="C29" s="60">
        <v>0</v>
      </c>
      <c r="D29" s="59">
        <v>146.11563838990892</v>
      </c>
      <c r="E29" s="59">
        <v>320.85669819095324</v>
      </c>
      <c r="F29" s="59">
        <v>317.25339872829716</v>
      </c>
      <c r="G29" s="59">
        <v>688.7951979879878</v>
      </c>
      <c r="H29" s="46">
        <f t="shared" si="19"/>
        <v>203787.5012411561</v>
      </c>
      <c r="I29" s="46">
        <f t="shared" si="30"/>
        <v>447498.8817168107</v>
      </c>
      <c r="J29" s="4">
        <f t="shared" si="20"/>
        <v>651286.3829579668</v>
      </c>
      <c r="K29" s="78">
        <f t="shared" si="0"/>
        <v>466.9723365808622</v>
      </c>
      <c r="L29" s="100">
        <v>0</v>
      </c>
      <c r="M29" s="100">
        <v>0</v>
      </c>
      <c r="N29" s="100">
        <f t="shared" si="31"/>
        <v>143.64628410111945</v>
      </c>
      <c r="O29" s="101">
        <f>E29*(1-($D$46*10+$D$47*20)/30)</f>
        <v>315.2096203027925</v>
      </c>
      <c r="P29" s="101">
        <f>F29*(1-($D$46*10+$D$47*20)/30)</f>
        <v>311.66973891067914</v>
      </c>
      <c r="Q29" s="101">
        <f t="shared" si="32"/>
        <v>685.3512219980478</v>
      </c>
      <c r="R29" s="4">
        <f t="shared" si="33"/>
        <v>639966.3938687755</v>
      </c>
      <c r="S29" s="78">
        <f t="shared" si="1"/>
        <v>458.85590440391195</v>
      </c>
      <c r="T29" s="4">
        <f t="shared" si="22"/>
        <v>8762.448527499771</v>
      </c>
      <c r="U29" s="39">
        <f t="shared" si="15"/>
        <v>1339.5642959410532</v>
      </c>
      <c r="V29" s="82">
        <f t="shared" si="16"/>
        <v>0</v>
      </c>
      <c r="W29" s="4">
        <f t="shared" si="34"/>
        <v>1250.1439268760557</v>
      </c>
      <c r="X29" s="4">
        <f t="shared" si="23"/>
        <v>89.42036906499747</v>
      </c>
      <c r="Y29" s="78">
        <v>0</v>
      </c>
      <c r="Z29" s="69">
        <v>0.68</v>
      </c>
      <c r="AA29" s="46">
        <f t="shared" si="35"/>
        <v>311.66973891067914</v>
      </c>
      <c r="AB29" s="46">
        <f t="shared" si="36"/>
        <v>315.2096203027925</v>
      </c>
      <c r="AC29" s="19"/>
      <c r="AD29" s="76">
        <f>AE29*AF$6</f>
        <v>142.92805268061386</v>
      </c>
      <c r="AE29" s="76">
        <f t="shared" si="25"/>
        <v>143.64628410111945</v>
      </c>
      <c r="AF29" s="68"/>
      <c r="AG29" s="7">
        <f t="shared" si="26"/>
        <v>0</v>
      </c>
      <c r="AH29" s="7">
        <f>(L29+M29)*0.717/1000</f>
        <v>0</v>
      </c>
      <c r="AI29" s="17"/>
      <c r="AJ29" s="16"/>
      <c r="AL29" s="14"/>
      <c r="AM29" s="15"/>
      <c r="AO29" s="16"/>
      <c r="AP29" s="4">
        <f t="shared" si="27"/>
        <v>10102.012823440824</v>
      </c>
      <c r="AQ29" s="4">
        <f t="shared" si="28"/>
        <v>9635.973992482152</v>
      </c>
      <c r="AR29" s="4">
        <f>AV29*AZ29+AW29*BA$6</f>
        <v>466.0388309586725</v>
      </c>
      <c r="AS29" s="4">
        <f t="shared" si="29"/>
        <v>458.85590440391195</v>
      </c>
      <c r="AT29" s="4"/>
      <c r="AU29" s="4"/>
      <c r="AV29" s="4">
        <f t="shared" si="37"/>
        <v>685.3512219980478</v>
      </c>
      <c r="AW29" s="46">
        <f>AX29+AY29</f>
        <v>0</v>
      </c>
      <c r="AX29" s="46">
        <v>0</v>
      </c>
      <c r="AY29" s="46">
        <v>0</v>
      </c>
      <c r="AZ29" s="81">
        <f t="shared" si="38"/>
        <v>0.68</v>
      </c>
    </row>
    <row r="30" spans="1:55" ht="13.5" thickBot="1">
      <c r="A30" s="58">
        <v>40148</v>
      </c>
      <c r="B30" s="61">
        <v>0</v>
      </c>
      <c r="C30" s="61">
        <v>0</v>
      </c>
      <c r="D30" s="111">
        <v>142.65077822812142</v>
      </c>
      <c r="E30" s="111">
        <v>396.01844886930206</v>
      </c>
      <c r="F30" s="111">
        <v>394.0205749328922</v>
      </c>
      <c r="G30" s="111">
        <v>687.977</v>
      </c>
      <c r="H30" s="46">
        <f t="shared" si="19"/>
        <v>198955.060290267</v>
      </c>
      <c r="I30" s="46">
        <f t="shared" si="30"/>
        <v>552326.9858707142</v>
      </c>
      <c r="J30" s="4">
        <f t="shared" si="20"/>
        <v>751282.0461609812</v>
      </c>
      <c r="K30" s="78">
        <f t="shared" si="0"/>
        <v>538.6692270974235</v>
      </c>
      <c r="L30" s="100">
        <v>0</v>
      </c>
      <c r="M30" s="100">
        <v>0</v>
      </c>
      <c r="N30" s="100">
        <f t="shared" si="31"/>
        <v>140.23998007606616</v>
      </c>
      <c r="O30" s="101">
        <f>E30*(1-$D$47)</f>
        <v>388.92971863454153</v>
      </c>
      <c r="P30" s="101">
        <f>F30*(1-$D$47)</f>
        <v>386.9676066415934</v>
      </c>
      <c r="Q30" s="101">
        <f t="shared" si="32"/>
        <v>684.537115</v>
      </c>
      <c r="R30" s="4">
        <f t="shared" si="33"/>
        <v>738033.0525949899</v>
      </c>
      <c r="S30" s="78">
        <f t="shared" si="1"/>
        <v>529.1696987106077</v>
      </c>
      <c r="T30" s="28">
        <f t="shared" si="22"/>
        <v>10074.226797615347</v>
      </c>
      <c r="U30" s="28">
        <f t="shared" si="15"/>
        <v>1503.8221135074152</v>
      </c>
      <c r="V30" s="83">
        <f t="shared" si="16"/>
        <v>0</v>
      </c>
      <c r="W30" s="4">
        <f t="shared" si="34"/>
        <v>1447.892563747518</v>
      </c>
      <c r="X30" s="4">
        <f t="shared" si="23"/>
        <v>55.92954975989726</v>
      </c>
      <c r="Y30" s="78">
        <v>0</v>
      </c>
      <c r="Z30" s="71">
        <v>0.68</v>
      </c>
      <c r="AA30" s="46">
        <f t="shared" si="35"/>
        <v>386.9676066415934</v>
      </c>
      <c r="AB30" s="46">
        <f t="shared" si="36"/>
        <v>388.92971863454153</v>
      </c>
      <c r="AC30" s="24"/>
      <c r="AD30" s="76">
        <f>AE30*AF$6</f>
        <v>139.53878017568582</v>
      </c>
      <c r="AE30" s="76">
        <f t="shared" si="25"/>
        <v>140.23998007606616</v>
      </c>
      <c r="AF30" s="68"/>
      <c r="AG30" s="7">
        <f t="shared" si="26"/>
        <v>0</v>
      </c>
      <c r="AH30" s="7">
        <f>(L30+M30)*0.717/1000</f>
        <v>0</v>
      </c>
      <c r="AI30" s="25"/>
      <c r="AJ30" s="26"/>
      <c r="AK30" s="27"/>
      <c r="AL30" s="29"/>
      <c r="AM30" s="22"/>
      <c r="AN30" s="27"/>
      <c r="AO30" s="26"/>
      <c r="AP30" s="28">
        <f t="shared" si="27"/>
        <v>11578.048911122762</v>
      </c>
      <c r="AQ30" s="28">
        <f t="shared" si="28"/>
        <v>11112.56367292276</v>
      </c>
      <c r="AR30" s="4">
        <f>AV30*AZ30+AW30*BA$6</f>
        <v>465.4852382</v>
      </c>
      <c r="AS30" s="4">
        <f t="shared" si="29"/>
        <v>529.1696987106077</v>
      </c>
      <c r="AT30" s="28"/>
      <c r="AU30" s="28"/>
      <c r="AV30" s="4">
        <f t="shared" si="37"/>
        <v>684.537115</v>
      </c>
      <c r="AW30" s="46">
        <f>AX30+AY30</f>
        <v>0</v>
      </c>
      <c r="AX30" s="46">
        <v>0</v>
      </c>
      <c r="AY30" s="46">
        <v>0</v>
      </c>
      <c r="AZ30" s="81">
        <f t="shared" si="38"/>
        <v>0.68</v>
      </c>
      <c r="BA30" s="27"/>
      <c r="BB30" s="27"/>
      <c r="BC30" s="27"/>
    </row>
    <row r="31" spans="1:55" ht="13.5" thickBot="1">
      <c r="A31" s="49" t="s">
        <v>104</v>
      </c>
      <c r="B31" s="50">
        <f aca="true" t="shared" si="39" ref="B31:R31">SUM(B19:B30)</f>
        <v>0</v>
      </c>
      <c r="C31" s="50">
        <f t="shared" si="39"/>
        <v>0</v>
      </c>
      <c r="D31" s="50">
        <f t="shared" si="39"/>
        <v>911.3474716192987</v>
      </c>
      <c r="E31" s="50">
        <f t="shared" si="39"/>
        <v>2561.128176348796</v>
      </c>
      <c r="F31" s="50">
        <f t="shared" si="39"/>
        <v>2542.001605535085</v>
      </c>
      <c r="G31" s="50">
        <f t="shared" si="39"/>
        <v>4392.951178681736</v>
      </c>
      <c r="H31" s="50">
        <f t="shared" si="39"/>
        <v>1271056.4457730805</v>
      </c>
      <c r="I31" s="50">
        <f t="shared" si="39"/>
        <v>3572005.824754248</v>
      </c>
      <c r="J31" s="50">
        <f t="shared" si="39"/>
        <v>4843062.270527328</v>
      </c>
      <c r="K31" s="79">
        <f t="shared" si="39"/>
        <v>3472.4756479680946</v>
      </c>
      <c r="L31" s="50">
        <f t="shared" si="39"/>
        <v>0</v>
      </c>
      <c r="M31" s="50">
        <f t="shared" si="39"/>
        <v>0</v>
      </c>
      <c r="N31" s="50">
        <f t="shared" si="39"/>
        <v>895.9456993489325</v>
      </c>
      <c r="O31" s="50">
        <f t="shared" si="39"/>
        <v>2517.040066727969</v>
      </c>
      <c r="P31" s="50">
        <f t="shared" si="39"/>
        <v>2498.242607684313</v>
      </c>
      <c r="Q31" s="50">
        <f t="shared" si="39"/>
        <v>4370.986422788327</v>
      </c>
      <c r="R31" s="50">
        <f t="shared" si="39"/>
        <v>4760091.723956627</v>
      </c>
      <c r="S31" s="79">
        <f aca="true" t="shared" si="40" ref="S31:Y31">SUM(S19:S30)</f>
        <v>3412.985766076902</v>
      </c>
      <c r="T31" s="50">
        <f t="shared" si="40"/>
        <v>64834.45232578719</v>
      </c>
      <c r="U31" s="50">
        <f t="shared" si="40"/>
        <v>9810.519529323805</v>
      </c>
      <c r="V31" s="50">
        <f t="shared" si="40"/>
        <v>0</v>
      </c>
      <c r="W31" s="50">
        <f t="shared" si="40"/>
        <v>9321.698590975375</v>
      </c>
      <c r="X31" s="50">
        <f>SUM(X19:X30)</f>
        <v>488.82093834843016</v>
      </c>
      <c r="Y31" s="50">
        <f t="shared" si="40"/>
        <v>0</v>
      </c>
      <c r="Z31" s="72">
        <v>0.68</v>
      </c>
      <c r="AA31" s="50">
        <f>SUM(AA19:AA30)</f>
        <v>2498.242607684313</v>
      </c>
      <c r="AB31" s="50">
        <f>SUM(AB19:AB30)</f>
        <v>2517.040066727969</v>
      </c>
      <c r="AC31" s="53"/>
      <c r="AD31" s="50">
        <f>SUM(AD19:AD30)</f>
        <v>891.4659708521879</v>
      </c>
      <c r="AE31" s="50">
        <f>SUM(AE19:AE30)</f>
        <v>895.9456993489325</v>
      </c>
      <c r="AF31" s="51"/>
      <c r="AG31" s="50">
        <f>SUM(AG19:AG30)</f>
        <v>0</v>
      </c>
      <c r="AH31" s="50">
        <f>SUM(AH19:AH30)</f>
        <v>0</v>
      </c>
      <c r="AI31" s="54"/>
      <c r="AJ31" s="55"/>
      <c r="AK31" s="50"/>
      <c r="AL31" s="56"/>
      <c r="AM31" s="50"/>
      <c r="AN31" s="50"/>
      <c r="AO31" s="55"/>
      <c r="AP31" s="50">
        <f>SUM(AP19:AP30)</f>
        <v>74644.971855111</v>
      </c>
      <c r="AQ31" s="50">
        <f>SUM(AQ19:AQ30)</f>
        <v>71672.70108761493</v>
      </c>
      <c r="AR31" s="50">
        <f>SUM(AR19:AR30)</f>
        <v>2972.2707674960625</v>
      </c>
      <c r="AS31" s="50">
        <f>SUM(AS19:AS30)</f>
        <v>3412.985766076902</v>
      </c>
      <c r="AT31" s="57"/>
      <c r="AU31" s="57"/>
      <c r="AV31" s="50">
        <f>SUM(AV19:AV30)</f>
        <v>4370.986422788327</v>
      </c>
      <c r="AW31" s="50">
        <f>SUM(AW19:AW30)</f>
        <v>0</v>
      </c>
      <c r="AX31" s="50">
        <f>SUM(AX19:AX30)</f>
        <v>0</v>
      </c>
      <c r="AY31" s="50">
        <f>SUM(AY19:AY30)</f>
        <v>0</v>
      </c>
      <c r="AZ31" s="30"/>
      <c r="BA31" s="30"/>
      <c r="BB31" s="30"/>
      <c r="BC31" s="30"/>
    </row>
    <row r="32" spans="1:52" ht="12.75">
      <c r="A32" s="58">
        <v>40179</v>
      </c>
      <c r="B32" s="59">
        <v>0</v>
      </c>
      <c r="C32" s="59">
        <v>0</v>
      </c>
      <c r="D32" s="59">
        <v>134.95737530926002</v>
      </c>
      <c r="E32" s="59">
        <v>36.21563481622417</v>
      </c>
      <c r="F32" s="59">
        <v>34.845791107428155</v>
      </c>
      <c r="G32" s="59">
        <v>650.859</v>
      </c>
      <c r="H32" s="46">
        <f>D32*1000/0.717</f>
        <v>188225.07016633195</v>
      </c>
      <c r="I32" s="46">
        <f t="shared" si="30"/>
        <v>50509.950929182945</v>
      </c>
      <c r="J32" s="4">
        <f t="shared" si="20"/>
        <v>238735.02109551488</v>
      </c>
      <c r="K32" s="78">
        <f>J32*0.717/1000</f>
        <v>171.17301012548418</v>
      </c>
      <c r="L32" s="100">
        <v>0</v>
      </c>
      <c r="M32" s="100">
        <v>0</v>
      </c>
      <c r="N32" s="100">
        <f t="shared" si="31"/>
        <v>132.67659566653353</v>
      </c>
      <c r="O32" s="101">
        <f aca="true" t="shared" si="41" ref="O32:P34">E32*(1-$D$47)</f>
        <v>35.567374953013754</v>
      </c>
      <c r="P32" s="101">
        <f t="shared" si="41"/>
        <v>34.22205144660519</v>
      </c>
      <c r="Q32" s="101">
        <f t="shared" si="32"/>
        <v>647.6047050000001</v>
      </c>
      <c r="R32" s="4">
        <f>L32+M32+(N32+O32)*1000/0.717</f>
        <v>234649.8892880715</v>
      </c>
      <c r="S32" s="78">
        <f>R32*0.717/1000</f>
        <v>168.24397061954727</v>
      </c>
      <c r="T32" s="4">
        <f>AP32-U32</f>
        <v>3465.0983039902103</v>
      </c>
      <c r="U32" s="4">
        <f>V32+W32+X32</f>
        <v>499.3298125502825</v>
      </c>
      <c r="V32" s="7">
        <f>Y32*Z32</f>
        <v>0</v>
      </c>
      <c r="W32" s="4">
        <f t="shared" si="34"/>
        <v>457.1469763707167</v>
      </c>
      <c r="X32" s="4">
        <f>AO$6*((AB32-AA32)+AE32*(1-AF$6)+AH32*(1-AI$6))</f>
        <v>42.182836179565825</v>
      </c>
      <c r="Y32" s="78">
        <v>0</v>
      </c>
      <c r="Z32" s="18">
        <v>0.666</v>
      </c>
      <c r="AA32" s="46">
        <f>P32</f>
        <v>34.22205144660519</v>
      </c>
      <c r="AB32" s="46">
        <f>O32</f>
        <v>35.567374953013754</v>
      </c>
      <c r="AC32" s="19"/>
      <c r="AD32" s="46">
        <f>AE32*AF$6</f>
        <v>132.01321268820087</v>
      </c>
      <c r="AE32" s="76">
        <f>N32</f>
        <v>132.67659566653353</v>
      </c>
      <c r="AF32" s="68"/>
      <c r="AG32" s="7">
        <f>AH32*AI$6</f>
        <v>0</v>
      </c>
      <c r="AH32" s="7">
        <f>(L32+M32)*0.717/1000</f>
        <v>0</v>
      </c>
      <c r="AI32" s="17"/>
      <c r="AJ32" s="16"/>
      <c r="AL32" s="14"/>
      <c r="AM32" s="15"/>
      <c r="AO32" s="16"/>
      <c r="AP32" s="4">
        <f>AQ32+AR32</f>
        <v>3964.4281165404927</v>
      </c>
      <c r="AQ32" s="4">
        <f>AS32*AT$6</f>
        <v>3533.1233830104925</v>
      </c>
      <c r="AR32" s="4">
        <f>AV32*AZ32+AW32*BA$6</f>
        <v>431.3047335300001</v>
      </c>
      <c r="AS32" s="4">
        <f>(AB32+AE32+AH32)</f>
        <v>168.24397061954727</v>
      </c>
      <c r="AT32" s="4"/>
      <c r="AU32" s="4"/>
      <c r="AV32" s="4">
        <f t="shared" si="37"/>
        <v>647.6047050000001</v>
      </c>
      <c r="AW32" s="46">
        <f>AX32+AY32</f>
        <v>0</v>
      </c>
      <c r="AX32" s="46">
        <v>0</v>
      </c>
      <c r="AY32" s="46">
        <v>0</v>
      </c>
      <c r="AZ32" s="81">
        <f>Z32</f>
        <v>0.666</v>
      </c>
    </row>
    <row r="33" spans="1:52" ht="12.75">
      <c r="A33" s="58">
        <v>40210</v>
      </c>
      <c r="B33" s="59">
        <v>0</v>
      </c>
      <c r="C33" s="59">
        <v>0</v>
      </c>
      <c r="D33" s="59">
        <v>116.73096037861656</v>
      </c>
      <c r="E33" s="59">
        <v>16.95340983128691</v>
      </c>
      <c r="F33" s="59">
        <v>16.848130901927203</v>
      </c>
      <c r="G33" s="59">
        <v>562.97375</v>
      </c>
      <c r="H33" s="46">
        <f>D33*1000/0.717</f>
        <v>162804.68672052518</v>
      </c>
      <c r="I33" s="46">
        <f t="shared" si="30"/>
        <v>23644.92305618816</v>
      </c>
      <c r="J33" s="4">
        <f t="shared" si="20"/>
        <v>186449.60977671333</v>
      </c>
      <c r="K33" s="78">
        <f>J33*0.717/1000</f>
        <v>133.68437020990345</v>
      </c>
      <c r="L33" s="100">
        <v>0</v>
      </c>
      <c r="M33" s="100">
        <v>0</v>
      </c>
      <c r="N33" s="100">
        <f t="shared" si="31"/>
        <v>114.75820714821793</v>
      </c>
      <c r="O33" s="101">
        <f t="shared" si="41"/>
        <v>16.64994379530687</v>
      </c>
      <c r="P33" s="101">
        <f t="shared" si="41"/>
        <v>16.546549358782705</v>
      </c>
      <c r="Q33" s="101">
        <f t="shared" si="32"/>
        <v>560.15888125</v>
      </c>
      <c r="R33" s="4">
        <f>L33+M33+(N33+O33)*1000/0.717</f>
        <v>183274.9664484307</v>
      </c>
      <c r="S33" s="78">
        <f>R33*0.717/1000</f>
        <v>131.40815094352482</v>
      </c>
      <c r="T33" s="4">
        <f>AP33-U33</f>
        <v>2758.9059347629873</v>
      </c>
      <c r="U33" s="4">
        <f>V33+W33+X33</f>
        <v>373.73104996353413</v>
      </c>
      <c r="V33" s="7">
        <f>Y33*Z33</f>
        <v>0</v>
      </c>
      <c r="W33" s="4">
        <f t="shared" si="34"/>
        <v>359.51015504596376</v>
      </c>
      <c r="X33" s="4">
        <f>AO$6*((AB33-AA33)+AE33*(1-AF$6)+AH33*(1-AI$6))</f>
        <v>14.220894917570376</v>
      </c>
      <c r="Y33" s="78">
        <v>0</v>
      </c>
      <c r="Z33" s="18">
        <v>0.666</v>
      </c>
      <c r="AA33" s="46">
        <f>P33</f>
        <v>16.546549358782705</v>
      </c>
      <c r="AB33" s="46">
        <f>O33</f>
        <v>16.64994379530687</v>
      </c>
      <c r="AC33" s="19"/>
      <c r="AD33" s="46">
        <f>AE33*AF$6</f>
        <v>114.18441611247684</v>
      </c>
      <c r="AE33" s="76">
        <f>N33</f>
        <v>114.75820714821793</v>
      </c>
      <c r="AF33" s="68"/>
      <c r="AG33" s="7">
        <f>AH33*AI$6</f>
        <v>0</v>
      </c>
      <c r="AH33" s="7">
        <f>(L33+M33)*0.717/1000</f>
        <v>0</v>
      </c>
      <c r="AI33" s="17"/>
      <c r="AJ33" s="16"/>
      <c r="AL33" s="14"/>
      <c r="AM33" s="15"/>
      <c r="AO33" s="16"/>
      <c r="AP33" s="4">
        <f>AQ33+AR33</f>
        <v>3132.6369847265214</v>
      </c>
      <c r="AQ33" s="4">
        <f>AS33*AT$6</f>
        <v>2759.5711698140212</v>
      </c>
      <c r="AR33" s="4">
        <f>AV33*AZ33+AW33*BA$6</f>
        <v>373.06581491250006</v>
      </c>
      <c r="AS33" s="4">
        <f>(AB33+AE33+AH33)</f>
        <v>131.40815094352482</v>
      </c>
      <c r="AT33" s="4"/>
      <c r="AU33" s="4"/>
      <c r="AV33" s="4">
        <f t="shared" si="37"/>
        <v>560.15888125</v>
      </c>
      <c r="AW33" s="46">
        <f>AX33+AY33</f>
        <v>0</v>
      </c>
      <c r="AX33" s="46">
        <v>0</v>
      </c>
      <c r="AY33" s="46">
        <v>0</v>
      </c>
      <c r="AZ33" s="81">
        <f>Z33</f>
        <v>0.666</v>
      </c>
    </row>
    <row r="34" spans="1:52" ht="13.5" thickBot="1">
      <c r="A34" s="58">
        <v>40238</v>
      </c>
      <c r="B34" s="59">
        <v>0</v>
      </c>
      <c r="C34" s="59">
        <v>0</v>
      </c>
      <c r="D34" s="59">
        <v>116.86594749313667</v>
      </c>
      <c r="E34" s="59">
        <v>0</v>
      </c>
      <c r="F34" s="59">
        <v>0</v>
      </c>
      <c r="G34" s="59">
        <v>544.0067576729975</v>
      </c>
      <c r="H34" s="46">
        <f>D34*1000/0.717</f>
        <v>162992.95326797306</v>
      </c>
      <c r="I34" s="46">
        <f t="shared" si="30"/>
        <v>0</v>
      </c>
      <c r="J34" s="4">
        <f t="shared" si="20"/>
        <v>162992.95326797306</v>
      </c>
      <c r="K34" s="78">
        <f>J34*0.717/1000</f>
        <v>116.86594749313669</v>
      </c>
      <c r="L34" s="100">
        <v>0</v>
      </c>
      <c r="M34" s="100">
        <v>0</v>
      </c>
      <c r="N34" s="100">
        <f t="shared" si="31"/>
        <v>114.89091298050266</v>
      </c>
      <c r="O34" s="101">
        <f t="shared" si="41"/>
        <v>0</v>
      </c>
      <c r="P34" s="101">
        <f t="shared" si="41"/>
        <v>0</v>
      </c>
      <c r="Q34" s="101">
        <f t="shared" si="32"/>
        <v>541.2867238846326</v>
      </c>
      <c r="R34" s="4">
        <f>L34+M34+(N34+O34)*1000/0.717</f>
        <v>160238.37235774432</v>
      </c>
      <c r="S34" s="78">
        <f>R34*0.717/1000</f>
        <v>114.89091298050268</v>
      </c>
      <c r="T34" s="4">
        <f>AP34-U34</f>
        <v>2446.772324191868</v>
      </c>
      <c r="U34" s="4">
        <f>V34+W34+X34</f>
        <v>326.43380650585317</v>
      </c>
      <c r="V34">
        <f>Y34*Z34</f>
        <v>0</v>
      </c>
      <c r="W34" s="4">
        <f t="shared" si="34"/>
        <v>314.3702606429004</v>
      </c>
      <c r="X34" s="4">
        <f>AO$6*((AB34-AA34)+AE34*(1-AF$6)+AH34*(1-AI$6))</f>
        <v>12.06354586295279</v>
      </c>
      <c r="Y34" s="78">
        <v>0</v>
      </c>
      <c r="Z34" s="23">
        <v>0.666</v>
      </c>
      <c r="AA34" s="46">
        <f>P34</f>
        <v>0</v>
      </c>
      <c r="AB34" s="46">
        <f>O34</f>
        <v>0</v>
      </c>
      <c r="AC34" s="19"/>
      <c r="AD34" s="46">
        <f>AE34*AF$6</f>
        <v>114.31645841560015</v>
      </c>
      <c r="AE34" s="76">
        <f>N34</f>
        <v>114.89091298050266</v>
      </c>
      <c r="AF34" s="68"/>
      <c r="AG34" s="7">
        <f>AH34*AI$6</f>
        <v>0</v>
      </c>
      <c r="AH34" s="7">
        <f>(L34+M34)*0.717/1000</f>
        <v>0</v>
      </c>
      <c r="AI34" s="17"/>
      <c r="AJ34" s="16"/>
      <c r="AL34" s="14"/>
      <c r="AM34" s="15"/>
      <c r="AO34" s="16"/>
      <c r="AP34" s="4">
        <f>AQ34+AR34</f>
        <v>2773.206130697721</v>
      </c>
      <c r="AQ34" s="4">
        <f>AS34*AT$6</f>
        <v>2412.7091725905557</v>
      </c>
      <c r="AR34" s="4">
        <f>AV34*AZ34+AW34*BA$6</f>
        <v>360.4969581071653</v>
      </c>
      <c r="AS34" s="4">
        <f>(AB34+AE34+AH34)</f>
        <v>114.89091298050266</v>
      </c>
      <c r="AT34" s="4"/>
      <c r="AU34" s="4"/>
      <c r="AV34" s="4">
        <f t="shared" si="37"/>
        <v>541.2867238846326</v>
      </c>
      <c r="AW34" s="46">
        <f>AX34+AY34</f>
        <v>0</v>
      </c>
      <c r="AX34" s="46">
        <v>0</v>
      </c>
      <c r="AY34" s="46">
        <v>0</v>
      </c>
      <c r="AZ34" s="81">
        <f>Z34</f>
        <v>0.666</v>
      </c>
    </row>
    <row r="35" spans="1:55" ht="13.5" thickBot="1">
      <c r="A35" s="49" t="s">
        <v>105</v>
      </c>
      <c r="B35" s="50">
        <f aca="true" t="shared" si="42" ref="B35:Y35">SUM(B32:B34)</f>
        <v>0</v>
      </c>
      <c r="C35" s="50">
        <f t="shared" si="42"/>
        <v>0</v>
      </c>
      <c r="D35" s="50">
        <f t="shared" si="42"/>
        <v>368.55428318101326</v>
      </c>
      <c r="E35" s="50">
        <f t="shared" si="42"/>
        <v>53.16904464751107</v>
      </c>
      <c r="F35" s="50">
        <f t="shared" si="42"/>
        <v>51.69392200935536</v>
      </c>
      <c r="G35" s="50">
        <f t="shared" si="42"/>
        <v>1757.8395076729976</v>
      </c>
      <c r="H35" s="50">
        <f t="shared" si="42"/>
        <v>514022.7101548301</v>
      </c>
      <c r="I35" s="50">
        <f t="shared" si="42"/>
        <v>74154.8739853711</v>
      </c>
      <c r="J35" s="50">
        <f t="shared" si="42"/>
        <v>588177.5841402012</v>
      </c>
      <c r="K35" s="79">
        <f t="shared" si="42"/>
        <v>421.7233278285243</v>
      </c>
      <c r="L35" s="50">
        <f t="shared" si="42"/>
        <v>0</v>
      </c>
      <c r="M35" s="50">
        <f t="shared" si="42"/>
        <v>0</v>
      </c>
      <c r="N35" s="50">
        <f t="shared" si="42"/>
        <v>362.32571579525415</v>
      </c>
      <c r="O35" s="50">
        <f t="shared" si="42"/>
        <v>52.21731874832062</v>
      </c>
      <c r="P35" s="50">
        <f t="shared" si="42"/>
        <v>50.7686008053879</v>
      </c>
      <c r="Q35" s="50">
        <f t="shared" si="42"/>
        <v>1749.0503101346326</v>
      </c>
      <c r="R35" s="50">
        <f t="shared" si="42"/>
        <v>578163.2280942465</v>
      </c>
      <c r="S35" s="79">
        <f t="shared" si="42"/>
        <v>414.5430345435748</v>
      </c>
      <c r="T35" s="50">
        <f t="shared" si="42"/>
        <v>8670.776562945066</v>
      </c>
      <c r="U35" s="50">
        <f t="shared" si="42"/>
        <v>1199.4946690196698</v>
      </c>
      <c r="V35" s="50">
        <f t="shared" si="42"/>
        <v>0</v>
      </c>
      <c r="W35" s="50">
        <f t="shared" si="42"/>
        <v>1131.0273920595807</v>
      </c>
      <c r="X35" s="50">
        <f t="shared" si="42"/>
        <v>68.467276960089</v>
      </c>
      <c r="Y35" s="50">
        <f t="shared" si="42"/>
        <v>0</v>
      </c>
      <c r="Z35" s="18">
        <v>0.666</v>
      </c>
      <c r="AA35" s="50">
        <f>SUM(AA32:AA34)</f>
        <v>50.7686008053879</v>
      </c>
      <c r="AB35" s="50">
        <f>SUM(AB32:AB34)</f>
        <v>52.21731874832062</v>
      </c>
      <c r="AC35" s="53"/>
      <c r="AD35" s="50">
        <f>SUM(AD32:AD34)</f>
        <v>360.51408721627786</v>
      </c>
      <c r="AE35" s="50">
        <f>SUM(AE32:AE34)</f>
        <v>362.32571579525415</v>
      </c>
      <c r="AF35" s="50"/>
      <c r="AG35" s="50">
        <f>SUM(AG32:AG34)</f>
        <v>0</v>
      </c>
      <c r="AH35" s="50">
        <f>SUM(AH32:AH34)</f>
        <v>0</v>
      </c>
      <c r="AI35" s="54"/>
      <c r="AJ35" s="55"/>
      <c r="AK35" s="50"/>
      <c r="AL35" s="56"/>
      <c r="AM35" s="50"/>
      <c r="AN35" s="50"/>
      <c r="AO35" s="55"/>
      <c r="AP35" s="50">
        <f>SUM(AP32:AP34)</f>
        <v>9870.271231964736</v>
      </c>
      <c r="AQ35" s="50">
        <f>SUM(AQ32:AQ34)</f>
        <v>8705.40372541507</v>
      </c>
      <c r="AR35" s="50">
        <f>SUM(AR32:AR34)</f>
        <v>1164.8675065496654</v>
      </c>
      <c r="AS35" s="50">
        <f>SUM(AS32:AS34)</f>
        <v>414.5430345435748</v>
      </c>
      <c r="AT35" s="57"/>
      <c r="AU35" s="57"/>
      <c r="AV35" s="50">
        <f>SUM(AV32:AV34)</f>
        <v>1749.0503101346326</v>
      </c>
      <c r="AW35" s="50">
        <f>SUM(AW32:AW34)</f>
        <v>0</v>
      </c>
      <c r="AX35" s="50">
        <f>SUM(AX32:AX34)</f>
        <v>0</v>
      </c>
      <c r="AY35" s="50">
        <f>SUM(AY32:AY34)</f>
        <v>0</v>
      </c>
      <c r="AZ35" s="30"/>
      <c r="BA35" s="30"/>
      <c r="BB35" s="30"/>
      <c r="BC35" s="30"/>
    </row>
    <row r="36" spans="1:55" ht="17.25">
      <c r="A36" s="33" t="s">
        <v>106</v>
      </c>
      <c r="B36" s="35"/>
      <c r="C36" s="35"/>
      <c r="D36" s="35"/>
      <c r="E36" s="35"/>
      <c r="F36" s="35"/>
      <c r="G36" s="34"/>
      <c r="H36" s="34"/>
      <c r="I36" s="34"/>
      <c r="J36" s="35"/>
      <c r="K36" s="34"/>
      <c r="L36" s="35"/>
      <c r="M36" s="35"/>
      <c r="N36" s="35"/>
      <c r="O36" s="35"/>
      <c r="P36" s="35"/>
      <c r="Q36" s="35"/>
      <c r="R36" s="35"/>
      <c r="S36" s="34"/>
      <c r="T36" s="34"/>
      <c r="U36" s="34"/>
      <c r="V36" s="34"/>
      <c r="W36" s="35"/>
      <c r="X36" s="35"/>
      <c r="Y36" s="34"/>
      <c r="Z36" s="34"/>
      <c r="AA36" s="35"/>
      <c r="AB36" s="35"/>
      <c r="AC36" s="34"/>
      <c r="AD36" s="35"/>
      <c r="AE36" s="35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42"/>
      <c r="BA36" s="43"/>
      <c r="BB36" s="43"/>
      <c r="BC36" s="43"/>
    </row>
    <row r="37" spans="1:55" ht="13.5" thickBot="1">
      <c r="A37" s="36" t="s">
        <v>96</v>
      </c>
      <c r="B37" s="38">
        <f aca="true" t="shared" si="43" ref="B37:Y37">B18+B31+B35</f>
        <v>0</v>
      </c>
      <c r="C37" s="38">
        <f t="shared" si="43"/>
        <v>0</v>
      </c>
      <c r="D37" s="38">
        <f t="shared" si="43"/>
        <v>1279.9017548003121</v>
      </c>
      <c r="E37" s="38">
        <f t="shared" si="43"/>
        <v>2706.7366797970194</v>
      </c>
      <c r="F37" s="38">
        <f t="shared" si="43"/>
        <v>2685.029840823401</v>
      </c>
      <c r="G37" s="38">
        <f t="shared" si="43"/>
        <v>6150.790686354733</v>
      </c>
      <c r="H37" s="38">
        <f t="shared" si="43"/>
        <v>1785079.1559279105</v>
      </c>
      <c r="I37" s="38">
        <f t="shared" si="43"/>
        <v>3775086.0248215054</v>
      </c>
      <c r="J37" s="38">
        <f t="shared" si="43"/>
        <v>5560165.180749416</v>
      </c>
      <c r="K37" s="38">
        <f t="shared" si="43"/>
        <v>3986.6384345973315</v>
      </c>
      <c r="L37" s="38">
        <f t="shared" si="43"/>
        <v>0</v>
      </c>
      <c r="M37" s="38">
        <f t="shared" si="43"/>
        <v>0</v>
      </c>
      <c r="N37" s="38">
        <f t="shared" si="43"/>
        <v>1258.2714151441867</v>
      </c>
      <c r="O37" s="38">
        <f t="shared" si="43"/>
        <v>2660.12537347739</v>
      </c>
      <c r="P37" s="38">
        <f t="shared" si="43"/>
        <v>2638.792838442919</v>
      </c>
      <c r="Q37" s="38">
        <f t="shared" si="43"/>
        <v>6120.036732922959</v>
      </c>
      <c r="R37" s="38">
        <f t="shared" si="43"/>
        <v>5464988.547589367</v>
      </c>
      <c r="S37" s="38">
        <f t="shared" si="43"/>
        <v>3918.3967886215773</v>
      </c>
      <c r="T37" s="38">
        <f t="shared" si="43"/>
        <v>75143.74363537849</v>
      </c>
      <c r="U37" s="38">
        <f t="shared" si="43"/>
        <v>11279.727199720355</v>
      </c>
      <c r="V37" s="38">
        <f t="shared" si="43"/>
        <v>0</v>
      </c>
      <c r="W37" s="38">
        <f t="shared" si="43"/>
        <v>10699.625465406305</v>
      </c>
      <c r="X37" s="38">
        <f t="shared" si="43"/>
        <v>580.1017343140498</v>
      </c>
      <c r="Y37" s="38">
        <f t="shared" si="43"/>
        <v>0</v>
      </c>
      <c r="Z37" s="70" t="s">
        <v>107</v>
      </c>
      <c r="AA37" s="38">
        <f>AA18+AA31+AA35</f>
        <v>2638.792838442919</v>
      </c>
      <c r="AB37" s="38">
        <f>AB18+AB31+AB35</f>
        <v>2660.12537347739</v>
      </c>
      <c r="AC37" s="38"/>
      <c r="AD37" s="38">
        <f>AD18+AD31+AD35</f>
        <v>1251.9800580684657</v>
      </c>
      <c r="AE37" s="38">
        <f>AE18+AE31+AE35</f>
        <v>1258.2714151441867</v>
      </c>
      <c r="AF37" s="38"/>
      <c r="AG37" s="38">
        <f>AG18+AG31+AG35</f>
        <v>0</v>
      </c>
      <c r="AH37" s="38">
        <f>AH18+AH31+AH35</f>
        <v>0</v>
      </c>
      <c r="AI37" s="37"/>
      <c r="AJ37" s="37"/>
      <c r="AK37" s="38"/>
      <c r="AL37" s="41"/>
      <c r="AM37" s="40"/>
      <c r="AN37" s="40"/>
      <c r="AO37" s="37"/>
      <c r="AP37" s="38">
        <f>AP18+AP31+AP35</f>
        <v>86424.24308707574</v>
      </c>
      <c r="AQ37" s="38">
        <f>AQ18+AQ31+AQ35</f>
        <v>82286.33256105312</v>
      </c>
      <c r="AR37" s="38">
        <f>AR18+AR31+AR35</f>
        <v>4137.138274045728</v>
      </c>
      <c r="AS37" s="38">
        <f>AS18+AS31+AS35</f>
        <v>3918.3967886215773</v>
      </c>
      <c r="AT37" s="37"/>
      <c r="AU37" s="37"/>
      <c r="AV37" s="38">
        <f>AV18+AV31+AV35</f>
        <v>6120.036732922959</v>
      </c>
      <c r="AW37" s="38">
        <f>AW18+AW31+AW35</f>
        <v>0</v>
      </c>
      <c r="AX37" s="38">
        <f>AX18+AX31+AX35</f>
        <v>0</v>
      </c>
      <c r="AY37" s="38">
        <f>AY18+AY31+AY35</f>
        <v>0</v>
      </c>
      <c r="AZ37" s="70" t="s">
        <v>107</v>
      </c>
      <c r="BA37" s="44"/>
      <c r="BB37" s="44"/>
      <c r="BC37" s="44"/>
    </row>
    <row r="38" spans="5:50" ht="12.75">
      <c r="E38" s="4"/>
      <c r="F38" s="90"/>
      <c r="G38" s="4"/>
      <c r="H38" s="4"/>
      <c r="I38" s="4"/>
      <c r="J38" s="46"/>
      <c r="K38" s="46"/>
      <c r="L38" s="119" t="e">
        <f>L37/B37</f>
        <v>#DIV/0!</v>
      </c>
      <c r="M38" s="119" t="e">
        <f aca="true" t="shared" si="44" ref="M38:R38">M37/C37</f>
        <v>#DIV/0!</v>
      </c>
      <c r="N38" s="120">
        <f t="shared" si="44"/>
        <v>0.9830999999999999</v>
      </c>
      <c r="O38" s="120">
        <f t="shared" si="44"/>
        <v>0.9827795194606352</v>
      </c>
      <c r="P38" s="120">
        <f t="shared" si="44"/>
        <v>0.9827797063267264</v>
      </c>
      <c r="Q38" s="120">
        <f t="shared" si="44"/>
        <v>0.995</v>
      </c>
      <c r="R38" s="120">
        <f>R37/J37</f>
        <v>0.9828824090533187</v>
      </c>
      <c r="S38" s="102"/>
      <c r="T38" s="102"/>
      <c r="U38" s="102"/>
      <c r="X38" s="4"/>
      <c r="Y38" s="4"/>
      <c r="Z38" s="4"/>
      <c r="AC38" s="4"/>
      <c r="AD38" s="4"/>
      <c r="AX38" s="46"/>
    </row>
    <row r="39" spans="5:50" ht="12.75">
      <c r="E39" s="4"/>
      <c r="F39" s="90"/>
      <c r="G39" s="4"/>
      <c r="H39" s="4"/>
      <c r="I39" s="4"/>
      <c r="J39" s="4"/>
      <c r="K39" s="4"/>
      <c r="L39" s="46"/>
      <c r="N39" s="90"/>
      <c r="O39" s="90"/>
      <c r="P39" s="90"/>
      <c r="Q39" s="4"/>
      <c r="R39" s="4"/>
      <c r="S39" s="4"/>
      <c r="T39" s="46"/>
      <c r="X39" s="4"/>
      <c r="Y39" s="4"/>
      <c r="Z39" s="4"/>
      <c r="AC39" s="4"/>
      <c r="AD39" s="4"/>
      <c r="AX39" s="4"/>
    </row>
    <row r="40" spans="5:50" ht="12.75">
      <c r="E40" s="4"/>
      <c r="F40" s="90"/>
      <c r="G40" s="4"/>
      <c r="H40" s="4"/>
      <c r="I40" s="4"/>
      <c r="J40" s="4"/>
      <c r="K40" s="4"/>
      <c r="L40" s="46"/>
      <c r="N40" s="90"/>
      <c r="O40" s="90"/>
      <c r="P40" s="90"/>
      <c r="Q40" s="4"/>
      <c r="R40" s="4"/>
      <c r="S40" s="4"/>
      <c r="T40" s="46"/>
      <c r="X40" s="4"/>
      <c r="Y40" s="4"/>
      <c r="Z40" s="4"/>
      <c r="AC40" s="4"/>
      <c r="AD40" s="4"/>
      <c r="AX40" s="4"/>
    </row>
    <row r="41" spans="1:50" ht="12.75">
      <c r="A41" s="48" t="s">
        <v>112</v>
      </c>
      <c r="E41" s="4"/>
      <c r="F41" s="90"/>
      <c r="G41" s="4"/>
      <c r="H41" s="4"/>
      <c r="I41" s="4"/>
      <c r="J41" s="4"/>
      <c r="K41" s="4"/>
      <c r="L41" s="46"/>
      <c r="N41" s="90"/>
      <c r="O41" s="90"/>
      <c r="P41" s="90"/>
      <c r="Q41" s="4"/>
      <c r="R41" s="4"/>
      <c r="S41" s="4"/>
      <c r="T41" s="46"/>
      <c r="X41" s="4"/>
      <c r="Y41" s="4"/>
      <c r="Z41" s="4"/>
      <c r="AC41" s="4"/>
      <c r="AD41" s="4"/>
      <c r="AX41" s="4"/>
    </row>
    <row r="42" spans="1:50" ht="12.75">
      <c r="A42" s="5" t="s">
        <v>137</v>
      </c>
      <c r="G42" s="4"/>
      <c r="H42" s="4"/>
      <c r="I42" s="4"/>
      <c r="J42" s="62"/>
      <c r="K42" s="62"/>
      <c r="Q42" s="4"/>
      <c r="R42" s="4"/>
      <c r="S42" s="4"/>
      <c r="X42" s="4"/>
      <c r="AC42" s="4"/>
      <c r="AD42" s="4"/>
      <c r="AX42" s="62"/>
    </row>
    <row r="43" spans="7:50" ht="12.75">
      <c r="G43" s="4"/>
      <c r="H43" s="4"/>
      <c r="I43" s="4"/>
      <c r="J43" s="62"/>
      <c r="K43" s="62"/>
      <c r="Q43" s="4"/>
      <c r="R43" s="4"/>
      <c r="S43" s="4"/>
      <c r="X43" s="4"/>
      <c r="AC43" s="4"/>
      <c r="AD43" s="4"/>
      <c r="AX43" s="62"/>
    </row>
    <row r="44" spans="5:50" ht="12.75">
      <c r="E44" s="4"/>
      <c r="F44" s="91"/>
      <c r="G44" s="4"/>
      <c r="H44" s="4"/>
      <c r="I44" s="4"/>
      <c r="J44" s="4"/>
      <c r="K44" s="4"/>
      <c r="N44" s="91"/>
      <c r="O44" s="91"/>
      <c r="P44" s="91"/>
      <c r="Q44" s="4"/>
      <c r="R44" s="4"/>
      <c r="S44" s="4"/>
      <c r="X44" s="4"/>
      <c r="Y44" s="4"/>
      <c r="Z44" s="4"/>
      <c r="AC44" s="4"/>
      <c r="AD44" s="4"/>
      <c r="AX44" s="4"/>
    </row>
    <row r="45" spans="1:50" ht="12.75">
      <c r="A45" s="87" t="s">
        <v>113</v>
      </c>
      <c r="B45" s="89" t="s">
        <v>114</v>
      </c>
      <c r="C45" s="3"/>
      <c r="D45" s="88" t="s">
        <v>118</v>
      </c>
      <c r="E45" s="4"/>
      <c r="F45" s="91"/>
      <c r="G45" s="4"/>
      <c r="H45" s="4"/>
      <c r="I45" s="4"/>
      <c r="J45" s="4"/>
      <c r="K45" s="4"/>
      <c r="N45" s="91"/>
      <c r="O45" s="91"/>
      <c r="P45" s="91"/>
      <c r="Q45" s="4"/>
      <c r="R45" s="4"/>
      <c r="S45" s="4"/>
      <c r="X45" s="4"/>
      <c r="Y45" s="4"/>
      <c r="Z45" s="4"/>
      <c r="AC45" s="4"/>
      <c r="AD45" s="4"/>
      <c r="AX45" s="4"/>
    </row>
    <row r="46" spans="1:4" ht="12.75">
      <c r="A46" s="84" t="s">
        <v>115</v>
      </c>
      <c r="B46" s="85" t="s">
        <v>135</v>
      </c>
      <c r="C46" s="8"/>
      <c r="D46" s="86">
        <v>0.017</v>
      </c>
    </row>
    <row r="47" spans="1:50" ht="12.75">
      <c r="A47" s="84" t="s">
        <v>116</v>
      </c>
      <c r="B47" s="85" t="s">
        <v>133</v>
      </c>
      <c r="C47" s="8"/>
      <c r="D47" s="86">
        <v>0.0179</v>
      </c>
      <c r="G47" s="4"/>
      <c r="H47" s="4"/>
      <c r="I47" s="4"/>
      <c r="J47" s="62"/>
      <c r="K47" s="62"/>
      <c r="Q47" s="4"/>
      <c r="R47" s="4"/>
      <c r="S47" s="4"/>
      <c r="X47" s="4"/>
      <c r="AC47" s="4"/>
      <c r="AD47" s="4"/>
      <c r="AX47" s="62"/>
    </row>
    <row r="48" spans="1:50" ht="12.75">
      <c r="A48" s="84" t="s">
        <v>117</v>
      </c>
      <c r="B48" s="85" t="s">
        <v>136</v>
      </c>
      <c r="C48" s="8"/>
      <c r="D48" s="86">
        <v>0.0169</v>
      </c>
      <c r="G48" s="4"/>
      <c r="H48" s="4"/>
      <c r="I48" s="4"/>
      <c r="J48" s="62"/>
      <c r="K48" s="62"/>
      <c r="Q48" s="4"/>
      <c r="R48" s="4"/>
      <c r="S48" s="4"/>
      <c r="X48" s="4"/>
      <c r="AC48" s="4"/>
      <c r="AD48" s="4"/>
      <c r="AX48" s="62"/>
    </row>
    <row r="49" spans="1:50" ht="12.75">
      <c r="A49" s="5" t="s">
        <v>120</v>
      </c>
      <c r="B49" s="85" t="s">
        <v>136</v>
      </c>
      <c r="D49" s="47">
        <v>0.005</v>
      </c>
      <c r="G49" s="4"/>
      <c r="H49" s="4"/>
      <c r="I49" s="4"/>
      <c r="J49" s="62"/>
      <c r="K49" s="62"/>
      <c r="Q49" s="4"/>
      <c r="R49" s="4"/>
      <c r="S49" s="4"/>
      <c r="X49" s="4"/>
      <c r="AC49" s="4"/>
      <c r="AD49" s="4"/>
      <c r="AX49" s="62"/>
    </row>
    <row r="52" spans="7:30" ht="12.75">
      <c r="G52" s="4"/>
      <c r="H52" s="4"/>
      <c r="I52" s="4"/>
      <c r="Q52" s="4"/>
      <c r="R52" s="4"/>
      <c r="S52" s="4"/>
      <c r="AC52" s="4"/>
      <c r="AD52" s="4"/>
    </row>
    <row r="53" spans="7:30" ht="12.75">
      <c r="G53" s="4"/>
      <c r="H53" s="4"/>
      <c r="I53" s="4"/>
      <c r="Q53" s="4"/>
      <c r="R53" s="4"/>
      <c r="S53" s="4"/>
      <c r="AC53" s="4"/>
      <c r="AD53" s="4"/>
    </row>
    <row r="54" spans="7:30" ht="12.75">
      <c r="G54" s="4"/>
      <c r="H54" s="4"/>
      <c r="I54" s="4"/>
      <c r="Q54" s="4"/>
      <c r="R54" s="4"/>
      <c r="S54" s="4"/>
      <c r="AC54" s="4"/>
      <c r="AD54" s="4"/>
    </row>
    <row r="55" spans="7:30" ht="12.75">
      <c r="G55" s="4"/>
      <c r="H55" s="4"/>
      <c r="I55" s="4"/>
      <c r="Q55" s="4"/>
      <c r="R55" s="4"/>
      <c r="S55" s="4"/>
      <c r="AC55" s="4"/>
      <c r="AD55" s="4"/>
    </row>
    <row r="56" spans="7:30" ht="12.75">
      <c r="G56" s="4"/>
      <c r="H56" s="4"/>
      <c r="I56" s="4"/>
      <c r="Q56" s="4"/>
      <c r="R56" s="4"/>
      <c r="S56" s="4"/>
      <c r="AC56" s="4"/>
      <c r="AD56" s="4"/>
    </row>
    <row r="57" spans="7:30" ht="12.75">
      <c r="G57" s="4"/>
      <c r="H57" s="4"/>
      <c r="I57" s="4"/>
      <c r="Q57" s="4"/>
      <c r="R57" s="4"/>
      <c r="S57" s="4"/>
      <c r="AC57" s="4"/>
      <c r="AD57" s="4"/>
    </row>
    <row r="58" spans="7:30" ht="12.75">
      <c r="G58" s="4"/>
      <c r="H58" s="4"/>
      <c r="I58" s="4"/>
      <c r="Q58" s="4"/>
      <c r="R58" s="4"/>
      <c r="S58" s="4"/>
      <c r="AC58" s="4"/>
      <c r="AD58" s="4"/>
    </row>
    <row r="59" spans="7:30" ht="12.75">
      <c r="G59" s="4"/>
      <c r="H59" s="4"/>
      <c r="I59" s="4"/>
      <c r="Q59" s="4"/>
      <c r="R59" s="4"/>
      <c r="S59" s="4"/>
      <c r="AC59" s="4"/>
      <c r="AD59" s="4"/>
    </row>
    <row r="60" spans="7:30" ht="12.75">
      <c r="G60" s="4"/>
      <c r="H60" s="4"/>
      <c r="I60" s="4"/>
      <c r="Q60" s="4"/>
      <c r="R60" s="4"/>
      <c r="S60" s="4"/>
      <c r="AC60" s="4"/>
      <c r="AD60" s="4"/>
    </row>
    <row r="61" spans="7:30" ht="12.75">
      <c r="G61" s="4"/>
      <c r="H61" s="4"/>
      <c r="I61" s="4"/>
      <c r="Q61" s="4"/>
      <c r="R61" s="4"/>
      <c r="S61" s="4"/>
      <c r="AC61" s="4"/>
      <c r="AD61" s="4"/>
    </row>
    <row r="62" spans="7:30" ht="12.75">
      <c r="G62" s="4"/>
      <c r="H62" s="4"/>
      <c r="I62" s="4"/>
      <c r="Q62" s="4"/>
      <c r="R62" s="4"/>
      <c r="S62" s="4"/>
      <c r="AC62" s="4"/>
      <c r="AD62" s="4"/>
    </row>
  </sheetData>
  <printOptions horizontalCentered="1"/>
  <pageMargins left="0.6299212598425197" right="0.4330708661417323" top="0.7874015748031497" bottom="0.8267716535433072" header="0.6299212598425197" footer="0.5118110236220472"/>
  <pageSetup fitToHeight="1" fitToWidth="1" horizontalDpi="600" verticalDpi="600" orientation="landscape" paperSize="9" scale="82" r:id="rId3"/>
  <headerFooter alignWithMargins="0">
    <oddFooter>&amp;C&amp;F&amp;R&amp;D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emissions-Trader ET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Hadulla</dc:creator>
  <cp:keywords/>
  <dc:description/>
  <cp:lastModifiedBy>A-TEC</cp:lastModifiedBy>
  <cp:lastPrinted>2010-03-04T17:32:27Z</cp:lastPrinted>
  <dcterms:created xsi:type="dcterms:W3CDTF">2008-12-06T07:55:45Z</dcterms:created>
  <dcterms:modified xsi:type="dcterms:W3CDTF">2010-08-20T10:48:40Z</dcterms:modified>
  <cp:category/>
  <cp:version/>
  <cp:contentType/>
  <cp:contentStatus/>
</cp:coreProperties>
</file>