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tabRatio="682" activeTab="0"/>
  </bookViews>
  <sheets>
    <sheet name="ER-KD-MR001" sheetId="1" r:id="rId1"/>
  </sheets>
  <definedNames>
    <definedName name="OLE_LINK10" localSheetId="0">'ER-KD-MR001'!$X$4</definedName>
    <definedName name="OLE_LINK11" localSheetId="0">'ER-KD-MR001'!$X$5</definedName>
    <definedName name="OLE_LINK12" localSheetId="0">'ER-KD-MR001'!$AB$5</definedName>
    <definedName name="OLE_LINK3" localSheetId="0">'ER-KD-MR001'!$M$5</definedName>
    <definedName name="OLE_LINK4" localSheetId="0">'ER-KD-MR001'!$S$4</definedName>
    <definedName name="OLE_LINK5" localSheetId="0">'ER-KD-MR001'!$S$5</definedName>
    <definedName name="OLE_LINK7" localSheetId="0">'ER-KD-MR001'!$W$4</definedName>
    <definedName name="OLE_LINK8" localSheetId="0">'ER-KD-MR001'!$W$5</definedName>
  </definedNames>
  <calcPr fullCalcOnLoad="1"/>
</workbook>
</file>

<file path=xl/comments1.xml><?xml version="1.0" encoding="utf-8"?>
<comments xmlns="http://schemas.openxmlformats.org/spreadsheetml/2006/main">
  <authors>
    <author>Adam Hadulla</author>
    <author>A-TEC</author>
  </authors>
  <commentList>
    <comment ref="M7" authorId="0">
      <text>
        <r>
          <rPr>
            <b/>
            <sz val="8"/>
            <rFont val="Tahoma"/>
            <family val="0"/>
          </rPr>
          <t>Adam Hadulla:</t>
        </r>
        <r>
          <rPr>
            <sz val="8"/>
            <rFont val="Tahoma"/>
            <family val="0"/>
          </rPr>
          <t xml:space="preserve">
2008 := 0.695 tCO2eq/MWh
2009 := 0.680
2010 := 0.666
2011 := 0.651
2012 := 0.636
[SenterNovem]</t>
        </r>
      </text>
    </comment>
    <comment ref="N7"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850°C
99.5% above 850°C
This calculation can't be done with monthly sums.
See Table &lt;KD-Data-F3.xls&gt; and &lt;KD-Data-F4.xls&gt; for details</t>
        </r>
      </text>
    </comment>
    <comment ref="Q7" authorId="0">
      <text>
        <r>
          <rPr>
            <b/>
            <sz val="8"/>
            <rFont val="Tahoma"/>
            <family val="0"/>
          </rPr>
          <t>Adam Hadulla:</t>
        </r>
        <r>
          <rPr>
            <sz val="8"/>
            <rFont val="Tahoma"/>
            <family val="0"/>
          </rPr>
          <t xml:space="preserve">
0 for the whole monitoring period
</t>
        </r>
      </text>
    </comment>
    <comment ref="R7" authorId="0">
      <text>
        <r>
          <rPr>
            <b/>
            <sz val="8"/>
            <rFont val="Tahoma"/>
            <family val="0"/>
          </rPr>
          <t>Adam Hadulla:</t>
        </r>
        <r>
          <rPr>
            <sz val="8"/>
            <rFont val="Tahoma"/>
            <family val="0"/>
          </rPr>
          <t xml:space="preserve">
0 for the whole monitoring period
</t>
        </r>
      </text>
    </comment>
    <comment ref="S7" authorId="0">
      <text>
        <r>
          <rPr>
            <b/>
            <sz val="8"/>
            <rFont val="Tahoma"/>
            <family val="0"/>
          </rPr>
          <t>Adam Hadulla:</t>
        </r>
        <r>
          <rPr>
            <sz val="8"/>
            <rFont val="Tahoma"/>
            <family val="0"/>
          </rPr>
          <t xml:space="preserve">
not required because MM</t>
        </r>
        <r>
          <rPr>
            <sz val="6"/>
            <rFont val="Tahoma"/>
            <family val="2"/>
          </rPr>
          <t>ELEC</t>
        </r>
        <r>
          <rPr>
            <sz val="8"/>
            <rFont val="Tahoma"/>
            <family val="0"/>
          </rPr>
          <t>=0 for the whole monitoring period</t>
        </r>
      </text>
    </comment>
    <comment ref="V7" authorId="0">
      <text>
        <r>
          <rPr>
            <b/>
            <sz val="8"/>
            <rFont val="Tahoma"/>
            <family val="0"/>
          </rPr>
          <t>Adam Hadulla:</t>
        </r>
        <r>
          <rPr>
            <sz val="8"/>
            <rFont val="Tahoma"/>
            <family val="0"/>
          </rPr>
          <t xml:space="preserve">
ex-ante value
constant</t>
        </r>
      </text>
    </comment>
    <comment ref="W7" authorId="0">
      <text>
        <r>
          <rPr>
            <b/>
            <sz val="8"/>
            <rFont val="Tahoma"/>
            <family val="0"/>
          </rPr>
          <t>Adam Hadulla:</t>
        </r>
        <r>
          <rPr>
            <sz val="8"/>
            <rFont val="Tahoma"/>
            <family val="0"/>
          </rPr>
          <t xml:space="preserve">
ex-ante value
constant</t>
        </r>
      </text>
    </comment>
    <comment ref="AB7" authorId="0">
      <text>
        <r>
          <rPr>
            <b/>
            <sz val="8"/>
            <rFont val="Tahoma"/>
            <family val="0"/>
          </rPr>
          <t>Adam Hadulla:</t>
        </r>
        <r>
          <rPr>
            <sz val="8"/>
            <rFont val="Tahoma"/>
            <family val="0"/>
          </rPr>
          <t xml:space="preserve">
ex-ante value
constant</t>
        </r>
      </text>
    </comment>
    <comment ref="AG7" authorId="0">
      <text>
        <r>
          <rPr>
            <b/>
            <sz val="8"/>
            <rFont val="Tahoma"/>
            <family val="0"/>
          </rPr>
          <t>Adam Hadulla:</t>
        </r>
        <r>
          <rPr>
            <sz val="8"/>
            <rFont val="Tahoma"/>
            <family val="0"/>
          </rPr>
          <t xml:space="preserve">
ex-ante value
constant</t>
        </r>
      </text>
    </comment>
    <comment ref="AL7" authorId="0">
      <text>
        <r>
          <rPr>
            <b/>
            <sz val="8"/>
            <rFont val="Tahoma"/>
            <family val="0"/>
          </rPr>
          <t>Adam Hadulla:</t>
        </r>
        <r>
          <rPr>
            <sz val="8"/>
            <rFont val="Tahoma"/>
            <family val="0"/>
          </rPr>
          <t xml:space="preserve">
ex-ante value 
constant
IPCC 2006</t>
        </r>
      </text>
    </comment>
    <comment ref="AM7" authorId="0">
      <text>
        <r>
          <rPr>
            <b/>
            <sz val="8"/>
            <rFont val="Tahoma"/>
            <family val="0"/>
          </rPr>
          <t>Adam Hadulla:</t>
        </r>
        <r>
          <rPr>
            <sz val="8"/>
            <rFont val="Tahoma"/>
            <family val="0"/>
          </rPr>
          <t xml:space="preserve">
ex-ante value 
constant
manufacturer date
boiler pass</t>
        </r>
      </text>
    </comment>
    <comment ref="AI7" authorId="0">
      <text>
        <r>
          <rPr>
            <b/>
            <sz val="8"/>
            <rFont val="Tahoma"/>
            <family val="0"/>
          </rPr>
          <t>Adam Hadulla:</t>
        </r>
        <r>
          <rPr>
            <sz val="8"/>
            <rFont val="Tahoma"/>
            <family val="0"/>
          </rPr>
          <t xml:space="preserve">
0 for the whole monitoring period
</t>
        </r>
      </text>
    </comment>
    <comment ref="AH7" authorId="0">
      <text>
        <r>
          <rPr>
            <b/>
            <sz val="8"/>
            <rFont val="Tahoma"/>
            <family val="0"/>
          </rPr>
          <t>Adam Hadulla:</t>
        </r>
        <r>
          <rPr>
            <sz val="8"/>
            <rFont val="Tahoma"/>
            <family val="0"/>
          </rPr>
          <t xml:space="preserve">
ex-ante value
constant</t>
        </r>
      </text>
    </comment>
    <comment ref="U7" authorId="0">
      <text>
        <r>
          <rPr>
            <b/>
            <sz val="8"/>
            <rFont val="Tahoma"/>
            <family val="0"/>
          </rPr>
          <t>Adam Hadulla:</t>
        </r>
        <r>
          <rPr>
            <sz val="8"/>
            <rFont val="Tahoma"/>
            <family val="0"/>
          </rPr>
          <t xml:space="preserve">
0 for the whole monitoring period
</t>
        </r>
      </text>
    </comment>
    <comment ref="AK7" authorId="0">
      <text>
        <r>
          <rPr>
            <b/>
            <sz val="8"/>
            <rFont val="Tahoma"/>
            <family val="0"/>
          </rPr>
          <t>Adam Hadulla:</t>
        </r>
        <r>
          <rPr>
            <sz val="8"/>
            <rFont val="Tahoma"/>
            <family val="0"/>
          </rPr>
          <t xml:space="preserve">
2008 := 0.695 tCO2eq/MWh
2009 := 0.680
2010 := 0.666
2011 := 0.651
2012 := 0.636
[SenterNovem]</t>
        </r>
      </text>
    </comment>
    <comment ref="K7" authorId="0">
      <text>
        <r>
          <rPr>
            <b/>
            <sz val="10"/>
            <rFont val="Tahoma"/>
            <family val="0"/>
          </rPr>
          <t>Adam Hadulla:</t>
        </r>
        <r>
          <rPr>
            <sz val="10"/>
            <rFont val="Tahoma"/>
            <family val="0"/>
          </rPr>
          <t xml:space="preserve">
Formula modified, uncombusted methane from flaring 
= MM</t>
        </r>
        <r>
          <rPr>
            <sz val="7"/>
            <rFont val="Tahoma"/>
            <family val="2"/>
          </rPr>
          <t>FL</t>
        </r>
        <r>
          <rPr>
            <sz val="10"/>
            <rFont val="Tahoma"/>
            <family val="0"/>
          </rPr>
          <t>-MD</t>
        </r>
        <r>
          <rPr>
            <sz val="7"/>
            <rFont val="Tahoma"/>
            <family val="2"/>
          </rPr>
          <t>FL</t>
        </r>
      </text>
    </comment>
    <comment ref="G19" authorId="0">
      <text>
        <r>
          <rPr>
            <b/>
            <sz val="10"/>
            <rFont val="Tahoma"/>
            <family val="0"/>
          </rPr>
          <t>Adam Hadulla:</t>
        </r>
        <r>
          <rPr>
            <sz val="10"/>
            <rFont val="Tahoma"/>
            <family val="0"/>
          </rPr>
          <t xml:space="preserve">
As monthly values for PE</t>
        </r>
        <r>
          <rPr>
            <sz val="8"/>
            <rFont val="Tahoma"/>
            <family val="2"/>
          </rPr>
          <t>ME</t>
        </r>
        <r>
          <rPr>
            <sz val="10"/>
            <rFont val="Tahoma"/>
            <family val="0"/>
          </rPr>
          <t xml:space="preserve"> are not available, yearly values are  subtracted manually.</t>
        </r>
      </text>
    </comment>
    <comment ref="AM20" authorId="0">
      <text>
        <r>
          <rPr>
            <b/>
            <sz val="8"/>
            <rFont val="Tahoma"/>
            <family val="0"/>
          </rPr>
          <t>Adam Hadulla:</t>
        </r>
        <r>
          <rPr>
            <sz val="8"/>
            <rFont val="Tahoma"/>
            <family val="0"/>
          </rPr>
          <t xml:space="preserve">
ex-ante value 
constant
manufacturer date
boiler pass</t>
        </r>
      </text>
    </comment>
    <comment ref="H19" authorId="1">
      <text>
        <r>
          <rPr>
            <b/>
            <sz val="8"/>
            <rFont val="Tahoma"/>
            <family val="0"/>
          </rPr>
          <t>Adam Hadulla:</t>
        </r>
        <r>
          <rPr>
            <sz val="8"/>
            <rFont val="Tahoma"/>
            <family val="0"/>
          </rPr>
          <t xml:space="preserve">
</t>
        </r>
        <r>
          <rPr>
            <sz val="10"/>
            <rFont val="Tahoma"/>
            <family val="2"/>
          </rPr>
          <t>As monthly values for PE</t>
        </r>
        <r>
          <rPr>
            <sz val="8"/>
            <rFont val="Tahoma"/>
            <family val="2"/>
          </rPr>
          <t xml:space="preserve">ME </t>
        </r>
        <r>
          <rPr>
            <sz val="10"/>
            <rFont val="Tahoma"/>
            <family val="2"/>
          </rPr>
          <t>are not available, yearly values are  subtracted manually.</t>
        </r>
      </text>
    </comment>
    <comment ref="G32" authorId="0">
      <text>
        <r>
          <rPr>
            <b/>
            <sz val="10"/>
            <rFont val="Tahoma"/>
            <family val="0"/>
          </rPr>
          <t>Adam Hadulla:</t>
        </r>
        <r>
          <rPr>
            <sz val="10"/>
            <rFont val="Tahoma"/>
            <family val="0"/>
          </rPr>
          <t xml:space="preserve">
As monthly values for PE</t>
        </r>
        <r>
          <rPr>
            <sz val="8"/>
            <rFont val="Tahoma"/>
            <family val="2"/>
          </rPr>
          <t>ME</t>
        </r>
        <r>
          <rPr>
            <sz val="10"/>
            <rFont val="Tahoma"/>
            <family val="0"/>
          </rPr>
          <t xml:space="preserve"> are not available, yearly values are  subtracted manually.</t>
        </r>
      </text>
    </comment>
    <comment ref="H32" authorId="1">
      <text>
        <r>
          <rPr>
            <b/>
            <sz val="8"/>
            <rFont val="Tahoma"/>
            <family val="0"/>
          </rPr>
          <t>Adam Hadulla:</t>
        </r>
        <r>
          <rPr>
            <sz val="8"/>
            <rFont val="Tahoma"/>
            <family val="0"/>
          </rPr>
          <t xml:space="preserve">
</t>
        </r>
        <r>
          <rPr>
            <sz val="10"/>
            <rFont val="Tahoma"/>
            <family val="2"/>
          </rPr>
          <t>As monthly values for PE</t>
        </r>
        <r>
          <rPr>
            <sz val="8"/>
            <rFont val="Tahoma"/>
            <family val="2"/>
          </rPr>
          <t xml:space="preserve">ME </t>
        </r>
        <r>
          <rPr>
            <sz val="10"/>
            <rFont val="Tahoma"/>
            <family val="2"/>
          </rPr>
          <t>are not available, yearly values are  subtracted manually.</t>
        </r>
      </text>
    </comment>
    <comment ref="P5"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KD-Data sheets. </t>
        </r>
        <r>
          <rPr>
            <sz val="8"/>
            <rFont val="Tahoma"/>
            <family val="0"/>
          </rPr>
          <t xml:space="preserve">
</t>
        </r>
      </text>
    </comment>
  </commentList>
</comments>
</file>

<file path=xl/sharedStrings.xml><?xml version="1.0" encoding="utf-8"?>
<sst xmlns="http://schemas.openxmlformats.org/spreadsheetml/2006/main" count="188" uniqueCount="152">
  <si>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</si>
  <si>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</si>
  <si>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</si>
  <si>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</si>
  <si>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</si>
  <si>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</si>
  <si>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</si>
  <si>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</si>
  <si>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</si>
  <si>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</si>
  <si>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</si>
  <si>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</si>
  <si>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</si>
  <si>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</si>
  <si>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</si>
  <si>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</si>
  <si>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</si>
  <si>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</si>
  <si>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</si>
  <si>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</si>
  <si>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</si>
  <si>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</si>
  <si>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</si>
  <si>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</si>
  <si>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</si>
  <si>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</si>
  <si>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</si>
  <si>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</si>
  <si>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</si>
  <si>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</si>
  <si>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Electricity generation by project</t>
  </si>
  <si>
    <t>Heat generation by project</t>
  </si>
  <si>
    <t>CO2 emission factor of the grid</t>
  </si>
  <si>
    <t>CO2 emission factor of fuel used for captive power or heat</t>
  </si>
  <si>
    <t>Energy efficiency of heat plant</t>
  </si>
  <si>
    <t>P1</t>
  </si>
  <si>
    <t>P11</t>
  </si>
  <si>
    <t>P12</t>
  </si>
  <si>
    <t>P13</t>
  </si>
  <si>
    <t>P14</t>
  </si>
  <si>
    <t>P15</t>
  </si>
  <si>
    <t>P16</t>
  </si>
  <si>
    <t>Project emissions from energy use to capture and use methane</t>
  </si>
  <si>
    <t>Project emissions from methane destroyed</t>
  </si>
  <si>
    <t>Project emissions from uncombusted methane</t>
  </si>
  <si>
    <t>Additional electricity consumption by project</t>
  </si>
  <si>
    <t>Methane destroyed by flare</t>
  </si>
  <si>
    <t>Methane sent to flare</t>
  </si>
  <si>
    <t>Methane destroyed by power generation</t>
  </si>
  <si>
    <t>Methane sent to power plant</t>
  </si>
  <si>
    <t>Efficiency of methane destruction / oxidation in power plant</t>
  </si>
  <si>
    <t>Methane destroyed by heat generation</t>
  </si>
  <si>
    <t>Methane sent to boiler</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</si>
  <si>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</si>
  <si>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</si>
  <si>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</si>
  <si>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</si>
  <si>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</si>
  <si>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r>
      <t>PE</t>
    </r>
    <r>
      <rPr>
        <b/>
        <vertAlign val="subscript"/>
        <sz val="11"/>
        <rFont val="Times New Roman"/>
        <family val="1"/>
      </rPr>
      <t>ME</t>
    </r>
  </si>
  <si>
    <r>
      <t>PE</t>
    </r>
    <r>
      <rPr>
        <b/>
        <vertAlign val="subscript"/>
        <sz val="11"/>
        <rFont val="Times New Roman"/>
        <family val="1"/>
      </rPr>
      <t>MD</t>
    </r>
  </si>
  <si>
    <r>
      <t>PE</t>
    </r>
    <r>
      <rPr>
        <b/>
        <vertAlign val="subscript"/>
        <sz val="11"/>
        <rFont val="Times New Roman"/>
        <family val="1"/>
      </rPr>
      <t>UM</t>
    </r>
  </si>
  <si>
    <r>
      <t>CONS</t>
    </r>
    <r>
      <rPr>
        <b/>
        <vertAlign val="subscript"/>
        <sz val="11"/>
        <rFont val="Times New Roman"/>
        <family val="1"/>
      </rPr>
      <t>ELEC,PJ</t>
    </r>
  </si>
  <si>
    <r>
      <t>CEF</t>
    </r>
    <r>
      <rPr>
        <b/>
        <vertAlign val="subscript"/>
        <sz val="11"/>
        <color indexed="8"/>
        <rFont val="Times New Roman"/>
        <family val="1"/>
      </rPr>
      <t>E</t>
    </r>
    <r>
      <rPr>
        <b/>
        <vertAlign val="subscript"/>
        <sz val="11"/>
        <rFont val="Times New Roman"/>
        <family val="1"/>
      </rPr>
      <t>LEC,PJ</t>
    </r>
  </si>
  <si>
    <r>
      <t>MD</t>
    </r>
    <r>
      <rPr>
        <b/>
        <vertAlign val="subscript"/>
        <sz val="11"/>
        <rFont val="Times New Roman"/>
        <family val="1"/>
      </rPr>
      <t>FL</t>
    </r>
  </si>
  <si>
    <r>
      <t>MM</t>
    </r>
    <r>
      <rPr>
        <b/>
        <vertAlign val="subscript"/>
        <sz val="11"/>
        <rFont val="Times New Roman"/>
        <family val="1"/>
      </rPr>
      <t>FL</t>
    </r>
  </si>
  <si>
    <r>
      <t>Eff</t>
    </r>
    <r>
      <rPr>
        <b/>
        <vertAlign val="subscript"/>
        <sz val="11"/>
        <rFont val="Times New Roman"/>
        <family val="1"/>
      </rPr>
      <t>FL</t>
    </r>
  </si>
  <si>
    <r>
      <t>MD</t>
    </r>
    <r>
      <rPr>
        <b/>
        <vertAlign val="subscript"/>
        <sz val="11"/>
        <rFont val="Times New Roman"/>
        <family val="1"/>
      </rPr>
      <t>ELEC</t>
    </r>
  </si>
  <si>
    <r>
      <t>MM</t>
    </r>
    <r>
      <rPr>
        <b/>
        <vertAlign val="subscript"/>
        <sz val="11"/>
        <rFont val="Times New Roman"/>
        <family val="1"/>
      </rPr>
      <t>ELEC</t>
    </r>
  </si>
  <si>
    <r>
      <t>Eff</t>
    </r>
    <r>
      <rPr>
        <b/>
        <vertAlign val="subscript"/>
        <sz val="11"/>
        <rFont val="Times New Roman"/>
        <family val="1"/>
      </rPr>
      <t>ELEC</t>
    </r>
  </si>
  <si>
    <r>
      <t>MD</t>
    </r>
    <r>
      <rPr>
        <b/>
        <vertAlign val="subscript"/>
        <sz val="11"/>
        <rFont val="Times New Roman"/>
        <family val="1"/>
      </rPr>
      <t>HEAT</t>
    </r>
  </si>
  <si>
    <r>
      <t>MM</t>
    </r>
    <r>
      <rPr>
        <b/>
        <vertAlign val="subscript"/>
        <sz val="11"/>
        <rFont val="Times New Roman"/>
        <family val="1"/>
      </rPr>
      <t>HEAT</t>
    </r>
  </si>
  <si>
    <r>
      <t>Eff</t>
    </r>
    <r>
      <rPr>
        <b/>
        <vertAlign val="subscript"/>
        <sz val="11"/>
        <rFont val="Times New Roman"/>
        <family val="1"/>
      </rPr>
      <t>HEAT</t>
    </r>
  </si>
  <si>
    <r>
      <t>CEF</t>
    </r>
    <r>
      <rPr>
        <b/>
        <vertAlign val="subscript"/>
        <sz val="11"/>
        <rFont val="Times New Roman"/>
        <family val="1"/>
      </rPr>
      <t>CH4</t>
    </r>
  </si>
  <si>
    <r>
      <t>CEF</t>
    </r>
    <r>
      <rPr>
        <b/>
        <vertAlign val="subscript"/>
        <sz val="11"/>
        <rFont val="Times New Roman"/>
        <family val="1"/>
      </rPr>
      <t>NMHC</t>
    </r>
  </si>
  <si>
    <r>
      <t>PC</t>
    </r>
    <r>
      <rPr>
        <b/>
        <vertAlign val="subscript"/>
        <sz val="10"/>
        <rFont val="Times New Roman"/>
        <family val="1"/>
      </rPr>
      <t>CH4</t>
    </r>
  </si>
  <si>
    <r>
      <t>PC</t>
    </r>
    <r>
      <rPr>
        <b/>
        <vertAlign val="subscript"/>
        <sz val="10"/>
        <rFont val="Times New Roman"/>
        <family val="1"/>
      </rPr>
      <t>NMHC</t>
    </r>
  </si>
  <si>
    <r>
      <t>GWP</t>
    </r>
    <r>
      <rPr>
        <b/>
        <vertAlign val="subscript"/>
        <sz val="11"/>
        <rFont val="Times New Roman"/>
        <family val="1"/>
      </rPr>
      <t>CH4</t>
    </r>
  </si>
  <si>
    <r>
      <t>EF</t>
    </r>
    <r>
      <rPr>
        <b/>
        <vertAlign val="subscript"/>
        <sz val="11"/>
        <rFont val="Times New Roman"/>
        <family val="1"/>
      </rPr>
      <t>elec</t>
    </r>
  </si>
  <si>
    <r>
      <t>EF</t>
    </r>
    <r>
      <rPr>
        <b/>
        <vertAlign val="subscript"/>
        <sz val="11"/>
        <rFont val="Times New Roman"/>
        <family val="1"/>
      </rPr>
      <t>CO2,Coal</t>
    </r>
  </si>
  <si>
    <r>
      <t>Eff</t>
    </r>
    <r>
      <rPr>
        <b/>
        <vertAlign val="subscript"/>
        <sz val="11"/>
        <color indexed="8"/>
        <rFont val="Times New Roman"/>
        <family val="1"/>
      </rPr>
      <t>hea</t>
    </r>
    <r>
      <rPr>
        <b/>
        <vertAlign val="subscript"/>
        <sz val="10"/>
        <rFont val="Arial"/>
        <family val="2"/>
      </rPr>
      <t>t</t>
    </r>
  </si>
  <si>
    <r>
      <t>Carbon emission factor of CONS</t>
    </r>
    <r>
      <rPr>
        <b/>
        <sz val="8"/>
        <rFont val="Arial"/>
        <family val="2"/>
      </rPr>
      <t>ELEC,PJ</t>
    </r>
  </si>
  <si>
    <t>t CO2eq</t>
  </si>
  <si>
    <t>MWh</t>
  </si>
  <si>
    <t>t CH4</t>
  </si>
  <si>
    <t>-</t>
  </si>
  <si>
    <t>t CO2 / MWh</t>
  </si>
  <si>
    <t>t CO2eq / 
t CH4</t>
  </si>
  <si>
    <t>tCO2/MWh</t>
  </si>
  <si>
    <t>ER</t>
  </si>
  <si>
    <t>Emission reductions</t>
  </si>
  <si>
    <t>methane concen-tration</t>
  </si>
  <si>
    <t>Total 2008</t>
  </si>
  <si>
    <t>Total 2009</t>
  </si>
  <si>
    <t>Total Monitoring Period</t>
  </si>
  <si>
    <t>Input data</t>
  </si>
  <si>
    <r>
      <t>kg CH</t>
    </r>
    <r>
      <rPr>
        <b/>
        <sz val="8"/>
        <rFont val="Arial"/>
        <family val="2"/>
      </rPr>
      <t>4</t>
    </r>
    <r>
      <rPr>
        <b/>
        <sz val="10"/>
        <rFont val="Arial"/>
        <family val="2"/>
      </rPr>
      <t>/mon</t>
    </r>
  </si>
  <si>
    <r>
      <t>t CO</t>
    </r>
    <r>
      <rPr>
        <b/>
        <sz val="8"/>
        <rFont val="Arial"/>
        <family val="2"/>
      </rPr>
      <t>2eq</t>
    </r>
  </si>
  <si>
    <r>
      <t>t CH</t>
    </r>
    <r>
      <rPr>
        <b/>
        <sz val="8"/>
        <rFont val="Arial"/>
        <family val="2"/>
      </rPr>
      <t>4</t>
    </r>
  </si>
  <si>
    <r>
      <t>t CH</t>
    </r>
    <r>
      <rPr>
        <b/>
        <sz val="8"/>
        <rFont val="Arial"/>
        <family val="2"/>
      </rPr>
      <t>4</t>
    </r>
  </si>
  <si>
    <t>methane amount destroyed by Flare 3</t>
  </si>
  <si>
    <t>methane amount destroyed by Flare 4</t>
  </si>
  <si>
    <t>methane amount sent to Flare 3</t>
  </si>
  <si>
    <t>methane amount sent to Flare 4</t>
  </si>
  <si>
    <t xml:space="preserve">Flare combustion efficiency, determined by the flame temperature and opera-tion hours </t>
  </si>
  <si>
    <t>n.a.</t>
  </si>
  <si>
    <r>
      <t>t CO</t>
    </r>
    <r>
      <rPr>
        <b/>
        <sz val="8"/>
        <rFont val="Arial"/>
        <family val="2"/>
      </rPr>
      <t>2eq</t>
    </r>
    <r>
      <rPr>
        <b/>
        <sz val="10"/>
        <rFont val="Arial"/>
        <family val="2"/>
      </rPr>
      <t xml:space="preserve"> / 
t NMHC</t>
    </r>
  </si>
  <si>
    <r>
      <t>t CO</t>
    </r>
    <r>
      <rPr>
        <b/>
        <sz val="8"/>
        <rFont val="Arial"/>
        <family val="2"/>
      </rPr>
      <t>2eq</t>
    </r>
    <r>
      <rPr>
        <b/>
        <sz val="10"/>
        <rFont val="Arial"/>
        <family val="2"/>
      </rPr>
      <t xml:space="preserve"> / 
t CH</t>
    </r>
    <r>
      <rPr>
        <b/>
        <sz val="8"/>
        <rFont val="Arial"/>
        <family val="2"/>
      </rPr>
      <t>4</t>
    </r>
  </si>
  <si>
    <t>Emission Reduction -  from 01/01/2008 to 03/11/2009</t>
  </si>
  <si>
    <t>colour codes</t>
  </si>
  <si>
    <t>green</t>
  </si>
  <si>
    <t>yellow</t>
  </si>
  <si>
    <t>input data</t>
  </si>
  <si>
    <t>data no used, project parts not installed yet</t>
  </si>
  <si>
    <t>white</t>
  </si>
  <si>
    <t>calculated data</t>
  </si>
  <si>
    <t xml:space="preserve">Project emissions </t>
  </si>
  <si>
    <t xml:space="preserve">Baseline emissions </t>
  </si>
  <si>
    <t>Baseline emissions from release of methane into the atmosphere that is avoided by the project activity</t>
  </si>
  <si>
    <t xml:space="preserve">Baseline emissions from the production of power, heat or supply to gas grid replaced by the project activity </t>
  </si>
  <si>
    <t>CMM captured in the project activity</t>
  </si>
  <si>
    <t>HEAT</t>
  </si>
  <si>
    <t>GEN</t>
  </si>
  <si>
    <r>
      <t>CMM</t>
    </r>
    <r>
      <rPr>
        <b/>
        <vertAlign val="subscript"/>
        <sz val="11"/>
        <color indexed="8"/>
        <rFont val="Times New Roman"/>
        <family val="1"/>
      </rPr>
      <t>PJ</t>
    </r>
  </si>
  <si>
    <r>
      <t>BE</t>
    </r>
    <r>
      <rPr>
        <b/>
        <vertAlign val="subscript"/>
        <sz val="11"/>
        <rFont val="Times New Roman"/>
        <family val="1"/>
      </rPr>
      <t>Use</t>
    </r>
  </si>
  <si>
    <r>
      <t>BE</t>
    </r>
    <r>
      <rPr>
        <b/>
        <vertAlign val="subscript"/>
        <sz val="11"/>
        <rFont val="Times New Roman"/>
        <family val="1"/>
      </rPr>
      <t>MR</t>
    </r>
  </si>
  <si>
    <t>BE</t>
  </si>
  <si>
    <t>PE</t>
  </si>
  <si>
    <t>data sources:</t>
  </si>
  <si>
    <t>KD-Data-F4.xls</t>
  </si>
  <si>
    <t>KD-Data-F3.xls</t>
  </si>
  <si>
    <t>operation hours of compressor from flare 3</t>
  </si>
  <si>
    <t>h</t>
  </si>
  <si>
    <t>operation hours of compressor from flare 4</t>
  </si>
  <si>
    <r>
      <t>h</t>
    </r>
    <r>
      <rPr>
        <b/>
        <vertAlign val="subscript"/>
        <sz val="11"/>
        <color indexed="8"/>
        <rFont val="Times New Roman"/>
        <family val="1"/>
      </rPr>
      <t>3, M</t>
    </r>
  </si>
  <si>
    <r>
      <t>h</t>
    </r>
    <r>
      <rPr>
        <b/>
        <vertAlign val="subscript"/>
        <sz val="11"/>
        <color indexed="8"/>
        <rFont val="Times New Roman"/>
        <family val="1"/>
      </rPr>
      <t>4, M</t>
    </r>
  </si>
  <si>
    <r>
      <t>h</t>
    </r>
    <r>
      <rPr>
        <b/>
        <vertAlign val="subscript"/>
        <sz val="11"/>
        <color indexed="8"/>
        <rFont val="Times New Roman"/>
        <family val="1"/>
      </rPr>
      <t>3, total</t>
    </r>
  </si>
  <si>
    <t>operation hours of flare 3 (operation + standby)</t>
  </si>
  <si>
    <r>
      <t>h</t>
    </r>
    <r>
      <rPr>
        <b/>
        <vertAlign val="subscript"/>
        <sz val="11"/>
        <color indexed="8"/>
        <rFont val="Times New Roman"/>
        <family val="1"/>
      </rPr>
      <t>4, total</t>
    </r>
  </si>
  <si>
    <t>operation hours of flare 4 (operation + standby)</t>
  </si>
  <si>
    <t>motor capacity</t>
  </si>
  <si>
    <r>
      <t>P</t>
    </r>
    <r>
      <rPr>
        <b/>
        <vertAlign val="subscript"/>
        <sz val="11"/>
        <color indexed="8"/>
        <rFont val="Times New Roman"/>
        <family val="1"/>
      </rPr>
      <t>M</t>
    </r>
  </si>
  <si>
    <t>KW</t>
  </si>
  <si>
    <t>total capacity of the flare unit</t>
  </si>
  <si>
    <r>
      <t>P</t>
    </r>
    <r>
      <rPr>
        <vertAlign val="subscript"/>
        <sz val="10"/>
        <rFont val="Arial"/>
        <family val="2"/>
      </rPr>
      <t>total</t>
    </r>
  </si>
  <si>
    <t>effective load of electric motor</t>
  </si>
  <si>
    <r>
      <t>E</t>
    </r>
    <r>
      <rPr>
        <vertAlign val="subscript"/>
        <sz val="10"/>
        <rFont val="Arial"/>
        <family val="2"/>
      </rPr>
      <t>ffM</t>
    </r>
  </si>
  <si>
    <t>effective load of the flare unit during standby</t>
  </si>
  <si>
    <r>
      <t>E</t>
    </r>
    <r>
      <rPr>
        <vertAlign val="subscript"/>
        <sz val="10"/>
        <rFont val="Arial"/>
        <family val="2"/>
      </rPr>
      <t>ffSB</t>
    </r>
  </si>
  <si>
    <t>Additional electricity consumption by flare 3</t>
  </si>
  <si>
    <t>Additional electricity consumption by flare 4</t>
  </si>
  <si>
    <t>kWh</t>
  </si>
  <si>
    <t>Version 2b of 31.05.2010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</si>
</sst>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Ja&quot;;&quot;Ja&quot;;&quot;Nein&quot;"/>
    <numFmt numFmtId="189" formatCode="&quot;Wahr&quot;;&quot;Wahr&quot;;&quot;Falsch&quot;"/>
    <numFmt numFmtId="190" formatCode="&quot;Ein&quot;;&quot;Ein&quot;;&quot;Aus&quot;"/>
    <numFmt numFmtId="191" formatCode="[$€-2]\ #,##0.00_);[Red]\([$€-2]\ #,##0.00\)"/>
    <numFmt numFmtId="192" formatCode="mmm\-yyyy"/>
    <numFmt numFmtId="193" formatCode="[$-809]dd\ mmmm\ yyyy"/>
    <numFmt numFmtId="194" formatCode="d\.m\.yy\ h:mm;@"/>
    <numFmt numFmtId="195" formatCode="0.00000"/>
    <numFmt numFmtId="196" formatCode="0.0000"/>
    <numFmt numFmtId="197" formatCode="0.000"/>
    <numFmt numFmtId="198" formatCode="0.0"/>
    <numFmt numFmtId="199" formatCode="d/m/yy\ h:mm;@"/>
    <numFmt numFmtId="200" formatCode="yyyy\-mm\-dd;@"/>
    <numFmt numFmtId="201" formatCode="0.0%"/>
    <numFmt numFmtId="202" formatCode="0.000%"/>
    <numFmt numFmtId="203" formatCode="0.0000000"/>
    <numFmt numFmtId="204" formatCode="0.000000"/>
    <numFmt numFmtId="205" formatCode="mmmm\-yyyy"/>
    <numFmt numFmtId="206" formatCode="#,##0.0"/>
    <numFmt numFmtId="207" formatCode="#,##0.000"/>
  </numFmts>
  <fonts count="19">
    <font>
      <sz val="10"/>
      <name val="Arial"/>
      <family val="0"/>
    </font>
    <font>
      <b/>
      <sz val="14"/>
      <name val="Arial"/>
      <family val="2"/>
    </font>
    <font>
      <b/>
      <sz val="10"/>
      <name val="Arial"/>
      <family val="2"/>
    </font>
    <font>
      <sz val="10"/>
      <color indexed="10"/>
      <name val="Arial"/>
      <family val="0"/>
    </font>
    <font>
      <b/>
      <sz val="11"/>
      <color indexed="8"/>
      <name val="Times New Roman"/>
      <family val="1"/>
    </font>
    <font>
      <b/>
      <vertAlign val="subscript"/>
      <sz val="11"/>
      <color indexed="8"/>
      <name val="Times New Roman"/>
      <family val="1"/>
    </font>
    <font>
      <b/>
      <vertAlign val="subscript"/>
      <sz val="11"/>
      <name val="Times New Roman"/>
      <family val="1"/>
    </font>
    <font>
      <b/>
      <vertAlign val="subscript"/>
      <sz val="10"/>
      <name val="Times New Roman"/>
      <family val="1"/>
    </font>
    <font>
      <b/>
      <vertAlign val="subscript"/>
      <sz val="10"/>
      <name val="Arial"/>
      <family val="2"/>
    </font>
    <font>
      <b/>
      <sz val="8"/>
      <name val="Arial"/>
      <family val="2"/>
    </font>
    <font>
      <sz val="8"/>
      <name val="Tahoma"/>
      <family val="0"/>
    </font>
    <font>
      <b/>
      <sz val="8"/>
      <name val="Tahoma"/>
      <family val="0"/>
    </font>
    <font>
      <sz val="6"/>
      <name val="Tahoma"/>
      <family val="2"/>
    </font>
    <font>
      <u val="single"/>
      <sz val="10"/>
      <color indexed="12"/>
      <name val="Arial"/>
      <family val="0"/>
    </font>
    <font>
      <u val="single"/>
      <sz val="10"/>
      <color indexed="36"/>
      <name val="Arial"/>
      <family val="0"/>
    </font>
    <font>
      <sz val="10"/>
      <name val="Tahoma"/>
      <family val="0"/>
    </font>
    <font>
      <b/>
      <sz val="10"/>
      <name val="Tahoma"/>
      <family val="0"/>
    </font>
    <font>
      <sz val="7"/>
      <name val="Tahoma"/>
      <family val="2"/>
    </font>
    <font>
      <vertAlign val="subscript"/>
      <sz val="10"/>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9">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Border="1" applyAlignment="1">
      <alignment/>
    </xf>
    <xf numFmtId="0" fontId="0" fillId="0" borderId="1" xfId="0" applyBorder="1" applyAlignment="1">
      <alignment/>
    </xf>
    <xf numFmtId="0" fontId="3" fillId="0" borderId="0" xfId="0" applyFont="1" applyAlignment="1">
      <alignment/>
    </xf>
    <xf numFmtId="0" fontId="2" fillId="0" borderId="0" xfId="0" applyFont="1" applyBorder="1" applyAlignment="1">
      <alignment wrapText="1"/>
    </xf>
    <xf numFmtId="200" fontId="0" fillId="0" borderId="0" xfId="0" applyNumberFormat="1" applyAlignment="1">
      <alignment/>
    </xf>
    <xf numFmtId="0" fontId="0" fillId="0" borderId="0" xfId="0" applyAlignment="1">
      <alignment horizontal="right"/>
    </xf>
    <xf numFmtId="1" fontId="0" fillId="0" borderId="0" xfId="0" applyNumberFormat="1" applyAlignment="1">
      <alignment/>
    </xf>
    <xf numFmtId="0" fontId="0" fillId="0" borderId="0" xfId="0" applyBorder="1" applyAlignment="1">
      <alignment/>
    </xf>
    <xf numFmtId="0" fontId="4" fillId="0" borderId="0" xfId="0" applyFont="1" applyAlignment="1">
      <alignment/>
    </xf>
    <xf numFmtId="0" fontId="4" fillId="0" borderId="0" xfId="0" applyFont="1" applyBorder="1" applyAlignment="1">
      <alignment/>
    </xf>
    <xf numFmtId="0" fontId="2" fillId="0" borderId="0" xfId="0" applyFont="1" applyAlignment="1">
      <alignment wrapText="1"/>
    </xf>
    <xf numFmtId="0" fontId="2" fillId="0" borderId="2" xfId="0" applyFont="1" applyBorder="1" applyAlignment="1">
      <alignment horizontal="right" wrapText="1"/>
    </xf>
    <xf numFmtId="2" fontId="0" fillId="0" borderId="0" xfId="0" applyNumberFormat="1" applyAlignment="1">
      <alignment/>
    </xf>
    <xf numFmtId="9" fontId="0" fillId="0" borderId="0" xfId="19" applyAlignment="1">
      <alignment/>
    </xf>
    <xf numFmtId="0" fontId="0" fillId="0" borderId="0" xfId="0" applyFill="1" applyAlignment="1">
      <alignment/>
    </xf>
    <xf numFmtId="0" fontId="0" fillId="0" borderId="0" xfId="0" applyNumberFormat="1" applyFill="1" applyAlignment="1">
      <alignment/>
    </xf>
    <xf numFmtId="201" fontId="0" fillId="0" borderId="0" xfId="0" applyNumberFormat="1" applyFill="1" applyAlignment="1">
      <alignment/>
    </xf>
    <xf numFmtId="0" fontId="0" fillId="0" borderId="0" xfId="0" applyFill="1" applyAlignment="1" quotePrefix="1">
      <alignment horizontal="center"/>
    </xf>
    <xf numFmtId="201" fontId="0" fillId="0" borderId="0" xfId="0" applyNumberFormat="1" applyFill="1" applyAlignment="1" quotePrefix="1">
      <alignment horizontal="center"/>
    </xf>
    <xf numFmtId="0" fontId="4" fillId="0" borderId="1" xfId="0" applyFont="1" applyBorder="1" applyAlignment="1">
      <alignment/>
    </xf>
    <xf numFmtId="0" fontId="4" fillId="0" borderId="1" xfId="0" applyFont="1" applyBorder="1" applyAlignment="1">
      <alignment vertical="top" wrapText="1"/>
    </xf>
    <xf numFmtId="0" fontId="2" fillId="0" borderId="2" xfId="0" applyFont="1" applyBorder="1" applyAlignment="1">
      <alignment horizontal="right"/>
    </xf>
    <xf numFmtId="1" fontId="0" fillId="2" borderId="0" xfId="0" applyNumberFormat="1" applyFill="1" applyAlignment="1">
      <alignment/>
    </xf>
    <xf numFmtId="205" fontId="0" fillId="0" borderId="0" xfId="0" applyNumberFormat="1" applyAlignment="1">
      <alignment/>
    </xf>
    <xf numFmtId="3" fontId="2" fillId="0" borderId="2" xfId="0" applyNumberFormat="1" applyFont="1" applyBorder="1" applyAlignment="1">
      <alignment/>
    </xf>
    <xf numFmtId="1" fontId="2" fillId="0" borderId="2" xfId="0" applyNumberFormat="1" applyFont="1" applyBorder="1" applyAlignment="1">
      <alignment/>
    </xf>
    <xf numFmtId="205" fontId="0" fillId="0" borderId="2" xfId="0" applyNumberFormat="1" applyBorder="1" applyAlignment="1">
      <alignment/>
    </xf>
    <xf numFmtId="1" fontId="0" fillId="0" borderId="2" xfId="0" applyNumberFormat="1" applyBorder="1" applyAlignment="1">
      <alignment/>
    </xf>
    <xf numFmtId="0" fontId="0" fillId="0" borderId="2" xfId="0" applyBorder="1" applyAlignment="1">
      <alignment/>
    </xf>
    <xf numFmtId="1" fontId="0" fillId="2" borderId="2" xfId="0" applyNumberFormat="1" applyFill="1" applyBorder="1" applyAlignment="1">
      <alignment/>
    </xf>
    <xf numFmtId="0" fontId="0" fillId="0" borderId="2" xfId="0" applyFill="1" applyBorder="1" applyAlignment="1">
      <alignment/>
    </xf>
    <xf numFmtId="205" fontId="2" fillId="0" borderId="3" xfId="0" applyNumberFormat="1" applyFont="1" applyBorder="1" applyAlignment="1">
      <alignment horizontal="right"/>
    </xf>
    <xf numFmtId="3" fontId="2" fillId="0" borderId="3" xfId="0" applyNumberFormat="1" applyFont="1" applyBorder="1" applyAlignment="1">
      <alignment/>
    </xf>
    <xf numFmtId="1" fontId="2" fillId="0" borderId="3" xfId="0" applyNumberFormat="1" applyFont="1" applyBorder="1" applyAlignment="1">
      <alignment/>
    </xf>
    <xf numFmtId="3" fontId="0" fillId="3" borderId="0" xfId="0" applyNumberFormat="1" applyFill="1" applyAlignment="1">
      <alignment/>
    </xf>
    <xf numFmtId="3" fontId="0" fillId="3" borderId="2" xfId="0" applyNumberFormat="1" applyFill="1" applyBorder="1" applyAlignment="1">
      <alignment/>
    </xf>
    <xf numFmtId="3" fontId="0" fillId="0" borderId="0" xfId="0" applyNumberFormat="1" applyFill="1" applyAlignment="1">
      <alignment/>
    </xf>
    <xf numFmtId="3" fontId="0" fillId="0" borderId="2" xfId="0" applyNumberFormat="1" applyFill="1" applyBorder="1" applyAlignment="1">
      <alignment/>
    </xf>
    <xf numFmtId="0" fontId="0" fillId="2" borderId="0" xfId="0" applyFill="1" applyAlignment="1">
      <alignment/>
    </xf>
    <xf numFmtId="0" fontId="0" fillId="2" borderId="2" xfId="0" applyFill="1" applyBorder="1" applyAlignment="1">
      <alignment/>
    </xf>
    <xf numFmtId="1" fontId="2" fillId="2" borderId="2" xfId="0" applyNumberFormat="1" applyFont="1" applyFill="1" applyBorder="1" applyAlignment="1">
      <alignment/>
    </xf>
    <xf numFmtId="1" fontId="2" fillId="2" borderId="3" xfId="0" applyNumberFormat="1" applyFont="1" applyFill="1" applyBorder="1" applyAlignment="1">
      <alignment/>
    </xf>
    <xf numFmtId="0" fontId="0" fillId="0" borderId="0" xfId="0" applyAlignment="1">
      <alignment horizontal="right" vertical="center"/>
    </xf>
    <xf numFmtId="200" fontId="2" fillId="0" borderId="3" xfId="0" applyNumberFormat="1" applyFont="1" applyBorder="1" applyAlignment="1">
      <alignment horizontal="right" vertical="center" wrapText="1"/>
    </xf>
    <xf numFmtId="3" fontId="2" fillId="0" borderId="3" xfId="0" applyNumberFormat="1" applyFont="1" applyBorder="1" applyAlignment="1">
      <alignment horizontal="right" vertical="center"/>
    </xf>
    <xf numFmtId="0" fontId="0" fillId="0" borderId="4" xfId="0" applyBorder="1" applyAlignment="1">
      <alignment/>
    </xf>
    <xf numFmtId="0" fontId="0" fillId="0" borderId="5" xfId="0" applyBorder="1" applyAlignment="1">
      <alignment/>
    </xf>
    <xf numFmtId="0" fontId="2" fillId="0" borderId="4" xfId="0" applyFont="1" applyBorder="1" applyAlignment="1">
      <alignment wrapText="1"/>
    </xf>
    <xf numFmtId="0" fontId="2" fillId="0" borderId="6" xfId="0" applyFont="1" applyBorder="1" applyAlignment="1">
      <alignment horizontal="right"/>
    </xf>
    <xf numFmtId="0" fontId="0" fillId="3" borderId="4" xfId="0"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2" fillId="0" borderId="0" xfId="0" applyFont="1" applyFill="1" applyAlignment="1">
      <alignment wrapText="1"/>
    </xf>
    <xf numFmtId="0" fontId="2" fillId="0" borderId="2" xfId="0" applyFont="1" applyFill="1" applyBorder="1" applyAlignment="1">
      <alignment horizontal="right" wrapText="1"/>
    </xf>
    <xf numFmtId="1" fontId="0" fillId="0" borderId="0" xfId="0" applyNumberFormat="1" applyFill="1" applyAlignment="1">
      <alignment/>
    </xf>
    <xf numFmtId="1" fontId="0" fillId="0" borderId="2" xfId="0" applyNumberFormat="1" applyFill="1" applyBorder="1" applyAlignment="1">
      <alignment/>
    </xf>
    <xf numFmtId="1" fontId="2" fillId="0" borderId="2" xfId="0" applyNumberFormat="1" applyFont="1" applyFill="1" applyBorder="1" applyAlignment="1">
      <alignment/>
    </xf>
    <xf numFmtId="3" fontId="2" fillId="0" borderId="3" xfId="0" applyNumberFormat="1" applyFont="1" applyFill="1" applyBorder="1" applyAlignment="1">
      <alignment horizontal="right" vertical="center"/>
    </xf>
    <xf numFmtId="0" fontId="4" fillId="0" borderId="1" xfId="0" applyFont="1" applyFill="1" applyBorder="1" applyAlignment="1">
      <alignment vertical="top" wrapText="1"/>
    </xf>
    <xf numFmtId="201" fontId="0" fillId="0" borderId="2" xfId="0" applyNumberFormat="1" applyFill="1" applyBorder="1" applyAlignment="1" quotePrefix="1">
      <alignment horizontal="center"/>
    </xf>
    <xf numFmtId="201" fontId="0" fillId="0" borderId="0" xfId="0" applyNumberFormat="1" applyFill="1" applyAlignment="1" quotePrefix="1">
      <alignment horizontal="right"/>
    </xf>
    <xf numFmtId="201" fontId="0" fillId="0" borderId="2" xfId="0" applyNumberFormat="1" applyFill="1" applyBorder="1" applyAlignment="1" quotePrefix="1">
      <alignment horizontal="right"/>
    </xf>
    <xf numFmtId="0" fontId="0" fillId="0" borderId="0" xfId="0" applyFill="1" applyAlignment="1" quotePrefix="1">
      <alignment horizontal="right"/>
    </xf>
    <xf numFmtId="197" fontId="0" fillId="0" borderId="0" xfId="0" applyNumberFormat="1" applyFill="1" applyAlignment="1" quotePrefix="1">
      <alignment horizontal="right"/>
    </xf>
    <xf numFmtId="197" fontId="2" fillId="0" borderId="2" xfId="0" applyNumberFormat="1" applyFont="1" applyBorder="1" applyAlignment="1">
      <alignment/>
    </xf>
    <xf numFmtId="197" fontId="2" fillId="0" borderId="3" xfId="0" applyNumberFormat="1" applyFont="1" applyBorder="1" applyAlignment="1">
      <alignment/>
    </xf>
    <xf numFmtId="0" fontId="0" fillId="0" borderId="2" xfId="0" applyFill="1" applyBorder="1" applyAlignment="1" quotePrefix="1">
      <alignment horizontal="right"/>
    </xf>
    <xf numFmtId="3" fontId="2" fillId="2" borderId="3" xfId="0" applyNumberFormat="1" applyFont="1" applyFill="1" applyBorder="1" applyAlignment="1">
      <alignment horizontal="right" vertical="center"/>
    </xf>
    <xf numFmtId="201" fontId="0" fillId="2" borderId="0" xfId="0" applyNumberFormat="1" applyFill="1" applyAlignment="1" quotePrefix="1">
      <alignment horizontal="right"/>
    </xf>
    <xf numFmtId="201" fontId="0" fillId="2" borderId="2" xfId="0" applyNumberFormat="1" applyFill="1" applyBorder="1" applyAlignment="1" quotePrefix="1">
      <alignment horizontal="right"/>
    </xf>
    <xf numFmtId="201" fontId="0" fillId="2" borderId="3" xfId="0" applyNumberFormat="1" applyFill="1" applyBorder="1" applyAlignment="1" quotePrefix="1">
      <alignment horizontal="right"/>
    </xf>
    <xf numFmtId="201" fontId="0" fillId="2" borderId="0" xfId="0" applyNumberFormat="1" applyFill="1" applyAlignment="1">
      <alignment/>
    </xf>
    <xf numFmtId="201" fontId="0" fillId="2" borderId="2" xfId="0" applyNumberFormat="1" applyFill="1" applyBorder="1" applyAlignment="1">
      <alignment/>
    </xf>
    <xf numFmtId="201" fontId="2" fillId="2" borderId="2" xfId="0" applyNumberFormat="1" applyFont="1" applyFill="1" applyBorder="1" applyAlignment="1">
      <alignment/>
    </xf>
    <xf numFmtId="201" fontId="2" fillId="2" borderId="3" xfId="0" applyNumberFormat="1" applyFont="1" applyFill="1" applyBorder="1" applyAlignment="1">
      <alignment/>
    </xf>
    <xf numFmtId="201" fontId="2" fillId="0" borderId="3" xfId="19" applyNumberFormat="1" applyFont="1" applyFill="1" applyBorder="1" applyAlignment="1">
      <alignment/>
    </xf>
    <xf numFmtId="201" fontId="2" fillId="0" borderId="3" xfId="19" applyNumberFormat="1" applyFont="1" applyFill="1" applyBorder="1" applyAlignment="1">
      <alignment horizontal="right" vertical="center"/>
    </xf>
    <xf numFmtId="201" fontId="2" fillId="2" borderId="3" xfId="19" applyNumberFormat="1" applyFont="1" applyFill="1" applyBorder="1" applyAlignment="1">
      <alignment horizontal="right" vertical="center"/>
    </xf>
    <xf numFmtId="0" fontId="0" fillId="0" borderId="2" xfId="0" applyNumberFormat="1" applyFill="1" applyBorder="1" applyAlignment="1">
      <alignment/>
    </xf>
    <xf numFmtId="0" fontId="2" fillId="0" borderId="2" xfId="0" applyNumberFormat="1" applyFont="1" applyFill="1" applyBorder="1" applyAlignment="1">
      <alignment/>
    </xf>
    <xf numFmtId="0" fontId="2" fillId="0" borderId="3" xfId="0" applyNumberFormat="1" applyFont="1" applyFill="1" applyBorder="1" applyAlignment="1">
      <alignment/>
    </xf>
    <xf numFmtId="2" fontId="2" fillId="0" borderId="3" xfId="19" applyNumberFormat="1" applyFont="1" applyFill="1" applyBorder="1" applyAlignment="1">
      <alignment horizontal="right" vertical="center"/>
    </xf>
    <xf numFmtId="201" fontId="0" fillId="0" borderId="0" xfId="0" applyNumberFormat="1" applyFill="1" applyAlignment="1">
      <alignment horizontal="center"/>
    </xf>
    <xf numFmtId="9" fontId="0" fillId="0" borderId="0" xfId="19" applyFont="1" applyAlignment="1">
      <alignment/>
    </xf>
    <xf numFmtId="201" fontId="0" fillId="0" borderId="0" xfId="19" applyNumberFormat="1" applyAlignment="1">
      <alignment/>
    </xf>
    <xf numFmtId="201" fontId="0" fillId="0" borderId="2" xfId="19" applyNumberFormat="1" applyBorder="1" applyAlignment="1">
      <alignment/>
    </xf>
    <xf numFmtId="0" fontId="0" fillId="0" borderId="0" xfId="0" applyFill="1" applyAlignment="1">
      <alignment horizontal="right"/>
    </xf>
    <xf numFmtId="0" fontId="0" fillId="0" borderId="2" xfId="0" applyFill="1" applyBorder="1" applyAlignment="1">
      <alignment horizontal="right"/>
    </xf>
    <xf numFmtId="0" fontId="2" fillId="0" borderId="2" xfId="0" applyFont="1" applyFill="1" applyBorder="1" applyAlignment="1">
      <alignment horizontal="right"/>
    </xf>
    <xf numFmtId="0" fontId="0" fillId="0" borderId="0" xfId="0" applyNumberFormat="1" applyFont="1" applyFill="1" applyAlignment="1">
      <alignment/>
    </xf>
    <xf numFmtId="0" fontId="0" fillId="0" borderId="2" xfId="0" applyNumberFormat="1" applyFont="1" applyFill="1" applyBorder="1" applyAlignment="1">
      <alignment/>
    </xf>
    <xf numFmtId="0" fontId="2" fillId="0" borderId="3" xfId="0" applyNumberFormat="1" applyFont="1" applyFill="1" applyBorder="1" applyAlignment="1">
      <alignment/>
    </xf>
    <xf numFmtId="0" fontId="0" fillId="0" borderId="0" xfId="0" applyNumberFormat="1" applyFont="1" applyFill="1" applyAlignment="1">
      <alignment/>
    </xf>
    <xf numFmtId="3" fontId="0" fillId="0" borderId="0" xfId="0" applyNumberFormat="1" applyFont="1" applyAlignment="1">
      <alignment/>
    </xf>
    <xf numFmtId="3" fontId="0" fillId="0" borderId="2" xfId="0" applyNumberFormat="1" applyFont="1" applyBorder="1" applyAlignment="1">
      <alignment/>
    </xf>
    <xf numFmtId="198" fontId="0" fillId="3" borderId="4" xfId="0" applyNumberFormat="1" applyFont="1" applyFill="1" applyBorder="1" applyAlignment="1">
      <alignment/>
    </xf>
    <xf numFmtId="198" fontId="0" fillId="3" borderId="6" xfId="0" applyNumberFormat="1" applyFont="1" applyFill="1" applyBorder="1" applyAlignment="1">
      <alignment/>
    </xf>
    <xf numFmtId="198" fontId="2" fillId="0" borderId="6" xfId="0" applyNumberFormat="1" applyFont="1" applyBorder="1" applyAlignment="1">
      <alignment/>
    </xf>
    <xf numFmtId="206" fontId="2" fillId="0" borderId="7" xfId="0" applyNumberFormat="1" applyFont="1" applyBorder="1" applyAlignment="1">
      <alignment/>
    </xf>
    <xf numFmtId="206" fontId="2" fillId="0" borderId="7" xfId="0" applyNumberFormat="1" applyFont="1" applyBorder="1" applyAlignment="1">
      <alignment horizontal="right" vertical="center"/>
    </xf>
    <xf numFmtId="3" fontId="2" fillId="0" borderId="0" xfId="0" applyNumberFormat="1" applyFont="1" applyAlignment="1">
      <alignment/>
    </xf>
    <xf numFmtId="0" fontId="0" fillId="3" borderId="0" xfId="0" applyFill="1" applyAlignment="1">
      <alignment/>
    </xf>
    <xf numFmtId="0" fontId="2" fillId="0" borderId="1" xfId="0" applyFont="1" applyBorder="1" applyAlignment="1">
      <alignment/>
    </xf>
    <xf numFmtId="3" fontId="0" fillId="0" borderId="0" xfId="0" applyNumberFormat="1" applyFont="1" applyFill="1" applyAlignment="1">
      <alignment/>
    </xf>
    <xf numFmtId="3" fontId="0" fillId="0" borderId="2" xfId="0" applyNumberFormat="1" applyFont="1" applyFill="1" applyBorder="1" applyAlignment="1">
      <alignment/>
    </xf>
    <xf numFmtId="207" fontId="2" fillId="0" borderId="2" xfId="0" applyNumberFormat="1" applyFont="1" applyFill="1" applyBorder="1" applyAlignment="1">
      <alignment/>
    </xf>
    <xf numFmtId="207" fontId="2" fillId="0" borderId="3" xfId="0" applyNumberFormat="1" applyFont="1" applyBorder="1" applyAlignment="1">
      <alignment horizontal="right" vertical="center"/>
    </xf>
    <xf numFmtId="3" fontId="0" fillId="0" borderId="8" xfId="0" applyNumberFormat="1" applyFont="1" applyBorder="1" applyAlignment="1">
      <alignment/>
    </xf>
    <xf numFmtId="9" fontId="0" fillId="0" borderId="0" xfId="0" applyNumberFormat="1" applyFill="1" applyAlignment="1">
      <alignment/>
    </xf>
    <xf numFmtId="9" fontId="2" fillId="0" borderId="2" xfId="0" applyNumberFormat="1" applyFont="1" applyFill="1" applyBorder="1" applyAlignment="1">
      <alignment/>
    </xf>
    <xf numFmtId="9" fontId="0" fillId="0" borderId="2" xfId="0" applyNumberFormat="1" applyFill="1" applyBorder="1" applyAlignment="1">
      <alignment/>
    </xf>
    <xf numFmtId="0" fontId="2" fillId="0" borderId="3" xfId="0" applyNumberFormat="1" applyFont="1" applyFill="1" applyBorder="1" applyAlignment="1">
      <alignment vertical="center"/>
    </xf>
    <xf numFmtId="0" fontId="2" fillId="0" borderId="2" xfId="0" applyFont="1" applyFill="1" applyBorder="1" applyAlignment="1">
      <alignment horizontal="right" vertical="center"/>
    </xf>
    <xf numFmtId="9" fontId="2" fillId="0" borderId="2" xfId="0" applyNumberFormat="1" applyFont="1" applyFill="1" applyBorder="1" applyAlignment="1">
      <alignment vertical="center"/>
    </xf>
    <xf numFmtId="201" fontId="2" fillId="0" borderId="3" xfId="19" applyNumberFormat="1" applyFont="1" applyFill="1" applyBorder="1" applyAlignment="1">
      <alignment horizontal="right"/>
    </xf>
    <xf numFmtId="0" fontId="2" fillId="4" borderId="0" xfId="0" applyFont="1" applyFill="1" applyAlignment="1">
      <alignment wrapText="1"/>
    </xf>
    <xf numFmtId="1" fontId="2" fillId="4" borderId="1" xfId="0" applyNumberFormat="1" applyFont="1" applyFill="1" applyBorder="1" applyAlignment="1">
      <alignment/>
    </xf>
    <xf numFmtId="1" fontId="0" fillId="4" borderId="1" xfId="0" applyNumberFormat="1" applyFill="1" applyBorder="1" applyAlignment="1">
      <alignment/>
    </xf>
    <xf numFmtId="1" fontId="0" fillId="4" borderId="0" xfId="0" applyNumberFormat="1" applyFill="1" applyAlignment="1">
      <alignment/>
    </xf>
    <xf numFmtId="197" fontId="0" fillId="0" borderId="0" xfId="0" applyNumberFormat="1" applyFill="1" applyAlignment="1">
      <alignment/>
    </xf>
    <xf numFmtId="197" fontId="0" fillId="0" borderId="2" xfId="0" applyNumberFormat="1" applyFill="1" applyBorder="1" applyAlignment="1">
      <alignment/>
    </xf>
    <xf numFmtId="3" fontId="0" fillId="0" borderId="0" xfId="0" applyNumberFormat="1" applyAlignment="1">
      <alignment/>
    </xf>
    <xf numFmtId="3" fontId="4" fillId="0" borderId="0" xfId="0" applyNumberFormat="1" applyFont="1" applyAlignment="1">
      <alignment/>
    </xf>
    <xf numFmtId="3" fontId="2" fillId="0" borderId="2" xfId="0" applyNumberFormat="1" applyFont="1" applyBorder="1" applyAlignment="1">
      <alignment horizontal="right" wrapText="1"/>
    </xf>
    <xf numFmtId="3" fontId="2" fillId="0" borderId="2" xfId="0" applyNumberFormat="1" applyFont="1" applyFill="1" applyBorder="1" applyAlignment="1">
      <alignment/>
    </xf>
    <xf numFmtId="3" fontId="2" fillId="0" borderId="3" xfId="0" applyNumberFormat="1" applyFont="1" applyFill="1" applyBorder="1" applyAlignment="1">
      <alignment/>
    </xf>
    <xf numFmtId="0" fontId="4" fillId="4" borderId="1" xfId="0" applyFont="1" applyFill="1" applyBorder="1" applyAlignment="1">
      <alignment/>
    </xf>
    <xf numFmtId="3" fontId="4" fillId="4" borderId="1" xfId="0" applyNumberFormat="1" applyFont="1" applyFill="1" applyBorder="1" applyAlignment="1">
      <alignment/>
    </xf>
    <xf numFmtId="3" fontId="2" fillId="4" borderId="0" xfId="0" applyNumberFormat="1" applyFont="1" applyFill="1" applyAlignment="1">
      <alignment wrapText="1"/>
    </xf>
    <xf numFmtId="4" fontId="2" fillId="4" borderId="2" xfId="0" applyNumberFormat="1" applyFont="1" applyFill="1" applyBorder="1" applyAlignment="1">
      <alignment/>
    </xf>
    <xf numFmtId="4" fontId="2" fillId="0" borderId="3" xfId="0" applyNumberFormat="1" applyFont="1" applyFill="1" applyBorder="1" applyAlignment="1">
      <alignment horizontal="right" vertical="center"/>
    </xf>
    <xf numFmtId="2" fontId="2" fillId="0" borderId="3" xfId="0" applyNumberFormat="1" applyFont="1" applyFill="1" applyBorder="1" applyAlignment="1">
      <alignment horizontal="right" vertical="center"/>
    </xf>
    <xf numFmtId="2" fontId="2" fillId="0" borderId="0" xfId="0" applyNumberFormat="1" applyFont="1" applyAlignment="1">
      <alignment/>
    </xf>
    <xf numFmtId="2" fontId="2" fillId="0" borderId="3" xfId="0" applyNumberFormat="1" applyFont="1" applyBorder="1" applyAlignment="1">
      <alignment/>
    </xf>
    <xf numFmtId="2" fontId="2" fillId="0" borderId="3" xfId="0" applyNumberFormat="1" applyFont="1" applyBorder="1" applyAlignment="1">
      <alignment horizontal="righ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3"/>
  <sheetViews>
    <sheetView tabSelected="1" workbookViewId="0" topLeftCell="A1">
      <pane ySplit="6" topLeftCell="BM22" activePane="bottomLeft" state="frozen"/>
      <selection pane="topLeft" activeCell="K6" sqref="K6"/>
      <selection pane="bottomLeft" activeCell="G33" sqref="G33"/>
    </sheetView>
  </sheetViews>
  <sheetFormatPr defaultColWidth="9.140625" defaultRowHeight="12.75"/>
  <cols>
    <col min="1" max="1" width="15.8515625" style="6" customWidth="1"/>
    <col min="2" max="2" width="10.28125" style="0" customWidth="1"/>
    <col min="3" max="5" width="10.140625" style="0" customWidth="1"/>
    <col min="6" max="6" width="9.28125" style="0" customWidth="1"/>
    <col min="7" max="7" width="10.140625" style="0" customWidth="1"/>
    <col min="8" max="8" width="9.8515625" style="0" bestFit="1" customWidth="1"/>
    <col min="9" max="9" width="11.00390625" style="0" bestFit="1" customWidth="1"/>
    <col min="10" max="10" width="10.00390625" style="0" customWidth="1"/>
    <col min="11" max="11" width="10.28125" style="0" customWidth="1"/>
    <col min="12" max="12" width="13.00390625" style="0" bestFit="1" customWidth="1"/>
    <col min="13" max="13" width="12.140625" style="0" customWidth="1"/>
    <col min="14" max="14" width="10.28125" style="0" customWidth="1"/>
    <col min="15" max="15" width="8.57421875" style="16" customWidth="1"/>
    <col min="16" max="16" width="12.57421875" style="16" customWidth="1"/>
    <col min="17" max="18" width="11.57421875" style="0" customWidth="1"/>
    <col min="19" max="19" width="11.140625" style="0" customWidth="1"/>
    <col min="20" max="23" width="11.57421875" style="0" customWidth="1"/>
    <col min="24" max="24" width="13.28125" style="0" bestFit="1" customWidth="1"/>
    <col min="25" max="25" width="13.7109375" style="0" bestFit="1" customWidth="1"/>
    <col min="26" max="26" width="13.421875" style="0" bestFit="1" customWidth="1"/>
    <col min="27" max="27" width="11.28125" style="0" bestFit="1" customWidth="1"/>
    <col min="28" max="28" width="11.57421875" style="0" customWidth="1"/>
    <col min="29" max="29" width="9.8515625" style="0" bestFit="1" customWidth="1"/>
    <col min="30" max="30" width="15.8515625" style="0" customWidth="1"/>
    <col min="31" max="31" width="16.421875" style="0" customWidth="1"/>
    <col min="32" max="32" width="13.00390625" style="0" customWidth="1"/>
    <col min="33" max="33" width="11.28125" style="0" bestFit="1" customWidth="1"/>
    <col min="34" max="36" width="10.8515625" style="0" bestFit="1" customWidth="1"/>
    <col min="37" max="37" width="9.00390625" style="0" bestFit="1" customWidth="1"/>
    <col min="38" max="38" width="10.57421875" style="0" bestFit="1" customWidth="1"/>
    <col min="39" max="39" width="9.7109375" style="0" bestFit="1" customWidth="1"/>
    <col min="40" max="43" width="8.00390625" style="0" customWidth="1"/>
    <col min="44" max="44" width="5.57421875" style="0" customWidth="1"/>
    <col min="45" max="45" width="5.7109375" style="0" customWidth="1"/>
    <col min="46" max="46" width="5.8515625" style="0" customWidth="1"/>
    <col min="47" max="47" width="7.140625" style="0" customWidth="1"/>
    <col min="48" max="49" width="8.140625" style="124" customWidth="1"/>
    <col min="50" max="16384" width="11.57421875" style="0" customWidth="1"/>
  </cols>
  <sheetData>
    <row r="1" spans="1:28" ht="18">
      <c r="A1" s="1" t="s">
        <v>107</v>
      </c>
      <c r="AB1" t="s">
        <v>151</v>
      </c>
    </row>
    <row r="2" spans="1:19" ht="18">
      <c r="A2" s="1"/>
      <c r="N2" s="9"/>
      <c r="O2" s="52"/>
      <c r="P2" s="52"/>
      <c r="Q2" s="9"/>
      <c r="R2" s="9"/>
      <c r="S2" s="9"/>
    </row>
    <row r="3" spans="1:49" ht="18">
      <c r="A3" s="1"/>
      <c r="B3" t="s">
        <v>94</v>
      </c>
      <c r="F3" s="47"/>
      <c r="H3" s="10" t="s">
        <v>35</v>
      </c>
      <c r="I3" s="10" t="s">
        <v>2</v>
      </c>
      <c r="J3" s="10" t="s">
        <v>3</v>
      </c>
      <c r="K3" s="10" t="s">
        <v>4</v>
      </c>
      <c r="L3" s="10" t="s">
        <v>5</v>
      </c>
      <c r="M3" s="10" t="s">
        <v>6</v>
      </c>
      <c r="N3" s="10" t="s">
        <v>36</v>
      </c>
      <c r="O3" s="53" t="s">
        <v>37</v>
      </c>
      <c r="P3" s="10" t="s">
        <v>38</v>
      </c>
      <c r="Q3" s="11" t="s">
        <v>39</v>
      </c>
      <c r="R3" s="11" t="s">
        <v>40</v>
      </c>
      <c r="S3" s="11" t="s">
        <v>41</v>
      </c>
      <c r="T3" s="10" t="s">
        <v>7</v>
      </c>
      <c r="U3" s="10" t="s">
        <v>8</v>
      </c>
      <c r="V3" s="10" t="s">
        <v>9</v>
      </c>
      <c r="W3" s="10" t="s">
        <v>10</v>
      </c>
      <c r="X3" s="10" t="s">
        <v>11</v>
      </c>
      <c r="Y3" s="10" t="s">
        <v>12</v>
      </c>
      <c r="Z3" s="10" t="s">
        <v>13</v>
      </c>
      <c r="AA3" s="10" t="s">
        <v>14</v>
      </c>
      <c r="AB3" s="10" t="s">
        <v>16</v>
      </c>
      <c r="AC3" s="10" t="s">
        <v>17</v>
      </c>
      <c r="AD3" s="10" t="s">
        <v>18</v>
      </c>
      <c r="AE3" s="10" t="s">
        <v>19</v>
      </c>
      <c r="AF3" s="10" t="s">
        <v>20</v>
      </c>
      <c r="AG3" s="10" t="s">
        <v>21</v>
      </c>
      <c r="AH3" s="10" t="s">
        <v>22</v>
      </c>
      <c r="AI3" s="10" t="s">
        <v>23</v>
      </c>
      <c r="AJ3" s="10" t="s">
        <v>24</v>
      </c>
      <c r="AK3" s="10" t="s">
        <v>25</v>
      </c>
      <c r="AL3" s="10" t="s">
        <v>26</v>
      </c>
      <c r="AM3" s="10" t="s">
        <v>27</v>
      </c>
      <c r="AN3" s="10"/>
      <c r="AO3" s="10"/>
      <c r="AP3" s="10"/>
      <c r="AQ3" s="10"/>
      <c r="AR3" s="10"/>
      <c r="AS3" s="10"/>
      <c r="AT3" s="10"/>
      <c r="AU3" s="10"/>
      <c r="AV3" s="125"/>
      <c r="AW3" s="125"/>
    </row>
    <row r="4" spans="1:49" ht="16.5">
      <c r="A4" s="3"/>
      <c r="B4" s="3"/>
      <c r="C4" s="3"/>
      <c r="D4" s="3"/>
      <c r="E4" s="3"/>
      <c r="F4" s="48"/>
      <c r="G4" s="21" t="s">
        <v>88</v>
      </c>
      <c r="H4" s="21" t="s">
        <v>126</v>
      </c>
      <c r="I4" s="21" t="s">
        <v>58</v>
      </c>
      <c r="J4" s="21" t="s">
        <v>59</v>
      </c>
      <c r="K4" s="21" t="s">
        <v>60</v>
      </c>
      <c r="L4" s="21" t="s">
        <v>61</v>
      </c>
      <c r="M4" s="21" t="s">
        <v>62</v>
      </c>
      <c r="N4" s="22" t="s">
        <v>63</v>
      </c>
      <c r="O4" s="54" t="s">
        <v>64</v>
      </c>
      <c r="P4" s="61" t="s">
        <v>65</v>
      </c>
      <c r="Q4" s="21" t="s">
        <v>66</v>
      </c>
      <c r="R4" s="22" t="s">
        <v>67</v>
      </c>
      <c r="S4" s="22" t="s">
        <v>68</v>
      </c>
      <c r="T4" s="21" t="s">
        <v>69</v>
      </c>
      <c r="U4" s="21" t="s">
        <v>70</v>
      </c>
      <c r="V4" s="21" t="s">
        <v>71</v>
      </c>
      <c r="W4" s="21" t="s">
        <v>72</v>
      </c>
      <c r="X4" s="21" t="s">
        <v>73</v>
      </c>
      <c r="Y4" s="21" t="s">
        <v>74</v>
      </c>
      <c r="Z4" s="21" t="s">
        <v>75</v>
      </c>
      <c r="AA4" s="21" t="s">
        <v>15</v>
      </c>
      <c r="AB4" s="21" t="s">
        <v>76</v>
      </c>
      <c r="AC4" s="21" t="s">
        <v>125</v>
      </c>
      <c r="AD4" s="21" t="s">
        <v>124</v>
      </c>
      <c r="AE4" s="21" t="s">
        <v>123</v>
      </c>
      <c r="AF4" s="21" t="s">
        <v>122</v>
      </c>
      <c r="AG4" s="21" t="s">
        <v>76</v>
      </c>
      <c r="AH4" s="21" t="s">
        <v>72</v>
      </c>
      <c r="AI4" s="21" t="s">
        <v>121</v>
      </c>
      <c r="AJ4" s="21" t="s">
        <v>120</v>
      </c>
      <c r="AK4" s="21" t="s">
        <v>77</v>
      </c>
      <c r="AL4" s="21" t="s">
        <v>78</v>
      </c>
      <c r="AM4" s="21" t="s">
        <v>79</v>
      </c>
      <c r="AN4" s="129" t="s">
        <v>133</v>
      </c>
      <c r="AO4" s="129" t="s">
        <v>135</v>
      </c>
      <c r="AP4" s="129" t="s">
        <v>134</v>
      </c>
      <c r="AQ4" s="129" t="s">
        <v>137</v>
      </c>
      <c r="AR4" s="129" t="s">
        <v>140</v>
      </c>
      <c r="AS4" s="129" t="s">
        <v>143</v>
      </c>
      <c r="AT4" s="129" t="s">
        <v>145</v>
      </c>
      <c r="AU4" s="129" t="s">
        <v>147</v>
      </c>
      <c r="AV4" s="130"/>
      <c r="AW4" s="130"/>
    </row>
    <row r="5" spans="1:49" ht="140.25">
      <c r="A5" s="2" t="s">
        <v>0</v>
      </c>
      <c r="B5" s="5" t="s">
        <v>99</v>
      </c>
      <c r="C5" s="5" t="s">
        <v>100</v>
      </c>
      <c r="D5" s="5" t="s">
        <v>101</v>
      </c>
      <c r="E5" s="5" t="s">
        <v>102</v>
      </c>
      <c r="F5" s="49" t="s">
        <v>90</v>
      </c>
      <c r="G5" s="12" t="s">
        <v>89</v>
      </c>
      <c r="H5" s="12" t="s">
        <v>115</v>
      </c>
      <c r="I5" s="12" t="s">
        <v>42</v>
      </c>
      <c r="J5" s="12" t="s">
        <v>43</v>
      </c>
      <c r="K5" s="12" t="s">
        <v>44</v>
      </c>
      <c r="L5" s="55" t="s">
        <v>45</v>
      </c>
      <c r="M5" s="12" t="s">
        <v>80</v>
      </c>
      <c r="N5" s="12" t="s">
        <v>46</v>
      </c>
      <c r="O5" s="55" t="s">
        <v>47</v>
      </c>
      <c r="P5" s="118" t="s">
        <v>103</v>
      </c>
      <c r="Q5" s="12" t="s">
        <v>48</v>
      </c>
      <c r="R5" s="12" t="s">
        <v>49</v>
      </c>
      <c r="S5" s="12" t="s">
        <v>50</v>
      </c>
      <c r="T5" s="12" t="s">
        <v>51</v>
      </c>
      <c r="U5" s="12" t="s">
        <v>52</v>
      </c>
      <c r="V5" s="12" t="s">
        <v>53</v>
      </c>
      <c r="W5" s="12" t="s">
        <v>29</v>
      </c>
      <c r="X5" s="12" t="s">
        <v>54</v>
      </c>
      <c r="Y5" s="12" t="s">
        <v>55</v>
      </c>
      <c r="Z5" s="12" t="s">
        <v>57</v>
      </c>
      <c r="AA5" s="12" t="s">
        <v>56</v>
      </c>
      <c r="AB5" s="12" t="s">
        <v>28</v>
      </c>
      <c r="AC5" s="12" t="s">
        <v>116</v>
      </c>
      <c r="AD5" s="12" t="s">
        <v>117</v>
      </c>
      <c r="AE5" s="12" t="s">
        <v>118</v>
      </c>
      <c r="AF5" s="12" t="s">
        <v>119</v>
      </c>
      <c r="AG5" s="12" t="s">
        <v>28</v>
      </c>
      <c r="AH5" s="12" t="s">
        <v>29</v>
      </c>
      <c r="AI5" s="12" t="s">
        <v>30</v>
      </c>
      <c r="AJ5" s="12" t="s">
        <v>31</v>
      </c>
      <c r="AK5" s="12" t="s">
        <v>32</v>
      </c>
      <c r="AL5" s="12" t="s">
        <v>33</v>
      </c>
      <c r="AM5" s="12" t="s">
        <v>34</v>
      </c>
      <c r="AN5" s="118" t="s">
        <v>130</v>
      </c>
      <c r="AO5" s="118" t="s">
        <v>136</v>
      </c>
      <c r="AP5" s="118" t="s">
        <v>132</v>
      </c>
      <c r="AQ5" s="118" t="s">
        <v>138</v>
      </c>
      <c r="AR5" s="118" t="s">
        <v>139</v>
      </c>
      <c r="AS5" s="118" t="s">
        <v>142</v>
      </c>
      <c r="AT5" s="118" t="s">
        <v>144</v>
      </c>
      <c r="AU5" s="118" t="s">
        <v>146</v>
      </c>
      <c r="AV5" s="131" t="s">
        <v>148</v>
      </c>
      <c r="AW5" s="131" t="s">
        <v>149</v>
      </c>
    </row>
    <row r="6" spans="1:49" s="7" customFormat="1" ht="39" thickBot="1">
      <c r="A6" s="23"/>
      <c r="B6" s="13" t="s">
        <v>95</v>
      </c>
      <c r="C6" s="13" t="s">
        <v>95</v>
      </c>
      <c r="D6" s="13" t="s">
        <v>95</v>
      </c>
      <c r="E6" s="13" t="s">
        <v>95</v>
      </c>
      <c r="F6" s="50" t="s">
        <v>1</v>
      </c>
      <c r="G6" s="13" t="s">
        <v>96</v>
      </c>
      <c r="H6" s="13" t="s">
        <v>96</v>
      </c>
      <c r="I6" s="13" t="s">
        <v>96</v>
      </c>
      <c r="J6" s="13" t="s">
        <v>96</v>
      </c>
      <c r="K6" s="13" t="s">
        <v>96</v>
      </c>
      <c r="L6" s="13" t="s">
        <v>82</v>
      </c>
      <c r="M6" s="13" t="s">
        <v>96</v>
      </c>
      <c r="N6" s="13" t="s">
        <v>97</v>
      </c>
      <c r="O6" s="13" t="s">
        <v>98</v>
      </c>
      <c r="P6" s="56" t="s">
        <v>1</v>
      </c>
      <c r="Q6" s="13" t="s">
        <v>98</v>
      </c>
      <c r="R6" s="13" t="s">
        <v>98</v>
      </c>
      <c r="S6" s="13" t="s">
        <v>1</v>
      </c>
      <c r="T6" s="13" t="s">
        <v>98</v>
      </c>
      <c r="U6" s="13" t="s">
        <v>98</v>
      </c>
      <c r="V6" s="13" t="s">
        <v>1</v>
      </c>
      <c r="W6" s="13" t="s">
        <v>106</v>
      </c>
      <c r="X6" s="13" t="s">
        <v>105</v>
      </c>
      <c r="Y6" s="13" t="s">
        <v>1</v>
      </c>
      <c r="Z6" s="13" t="s">
        <v>1</v>
      </c>
      <c r="AA6" s="13" t="s">
        <v>84</v>
      </c>
      <c r="AB6" s="13" t="s">
        <v>86</v>
      </c>
      <c r="AC6" s="13" t="s">
        <v>81</v>
      </c>
      <c r="AD6" s="13" t="s">
        <v>81</v>
      </c>
      <c r="AE6" s="13" t="s">
        <v>81</v>
      </c>
      <c r="AF6" s="13" t="s">
        <v>83</v>
      </c>
      <c r="AG6" s="13" t="s">
        <v>86</v>
      </c>
      <c r="AH6" s="13" t="s">
        <v>86</v>
      </c>
      <c r="AI6" s="13" t="s">
        <v>82</v>
      </c>
      <c r="AJ6" s="13" t="s">
        <v>82</v>
      </c>
      <c r="AK6" s="13" t="s">
        <v>85</v>
      </c>
      <c r="AL6" s="13" t="s">
        <v>87</v>
      </c>
      <c r="AM6" s="13" t="s">
        <v>1</v>
      </c>
      <c r="AN6" s="13" t="s">
        <v>131</v>
      </c>
      <c r="AO6" s="13" t="s">
        <v>131</v>
      </c>
      <c r="AP6" s="13" t="s">
        <v>131</v>
      </c>
      <c r="AQ6" s="13" t="s">
        <v>131</v>
      </c>
      <c r="AR6" s="13" t="s">
        <v>141</v>
      </c>
      <c r="AS6" s="13" t="s">
        <v>141</v>
      </c>
      <c r="AT6" s="13" t="s">
        <v>1</v>
      </c>
      <c r="AU6" s="13" t="s">
        <v>1</v>
      </c>
      <c r="AV6" s="126" t="s">
        <v>150</v>
      </c>
      <c r="AW6" s="126" t="s">
        <v>150</v>
      </c>
    </row>
    <row r="7" spans="1:49" ht="12.75">
      <c r="A7" s="25">
        <v>39448</v>
      </c>
      <c r="B7" s="36"/>
      <c r="C7" s="36"/>
      <c r="D7" s="36"/>
      <c r="E7" s="36"/>
      <c r="F7" s="51"/>
      <c r="G7" s="96">
        <f>AC7-H7</f>
        <v>0</v>
      </c>
      <c r="H7" s="96">
        <f>I7+J7+K7</f>
        <v>0</v>
      </c>
      <c r="I7" s="96">
        <f aca="true" t="shared" si="0" ref="I7:I12">L7*M7</f>
        <v>0</v>
      </c>
      <c r="J7" s="96">
        <f>(N7+Q7+T7)*(W$7+X7*AA7)</f>
        <v>0</v>
      </c>
      <c r="K7" s="8">
        <f>AB$7*((O7-N7)+R7*(1-S$7)+U7*(1-V$7))</f>
        <v>0</v>
      </c>
      <c r="L7" s="16"/>
      <c r="M7" s="65">
        <v>0.695</v>
      </c>
      <c r="N7" s="38">
        <f>(B7+C7)/1000</f>
        <v>0</v>
      </c>
      <c r="O7" s="57">
        <f>(D7+E7)/1000</f>
        <v>0</v>
      </c>
      <c r="P7" s="20"/>
      <c r="Q7" s="40">
        <v>0</v>
      </c>
      <c r="R7" s="40">
        <v>0</v>
      </c>
      <c r="S7" s="71">
        <v>0.995</v>
      </c>
      <c r="T7" s="24">
        <f>U7*V$7</f>
        <v>0</v>
      </c>
      <c r="U7" s="40">
        <v>0</v>
      </c>
      <c r="V7" s="74">
        <v>0.995</v>
      </c>
      <c r="W7" s="17">
        <v>2.75</v>
      </c>
      <c r="X7">
        <v>0</v>
      </c>
      <c r="Y7" s="15"/>
      <c r="Z7" s="16"/>
      <c r="AA7">
        <f>IF(Y7,Z7/Y7,0)</f>
        <v>0</v>
      </c>
      <c r="AB7" s="17">
        <v>21</v>
      </c>
      <c r="AC7" s="96">
        <f>AD7+AE7</f>
        <v>0</v>
      </c>
      <c r="AD7" s="96">
        <f>AF7*AG7</f>
        <v>0</v>
      </c>
      <c r="AE7" s="24">
        <f>AI7*AK$7+AJ7*AL$7/AM$7</f>
        <v>0</v>
      </c>
      <c r="AF7" s="8">
        <f>(O7+R7+U7)</f>
        <v>0</v>
      </c>
      <c r="AG7" s="92">
        <v>21</v>
      </c>
      <c r="AH7" s="92">
        <v>2.75</v>
      </c>
      <c r="AI7" s="40">
        <v>0</v>
      </c>
      <c r="AJ7" s="24">
        <v>0</v>
      </c>
      <c r="AK7" s="65">
        <v>0.695</v>
      </c>
      <c r="AL7" s="89">
        <v>0.3406</v>
      </c>
      <c r="AM7" s="111">
        <v>0.91</v>
      </c>
      <c r="AN7" s="92"/>
      <c r="AO7" s="92"/>
      <c r="AP7" s="92"/>
      <c r="AQ7" s="92"/>
      <c r="AR7" s="92"/>
      <c r="AS7" s="92"/>
      <c r="AT7" s="111"/>
      <c r="AU7" s="111"/>
      <c r="AV7" s="38"/>
      <c r="AW7" s="38"/>
    </row>
    <row r="8" spans="1:49" ht="12.75">
      <c r="A8" s="25">
        <v>39479</v>
      </c>
      <c r="B8" s="36"/>
      <c r="C8" s="36"/>
      <c r="D8" s="36"/>
      <c r="E8" s="36"/>
      <c r="F8" s="51"/>
      <c r="G8" s="96">
        <f aca="true" t="shared" si="1" ref="G8:G25">AC8-H8</f>
        <v>0</v>
      </c>
      <c r="H8" s="96">
        <f aca="true" t="shared" si="2" ref="H8:H21">I8+J8+K8</f>
        <v>0</v>
      </c>
      <c r="I8" s="96">
        <f t="shared" si="0"/>
        <v>0</v>
      </c>
      <c r="J8" s="96">
        <f aca="true" t="shared" si="3" ref="J8:J21">(N8+Q8+T8)*(W$7+X8*AA8)</f>
        <v>0</v>
      </c>
      <c r="K8" s="8">
        <f aca="true" t="shared" si="4" ref="K8:K18">AB$7*((O8-N8)+R8*(1-S$7)+U8*(1-V$7))</f>
        <v>0</v>
      </c>
      <c r="L8" s="16"/>
      <c r="M8" s="65">
        <v>0.695</v>
      </c>
      <c r="N8" s="38">
        <f aca="true" t="shared" si="5" ref="N8:N18">(B8+C8)/1000</f>
        <v>0</v>
      </c>
      <c r="O8" s="57">
        <f aca="true" t="shared" si="6" ref="O8:O18">(D8+E8)/1000</f>
        <v>0</v>
      </c>
      <c r="P8" s="20"/>
      <c r="Q8" s="40">
        <v>0</v>
      </c>
      <c r="R8" s="40">
        <v>0</v>
      </c>
      <c r="S8" s="71">
        <v>0.995</v>
      </c>
      <c r="T8" s="24">
        <f aca="true" t="shared" si="7" ref="T8:T21">U8*V$7</f>
        <v>0</v>
      </c>
      <c r="U8" s="40">
        <v>0</v>
      </c>
      <c r="V8" s="74">
        <v>0.995</v>
      </c>
      <c r="W8" s="17">
        <v>2.75</v>
      </c>
      <c r="X8">
        <v>0</v>
      </c>
      <c r="Y8" s="15"/>
      <c r="Z8" s="16"/>
      <c r="AA8">
        <f aca="true" t="shared" si="8" ref="AA8:AA25">IF(Y8,Z8/Y8,0)</f>
        <v>0</v>
      </c>
      <c r="AB8" s="17">
        <v>21</v>
      </c>
      <c r="AC8" s="96">
        <f aca="true" t="shared" si="9" ref="AC8:AC21">AD8+AE8</f>
        <v>0</v>
      </c>
      <c r="AD8" s="96">
        <f aca="true" t="shared" si="10" ref="AD8:AD18">AF8*AG8</f>
        <v>0</v>
      </c>
      <c r="AE8" s="24">
        <f>AI8*AK$8+AJ8*AL$7/AM$7</f>
        <v>0</v>
      </c>
      <c r="AF8" s="8">
        <f aca="true" t="shared" si="11" ref="AF8:AF21">(O8+R8+U8)</f>
        <v>0</v>
      </c>
      <c r="AG8" s="92">
        <v>21</v>
      </c>
      <c r="AH8" s="92">
        <v>2.75</v>
      </c>
      <c r="AI8" s="40">
        <v>0</v>
      </c>
      <c r="AJ8" s="24">
        <v>0</v>
      </c>
      <c r="AK8" s="65">
        <v>0.695</v>
      </c>
      <c r="AL8" s="89">
        <v>0.3406</v>
      </c>
      <c r="AM8" s="111">
        <v>0.91</v>
      </c>
      <c r="AN8" s="92"/>
      <c r="AO8" s="92"/>
      <c r="AP8" s="92"/>
      <c r="AQ8" s="92"/>
      <c r="AR8" s="92"/>
      <c r="AS8" s="92"/>
      <c r="AT8" s="111"/>
      <c r="AU8" s="111"/>
      <c r="AV8" s="38"/>
      <c r="AW8" s="38"/>
    </row>
    <row r="9" spans="1:49" ht="12.75">
      <c r="A9" s="25">
        <v>39508</v>
      </c>
      <c r="B9" s="36"/>
      <c r="C9" s="36"/>
      <c r="D9" s="36"/>
      <c r="E9" s="36"/>
      <c r="F9" s="51"/>
      <c r="G9" s="96">
        <f t="shared" si="1"/>
        <v>0</v>
      </c>
      <c r="H9" s="96">
        <f t="shared" si="2"/>
        <v>0</v>
      </c>
      <c r="I9" s="96">
        <f t="shared" si="0"/>
        <v>0</v>
      </c>
      <c r="J9" s="96">
        <f t="shared" si="3"/>
        <v>0</v>
      </c>
      <c r="K9" s="8">
        <f t="shared" si="4"/>
        <v>0</v>
      </c>
      <c r="L9" s="16"/>
      <c r="M9" s="65">
        <v>0.695</v>
      </c>
      <c r="N9" s="38">
        <f t="shared" si="5"/>
        <v>0</v>
      </c>
      <c r="O9" s="57">
        <f t="shared" si="6"/>
        <v>0</v>
      </c>
      <c r="P9" s="20"/>
      <c r="Q9" s="40">
        <v>0</v>
      </c>
      <c r="R9" s="40">
        <v>0</v>
      </c>
      <c r="S9" s="71">
        <v>0.995</v>
      </c>
      <c r="T9" s="24">
        <f t="shared" si="7"/>
        <v>0</v>
      </c>
      <c r="U9" s="40">
        <v>0</v>
      </c>
      <c r="V9" s="74">
        <v>0.995</v>
      </c>
      <c r="W9" s="17">
        <v>2.75</v>
      </c>
      <c r="X9">
        <v>0</v>
      </c>
      <c r="Y9" s="15"/>
      <c r="Z9" s="16"/>
      <c r="AA9">
        <f t="shared" si="8"/>
        <v>0</v>
      </c>
      <c r="AB9" s="17">
        <v>21</v>
      </c>
      <c r="AC9" s="96">
        <f t="shared" si="9"/>
        <v>0</v>
      </c>
      <c r="AD9" s="96">
        <f t="shared" si="10"/>
        <v>0</v>
      </c>
      <c r="AE9" s="24">
        <f aca="true" t="shared" si="12" ref="AE9:AE21">AI9*AK$8+AJ9*AL$7/AM$7</f>
        <v>0</v>
      </c>
      <c r="AF9" s="8">
        <f t="shared" si="11"/>
        <v>0</v>
      </c>
      <c r="AG9" s="92">
        <v>21</v>
      </c>
      <c r="AH9" s="92">
        <v>2.75</v>
      </c>
      <c r="AI9" s="40">
        <v>0</v>
      </c>
      <c r="AJ9" s="24">
        <v>0</v>
      </c>
      <c r="AK9" s="65">
        <v>0.695</v>
      </c>
      <c r="AL9" s="89">
        <v>0.3406</v>
      </c>
      <c r="AM9" s="111">
        <v>0.91</v>
      </c>
      <c r="AN9" s="92"/>
      <c r="AO9" s="92"/>
      <c r="AP9" s="92"/>
      <c r="AQ9" s="92"/>
      <c r="AR9" s="92"/>
      <c r="AS9" s="92"/>
      <c r="AT9" s="111"/>
      <c r="AU9" s="111"/>
      <c r="AV9" s="38"/>
      <c r="AW9" s="38"/>
    </row>
    <row r="10" spans="1:49" ht="12.75">
      <c r="A10" s="25">
        <v>39539</v>
      </c>
      <c r="B10" s="36"/>
      <c r="C10" s="36"/>
      <c r="D10" s="36"/>
      <c r="E10" s="36"/>
      <c r="F10" s="51"/>
      <c r="G10" s="96">
        <f t="shared" si="1"/>
        <v>0</v>
      </c>
      <c r="H10" s="96">
        <f t="shared" si="2"/>
        <v>0</v>
      </c>
      <c r="I10" s="96">
        <f t="shared" si="0"/>
        <v>0</v>
      </c>
      <c r="J10" s="96">
        <f t="shared" si="3"/>
        <v>0</v>
      </c>
      <c r="K10" s="8">
        <f t="shared" si="4"/>
        <v>0</v>
      </c>
      <c r="L10" s="16"/>
      <c r="M10" s="65">
        <v>0.695</v>
      </c>
      <c r="N10" s="38">
        <f t="shared" si="5"/>
        <v>0</v>
      </c>
      <c r="O10" s="57">
        <f t="shared" si="6"/>
        <v>0</v>
      </c>
      <c r="P10" s="20"/>
      <c r="Q10" s="40">
        <v>0</v>
      </c>
      <c r="R10" s="40">
        <v>0</v>
      </c>
      <c r="S10" s="71">
        <v>0.995</v>
      </c>
      <c r="T10" s="24">
        <f t="shared" si="7"/>
        <v>0</v>
      </c>
      <c r="U10" s="40">
        <v>0</v>
      </c>
      <c r="V10" s="74">
        <v>0.995</v>
      </c>
      <c r="W10" s="17">
        <v>2.75</v>
      </c>
      <c r="X10">
        <v>0</v>
      </c>
      <c r="Y10" s="15"/>
      <c r="Z10" s="16"/>
      <c r="AA10">
        <f t="shared" si="8"/>
        <v>0</v>
      </c>
      <c r="AB10" s="17">
        <v>21</v>
      </c>
      <c r="AC10" s="96">
        <f t="shared" si="9"/>
        <v>0</v>
      </c>
      <c r="AD10" s="96">
        <f t="shared" si="10"/>
        <v>0</v>
      </c>
      <c r="AE10" s="24">
        <f t="shared" si="12"/>
        <v>0</v>
      </c>
      <c r="AF10" s="8">
        <f t="shared" si="11"/>
        <v>0</v>
      </c>
      <c r="AG10" s="92">
        <v>21</v>
      </c>
      <c r="AH10" s="92">
        <v>2.75</v>
      </c>
      <c r="AI10" s="40">
        <v>0</v>
      </c>
      <c r="AJ10" s="24">
        <v>0</v>
      </c>
      <c r="AK10" s="65">
        <v>0.695</v>
      </c>
      <c r="AL10" s="89">
        <v>0.3406</v>
      </c>
      <c r="AM10" s="111">
        <v>0.91</v>
      </c>
      <c r="AN10" s="92"/>
      <c r="AO10" s="92"/>
      <c r="AP10" s="92"/>
      <c r="AQ10" s="92"/>
      <c r="AR10" s="92"/>
      <c r="AS10" s="92"/>
      <c r="AT10" s="111"/>
      <c r="AU10" s="111"/>
      <c r="AV10" s="38"/>
      <c r="AW10" s="38"/>
    </row>
    <row r="11" spans="1:49" ht="12.75">
      <c r="A11" s="25">
        <v>39569</v>
      </c>
      <c r="B11" s="36"/>
      <c r="C11" s="36"/>
      <c r="D11" s="36"/>
      <c r="E11" s="36"/>
      <c r="F11" s="51"/>
      <c r="G11" s="96">
        <f t="shared" si="1"/>
        <v>0</v>
      </c>
      <c r="H11" s="96">
        <f t="shared" si="2"/>
        <v>0</v>
      </c>
      <c r="I11" s="96">
        <f t="shared" si="0"/>
        <v>0</v>
      </c>
      <c r="J11" s="96">
        <f t="shared" si="3"/>
        <v>0</v>
      </c>
      <c r="K11" s="8">
        <f t="shared" si="4"/>
        <v>0</v>
      </c>
      <c r="L11" s="16"/>
      <c r="M11" s="65">
        <v>0.695</v>
      </c>
      <c r="N11" s="38">
        <f t="shared" si="5"/>
        <v>0</v>
      </c>
      <c r="O11" s="57">
        <f t="shared" si="6"/>
        <v>0</v>
      </c>
      <c r="P11" s="20"/>
      <c r="Q11" s="40">
        <v>0</v>
      </c>
      <c r="R11" s="40">
        <v>0</v>
      </c>
      <c r="S11" s="71">
        <v>0.995</v>
      </c>
      <c r="T11" s="24">
        <f t="shared" si="7"/>
        <v>0</v>
      </c>
      <c r="U11" s="40">
        <v>0</v>
      </c>
      <c r="V11" s="74">
        <v>0.995</v>
      </c>
      <c r="W11" s="17">
        <v>2.75</v>
      </c>
      <c r="X11">
        <v>0</v>
      </c>
      <c r="Y11" s="15"/>
      <c r="Z11" s="16"/>
      <c r="AA11">
        <f t="shared" si="8"/>
        <v>0</v>
      </c>
      <c r="AB11" s="17">
        <v>21</v>
      </c>
      <c r="AC11" s="96">
        <f t="shared" si="9"/>
        <v>0</v>
      </c>
      <c r="AD11" s="96">
        <f t="shared" si="10"/>
        <v>0</v>
      </c>
      <c r="AE11" s="24">
        <f t="shared" si="12"/>
        <v>0</v>
      </c>
      <c r="AF11" s="8">
        <f t="shared" si="11"/>
        <v>0</v>
      </c>
      <c r="AG11" s="92">
        <v>21</v>
      </c>
      <c r="AH11" s="92">
        <v>2.75</v>
      </c>
      <c r="AI11" s="40">
        <v>0</v>
      </c>
      <c r="AJ11" s="24">
        <v>0</v>
      </c>
      <c r="AK11" s="65">
        <v>0.695</v>
      </c>
      <c r="AL11" s="89">
        <v>0.3406</v>
      </c>
      <c r="AM11" s="111">
        <v>0.91</v>
      </c>
      <c r="AN11" s="92"/>
      <c r="AO11" s="92"/>
      <c r="AP11" s="92"/>
      <c r="AQ11" s="92"/>
      <c r="AR11" s="92"/>
      <c r="AS11" s="92"/>
      <c r="AT11" s="111"/>
      <c r="AU11" s="111"/>
      <c r="AV11" s="38"/>
      <c r="AW11" s="38"/>
    </row>
    <row r="12" spans="1:49" ht="12.75">
      <c r="A12" s="25">
        <v>39600</v>
      </c>
      <c r="B12" s="36"/>
      <c r="C12" s="36"/>
      <c r="D12" s="36"/>
      <c r="E12" s="36"/>
      <c r="F12" s="51"/>
      <c r="G12" s="96">
        <f t="shared" si="1"/>
        <v>0</v>
      </c>
      <c r="H12" s="96">
        <f t="shared" si="2"/>
        <v>0</v>
      </c>
      <c r="I12" s="96">
        <f t="shared" si="0"/>
        <v>0</v>
      </c>
      <c r="J12" s="96">
        <f t="shared" si="3"/>
        <v>0</v>
      </c>
      <c r="K12" s="8">
        <f t="shared" si="4"/>
        <v>0</v>
      </c>
      <c r="L12" s="16"/>
      <c r="M12" s="65">
        <v>0.695</v>
      </c>
      <c r="N12" s="38">
        <f t="shared" si="5"/>
        <v>0</v>
      </c>
      <c r="O12" s="57">
        <f t="shared" si="6"/>
        <v>0</v>
      </c>
      <c r="P12" s="20"/>
      <c r="Q12" s="40">
        <v>0</v>
      </c>
      <c r="R12" s="40">
        <v>0</v>
      </c>
      <c r="S12" s="71">
        <v>0.995</v>
      </c>
      <c r="T12" s="24">
        <f t="shared" si="7"/>
        <v>0</v>
      </c>
      <c r="U12" s="40">
        <v>0</v>
      </c>
      <c r="V12" s="74">
        <v>0.995</v>
      </c>
      <c r="W12" s="17">
        <v>2.75</v>
      </c>
      <c r="X12">
        <v>0</v>
      </c>
      <c r="Y12" s="15"/>
      <c r="Z12" s="16"/>
      <c r="AA12">
        <f t="shared" si="8"/>
        <v>0</v>
      </c>
      <c r="AB12" s="17">
        <v>21</v>
      </c>
      <c r="AC12" s="96">
        <f t="shared" si="9"/>
        <v>0</v>
      </c>
      <c r="AD12" s="96">
        <f t="shared" si="10"/>
        <v>0</v>
      </c>
      <c r="AE12" s="24">
        <f t="shared" si="12"/>
        <v>0</v>
      </c>
      <c r="AF12" s="8">
        <f t="shared" si="11"/>
        <v>0</v>
      </c>
      <c r="AG12" s="92">
        <v>21</v>
      </c>
      <c r="AH12" s="92">
        <v>2.75</v>
      </c>
      <c r="AI12" s="40">
        <v>0</v>
      </c>
      <c r="AJ12" s="24">
        <v>0</v>
      </c>
      <c r="AK12" s="65">
        <v>0.695</v>
      </c>
      <c r="AL12" s="89">
        <v>0.3406</v>
      </c>
      <c r="AM12" s="111">
        <v>0.91</v>
      </c>
      <c r="AN12" s="92"/>
      <c r="AO12" s="92"/>
      <c r="AP12" s="92"/>
      <c r="AQ12" s="92"/>
      <c r="AR12" s="92"/>
      <c r="AS12" s="92"/>
      <c r="AT12" s="111"/>
      <c r="AU12" s="111"/>
      <c r="AV12" s="38"/>
      <c r="AW12" s="38"/>
    </row>
    <row r="13" spans="1:49" ht="12.75">
      <c r="A13" s="25">
        <v>39630</v>
      </c>
      <c r="B13" s="36"/>
      <c r="C13" s="36"/>
      <c r="D13" s="36"/>
      <c r="E13" s="36"/>
      <c r="F13" s="51"/>
      <c r="G13" s="96">
        <f t="shared" si="1"/>
        <v>0</v>
      </c>
      <c r="H13" s="96">
        <f t="shared" si="2"/>
        <v>0</v>
      </c>
      <c r="I13" s="106"/>
      <c r="J13" s="96">
        <f t="shared" si="3"/>
        <v>0</v>
      </c>
      <c r="K13" s="8">
        <f t="shared" si="4"/>
        <v>0</v>
      </c>
      <c r="L13" s="16"/>
      <c r="M13" s="65">
        <v>0.695</v>
      </c>
      <c r="N13" s="38">
        <f t="shared" si="5"/>
        <v>0</v>
      </c>
      <c r="O13" s="57">
        <f t="shared" si="6"/>
        <v>0</v>
      </c>
      <c r="P13" s="20"/>
      <c r="Q13" s="40">
        <v>0</v>
      </c>
      <c r="R13" s="40">
        <v>0</v>
      </c>
      <c r="S13" s="71">
        <v>0.995</v>
      </c>
      <c r="T13" s="24">
        <f t="shared" si="7"/>
        <v>0</v>
      </c>
      <c r="U13" s="40">
        <v>0</v>
      </c>
      <c r="V13" s="74">
        <v>0.995</v>
      </c>
      <c r="W13" s="17">
        <v>2.75</v>
      </c>
      <c r="X13">
        <v>0</v>
      </c>
      <c r="Y13" s="15"/>
      <c r="Z13" s="16"/>
      <c r="AA13">
        <f t="shared" si="8"/>
        <v>0</v>
      </c>
      <c r="AB13" s="17">
        <v>21</v>
      </c>
      <c r="AC13" s="96">
        <f t="shared" si="9"/>
        <v>0</v>
      </c>
      <c r="AD13" s="96">
        <f t="shared" si="10"/>
        <v>0</v>
      </c>
      <c r="AE13" s="24">
        <f t="shared" si="12"/>
        <v>0</v>
      </c>
      <c r="AF13" s="8">
        <f t="shared" si="11"/>
        <v>0</v>
      </c>
      <c r="AG13" s="92">
        <v>21</v>
      </c>
      <c r="AH13" s="92">
        <v>2.75</v>
      </c>
      <c r="AI13" s="40">
        <v>0</v>
      </c>
      <c r="AJ13" s="24">
        <v>0</v>
      </c>
      <c r="AK13" s="65">
        <v>0.695</v>
      </c>
      <c r="AL13" s="89">
        <v>0.3406</v>
      </c>
      <c r="AM13" s="111">
        <v>0.91</v>
      </c>
      <c r="AN13" s="92"/>
      <c r="AO13" s="92"/>
      <c r="AP13" s="92"/>
      <c r="AQ13" s="92"/>
      <c r="AR13" s="92"/>
      <c r="AS13" s="92"/>
      <c r="AT13" s="111"/>
      <c r="AU13" s="111"/>
      <c r="AV13" s="38"/>
      <c r="AW13" s="38"/>
    </row>
    <row r="14" spans="1:49" ht="12.75">
      <c r="A14" s="25">
        <v>39661</v>
      </c>
      <c r="B14" s="36">
        <v>119483.50050000026</v>
      </c>
      <c r="C14" s="36"/>
      <c r="D14" s="36">
        <v>122415.3</v>
      </c>
      <c r="E14" s="36"/>
      <c r="F14" s="98">
        <v>36.68735778443106</v>
      </c>
      <c r="G14" s="96">
        <f t="shared" si="1"/>
        <v>2180.573884125005</v>
      </c>
      <c r="H14" s="96">
        <f t="shared" si="2"/>
        <v>390.14741587499526</v>
      </c>
      <c r="I14" s="106"/>
      <c r="J14" s="96">
        <f t="shared" si="3"/>
        <v>328.5796263750007</v>
      </c>
      <c r="K14" s="8">
        <f t="shared" si="4"/>
        <v>61.56778949999456</v>
      </c>
      <c r="L14" s="122"/>
      <c r="M14" s="65">
        <v>0.695</v>
      </c>
      <c r="N14" s="38">
        <f t="shared" si="5"/>
        <v>119.48350050000026</v>
      </c>
      <c r="O14" s="57">
        <f t="shared" si="6"/>
        <v>122.4153</v>
      </c>
      <c r="P14" s="63">
        <f>N14/O14</f>
        <v>0.9760503834079585</v>
      </c>
      <c r="Q14" s="40">
        <v>0</v>
      </c>
      <c r="R14" s="40">
        <v>0</v>
      </c>
      <c r="S14" s="71">
        <v>0.995</v>
      </c>
      <c r="T14" s="24">
        <f t="shared" si="7"/>
        <v>0</v>
      </c>
      <c r="U14" s="40">
        <v>0</v>
      </c>
      <c r="V14" s="74">
        <v>0.995</v>
      </c>
      <c r="W14" s="17">
        <v>2.75</v>
      </c>
      <c r="X14">
        <v>0</v>
      </c>
      <c r="Y14" s="87">
        <f aca="true" t="shared" si="13" ref="Y14:Y30">F14/100</f>
        <v>0.36687357784431057</v>
      </c>
      <c r="Z14" s="16">
        <v>0</v>
      </c>
      <c r="AA14">
        <f t="shared" si="8"/>
        <v>0</v>
      </c>
      <c r="AB14" s="17">
        <v>21</v>
      </c>
      <c r="AC14" s="96">
        <f t="shared" si="9"/>
        <v>2570.7213</v>
      </c>
      <c r="AD14" s="96">
        <f t="shared" si="10"/>
        <v>2570.7213</v>
      </c>
      <c r="AE14" s="24">
        <f t="shared" si="12"/>
        <v>0</v>
      </c>
      <c r="AF14" s="96">
        <f t="shared" si="11"/>
        <v>122.4153</v>
      </c>
      <c r="AG14" s="92">
        <v>21</v>
      </c>
      <c r="AH14" s="92">
        <v>2.75</v>
      </c>
      <c r="AI14" s="40">
        <v>0</v>
      </c>
      <c r="AJ14" s="24">
        <v>0</v>
      </c>
      <c r="AK14" s="65">
        <v>0.695</v>
      </c>
      <c r="AL14" s="89">
        <v>0.3406</v>
      </c>
      <c r="AM14" s="111">
        <v>0.91</v>
      </c>
      <c r="AN14" s="92"/>
      <c r="AO14" s="92"/>
      <c r="AP14" s="92"/>
      <c r="AQ14" s="92"/>
      <c r="AR14" s="92"/>
      <c r="AS14" s="92"/>
      <c r="AT14" s="111"/>
      <c r="AU14" s="111"/>
      <c r="AV14" s="38"/>
      <c r="AW14" s="38"/>
    </row>
    <row r="15" spans="1:49" ht="12.75">
      <c r="A15" s="25">
        <v>39692</v>
      </c>
      <c r="B15" s="36"/>
      <c r="C15" s="36"/>
      <c r="D15" s="36">
        <v>0</v>
      </c>
      <c r="E15" s="36"/>
      <c r="F15" s="98"/>
      <c r="G15" s="96">
        <f t="shared" si="1"/>
        <v>0</v>
      </c>
      <c r="H15" s="96">
        <f t="shared" si="2"/>
        <v>0</v>
      </c>
      <c r="I15" s="106"/>
      <c r="J15" s="96">
        <f t="shared" si="3"/>
        <v>0</v>
      </c>
      <c r="K15" s="8">
        <f t="shared" si="4"/>
        <v>0</v>
      </c>
      <c r="L15" s="16"/>
      <c r="M15" s="65">
        <v>0.695</v>
      </c>
      <c r="N15" s="38">
        <f t="shared" si="5"/>
        <v>0</v>
      </c>
      <c r="O15" s="57">
        <f t="shared" si="6"/>
        <v>0</v>
      </c>
      <c r="P15" s="63"/>
      <c r="Q15" s="40">
        <v>0</v>
      </c>
      <c r="R15" s="40">
        <v>0</v>
      </c>
      <c r="S15" s="71">
        <v>0.995</v>
      </c>
      <c r="T15" s="24">
        <f t="shared" si="7"/>
        <v>0</v>
      </c>
      <c r="U15" s="40">
        <v>0</v>
      </c>
      <c r="V15" s="74">
        <v>0.995</v>
      </c>
      <c r="W15" s="17">
        <v>2.75</v>
      </c>
      <c r="X15">
        <v>0</v>
      </c>
      <c r="Y15" s="87"/>
      <c r="Z15" s="16">
        <v>0</v>
      </c>
      <c r="AA15">
        <f t="shared" si="8"/>
        <v>0</v>
      </c>
      <c r="AB15" s="17">
        <v>21</v>
      </c>
      <c r="AC15" s="96">
        <f t="shared" si="9"/>
        <v>0</v>
      </c>
      <c r="AD15" s="96">
        <f t="shared" si="10"/>
        <v>0</v>
      </c>
      <c r="AE15" s="24">
        <f t="shared" si="12"/>
        <v>0</v>
      </c>
      <c r="AF15" s="96">
        <f t="shared" si="11"/>
        <v>0</v>
      </c>
      <c r="AG15" s="92">
        <v>21</v>
      </c>
      <c r="AH15" s="92">
        <v>2.75</v>
      </c>
      <c r="AI15" s="40">
        <v>0</v>
      </c>
      <c r="AJ15" s="24">
        <v>0</v>
      </c>
      <c r="AK15" s="65">
        <v>0.695</v>
      </c>
      <c r="AL15" s="89">
        <v>0.3406</v>
      </c>
      <c r="AM15" s="111">
        <v>0.91</v>
      </c>
      <c r="AN15" s="92"/>
      <c r="AO15" s="92"/>
      <c r="AP15" s="92"/>
      <c r="AQ15" s="92"/>
      <c r="AR15" s="92"/>
      <c r="AS15" s="92"/>
      <c r="AT15" s="111"/>
      <c r="AU15" s="111"/>
      <c r="AV15" s="38"/>
      <c r="AW15" s="38"/>
    </row>
    <row r="16" spans="1:49" ht="12.75">
      <c r="A16" s="25">
        <v>39722</v>
      </c>
      <c r="B16" s="36">
        <v>247452.15149999846</v>
      </c>
      <c r="C16" s="36">
        <v>28980.764999999985</v>
      </c>
      <c r="D16" s="36">
        <v>253188.900000002</v>
      </c>
      <c r="E16" s="36">
        <v>30151.8</v>
      </c>
      <c r="F16" s="98">
        <v>41.02412418300652</v>
      </c>
      <c r="G16" s="96">
        <f t="shared" si="1"/>
        <v>5044.900726124972</v>
      </c>
      <c r="H16" s="96">
        <f t="shared" si="2"/>
        <v>905.2539738750708</v>
      </c>
      <c r="I16" s="106"/>
      <c r="J16" s="96">
        <f t="shared" si="3"/>
        <v>760.1905203749957</v>
      </c>
      <c r="K16" s="8">
        <f t="shared" si="4"/>
        <v>145.06345350007507</v>
      </c>
      <c r="L16" s="122"/>
      <c r="M16" s="65">
        <v>0.695</v>
      </c>
      <c r="N16" s="38">
        <f t="shared" si="5"/>
        <v>276.43291649999844</v>
      </c>
      <c r="O16" s="57">
        <f t="shared" si="6"/>
        <v>283.340700000002</v>
      </c>
      <c r="P16" s="63">
        <f>N16/O16</f>
        <v>0.9756202215212868</v>
      </c>
      <c r="Q16" s="40">
        <v>0</v>
      </c>
      <c r="R16" s="40">
        <v>0</v>
      </c>
      <c r="S16" s="71">
        <v>0.995</v>
      </c>
      <c r="T16" s="24">
        <f t="shared" si="7"/>
        <v>0</v>
      </c>
      <c r="U16" s="40">
        <v>0</v>
      </c>
      <c r="V16" s="74">
        <v>0.995</v>
      </c>
      <c r="W16" s="17">
        <v>2.75</v>
      </c>
      <c r="X16">
        <v>0</v>
      </c>
      <c r="Y16" s="87">
        <f t="shared" si="13"/>
        <v>0.4102412418300652</v>
      </c>
      <c r="Z16" s="16">
        <v>0</v>
      </c>
      <c r="AA16">
        <f t="shared" si="8"/>
        <v>0</v>
      </c>
      <c r="AB16" s="17">
        <v>21</v>
      </c>
      <c r="AC16" s="96">
        <f t="shared" si="9"/>
        <v>5950.154700000043</v>
      </c>
      <c r="AD16" s="96">
        <f t="shared" si="10"/>
        <v>5950.154700000043</v>
      </c>
      <c r="AE16" s="24">
        <f t="shared" si="12"/>
        <v>0</v>
      </c>
      <c r="AF16" s="96">
        <f t="shared" si="11"/>
        <v>283.340700000002</v>
      </c>
      <c r="AG16" s="92">
        <v>21</v>
      </c>
      <c r="AH16" s="92">
        <v>2.75</v>
      </c>
      <c r="AI16" s="40">
        <v>0</v>
      </c>
      <c r="AJ16" s="24">
        <v>0</v>
      </c>
      <c r="AK16" s="65">
        <v>0.695</v>
      </c>
      <c r="AL16" s="89">
        <v>0.3406</v>
      </c>
      <c r="AM16" s="111">
        <v>0.91</v>
      </c>
      <c r="AN16" s="92"/>
      <c r="AO16" s="92"/>
      <c r="AP16" s="92"/>
      <c r="AQ16" s="92"/>
      <c r="AR16" s="92"/>
      <c r="AS16" s="92"/>
      <c r="AT16" s="111"/>
      <c r="AU16" s="111"/>
      <c r="AV16" s="38"/>
      <c r="AW16" s="38"/>
    </row>
    <row r="17" spans="1:49" ht="12.75">
      <c r="A17" s="25">
        <v>39753</v>
      </c>
      <c r="B17" s="36">
        <v>190524.23550000013</v>
      </c>
      <c r="C17" s="36">
        <v>174896.5319999999</v>
      </c>
      <c r="D17" s="36">
        <v>199416.60000000088</v>
      </c>
      <c r="E17" s="36">
        <v>183632.4</v>
      </c>
      <c r="F17" s="98">
        <v>44.95412195121952</v>
      </c>
      <c r="G17" s="96">
        <f t="shared" si="1"/>
        <v>6668.929006875</v>
      </c>
      <c r="H17" s="96">
        <f t="shared" si="2"/>
        <v>1375.0999931250185</v>
      </c>
      <c r="I17" s="106"/>
      <c r="J17" s="96">
        <f t="shared" si="3"/>
        <v>1004.9071106250001</v>
      </c>
      <c r="K17" s="8">
        <f t="shared" si="4"/>
        <v>370.1928825000184</v>
      </c>
      <c r="L17" s="122"/>
      <c r="M17" s="65">
        <v>0.695</v>
      </c>
      <c r="N17" s="38">
        <f t="shared" si="5"/>
        <v>365.4207675</v>
      </c>
      <c r="O17" s="57">
        <f t="shared" si="6"/>
        <v>383.0490000000009</v>
      </c>
      <c r="P17" s="63">
        <f>N17/O17</f>
        <v>0.9539791710721061</v>
      </c>
      <c r="Q17" s="40">
        <v>0</v>
      </c>
      <c r="R17" s="40">
        <v>0</v>
      </c>
      <c r="S17" s="71">
        <v>0.995</v>
      </c>
      <c r="T17" s="24">
        <f t="shared" si="7"/>
        <v>0</v>
      </c>
      <c r="U17" s="40">
        <v>0</v>
      </c>
      <c r="V17" s="74">
        <v>0.995</v>
      </c>
      <c r="W17" s="17">
        <v>2.75</v>
      </c>
      <c r="X17">
        <v>0</v>
      </c>
      <c r="Y17" s="87">
        <f t="shared" si="13"/>
        <v>0.4495412195121952</v>
      </c>
      <c r="Z17" s="16">
        <v>0</v>
      </c>
      <c r="AA17">
        <f t="shared" si="8"/>
        <v>0</v>
      </c>
      <c r="AB17" s="17">
        <v>21</v>
      </c>
      <c r="AC17" s="96">
        <f t="shared" si="9"/>
        <v>8044.029000000019</v>
      </c>
      <c r="AD17" s="96">
        <f t="shared" si="10"/>
        <v>8044.029000000019</v>
      </c>
      <c r="AE17" s="24">
        <f t="shared" si="12"/>
        <v>0</v>
      </c>
      <c r="AF17" s="96">
        <f t="shared" si="11"/>
        <v>383.0490000000009</v>
      </c>
      <c r="AG17" s="92">
        <v>21</v>
      </c>
      <c r="AH17" s="92">
        <v>2.75</v>
      </c>
      <c r="AI17" s="40">
        <v>0</v>
      </c>
      <c r="AJ17" s="24">
        <v>0</v>
      </c>
      <c r="AK17" s="65">
        <v>0.695</v>
      </c>
      <c r="AL17" s="89">
        <v>0.3406</v>
      </c>
      <c r="AM17" s="111">
        <v>0.91</v>
      </c>
      <c r="AN17" s="92"/>
      <c r="AO17" s="92"/>
      <c r="AP17" s="92"/>
      <c r="AQ17" s="92"/>
      <c r="AR17" s="92"/>
      <c r="AS17" s="92"/>
      <c r="AT17" s="111"/>
      <c r="AU17" s="111"/>
      <c r="AV17" s="38"/>
      <c r="AW17" s="38"/>
    </row>
    <row r="18" spans="1:49" ht="13.5" thickBot="1">
      <c r="A18" s="28">
        <v>39783</v>
      </c>
      <c r="B18" s="36">
        <v>111213.51300000037</v>
      </c>
      <c r="C18" s="37">
        <v>56078.896500000024</v>
      </c>
      <c r="D18" s="37">
        <v>129843</v>
      </c>
      <c r="E18" s="37">
        <v>56813.399999999936</v>
      </c>
      <c r="F18" s="99">
        <v>37.91672527472527</v>
      </c>
      <c r="G18" s="97">
        <f t="shared" si="1"/>
        <v>3053.0864733750072</v>
      </c>
      <c r="H18" s="97">
        <f t="shared" si="2"/>
        <v>866.6979266249915</v>
      </c>
      <c r="I18" s="107"/>
      <c r="J18" s="97">
        <f t="shared" si="3"/>
        <v>460.05412612500106</v>
      </c>
      <c r="K18" s="29">
        <f t="shared" si="4"/>
        <v>406.64380049999045</v>
      </c>
      <c r="L18" s="123"/>
      <c r="M18" s="69">
        <v>0.695</v>
      </c>
      <c r="N18" s="39">
        <f t="shared" si="5"/>
        <v>167.2924095000004</v>
      </c>
      <c r="O18" s="58">
        <f t="shared" si="6"/>
        <v>186.65639999999993</v>
      </c>
      <c r="P18" s="64">
        <f>N18/O18</f>
        <v>0.896258630831841</v>
      </c>
      <c r="Q18" s="41">
        <v>0</v>
      </c>
      <c r="R18" s="41">
        <v>0</v>
      </c>
      <c r="S18" s="72">
        <v>0.995</v>
      </c>
      <c r="T18" s="31">
        <f t="shared" si="7"/>
        <v>0</v>
      </c>
      <c r="U18" s="41">
        <v>0</v>
      </c>
      <c r="V18" s="75">
        <v>0.995</v>
      </c>
      <c r="W18" s="81">
        <v>2.75</v>
      </c>
      <c r="X18" s="30">
        <v>0</v>
      </c>
      <c r="Y18" s="88">
        <f t="shared" si="13"/>
        <v>0.3791672527472527</v>
      </c>
      <c r="Z18" s="32">
        <v>0</v>
      </c>
      <c r="AA18" s="30">
        <f t="shared" si="8"/>
        <v>0</v>
      </c>
      <c r="AB18" s="81">
        <v>21</v>
      </c>
      <c r="AC18" s="97">
        <f t="shared" si="9"/>
        <v>3919.7843999999986</v>
      </c>
      <c r="AD18" s="97">
        <f t="shared" si="10"/>
        <v>3919.7843999999986</v>
      </c>
      <c r="AE18" s="31">
        <f t="shared" si="12"/>
        <v>0</v>
      </c>
      <c r="AF18" s="97">
        <f t="shared" si="11"/>
        <v>186.65639999999993</v>
      </c>
      <c r="AG18" s="93">
        <v>21</v>
      </c>
      <c r="AH18" s="93">
        <v>2.75</v>
      </c>
      <c r="AI18" s="41">
        <v>0</v>
      </c>
      <c r="AJ18" s="31">
        <v>0</v>
      </c>
      <c r="AK18" s="69">
        <v>0.695</v>
      </c>
      <c r="AL18" s="90">
        <v>0.3406</v>
      </c>
      <c r="AM18" s="113">
        <v>0.91</v>
      </c>
      <c r="AN18" s="93"/>
      <c r="AO18" s="93"/>
      <c r="AP18" s="93"/>
      <c r="AQ18" s="93"/>
      <c r="AR18" s="93"/>
      <c r="AS18" s="93"/>
      <c r="AT18" s="113"/>
      <c r="AU18" s="113"/>
      <c r="AV18" s="39"/>
      <c r="AW18" s="39"/>
    </row>
    <row r="19" spans="1:49" ht="13.5" thickBot="1">
      <c r="A19" s="33" t="s">
        <v>91</v>
      </c>
      <c r="B19" s="34">
        <f>SUM(B7:B18)</f>
        <v>668673.4004999992</v>
      </c>
      <c r="C19" s="26">
        <f>SUM(C7:C18)</f>
        <v>259956.1934999999</v>
      </c>
      <c r="D19" s="26">
        <f>SUM(D7:D18)</f>
        <v>704863.8000000028</v>
      </c>
      <c r="E19" s="26">
        <f>SUM(E7:E18)</f>
        <v>270597.5999999999</v>
      </c>
      <c r="F19" s="100">
        <f>AVERAGE(F7:F18)</f>
        <v>40.145582298345595</v>
      </c>
      <c r="G19" s="132">
        <f>SUM(G7:G18)-I19</f>
        <v>16887.451472999983</v>
      </c>
      <c r="H19" s="132">
        <f>SUM(H7:H18)+I19</f>
        <v>3597.2379270000756</v>
      </c>
      <c r="I19" s="26">
        <f>L19*M19</f>
        <v>60.038617499999994</v>
      </c>
      <c r="J19" s="26">
        <f>SUM(J7:J18)</f>
        <v>2553.7313834999977</v>
      </c>
      <c r="K19" s="27">
        <f>SUM(K7:K18)</f>
        <v>983.4679260000785</v>
      </c>
      <c r="L19" s="108">
        <f>(AV19+AW19)/1000</f>
        <v>86.3865</v>
      </c>
      <c r="M19" s="67">
        <v>0.695</v>
      </c>
      <c r="N19" s="27">
        <f>SUM(N7:N18)</f>
        <v>928.6295939999992</v>
      </c>
      <c r="O19" s="59">
        <f>SUM(O7:O18)</f>
        <v>975.4614000000029</v>
      </c>
      <c r="P19" s="117">
        <f>AVERAGE(P7:P18)</f>
        <v>0.9504771017082981</v>
      </c>
      <c r="Q19" s="42">
        <f>SUM(Q7:Q18)</f>
        <v>0</v>
      </c>
      <c r="R19" s="42">
        <f>SUM(R7:R18)</f>
        <v>0</v>
      </c>
      <c r="S19" s="72">
        <v>0.995</v>
      </c>
      <c r="T19" s="42">
        <f>SUM(T7:T18)</f>
        <v>0</v>
      </c>
      <c r="U19" s="42">
        <f>SUM(U7:U18)</f>
        <v>0</v>
      </c>
      <c r="V19" s="76">
        <v>0.995</v>
      </c>
      <c r="W19" s="82">
        <v>2.75</v>
      </c>
      <c r="X19" s="27">
        <f>SUM(X7:X18)</f>
        <v>0</v>
      </c>
      <c r="Y19" s="78">
        <f>AVERAGE(Y7:Y18)</f>
        <v>0.40145582298345595</v>
      </c>
      <c r="Z19" s="27">
        <f>AVERAGE(Z7:Z18)</f>
        <v>0</v>
      </c>
      <c r="AA19" s="27">
        <f>AVERAGE(AA7:AA18)</f>
        <v>0</v>
      </c>
      <c r="AB19" s="59">
        <f>AVERAGE(AB7:AB18)</f>
        <v>21</v>
      </c>
      <c r="AC19" s="136">
        <f>SUM(AC7:AC18)</f>
        <v>20484.68940000006</v>
      </c>
      <c r="AD19" s="34">
        <f>SUM(AD7:AD18)</f>
        <v>20484.68940000006</v>
      </c>
      <c r="AE19" s="43">
        <f>SUM(AE7:AE18)</f>
        <v>0</v>
      </c>
      <c r="AF19" s="35">
        <f>SUM(AF7:AF18)</f>
        <v>975.4614000000029</v>
      </c>
      <c r="AG19" s="94">
        <v>21</v>
      </c>
      <c r="AH19" s="94">
        <v>2.75</v>
      </c>
      <c r="AI19" s="42">
        <f>SUM(AI7:AI18)</f>
        <v>0</v>
      </c>
      <c r="AJ19" s="42">
        <f>SUM(AJ7:AJ18)</f>
        <v>0</v>
      </c>
      <c r="AK19" s="67">
        <v>0.695</v>
      </c>
      <c r="AL19" s="91">
        <v>0.3406</v>
      </c>
      <c r="AM19" s="112">
        <v>0.91</v>
      </c>
      <c r="AN19" s="94">
        <v>1786</v>
      </c>
      <c r="AO19" s="94">
        <v>1934</v>
      </c>
      <c r="AP19" s="94">
        <v>741</v>
      </c>
      <c r="AQ19" s="94">
        <v>756</v>
      </c>
      <c r="AR19" s="94">
        <v>45</v>
      </c>
      <c r="AS19" s="94">
        <v>60</v>
      </c>
      <c r="AT19" s="112">
        <v>0.75</v>
      </c>
      <c r="AU19" s="112">
        <v>0.45</v>
      </c>
      <c r="AV19" s="127">
        <f>(AT19*AR19*AN19+((AO19-AN19)*(AS19-AR19)*AU19))</f>
        <v>61276.5</v>
      </c>
      <c r="AW19" s="127">
        <f>(AT19*AR19*AP19+((AQ19-AP19)*(AS19-AR19)*AU19))</f>
        <v>25110</v>
      </c>
    </row>
    <row r="20" spans="1:49" ht="12.75">
      <c r="A20" s="25">
        <v>39814</v>
      </c>
      <c r="B20" s="36">
        <v>63559.3859999999</v>
      </c>
      <c r="C20" s="36">
        <v>64990.91250000008</v>
      </c>
      <c r="D20" s="36">
        <v>67106.7</v>
      </c>
      <c r="E20" s="36">
        <v>67923.89999999983</v>
      </c>
      <c r="F20" s="98">
        <v>46.00548488664984</v>
      </c>
      <c r="G20" s="96">
        <f t="shared" si="1"/>
        <v>2346.0429476249997</v>
      </c>
      <c r="H20" s="96">
        <f t="shared" si="2"/>
        <v>489.5996523749968</v>
      </c>
      <c r="I20" s="106"/>
      <c r="J20" s="96">
        <f t="shared" si="3"/>
        <v>353.5133208749999</v>
      </c>
      <c r="K20" s="8">
        <f>AB$7*((O20-N20)+R20*(1-S$7)+U20*(1-V$7))</f>
        <v>136.08633149999693</v>
      </c>
      <c r="L20" s="122"/>
      <c r="M20" s="66">
        <v>0.68</v>
      </c>
      <c r="N20" s="38">
        <f>(B20+C20)/1000</f>
        <v>128.55029849999997</v>
      </c>
      <c r="O20" s="57">
        <f>(D20+E20)/1000</f>
        <v>135.03059999999982</v>
      </c>
      <c r="P20" s="63">
        <f>N20/O20</f>
        <v>0.9520086447072007</v>
      </c>
      <c r="Q20" s="40">
        <v>0</v>
      </c>
      <c r="R20" s="40">
        <v>0</v>
      </c>
      <c r="S20" s="71">
        <v>0.995</v>
      </c>
      <c r="T20" s="24">
        <f t="shared" si="7"/>
        <v>0</v>
      </c>
      <c r="U20" s="40">
        <v>0</v>
      </c>
      <c r="V20" s="74">
        <v>0.995</v>
      </c>
      <c r="W20" s="17">
        <v>2.75</v>
      </c>
      <c r="X20">
        <v>0</v>
      </c>
      <c r="Y20" s="87">
        <f t="shared" si="13"/>
        <v>0.4600548488664984</v>
      </c>
      <c r="Z20" s="16">
        <v>0</v>
      </c>
      <c r="AA20">
        <f t="shared" si="8"/>
        <v>0</v>
      </c>
      <c r="AB20" s="17">
        <v>21</v>
      </c>
      <c r="AC20" s="96">
        <f t="shared" si="9"/>
        <v>2835.6425999999965</v>
      </c>
      <c r="AD20" s="96">
        <f>AF20*AG7</f>
        <v>2835.6425999999965</v>
      </c>
      <c r="AE20" s="24">
        <f t="shared" si="12"/>
        <v>0</v>
      </c>
      <c r="AF20" s="96">
        <f t="shared" si="11"/>
        <v>135.03059999999982</v>
      </c>
      <c r="AG20" s="95">
        <v>21</v>
      </c>
      <c r="AH20" s="95">
        <v>2.75</v>
      </c>
      <c r="AI20" s="40">
        <v>0</v>
      </c>
      <c r="AJ20" s="24">
        <f>T20*13.899*0.86</f>
        <v>0</v>
      </c>
      <c r="AK20" s="66">
        <v>0.68</v>
      </c>
      <c r="AL20" s="89">
        <v>0.3406</v>
      </c>
      <c r="AM20" s="111">
        <v>0.91</v>
      </c>
      <c r="AN20" s="95"/>
      <c r="AO20" s="95"/>
      <c r="AP20" s="95"/>
      <c r="AQ20" s="95"/>
      <c r="AR20" s="95"/>
      <c r="AS20" s="95"/>
      <c r="AT20" s="111"/>
      <c r="AU20" s="111"/>
      <c r="AV20" s="38"/>
      <c r="AW20" s="38"/>
    </row>
    <row r="21" spans="1:49" ht="12.75">
      <c r="A21" s="25">
        <v>39845</v>
      </c>
      <c r="B21" s="36">
        <v>152803.48049999945</v>
      </c>
      <c r="C21" s="36">
        <v>140685.5879999987</v>
      </c>
      <c r="D21" s="36">
        <v>159204.6</v>
      </c>
      <c r="E21" s="36">
        <v>149447.7</v>
      </c>
      <c r="F21" s="98">
        <v>46.254650000000154</v>
      </c>
      <c r="G21" s="96">
        <f t="shared" si="1"/>
        <v>5356.175500124968</v>
      </c>
      <c r="H21" s="96">
        <f t="shared" si="2"/>
        <v>1125.5227998750331</v>
      </c>
      <c r="I21" s="106"/>
      <c r="J21" s="96">
        <f t="shared" si="3"/>
        <v>807.0949383749951</v>
      </c>
      <c r="K21" s="8">
        <f aca="true" t="shared" si="14" ref="K21:K31">AB$7*((O21-N21)+R21*(1-S$7)+U21*(1-V$7))</f>
        <v>318.4278615000381</v>
      </c>
      <c r="L21" s="122"/>
      <c r="M21" s="66">
        <v>0.68</v>
      </c>
      <c r="N21" s="38">
        <f aca="true" t="shared" si="15" ref="N21:N31">(B21+C21)/1000</f>
        <v>293.4890684999982</v>
      </c>
      <c r="O21" s="57">
        <f aca="true" t="shared" si="16" ref="O21:O31">(D21+E21)/1000</f>
        <v>308.6523</v>
      </c>
      <c r="P21" s="63">
        <f aca="true" t="shared" si="17" ref="P21:P30">N21/O21</f>
        <v>0.9508727733439802</v>
      </c>
      <c r="Q21" s="40">
        <v>0</v>
      </c>
      <c r="R21" s="40">
        <v>0</v>
      </c>
      <c r="S21" s="71">
        <v>0.995</v>
      </c>
      <c r="T21" s="24">
        <f t="shared" si="7"/>
        <v>0</v>
      </c>
      <c r="U21" s="40">
        <v>0</v>
      </c>
      <c r="V21" s="74">
        <v>0.995</v>
      </c>
      <c r="W21" s="17">
        <v>2.75</v>
      </c>
      <c r="X21">
        <v>0</v>
      </c>
      <c r="Y21" s="87">
        <f t="shared" si="13"/>
        <v>0.4625465000000015</v>
      </c>
      <c r="Z21" s="16">
        <v>0</v>
      </c>
      <c r="AA21">
        <f t="shared" si="8"/>
        <v>0</v>
      </c>
      <c r="AB21" s="17">
        <v>21</v>
      </c>
      <c r="AC21" s="96">
        <f t="shared" si="9"/>
        <v>6481.698300000001</v>
      </c>
      <c r="AD21" s="96">
        <f aca="true" t="shared" si="18" ref="AD21:AD31">AF21*AG8</f>
        <v>6481.698300000001</v>
      </c>
      <c r="AE21" s="24">
        <f t="shared" si="12"/>
        <v>0</v>
      </c>
      <c r="AF21" s="96">
        <f t="shared" si="11"/>
        <v>308.6523</v>
      </c>
      <c r="AG21" s="95">
        <v>21</v>
      </c>
      <c r="AH21" s="95">
        <v>2.75</v>
      </c>
      <c r="AI21" s="40">
        <v>0</v>
      </c>
      <c r="AJ21" s="24">
        <f>T21*13.899*0.86</f>
        <v>0</v>
      </c>
      <c r="AK21" s="66">
        <v>0.68</v>
      </c>
      <c r="AL21" s="89">
        <v>0.3406</v>
      </c>
      <c r="AM21" s="111">
        <v>0.91</v>
      </c>
      <c r="AN21" s="95"/>
      <c r="AO21" s="95"/>
      <c r="AP21" s="95"/>
      <c r="AQ21" s="95"/>
      <c r="AR21" s="95"/>
      <c r="AS21" s="95"/>
      <c r="AT21" s="111"/>
      <c r="AU21" s="111"/>
      <c r="AV21" s="38"/>
      <c r="AW21" s="38"/>
    </row>
    <row r="22" spans="1:49" ht="12.75">
      <c r="A22" s="25">
        <v>39873</v>
      </c>
      <c r="B22" s="36">
        <v>83212.24500000017</v>
      </c>
      <c r="C22" s="36">
        <v>167720.53050000063</v>
      </c>
      <c r="D22" s="36">
        <v>87275.70000000016</v>
      </c>
      <c r="E22" s="36">
        <v>177439.4999999992</v>
      </c>
      <c r="F22" s="98">
        <v>42.20163347974629</v>
      </c>
      <c r="G22" s="96">
        <f t="shared" si="1"/>
        <v>4579.523152875015</v>
      </c>
      <c r="H22" s="96">
        <f aca="true" t="shared" si="19" ref="H22:H27">I22+J22+K22</f>
        <v>979.4960471249716</v>
      </c>
      <c r="I22" s="106"/>
      <c r="J22" s="96">
        <f aca="true" t="shared" si="20" ref="J22:J27">(N22+Q22+T22)*(W$7+X22*AA22)</f>
        <v>690.0651326250022</v>
      </c>
      <c r="K22" s="8">
        <f t="shared" si="14"/>
        <v>289.4309144999694</v>
      </c>
      <c r="L22" s="122"/>
      <c r="M22" s="66">
        <v>0.68</v>
      </c>
      <c r="N22" s="38">
        <f t="shared" si="15"/>
        <v>250.93277550000082</v>
      </c>
      <c r="O22" s="57">
        <f t="shared" si="16"/>
        <v>264.71519999999936</v>
      </c>
      <c r="P22" s="63">
        <f t="shared" si="17"/>
        <v>0.947934895691677</v>
      </c>
      <c r="Q22" s="40">
        <v>0</v>
      </c>
      <c r="R22" s="40">
        <v>0</v>
      </c>
      <c r="S22" s="71">
        <v>0.995</v>
      </c>
      <c r="T22" s="24">
        <f>U22*V$7</f>
        <v>0</v>
      </c>
      <c r="U22" s="40">
        <v>0</v>
      </c>
      <c r="V22" s="74">
        <v>0.995</v>
      </c>
      <c r="W22" s="17">
        <v>2.75</v>
      </c>
      <c r="X22">
        <v>0</v>
      </c>
      <c r="Y22" s="87">
        <f t="shared" si="13"/>
        <v>0.4220163347974629</v>
      </c>
      <c r="Z22" s="16">
        <v>0</v>
      </c>
      <c r="AA22">
        <f t="shared" si="8"/>
        <v>0</v>
      </c>
      <c r="AB22" s="17">
        <v>21</v>
      </c>
      <c r="AC22" s="96">
        <f aca="true" t="shared" si="21" ref="AC22:AC31">AD22+AE22</f>
        <v>5559.019199999986</v>
      </c>
      <c r="AD22" s="96">
        <f t="shared" si="18"/>
        <v>5559.019199999986</v>
      </c>
      <c r="AE22" s="24">
        <f>AI22*AK$8+AJ22*AL$7/AM$7</f>
        <v>0</v>
      </c>
      <c r="AF22" s="96">
        <f aca="true" t="shared" si="22" ref="AF22:AF27">(O22+R22+U22)</f>
        <v>264.71519999999936</v>
      </c>
      <c r="AG22" s="95">
        <v>21</v>
      </c>
      <c r="AH22" s="95">
        <v>2.75</v>
      </c>
      <c r="AI22" s="40">
        <v>0</v>
      </c>
      <c r="AJ22" s="24">
        <f aca="true" t="shared" si="23" ref="AJ22:AJ27">T22*13.899*0.86</f>
        <v>0</v>
      </c>
      <c r="AK22" s="66">
        <v>0.68</v>
      </c>
      <c r="AL22" s="89">
        <v>0.3406</v>
      </c>
      <c r="AM22" s="111">
        <v>0.91</v>
      </c>
      <c r="AN22" s="95"/>
      <c r="AO22" s="95"/>
      <c r="AP22" s="95"/>
      <c r="AQ22" s="95"/>
      <c r="AR22" s="95"/>
      <c r="AS22" s="95"/>
      <c r="AT22" s="111"/>
      <c r="AU22" s="111"/>
      <c r="AV22" s="38"/>
      <c r="AW22" s="38"/>
    </row>
    <row r="23" spans="1:49" ht="12.75">
      <c r="A23" s="25">
        <v>39904</v>
      </c>
      <c r="B23" s="36">
        <v>95077.98449999983</v>
      </c>
      <c r="C23" s="36">
        <v>169685.60850000026</v>
      </c>
      <c r="D23" s="36">
        <v>97914.6000000001</v>
      </c>
      <c r="E23" s="36">
        <v>173318.4</v>
      </c>
      <c r="F23" s="98">
        <v>38.23373060884081</v>
      </c>
      <c r="G23" s="96">
        <f t="shared" si="1"/>
        <v>4831.935572250002</v>
      </c>
      <c r="H23" s="96">
        <f t="shared" si="19"/>
        <v>863.9574277500001</v>
      </c>
      <c r="I23" s="106"/>
      <c r="J23" s="96">
        <f t="shared" si="20"/>
        <v>728.0998807500004</v>
      </c>
      <c r="K23" s="8">
        <f t="shared" si="14"/>
        <v>135.85754699999978</v>
      </c>
      <c r="L23" s="122"/>
      <c r="M23" s="66">
        <v>0.68</v>
      </c>
      <c r="N23" s="38">
        <f t="shared" si="15"/>
        <v>264.7635930000001</v>
      </c>
      <c r="O23" s="57">
        <f t="shared" si="16"/>
        <v>271.2330000000001</v>
      </c>
      <c r="P23" s="63">
        <f t="shared" si="17"/>
        <v>0.9761481567508379</v>
      </c>
      <c r="Q23" s="40">
        <v>0</v>
      </c>
      <c r="R23" s="40">
        <v>0</v>
      </c>
      <c r="S23" s="71">
        <v>0.995</v>
      </c>
      <c r="T23" s="24">
        <f>U23*V$7</f>
        <v>0</v>
      </c>
      <c r="U23" s="40">
        <v>0</v>
      </c>
      <c r="V23" s="74">
        <v>0.995</v>
      </c>
      <c r="W23" s="17">
        <v>2.75</v>
      </c>
      <c r="X23">
        <v>0</v>
      </c>
      <c r="Y23" s="87">
        <f t="shared" si="13"/>
        <v>0.3823373060884081</v>
      </c>
      <c r="Z23" s="16">
        <v>0</v>
      </c>
      <c r="AA23">
        <f t="shared" si="8"/>
        <v>0</v>
      </c>
      <c r="AB23" s="17">
        <v>21</v>
      </c>
      <c r="AC23" s="96">
        <f t="shared" si="21"/>
        <v>5695.893000000003</v>
      </c>
      <c r="AD23" s="96">
        <f t="shared" si="18"/>
        <v>5695.893000000003</v>
      </c>
      <c r="AE23" s="24">
        <f>AI23*AK$8+AJ23*AL$7/AM$7</f>
        <v>0</v>
      </c>
      <c r="AF23" s="96">
        <f t="shared" si="22"/>
        <v>271.2330000000001</v>
      </c>
      <c r="AG23" s="95">
        <v>21</v>
      </c>
      <c r="AH23" s="95">
        <v>2.75</v>
      </c>
      <c r="AI23" s="40">
        <v>0</v>
      </c>
      <c r="AJ23" s="24">
        <f t="shared" si="23"/>
        <v>0</v>
      </c>
      <c r="AK23" s="66">
        <v>0.68</v>
      </c>
      <c r="AL23" s="89">
        <v>0.3406</v>
      </c>
      <c r="AM23" s="111">
        <v>0.91</v>
      </c>
      <c r="AN23" s="95"/>
      <c r="AO23" s="95"/>
      <c r="AP23" s="95"/>
      <c r="AQ23" s="95"/>
      <c r="AR23" s="95"/>
      <c r="AS23" s="95"/>
      <c r="AT23" s="111"/>
      <c r="AU23" s="111"/>
      <c r="AV23" s="38"/>
      <c r="AW23" s="38"/>
    </row>
    <row r="24" spans="1:49" ht="12.75">
      <c r="A24" s="25">
        <v>39934</v>
      </c>
      <c r="B24" s="36">
        <v>0</v>
      </c>
      <c r="C24" s="36">
        <v>120461.26049999906</v>
      </c>
      <c r="D24" s="36">
        <v>0</v>
      </c>
      <c r="E24" s="36">
        <v>127351.80000000075</v>
      </c>
      <c r="F24" s="98">
        <v>37.60134188034182</v>
      </c>
      <c r="G24" s="96">
        <f t="shared" si="1"/>
        <v>2198.418004124983</v>
      </c>
      <c r="H24" s="96">
        <f t="shared" si="19"/>
        <v>475.96979587503296</v>
      </c>
      <c r="I24" s="106"/>
      <c r="J24" s="96">
        <f t="shared" si="20"/>
        <v>331.2684663749974</v>
      </c>
      <c r="K24" s="8">
        <f t="shared" si="14"/>
        <v>144.70132950003557</v>
      </c>
      <c r="L24" s="122"/>
      <c r="M24" s="66">
        <v>0.68</v>
      </c>
      <c r="N24" s="38">
        <f t="shared" si="15"/>
        <v>120.46126049999906</v>
      </c>
      <c r="O24" s="57">
        <f t="shared" si="16"/>
        <v>127.35180000000075</v>
      </c>
      <c r="P24" s="63">
        <f t="shared" si="17"/>
        <v>0.9458936622803789</v>
      </c>
      <c r="Q24" s="40">
        <v>0</v>
      </c>
      <c r="R24" s="40">
        <v>0</v>
      </c>
      <c r="S24" s="71">
        <v>0.995</v>
      </c>
      <c r="T24" s="24">
        <f>U24*V$7</f>
        <v>0</v>
      </c>
      <c r="U24" s="40">
        <v>0</v>
      </c>
      <c r="V24" s="74">
        <v>0.995</v>
      </c>
      <c r="W24" s="17">
        <v>2.75</v>
      </c>
      <c r="X24">
        <v>0</v>
      </c>
      <c r="Y24" s="87">
        <f t="shared" si="13"/>
        <v>0.3760134188034182</v>
      </c>
      <c r="Z24" s="16">
        <v>0</v>
      </c>
      <c r="AA24">
        <f t="shared" si="8"/>
        <v>0</v>
      </c>
      <c r="AB24" s="17">
        <v>21</v>
      </c>
      <c r="AC24" s="96">
        <f t="shared" si="21"/>
        <v>2674.387800000016</v>
      </c>
      <c r="AD24" s="96">
        <f t="shared" si="18"/>
        <v>2674.387800000016</v>
      </c>
      <c r="AE24" s="24">
        <f aca="true" t="shared" si="24" ref="AE24:AE31">AI24*AK$8+AJ24*AL$7/AM$7</f>
        <v>0</v>
      </c>
      <c r="AF24" s="96">
        <f t="shared" si="22"/>
        <v>127.35180000000075</v>
      </c>
      <c r="AG24" s="95">
        <v>21</v>
      </c>
      <c r="AH24" s="95">
        <v>2.75</v>
      </c>
      <c r="AI24" s="40">
        <v>0</v>
      </c>
      <c r="AJ24" s="24">
        <f t="shared" si="23"/>
        <v>0</v>
      </c>
      <c r="AK24" s="66">
        <v>0.68</v>
      </c>
      <c r="AL24" s="89">
        <v>0.3406</v>
      </c>
      <c r="AM24" s="111">
        <v>0.91</v>
      </c>
      <c r="AN24" s="95"/>
      <c r="AO24" s="95"/>
      <c r="AP24" s="95"/>
      <c r="AQ24" s="95"/>
      <c r="AR24" s="95"/>
      <c r="AS24" s="95"/>
      <c r="AT24" s="111"/>
      <c r="AU24" s="111"/>
      <c r="AV24" s="38"/>
      <c r="AW24" s="38"/>
    </row>
    <row r="25" spans="1:49" ht="12.75">
      <c r="A25" s="25">
        <v>39965</v>
      </c>
      <c r="B25" s="36">
        <v>0</v>
      </c>
      <c r="C25" s="36">
        <v>87827.05799999999</v>
      </c>
      <c r="D25" s="36">
        <v>0</v>
      </c>
      <c r="E25" s="36">
        <v>91179.9000000001</v>
      </c>
      <c r="F25" s="98">
        <v>34.84352742346942</v>
      </c>
      <c r="G25" s="96">
        <f t="shared" si="1"/>
        <v>1602.8438084999998</v>
      </c>
      <c r="H25" s="96">
        <f t="shared" si="19"/>
        <v>311.9340915000023</v>
      </c>
      <c r="I25" s="106"/>
      <c r="J25" s="96">
        <f t="shared" si="20"/>
        <v>241.5244095</v>
      </c>
      <c r="K25" s="8">
        <f t="shared" si="14"/>
        <v>70.40968200000229</v>
      </c>
      <c r="L25" s="122"/>
      <c r="M25" s="66">
        <v>0.68</v>
      </c>
      <c r="N25" s="38">
        <f t="shared" si="15"/>
        <v>87.827058</v>
      </c>
      <c r="O25" s="57">
        <f t="shared" si="16"/>
        <v>91.1799000000001</v>
      </c>
      <c r="P25" s="63">
        <f t="shared" si="17"/>
        <v>0.9632282772847952</v>
      </c>
      <c r="Q25" s="40">
        <v>0</v>
      </c>
      <c r="R25" s="40">
        <v>0</v>
      </c>
      <c r="S25" s="71">
        <v>0.995</v>
      </c>
      <c r="T25" s="24">
        <f>U25*V$7</f>
        <v>0</v>
      </c>
      <c r="U25" s="40">
        <v>0</v>
      </c>
      <c r="V25" s="74">
        <v>0.995</v>
      </c>
      <c r="W25" s="17">
        <v>2.75</v>
      </c>
      <c r="X25">
        <v>0</v>
      </c>
      <c r="Y25" s="87">
        <f t="shared" si="13"/>
        <v>0.34843527423469417</v>
      </c>
      <c r="Z25" s="16">
        <v>0</v>
      </c>
      <c r="AA25">
        <f t="shared" si="8"/>
        <v>0</v>
      </c>
      <c r="AB25" s="17">
        <v>21</v>
      </c>
      <c r="AC25" s="96">
        <f t="shared" si="21"/>
        <v>1914.777900000002</v>
      </c>
      <c r="AD25" s="96">
        <f t="shared" si="18"/>
        <v>1914.777900000002</v>
      </c>
      <c r="AE25" s="24">
        <f t="shared" si="24"/>
        <v>0</v>
      </c>
      <c r="AF25" s="96">
        <f t="shared" si="22"/>
        <v>91.1799000000001</v>
      </c>
      <c r="AG25" s="95">
        <v>21</v>
      </c>
      <c r="AH25" s="95">
        <v>2.75</v>
      </c>
      <c r="AI25" s="40">
        <v>0</v>
      </c>
      <c r="AJ25" s="24">
        <f t="shared" si="23"/>
        <v>0</v>
      </c>
      <c r="AK25" s="66">
        <v>0.68</v>
      </c>
      <c r="AL25" s="89">
        <v>0.3406</v>
      </c>
      <c r="AM25" s="111">
        <v>0.91</v>
      </c>
      <c r="AN25" s="95"/>
      <c r="AO25" s="95"/>
      <c r="AP25" s="95"/>
      <c r="AQ25" s="95"/>
      <c r="AR25" s="95"/>
      <c r="AS25" s="95"/>
      <c r="AT25" s="111"/>
      <c r="AU25" s="111"/>
      <c r="AV25" s="38"/>
      <c r="AW25" s="38"/>
    </row>
    <row r="26" spans="1:49" ht="12.75">
      <c r="A26" s="25">
        <v>39995</v>
      </c>
      <c r="B26" s="36">
        <v>0</v>
      </c>
      <c r="C26" s="36">
        <v>271314.55349999806</v>
      </c>
      <c r="D26" s="36">
        <v>0</v>
      </c>
      <c r="E26" s="36">
        <v>272733.3</v>
      </c>
      <c r="F26" s="98">
        <v>40.82654155405423</v>
      </c>
      <c r="G26" s="96">
        <f aca="true" t="shared" si="25" ref="G26:G31">AC26-H26</f>
        <v>4951.490601374965</v>
      </c>
      <c r="H26" s="96">
        <f t="shared" si="19"/>
        <v>775.9086986250352</v>
      </c>
      <c r="I26" s="106"/>
      <c r="J26" s="96">
        <f t="shared" si="20"/>
        <v>746.1150221249947</v>
      </c>
      <c r="K26" s="8">
        <f t="shared" si="14"/>
        <v>29.793676500040533</v>
      </c>
      <c r="L26" s="122"/>
      <c r="M26" s="66">
        <v>0.68</v>
      </c>
      <c r="N26" s="38">
        <f t="shared" si="15"/>
        <v>271.31455349999806</v>
      </c>
      <c r="O26" s="57">
        <f t="shared" si="16"/>
        <v>272.7333</v>
      </c>
      <c r="P26" s="63">
        <f t="shared" si="17"/>
        <v>0.9947980444632103</v>
      </c>
      <c r="Q26" s="40">
        <v>0</v>
      </c>
      <c r="R26" s="40">
        <v>0</v>
      </c>
      <c r="S26" s="71">
        <v>0.995</v>
      </c>
      <c r="T26" s="24">
        <f>U26*V$7</f>
        <v>0</v>
      </c>
      <c r="U26" s="40">
        <v>0</v>
      </c>
      <c r="V26" s="74">
        <v>0.995</v>
      </c>
      <c r="W26" s="17">
        <v>2.75</v>
      </c>
      <c r="X26">
        <v>0</v>
      </c>
      <c r="Y26" s="87">
        <f t="shared" si="13"/>
        <v>0.4082654155405423</v>
      </c>
      <c r="Z26" s="16">
        <v>0</v>
      </c>
      <c r="AA26">
        <f>IF(Y26,Z26/Y26,0)</f>
        <v>0</v>
      </c>
      <c r="AB26" s="17">
        <v>21</v>
      </c>
      <c r="AC26" s="96">
        <f t="shared" si="21"/>
        <v>5727.3993</v>
      </c>
      <c r="AD26" s="96">
        <f t="shared" si="18"/>
        <v>5727.3993</v>
      </c>
      <c r="AE26" s="24">
        <f t="shared" si="24"/>
        <v>0</v>
      </c>
      <c r="AF26" s="96">
        <f t="shared" si="22"/>
        <v>272.7333</v>
      </c>
      <c r="AG26" s="95">
        <v>21</v>
      </c>
      <c r="AH26" s="95">
        <v>2.75</v>
      </c>
      <c r="AI26" s="40">
        <v>0</v>
      </c>
      <c r="AJ26" s="24">
        <f t="shared" si="23"/>
        <v>0</v>
      </c>
      <c r="AK26" s="66">
        <v>0.68</v>
      </c>
      <c r="AL26" s="89">
        <v>0.3406</v>
      </c>
      <c r="AM26" s="111">
        <v>0.91</v>
      </c>
      <c r="AN26" s="95"/>
      <c r="AO26" s="95"/>
      <c r="AP26" s="95"/>
      <c r="AQ26" s="95"/>
      <c r="AR26" s="95"/>
      <c r="AS26" s="95"/>
      <c r="AT26" s="111"/>
      <c r="AU26" s="111"/>
      <c r="AV26" s="38"/>
      <c r="AW26" s="38"/>
    </row>
    <row r="27" spans="1:49" ht="12.75">
      <c r="A27" s="25">
        <v>40026</v>
      </c>
      <c r="B27" s="36">
        <v>129509.06849999973</v>
      </c>
      <c r="C27" s="36">
        <v>242944.69499999937</v>
      </c>
      <c r="D27" s="36">
        <v>135414.9</v>
      </c>
      <c r="E27" s="36">
        <v>246131.1000000009</v>
      </c>
      <c r="F27" s="98">
        <v>41.050919042189534</v>
      </c>
      <c r="G27" s="96">
        <f t="shared" si="25"/>
        <v>6797.281183874983</v>
      </c>
      <c r="H27" s="96">
        <f t="shared" si="19"/>
        <v>1215.184816125037</v>
      </c>
      <c r="I27" s="106"/>
      <c r="J27" s="96">
        <f t="shared" si="20"/>
        <v>1024.2478496249973</v>
      </c>
      <c r="K27" s="8">
        <f t="shared" si="14"/>
        <v>190.93696650003966</v>
      </c>
      <c r="L27" s="122"/>
      <c r="M27" s="66">
        <v>0.68</v>
      </c>
      <c r="N27" s="38">
        <f t="shared" si="15"/>
        <v>372.45376349999907</v>
      </c>
      <c r="O27" s="57">
        <f t="shared" si="16"/>
        <v>381.54600000000096</v>
      </c>
      <c r="P27" s="63">
        <f t="shared" si="17"/>
        <v>0.9761700122658817</v>
      </c>
      <c r="Q27" s="40">
        <v>0</v>
      </c>
      <c r="R27" s="40">
        <v>0</v>
      </c>
      <c r="S27" s="71">
        <v>0.995</v>
      </c>
      <c r="T27" s="24">
        <v>0</v>
      </c>
      <c r="U27" s="40">
        <v>0</v>
      </c>
      <c r="V27" s="74">
        <v>0.995</v>
      </c>
      <c r="W27" s="17">
        <v>2.75</v>
      </c>
      <c r="X27">
        <v>0</v>
      </c>
      <c r="Y27" s="87">
        <f t="shared" si="13"/>
        <v>0.4105091904218953</v>
      </c>
      <c r="Z27" s="16">
        <v>0</v>
      </c>
      <c r="AA27">
        <v>0</v>
      </c>
      <c r="AB27" s="17">
        <v>21</v>
      </c>
      <c r="AC27" s="96">
        <f t="shared" si="21"/>
        <v>8012.46600000002</v>
      </c>
      <c r="AD27" s="96">
        <f t="shared" si="18"/>
        <v>8012.46600000002</v>
      </c>
      <c r="AE27" s="24">
        <f t="shared" si="24"/>
        <v>0</v>
      </c>
      <c r="AF27" s="96">
        <f t="shared" si="22"/>
        <v>381.54600000000096</v>
      </c>
      <c r="AG27" s="95">
        <v>21</v>
      </c>
      <c r="AH27" s="95">
        <v>2.75</v>
      </c>
      <c r="AI27" s="40">
        <v>0</v>
      </c>
      <c r="AJ27" s="24">
        <f t="shared" si="23"/>
        <v>0</v>
      </c>
      <c r="AK27" s="66">
        <v>0.68</v>
      </c>
      <c r="AL27" s="89">
        <v>0.3406</v>
      </c>
      <c r="AM27" s="111">
        <v>0.91</v>
      </c>
      <c r="AN27" s="95"/>
      <c r="AO27" s="95"/>
      <c r="AP27" s="95"/>
      <c r="AQ27" s="95"/>
      <c r="AR27" s="95"/>
      <c r="AS27" s="95"/>
      <c r="AT27" s="111"/>
      <c r="AU27" s="111"/>
      <c r="AV27" s="38"/>
      <c r="AW27" s="38"/>
    </row>
    <row r="28" spans="1:49" ht="12.75">
      <c r="A28" s="25">
        <v>40057</v>
      </c>
      <c r="B28" s="36">
        <v>183817.0664999994</v>
      </c>
      <c r="C28" s="36">
        <v>183139.61850000097</v>
      </c>
      <c r="D28" s="36">
        <v>190861.2</v>
      </c>
      <c r="E28" s="36">
        <v>186074.1</v>
      </c>
      <c r="F28" s="98">
        <v>40.390187189896565</v>
      </c>
      <c r="G28" s="96">
        <f t="shared" si="25"/>
        <v>6696.959501250008</v>
      </c>
      <c r="H28" s="96">
        <f>I28+J28+K28</f>
        <v>1218.6817987499937</v>
      </c>
      <c r="I28" s="106"/>
      <c r="J28" s="96">
        <f>(N28+Q28+T28)*(W$7+X28*AA28)</f>
        <v>1009.1308837500011</v>
      </c>
      <c r="K28" s="8">
        <f t="shared" si="14"/>
        <v>209.55091499999264</v>
      </c>
      <c r="L28" s="122"/>
      <c r="M28" s="66">
        <v>0.68</v>
      </c>
      <c r="N28" s="38">
        <f t="shared" si="15"/>
        <v>366.9566850000004</v>
      </c>
      <c r="O28" s="57">
        <f t="shared" si="16"/>
        <v>376.93530000000004</v>
      </c>
      <c r="P28" s="63">
        <f t="shared" si="17"/>
        <v>0.9735269819515454</v>
      </c>
      <c r="Q28" s="40">
        <v>0</v>
      </c>
      <c r="R28" s="40">
        <v>0</v>
      </c>
      <c r="S28" s="71">
        <v>0.995</v>
      </c>
      <c r="T28" s="24">
        <v>0</v>
      </c>
      <c r="U28" s="40">
        <v>0</v>
      </c>
      <c r="V28" s="74">
        <v>0.995</v>
      </c>
      <c r="W28" s="17">
        <v>2.75</v>
      </c>
      <c r="X28">
        <v>0</v>
      </c>
      <c r="Y28" s="87">
        <f t="shared" si="13"/>
        <v>0.40390187189896565</v>
      </c>
      <c r="Z28" s="16">
        <v>0</v>
      </c>
      <c r="AA28">
        <v>0</v>
      </c>
      <c r="AB28" s="17">
        <v>21</v>
      </c>
      <c r="AC28" s="96">
        <f t="shared" si="21"/>
        <v>7915.641300000001</v>
      </c>
      <c r="AD28" s="96">
        <f t="shared" si="18"/>
        <v>7915.641300000001</v>
      </c>
      <c r="AE28" s="24">
        <f t="shared" si="24"/>
        <v>0</v>
      </c>
      <c r="AF28" s="96">
        <f>(O28+R28+U28)</f>
        <v>376.93530000000004</v>
      </c>
      <c r="AG28" s="95">
        <v>21</v>
      </c>
      <c r="AH28" s="95">
        <v>2.75</v>
      </c>
      <c r="AI28" s="40">
        <v>0</v>
      </c>
      <c r="AJ28" s="24">
        <f>T28*13.899*0.86</f>
        <v>0</v>
      </c>
      <c r="AK28" s="66">
        <v>0.68</v>
      </c>
      <c r="AL28" s="89">
        <v>0.3406</v>
      </c>
      <c r="AM28" s="111">
        <v>0.91</v>
      </c>
      <c r="AN28" s="95"/>
      <c r="AO28" s="95"/>
      <c r="AP28" s="95"/>
      <c r="AQ28" s="95"/>
      <c r="AR28" s="95"/>
      <c r="AS28" s="95"/>
      <c r="AT28" s="111"/>
      <c r="AU28" s="111"/>
      <c r="AV28" s="38"/>
      <c r="AW28" s="38"/>
    </row>
    <row r="29" spans="1:49" ht="12.75">
      <c r="A29" s="25">
        <v>40087</v>
      </c>
      <c r="B29" s="36">
        <v>269168.9939999984</v>
      </c>
      <c r="C29" s="36">
        <v>235405.989000001</v>
      </c>
      <c r="D29" s="36">
        <v>274907.6999999987</v>
      </c>
      <c r="E29" s="36">
        <v>240181.2</v>
      </c>
      <c r="F29" s="98">
        <v>45.232831118060936</v>
      </c>
      <c r="G29" s="96">
        <f t="shared" si="25"/>
        <v>9208.49343974999</v>
      </c>
      <c r="H29" s="96">
        <f>I29+J29+K29</f>
        <v>1608.3734602499849</v>
      </c>
      <c r="I29" s="106"/>
      <c r="J29" s="96">
        <f>(N29+Q29+T29)*(W$7+X29*AA29)</f>
        <v>1387.5812032499982</v>
      </c>
      <c r="K29" s="8">
        <f t="shared" si="14"/>
        <v>220.7922569999867</v>
      </c>
      <c r="L29" s="122"/>
      <c r="M29" s="66">
        <v>0.68</v>
      </c>
      <c r="N29" s="38">
        <f t="shared" si="15"/>
        <v>504.57498299999935</v>
      </c>
      <c r="O29" s="57">
        <f t="shared" si="16"/>
        <v>515.0888999999987</v>
      </c>
      <c r="P29" s="63">
        <f t="shared" si="17"/>
        <v>0.9795881507056367</v>
      </c>
      <c r="Q29" s="40">
        <v>0</v>
      </c>
      <c r="R29" s="40">
        <v>0</v>
      </c>
      <c r="S29" s="71">
        <v>0.995</v>
      </c>
      <c r="T29" s="24">
        <v>0</v>
      </c>
      <c r="U29" s="40">
        <v>0</v>
      </c>
      <c r="V29" s="74">
        <v>0.995</v>
      </c>
      <c r="W29" s="17">
        <v>2.75</v>
      </c>
      <c r="X29">
        <v>0</v>
      </c>
      <c r="Y29" s="87">
        <f t="shared" si="13"/>
        <v>0.45232831118060934</v>
      </c>
      <c r="Z29" s="16">
        <v>0</v>
      </c>
      <c r="AA29">
        <v>0</v>
      </c>
      <c r="AB29" s="17">
        <v>21</v>
      </c>
      <c r="AC29" s="96">
        <f t="shared" si="21"/>
        <v>10816.866899999974</v>
      </c>
      <c r="AD29" s="96">
        <f t="shared" si="18"/>
        <v>10816.866899999974</v>
      </c>
      <c r="AE29" s="24">
        <f t="shared" si="24"/>
        <v>0</v>
      </c>
      <c r="AF29" s="96">
        <f>(O29+R29+U29)</f>
        <v>515.0888999999987</v>
      </c>
      <c r="AG29" s="95">
        <v>21</v>
      </c>
      <c r="AH29" s="95">
        <v>2.75</v>
      </c>
      <c r="AI29" s="40">
        <v>0</v>
      </c>
      <c r="AJ29" s="24">
        <f>T29*13.899*0.86</f>
        <v>0</v>
      </c>
      <c r="AK29" s="66">
        <v>0.68</v>
      </c>
      <c r="AL29" s="89">
        <v>0.3406</v>
      </c>
      <c r="AM29" s="111">
        <v>0.91</v>
      </c>
      <c r="AN29" s="95"/>
      <c r="AO29" s="95"/>
      <c r="AP29" s="95"/>
      <c r="AQ29" s="95"/>
      <c r="AR29" s="95"/>
      <c r="AS29" s="95"/>
      <c r="AT29" s="111"/>
      <c r="AU29" s="111"/>
      <c r="AV29" s="38"/>
      <c r="AW29" s="38"/>
    </row>
    <row r="30" spans="1:49" ht="12.75">
      <c r="A30" s="25">
        <v>40118</v>
      </c>
      <c r="B30" s="36">
        <v>25665.03</v>
      </c>
      <c r="C30" s="36">
        <v>23508.4275</v>
      </c>
      <c r="D30" s="36">
        <v>25794</v>
      </c>
      <c r="E30" s="36">
        <v>23636.7</v>
      </c>
      <c r="F30" s="98">
        <v>53.82738636363639</v>
      </c>
      <c r="G30" s="96">
        <f t="shared" si="25"/>
        <v>897.415599375</v>
      </c>
      <c r="H30" s="96">
        <f>I30+J30+K30</f>
        <v>140.6291006249998</v>
      </c>
      <c r="I30" s="106"/>
      <c r="J30" s="96">
        <f>(N30+Q30+T30)*(W$7+X30*AA30)</f>
        <v>135.22700812500003</v>
      </c>
      <c r="K30" s="8">
        <f t="shared" si="14"/>
        <v>5.402092499999782</v>
      </c>
      <c r="L30" s="122"/>
      <c r="M30" s="66">
        <v>0.68</v>
      </c>
      <c r="N30" s="38">
        <f t="shared" si="15"/>
        <v>49.173457500000005</v>
      </c>
      <c r="O30" s="57">
        <f t="shared" si="16"/>
        <v>49.430699999999995</v>
      </c>
      <c r="P30" s="63">
        <f t="shared" si="17"/>
        <v>0.9947958960726838</v>
      </c>
      <c r="Q30" s="40">
        <v>0</v>
      </c>
      <c r="R30" s="40">
        <v>0</v>
      </c>
      <c r="S30" s="71">
        <v>0.995</v>
      </c>
      <c r="T30" s="24">
        <v>0</v>
      </c>
      <c r="U30" s="40">
        <v>0</v>
      </c>
      <c r="V30" s="74">
        <v>0.995</v>
      </c>
      <c r="W30" s="17">
        <v>2.75</v>
      </c>
      <c r="X30">
        <v>0</v>
      </c>
      <c r="Y30" s="87">
        <f t="shared" si="13"/>
        <v>0.538273863636364</v>
      </c>
      <c r="Z30" s="16">
        <v>0</v>
      </c>
      <c r="AA30">
        <v>0</v>
      </c>
      <c r="AB30" s="17">
        <v>21</v>
      </c>
      <c r="AC30" s="96">
        <f t="shared" si="21"/>
        <v>1038.0447</v>
      </c>
      <c r="AD30" s="96">
        <f t="shared" si="18"/>
        <v>1038.0447</v>
      </c>
      <c r="AE30" s="24">
        <f t="shared" si="24"/>
        <v>0</v>
      </c>
      <c r="AF30" s="96">
        <f>(O30+R30+U30)</f>
        <v>49.430699999999995</v>
      </c>
      <c r="AG30" s="95">
        <v>21</v>
      </c>
      <c r="AH30" s="95">
        <v>2.75</v>
      </c>
      <c r="AI30" s="40">
        <v>0</v>
      </c>
      <c r="AJ30" s="24">
        <f>T30*13.899*0.86</f>
        <v>0</v>
      </c>
      <c r="AK30" s="66">
        <v>0.68</v>
      </c>
      <c r="AL30" s="89">
        <v>0.3406</v>
      </c>
      <c r="AM30" s="111">
        <v>0.91</v>
      </c>
      <c r="AN30" s="95"/>
      <c r="AO30" s="95"/>
      <c r="AP30" s="95"/>
      <c r="AQ30" s="95"/>
      <c r="AR30" s="95"/>
      <c r="AS30" s="95"/>
      <c r="AT30" s="111"/>
      <c r="AU30" s="111"/>
      <c r="AV30" s="38"/>
      <c r="AW30" s="38"/>
    </row>
    <row r="31" spans="1:49" ht="13.5" thickBot="1">
      <c r="A31" s="28">
        <v>40148</v>
      </c>
      <c r="B31" s="36"/>
      <c r="C31" s="37"/>
      <c r="D31" s="36"/>
      <c r="E31" s="36"/>
      <c r="F31" s="51"/>
      <c r="G31" s="110">
        <f t="shared" si="25"/>
        <v>0</v>
      </c>
      <c r="H31" s="97">
        <f>I31+J31+K31</f>
        <v>0</v>
      </c>
      <c r="I31" s="106"/>
      <c r="J31" s="96">
        <f>(N31+Q31+T31)*(W$7+X31*AA31)</f>
        <v>0</v>
      </c>
      <c r="K31" s="8">
        <f t="shared" si="14"/>
        <v>0</v>
      </c>
      <c r="L31" s="16"/>
      <c r="M31" s="66">
        <v>0.68</v>
      </c>
      <c r="N31" s="38">
        <f t="shared" si="15"/>
        <v>0</v>
      </c>
      <c r="O31" s="57">
        <f t="shared" si="16"/>
        <v>0</v>
      </c>
      <c r="P31" s="62"/>
      <c r="Q31" s="40">
        <v>0</v>
      </c>
      <c r="R31" s="40">
        <v>0</v>
      </c>
      <c r="S31" s="72">
        <v>0.995</v>
      </c>
      <c r="T31" s="24">
        <v>0</v>
      </c>
      <c r="U31" s="40">
        <v>0</v>
      </c>
      <c r="V31" s="75">
        <v>0.995</v>
      </c>
      <c r="W31" s="81">
        <v>2.75</v>
      </c>
      <c r="X31">
        <v>0</v>
      </c>
      <c r="Y31" s="88"/>
      <c r="Z31" s="16">
        <v>0</v>
      </c>
      <c r="AA31">
        <v>0</v>
      </c>
      <c r="AB31" s="81">
        <v>21</v>
      </c>
      <c r="AC31" s="97">
        <f t="shared" si="21"/>
        <v>0</v>
      </c>
      <c r="AD31" s="97">
        <f t="shared" si="18"/>
        <v>0</v>
      </c>
      <c r="AE31" s="31">
        <f t="shared" si="24"/>
        <v>0</v>
      </c>
      <c r="AF31" s="97">
        <f>(O31+R31+U31)</f>
        <v>0</v>
      </c>
      <c r="AG31" s="95">
        <v>21</v>
      </c>
      <c r="AH31" s="95">
        <v>2.75</v>
      </c>
      <c r="AI31" s="40">
        <v>0</v>
      </c>
      <c r="AJ31" s="24">
        <f>T31*13.899*0.86</f>
        <v>0</v>
      </c>
      <c r="AK31" s="66">
        <v>0.68</v>
      </c>
      <c r="AL31" s="90">
        <v>0.3406</v>
      </c>
      <c r="AM31" s="113">
        <v>0.91</v>
      </c>
      <c r="AN31" s="95"/>
      <c r="AO31" s="95"/>
      <c r="AP31" s="95"/>
      <c r="AQ31" s="95"/>
      <c r="AR31" s="95"/>
      <c r="AS31" s="95"/>
      <c r="AT31" s="113"/>
      <c r="AU31" s="113"/>
      <c r="AV31" s="38"/>
      <c r="AW31" s="38"/>
    </row>
    <row r="32" spans="1:49" ht="13.5" thickBot="1">
      <c r="A32" s="33" t="s">
        <v>92</v>
      </c>
      <c r="B32" s="34">
        <f>SUM(B20:B31)</f>
        <v>1002813.2549999969</v>
      </c>
      <c r="C32" s="34">
        <f>SUM(C20:C31)</f>
        <v>1707684.2414999981</v>
      </c>
      <c r="D32" s="34">
        <f>SUM(D20:D31)</f>
        <v>1038479.3999999989</v>
      </c>
      <c r="E32" s="34">
        <f>SUM(E20:E31)</f>
        <v>1755417.600000001</v>
      </c>
      <c r="F32" s="101">
        <f>AVERAGE(F20:F31)</f>
        <v>42.40620304971691</v>
      </c>
      <c r="G32" s="132">
        <f>SUM(G20:G31)-I32</f>
        <v>49250.10573112491</v>
      </c>
      <c r="H32" s="132">
        <f>SUM(H20:H31)+I32</f>
        <v>9421.731268875086</v>
      </c>
      <c r="I32" s="34">
        <f>L32*M32</f>
        <v>216.47358000000003</v>
      </c>
      <c r="J32" s="34">
        <f>SUM(J20:J31)</f>
        <v>7453.868115374986</v>
      </c>
      <c r="K32" s="34">
        <f>SUM(K20:K31)</f>
        <v>1751.3895735001015</v>
      </c>
      <c r="L32" s="108">
        <f>(AV32+AW32)/1000</f>
        <v>318.3435</v>
      </c>
      <c r="M32" s="68">
        <v>0.68</v>
      </c>
      <c r="N32" s="34">
        <f>SUM(N20:N31)</f>
        <v>2710.497496499995</v>
      </c>
      <c r="O32" s="34">
        <f>SUM(O20:O31)</f>
        <v>2793.897</v>
      </c>
      <c r="P32" s="78">
        <f>AVERAGE(P20:P31)</f>
        <v>0.968633226865257</v>
      </c>
      <c r="Q32" s="43">
        <f>SUM(Q20:Q31)</f>
        <v>0</v>
      </c>
      <c r="R32" s="43">
        <f>SUM(R20:R31)</f>
        <v>0</v>
      </c>
      <c r="S32" s="73">
        <v>0.995</v>
      </c>
      <c r="T32" s="43">
        <f>SUM(T20:T31)</f>
        <v>0</v>
      </c>
      <c r="U32" s="43">
        <f>SUM(U20:U31)</f>
        <v>0</v>
      </c>
      <c r="V32" s="77">
        <v>0.995</v>
      </c>
      <c r="W32" s="83">
        <v>2.75</v>
      </c>
      <c r="X32" s="35">
        <f>SUM(X20:X31)</f>
        <v>0</v>
      </c>
      <c r="Y32" s="78">
        <f>AVERAGE(Y20:Y31)</f>
        <v>0.4240620304971692</v>
      </c>
      <c r="Z32" s="35">
        <f>SUM(Z20:Z31)</f>
        <v>0</v>
      </c>
      <c r="AA32" s="35">
        <f>SUM(AA20:AA31)</f>
        <v>0</v>
      </c>
      <c r="AB32" s="83">
        <v>21</v>
      </c>
      <c r="AC32" s="135">
        <f>SUM(AC20:AC31)</f>
        <v>58671.837</v>
      </c>
      <c r="AD32" s="103">
        <f>SUM(AD20:AD31)</f>
        <v>58671.837</v>
      </c>
      <c r="AE32" s="103">
        <f>SUM(AE20:AE31)</f>
        <v>0</v>
      </c>
      <c r="AF32" s="103">
        <f>SUM(AF20:AF31)</f>
        <v>2793.897</v>
      </c>
      <c r="AG32" s="94">
        <v>21</v>
      </c>
      <c r="AH32" s="94">
        <v>2.75</v>
      </c>
      <c r="AI32" s="43">
        <f>SUM(AI20:AI31)</f>
        <v>0</v>
      </c>
      <c r="AJ32" s="43">
        <f>SUM(AJ20:AJ31)</f>
        <v>0</v>
      </c>
      <c r="AK32" s="68">
        <v>0.68</v>
      </c>
      <c r="AL32" s="91">
        <v>0.3406</v>
      </c>
      <c r="AM32" s="112">
        <v>0.91</v>
      </c>
      <c r="AN32" s="94">
        <v>3289</v>
      </c>
      <c r="AO32" s="94">
        <v>4792</v>
      </c>
      <c r="AP32" s="94">
        <v>5336</v>
      </c>
      <c r="AQ32" s="94">
        <v>7870</v>
      </c>
      <c r="AR32" s="94">
        <v>45</v>
      </c>
      <c r="AS32" s="94">
        <v>60</v>
      </c>
      <c r="AT32" s="112">
        <v>0.75</v>
      </c>
      <c r="AU32" s="112">
        <v>0.45</v>
      </c>
      <c r="AV32" s="128">
        <f>(AT32*AR32*AN32+((AO32-AN32)*(AS32-AR32)*AU32))</f>
        <v>121149</v>
      </c>
      <c r="AW32" s="128">
        <f>(AT32*AR32*AP32+((AQ32-AP32)*(AS32-AR32)*AU32))</f>
        <v>197194.5</v>
      </c>
    </row>
    <row r="33" spans="1:49" s="44" customFormat="1" ht="39" thickBot="1">
      <c r="A33" s="45" t="s">
        <v>93</v>
      </c>
      <c r="B33" s="46">
        <f>B19+B32</f>
        <v>1671486.6554999962</v>
      </c>
      <c r="C33" s="46">
        <f>C19+C32</f>
        <v>1967640.434999998</v>
      </c>
      <c r="D33" s="46">
        <f>D19+D32</f>
        <v>1743343.2000000016</v>
      </c>
      <c r="E33" s="46">
        <f>E19+E32</f>
        <v>2026015.200000001</v>
      </c>
      <c r="F33" s="102">
        <f>AVERAGE(F19,F32)</f>
        <v>41.275892674031255</v>
      </c>
      <c r="G33" s="133">
        <f aca="true" t="shared" si="26" ref="G33:L33">G19+G32</f>
        <v>66137.5572041249</v>
      </c>
      <c r="H33" s="134">
        <f t="shared" si="26"/>
        <v>13018.969195875161</v>
      </c>
      <c r="I33" s="46">
        <f t="shared" si="26"/>
        <v>276.5121975</v>
      </c>
      <c r="J33" s="46">
        <f t="shared" si="26"/>
        <v>10007.599498874984</v>
      </c>
      <c r="K33" s="46">
        <f t="shared" si="26"/>
        <v>2734.85749950018</v>
      </c>
      <c r="L33" s="109">
        <f t="shared" si="26"/>
        <v>404.73</v>
      </c>
      <c r="M33" s="46" t="s">
        <v>104</v>
      </c>
      <c r="N33" s="46">
        <f>N19+N32</f>
        <v>3639.127090499994</v>
      </c>
      <c r="O33" s="60">
        <f>O19+O32</f>
        <v>3769.358400000003</v>
      </c>
      <c r="P33" s="79">
        <f>AVERAGE(P19,P32)</f>
        <v>0.9595551642867776</v>
      </c>
      <c r="Q33" s="70">
        <f>Q19+Q32</f>
        <v>0</v>
      </c>
      <c r="R33" s="70">
        <f>R19+R32</f>
        <v>0</v>
      </c>
      <c r="S33" s="80">
        <f>AVERAGE(S19,S32)</f>
        <v>0.995</v>
      </c>
      <c r="T33" s="70">
        <f>T19+T32</f>
        <v>0</v>
      </c>
      <c r="U33" s="70">
        <f>U19+U32</f>
        <v>0</v>
      </c>
      <c r="V33" s="80">
        <f>AVERAGE(V19,V32)</f>
        <v>0.995</v>
      </c>
      <c r="W33" s="84">
        <f>AVERAGE(W19,W32)</f>
        <v>2.75</v>
      </c>
      <c r="X33" s="46">
        <f>X19+X32</f>
        <v>0</v>
      </c>
      <c r="Y33" s="79">
        <f>AVERAGE(Y19,Y32)</f>
        <v>0.41275892674031256</v>
      </c>
      <c r="Z33" s="46">
        <f>Z19+Z32</f>
        <v>0</v>
      </c>
      <c r="AA33" s="46">
        <f>AA19+AA32</f>
        <v>0</v>
      </c>
      <c r="AB33" s="60">
        <v>21</v>
      </c>
      <c r="AC33" s="137">
        <f>AC19+AC32</f>
        <v>79156.52640000006</v>
      </c>
      <c r="AD33" s="46">
        <f>AD19+AD32</f>
        <v>79156.52640000006</v>
      </c>
      <c r="AE33" s="70">
        <f>AE19+AE32</f>
        <v>0</v>
      </c>
      <c r="AF33" s="46">
        <f>AF19+AF32</f>
        <v>3769.358400000003</v>
      </c>
      <c r="AG33" s="114">
        <v>21</v>
      </c>
      <c r="AH33" s="114">
        <v>2.75</v>
      </c>
      <c r="AI33" s="70">
        <f>AI19+AI32</f>
        <v>0</v>
      </c>
      <c r="AJ33" s="70">
        <f>AJ19+AJ32</f>
        <v>0</v>
      </c>
      <c r="AK33" s="46" t="s">
        <v>104</v>
      </c>
      <c r="AL33" s="115">
        <v>0.3406</v>
      </c>
      <c r="AM33" s="116">
        <v>0.91</v>
      </c>
      <c r="AN33" s="46">
        <f>AN19+AN32</f>
        <v>5075</v>
      </c>
      <c r="AO33" s="46">
        <f>AO19+AO32</f>
        <v>6726</v>
      </c>
      <c r="AP33" s="46">
        <f>AP19+AP32</f>
        <v>6077</v>
      </c>
      <c r="AQ33" s="46">
        <f>AQ19+AQ32</f>
        <v>8626</v>
      </c>
      <c r="AR33" s="114"/>
      <c r="AS33" s="114"/>
      <c r="AT33" s="116"/>
      <c r="AU33" s="116"/>
      <c r="AV33" s="46">
        <f>AV19+AV32</f>
        <v>182425.5</v>
      </c>
      <c r="AW33" s="46">
        <f>AW19+AW32</f>
        <v>222304.5</v>
      </c>
    </row>
    <row r="34" spans="7:49" ht="12.75">
      <c r="G34" s="8"/>
      <c r="H34" s="8"/>
      <c r="J34" s="8"/>
      <c r="K34" s="14"/>
      <c r="L34" s="16"/>
      <c r="M34" s="19"/>
      <c r="N34" s="16"/>
      <c r="P34" s="20"/>
      <c r="Q34" s="16"/>
      <c r="R34" s="16"/>
      <c r="S34" s="20"/>
      <c r="T34" s="8"/>
      <c r="U34" s="8"/>
      <c r="V34" s="18"/>
      <c r="W34" s="17"/>
      <c r="Y34" s="15"/>
      <c r="Z34" s="16"/>
      <c r="AB34" s="17"/>
      <c r="AC34" s="8"/>
      <c r="AD34" s="8"/>
      <c r="AE34" s="8"/>
      <c r="AF34" s="8"/>
      <c r="AJ34" s="8"/>
      <c r="AV34" s="38"/>
      <c r="AW34" s="38"/>
    </row>
    <row r="35" spans="7:45" ht="12.75">
      <c r="G35" s="8"/>
      <c r="H35" s="8"/>
      <c r="N35" s="16"/>
      <c r="P35" s="85"/>
      <c r="Q35" s="16"/>
      <c r="R35" s="16"/>
      <c r="S35" s="85"/>
      <c r="T35" s="8"/>
      <c r="U35" s="8"/>
      <c r="V35" s="18"/>
      <c r="W35" s="17"/>
      <c r="Y35" s="86"/>
      <c r="Z35" s="16"/>
      <c r="AA35" s="16"/>
      <c r="AB35" s="17"/>
      <c r="AC35" s="8"/>
      <c r="AD35" s="8"/>
      <c r="AE35" s="8"/>
      <c r="AF35" s="8"/>
      <c r="AG35" s="8"/>
      <c r="AH35" s="8"/>
      <c r="AI35" s="8"/>
      <c r="AJ35" s="8"/>
      <c r="AK35" s="8"/>
      <c r="AN35" s="8"/>
      <c r="AO35" s="8"/>
      <c r="AP35" s="8"/>
      <c r="AQ35" s="8"/>
      <c r="AR35" s="8"/>
      <c r="AS35" s="8"/>
    </row>
    <row r="36" spans="1:36" ht="12.75">
      <c r="A36" s="105" t="s">
        <v>108</v>
      </c>
      <c r="B36" s="3"/>
      <c r="C36" s="3"/>
      <c r="D36" s="3"/>
      <c r="E36" s="3"/>
      <c r="G36" s="119" t="s">
        <v>127</v>
      </c>
      <c r="H36" s="120"/>
      <c r="N36" s="16"/>
      <c r="P36" s="20"/>
      <c r="Q36" s="16"/>
      <c r="R36" s="16"/>
      <c r="S36" s="20"/>
      <c r="T36" s="8"/>
      <c r="U36" s="8"/>
      <c r="V36" s="18"/>
      <c r="W36" s="17"/>
      <c r="Y36" s="15"/>
      <c r="Z36" s="16"/>
      <c r="AB36" s="17"/>
      <c r="AC36" s="8"/>
      <c r="AD36" s="8"/>
      <c r="AE36" s="8"/>
      <c r="AF36" s="8"/>
      <c r="AJ36" s="8"/>
    </row>
    <row r="37" spans="1:36" ht="12.75">
      <c r="A37" s="104" t="s">
        <v>109</v>
      </c>
      <c r="B37" t="s">
        <v>111</v>
      </c>
      <c r="G37" s="121" t="s">
        <v>129</v>
      </c>
      <c r="H37" s="121"/>
      <c r="N37" s="16"/>
      <c r="P37" s="20"/>
      <c r="Q37" s="16"/>
      <c r="R37" s="16"/>
      <c r="S37" s="20"/>
      <c r="T37" s="8"/>
      <c r="U37" s="8"/>
      <c r="V37" s="18"/>
      <c r="W37" s="17"/>
      <c r="Y37" s="15"/>
      <c r="Z37" s="16"/>
      <c r="AB37" s="17"/>
      <c r="AC37" s="8"/>
      <c r="AD37" s="8"/>
      <c r="AE37" s="8"/>
      <c r="AF37" s="8"/>
      <c r="AJ37" s="8"/>
    </row>
    <row r="38" spans="1:36" ht="12.75">
      <c r="A38" s="40" t="s">
        <v>110</v>
      </c>
      <c r="B38" t="s">
        <v>112</v>
      </c>
      <c r="G38" s="121" t="s">
        <v>128</v>
      </c>
      <c r="H38" s="121"/>
      <c r="N38" s="16"/>
      <c r="P38" s="20"/>
      <c r="Q38" s="16"/>
      <c r="R38" s="16"/>
      <c r="S38" s="20"/>
      <c r="T38" s="8"/>
      <c r="U38" s="8"/>
      <c r="V38" s="18"/>
      <c r="W38" s="17"/>
      <c r="Y38" s="15"/>
      <c r="Z38" s="16"/>
      <c r="AB38" s="17"/>
      <c r="AC38" s="8"/>
      <c r="AD38" s="8"/>
      <c r="AE38" s="8"/>
      <c r="AF38" s="8"/>
      <c r="AJ38" s="8"/>
    </row>
    <row r="39" spans="1:49" ht="12.75">
      <c r="A39" t="s">
        <v>113</v>
      </c>
      <c r="B39" t="s">
        <v>114</v>
      </c>
      <c r="G39" s="8"/>
      <c r="H39" s="8"/>
      <c r="J39" s="8"/>
      <c r="K39" s="14"/>
      <c r="L39" s="16"/>
      <c r="M39" s="19"/>
      <c r="N39" s="16"/>
      <c r="P39" s="20"/>
      <c r="Q39" s="16"/>
      <c r="R39" s="16"/>
      <c r="S39" s="20"/>
      <c r="T39" s="8"/>
      <c r="U39" s="8"/>
      <c r="V39" s="18"/>
      <c r="W39" s="17"/>
      <c r="Y39" s="15"/>
      <c r="Z39" s="16"/>
      <c r="AB39" s="17"/>
      <c r="AC39" s="8"/>
      <c r="AD39" s="8"/>
      <c r="AE39" s="8"/>
      <c r="AF39" s="8"/>
      <c r="AJ39" s="8"/>
      <c r="AV39" s="38"/>
      <c r="AW39" s="38"/>
    </row>
    <row r="40" spans="1:49" ht="12.75">
      <c r="A40"/>
      <c r="G40" s="8"/>
      <c r="H40" s="8"/>
      <c r="J40" s="8"/>
      <c r="K40" s="14"/>
      <c r="L40" s="16"/>
      <c r="M40" s="19"/>
      <c r="N40" s="16"/>
      <c r="P40" s="20"/>
      <c r="Q40" s="16"/>
      <c r="R40" s="16"/>
      <c r="S40" s="20"/>
      <c r="T40" s="8"/>
      <c r="U40" s="8"/>
      <c r="V40" s="18"/>
      <c r="W40" s="17"/>
      <c r="Y40" s="15"/>
      <c r="Z40" s="16"/>
      <c r="AB40" s="17"/>
      <c r="AC40" s="8"/>
      <c r="AD40" s="8"/>
      <c r="AE40" s="8"/>
      <c r="AF40" s="8"/>
      <c r="AJ40" s="8"/>
      <c r="AV40" s="38"/>
      <c r="AW40" s="38"/>
    </row>
    <row r="41" spans="1:49" ht="12.75">
      <c r="A41"/>
      <c r="G41" s="8"/>
      <c r="H41" s="8"/>
      <c r="J41" s="8"/>
      <c r="K41" s="14"/>
      <c r="L41" s="16"/>
      <c r="M41" s="19"/>
      <c r="N41" s="16"/>
      <c r="P41" s="20"/>
      <c r="Q41" s="16"/>
      <c r="R41" s="16"/>
      <c r="S41" s="20"/>
      <c r="T41" s="8"/>
      <c r="U41" s="8"/>
      <c r="V41" s="18"/>
      <c r="W41" s="17"/>
      <c r="Y41" s="15"/>
      <c r="Z41" s="16"/>
      <c r="AB41" s="17"/>
      <c r="AC41" s="8"/>
      <c r="AD41" s="8"/>
      <c r="AE41" s="8"/>
      <c r="AF41" s="8"/>
      <c r="AJ41" s="8"/>
      <c r="AV41" s="38"/>
      <c r="AW41" s="38"/>
    </row>
    <row r="42" spans="1:16" ht="12.75">
      <c r="A42"/>
      <c r="O42"/>
      <c r="P42"/>
    </row>
    <row r="43" spans="1:49" ht="12.75">
      <c r="A43"/>
      <c r="F43" s="4"/>
      <c r="G43" s="8"/>
      <c r="H43" s="8"/>
      <c r="J43" s="8"/>
      <c r="K43" s="14"/>
      <c r="L43" s="16"/>
      <c r="M43" s="19"/>
      <c r="N43" s="16"/>
      <c r="P43" s="20"/>
      <c r="Q43" s="16"/>
      <c r="R43" s="16"/>
      <c r="S43" s="20"/>
      <c r="T43" s="8"/>
      <c r="U43" s="8"/>
      <c r="V43" s="18"/>
      <c r="W43" s="17"/>
      <c r="Y43" s="15"/>
      <c r="Z43" s="16"/>
      <c r="AB43" s="17"/>
      <c r="AC43" s="8"/>
      <c r="AD43" s="8"/>
      <c r="AE43" s="8"/>
      <c r="AF43" s="8"/>
      <c r="AJ43" s="8"/>
      <c r="AV43" s="38"/>
      <c r="AW43" s="38"/>
    </row>
    <row r="44" spans="1:49" ht="12.75">
      <c r="A44"/>
      <c r="G44" s="8"/>
      <c r="H44" s="8"/>
      <c r="J44" s="8"/>
      <c r="K44" s="14"/>
      <c r="L44" s="16"/>
      <c r="M44" s="19"/>
      <c r="N44" s="16"/>
      <c r="P44" s="20"/>
      <c r="Q44" s="16"/>
      <c r="R44" s="16"/>
      <c r="S44" s="20"/>
      <c r="T44" s="8"/>
      <c r="U44" s="8"/>
      <c r="V44" s="18"/>
      <c r="W44" s="17"/>
      <c r="Y44" s="15"/>
      <c r="Z44" s="16"/>
      <c r="AB44" s="17"/>
      <c r="AC44" s="8"/>
      <c r="AD44" s="8"/>
      <c r="AE44" s="8"/>
      <c r="AF44" s="8"/>
      <c r="AJ44" s="8"/>
      <c r="AV44" s="38"/>
      <c r="AW44" s="38"/>
    </row>
    <row r="45" spans="1:49" ht="12.75">
      <c r="A45"/>
      <c r="G45" s="8"/>
      <c r="H45" s="8"/>
      <c r="J45" s="8"/>
      <c r="K45" s="14"/>
      <c r="L45" s="16"/>
      <c r="M45" s="19"/>
      <c r="N45" s="16"/>
      <c r="P45" s="20"/>
      <c r="Q45" s="16"/>
      <c r="R45" s="16"/>
      <c r="S45" s="20"/>
      <c r="T45" s="8"/>
      <c r="U45" s="8"/>
      <c r="V45" s="18"/>
      <c r="W45" s="17"/>
      <c r="Y45" s="15"/>
      <c r="Z45" s="16"/>
      <c r="AB45" s="17"/>
      <c r="AC45" s="8"/>
      <c r="AD45" s="8"/>
      <c r="AE45" s="8"/>
      <c r="AF45" s="8"/>
      <c r="AJ45" s="8"/>
      <c r="AV45" s="38"/>
      <c r="AW45" s="38"/>
    </row>
    <row r="46" spans="1:49" ht="12.75">
      <c r="A46"/>
      <c r="G46" s="8"/>
      <c r="H46" s="8"/>
      <c r="J46" s="8"/>
      <c r="K46" s="14"/>
      <c r="L46" s="16"/>
      <c r="M46" s="19"/>
      <c r="N46" s="16"/>
      <c r="P46" s="20"/>
      <c r="Q46" s="16"/>
      <c r="R46" s="16"/>
      <c r="S46" s="20"/>
      <c r="T46" s="8"/>
      <c r="U46" s="8"/>
      <c r="V46" s="18"/>
      <c r="W46" s="17"/>
      <c r="Y46" s="15"/>
      <c r="Z46" s="16"/>
      <c r="AB46" s="17"/>
      <c r="AC46" s="8"/>
      <c r="AD46" s="8"/>
      <c r="AE46" s="8"/>
      <c r="AF46" s="8"/>
      <c r="AJ46" s="8"/>
      <c r="AV46" s="38"/>
      <c r="AW46" s="38"/>
    </row>
    <row r="47" spans="1:49" ht="12.75">
      <c r="A47"/>
      <c r="G47" s="8"/>
      <c r="H47" s="8"/>
      <c r="J47" s="8"/>
      <c r="K47" s="14"/>
      <c r="L47" s="16"/>
      <c r="M47" s="19"/>
      <c r="N47" s="16"/>
      <c r="P47" s="20"/>
      <c r="Q47" s="16"/>
      <c r="R47" s="16"/>
      <c r="S47" s="20"/>
      <c r="T47" s="8"/>
      <c r="U47" s="8"/>
      <c r="V47" s="18"/>
      <c r="W47" s="17"/>
      <c r="Y47" s="15"/>
      <c r="Z47" s="16"/>
      <c r="AB47" s="17"/>
      <c r="AC47" s="8"/>
      <c r="AD47" s="8"/>
      <c r="AE47" s="8"/>
      <c r="AF47" s="8"/>
      <c r="AJ47" s="8"/>
      <c r="AV47" s="38"/>
      <c r="AW47" s="38"/>
    </row>
    <row r="48" spans="1:49" ht="12.75">
      <c r="A48"/>
      <c r="G48" s="8"/>
      <c r="H48" s="8"/>
      <c r="J48" s="8"/>
      <c r="K48" s="14"/>
      <c r="L48" s="16"/>
      <c r="M48" s="19"/>
      <c r="N48" s="16"/>
      <c r="P48" s="20"/>
      <c r="Q48" s="16"/>
      <c r="R48" s="16"/>
      <c r="S48" s="20"/>
      <c r="T48" s="8"/>
      <c r="U48" s="8"/>
      <c r="V48" s="18"/>
      <c r="W48" s="17"/>
      <c r="Y48" s="15"/>
      <c r="Z48" s="16"/>
      <c r="AB48" s="17"/>
      <c r="AC48" s="8"/>
      <c r="AD48" s="8"/>
      <c r="AE48" s="8"/>
      <c r="AF48" s="8"/>
      <c r="AJ48" s="8"/>
      <c r="AV48" s="38"/>
      <c r="AW48" s="38"/>
    </row>
    <row r="49" spans="1:49" ht="12.75">
      <c r="A49"/>
      <c r="G49" s="8"/>
      <c r="H49" s="8"/>
      <c r="J49" s="8"/>
      <c r="K49" s="14"/>
      <c r="L49" s="16"/>
      <c r="M49" s="19"/>
      <c r="N49" s="16"/>
      <c r="P49" s="20"/>
      <c r="Q49" s="16"/>
      <c r="R49" s="16"/>
      <c r="S49" s="20"/>
      <c r="T49" s="8"/>
      <c r="U49" s="8"/>
      <c r="V49" s="18"/>
      <c r="W49" s="17"/>
      <c r="Y49" s="15"/>
      <c r="Z49" s="16"/>
      <c r="AB49" s="17"/>
      <c r="AC49" s="8"/>
      <c r="AD49" s="8"/>
      <c r="AE49" s="8"/>
      <c r="AF49" s="8"/>
      <c r="AJ49" s="8"/>
      <c r="AV49" s="38"/>
      <c r="AW49" s="38"/>
    </row>
    <row r="50" spans="1:49" ht="12.75">
      <c r="A50"/>
      <c r="G50" s="8"/>
      <c r="H50" s="8"/>
      <c r="J50" s="8"/>
      <c r="K50" s="14"/>
      <c r="L50" s="16"/>
      <c r="M50" s="19"/>
      <c r="N50" s="16"/>
      <c r="P50" s="20"/>
      <c r="Q50" s="16"/>
      <c r="R50" s="16"/>
      <c r="S50" s="20"/>
      <c r="T50" s="8"/>
      <c r="U50" s="8"/>
      <c r="V50" s="18"/>
      <c r="W50" s="17"/>
      <c r="Y50" s="15"/>
      <c r="Z50" s="16"/>
      <c r="AB50" s="17"/>
      <c r="AC50" s="8"/>
      <c r="AD50" s="8"/>
      <c r="AE50" s="8"/>
      <c r="AF50" s="8"/>
      <c r="AJ50" s="8"/>
      <c r="AV50" s="38"/>
      <c r="AW50" s="38"/>
    </row>
    <row r="51" spans="1:49" ht="12.75">
      <c r="A51"/>
      <c r="G51" s="8"/>
      <c r="H51" s="8"/>
      <c r="J51" s="8"/>
      <c r="K51" s="14"/>
      <c r="L51" s="16"/>
      <c r="M51" s="19"/>
      <c r="N51" s="16"/>
      <c r="P51" s="20"/>
      <c r="Q51" s="16"/>
      <c r="R51" s="16"/>
      <c r="S51" s="20"/>
      <c r="T51" s="8"/>
      <c r="U51" s="8"/>
      <c r="V51" s="18"/>
      <c r="W51" s="17"/>
      <c r="Y51" s="15"/>
      <c r="Z51" s="16"/>
      <c r="AB51" s="17"/>
      <c r="AC51" s="8"/>
      <c r="AD51" s="8"/>
      <c r="AE51" s="8"/>
      <c r="AF51" s="8"/>
      <c r="AJ51" s="8"/>
      <c r="AV51" s="38"/>
      <c r="AW51" s="38"/>
    </row>
    <row r="52" spans="7:49" ht="12.75">
      <c r="G52" s="8"/>
      <c r="H52" s="8"/>
      <c r="J52" s="8"/>
      <c r="K52" s="14"/>
      <c r="L52" s="16"/>
      <c r="M52" s="19"/>
      <c r="N52" s="16"/>
      <c r="P52" s="20"/>
      <c r="Q52" s="16"/>
      <c r="R52" s="16"/>
      <c r="S52" s="20"/>
      <c r="T52" s="8"/>
      <c r="U52" s="8"/>
      <c r="V52" s="18"/>
      <c r="W52" s="17"/>
      <c r="Y52" s="15"/>
      <c r="Z52" s="16"/>
      <c r="AB52" s="17"/>
      <c r="AC52" s="8"/>
      <c r="AD52" s="8"/>
      <c r="AE52" s="8"/>
      <c r="AF52" s="8"/>
      <c r="AJ52" s="8"/>
      <c r="AV52" s="38"/>
      <c r="AW52" s="38"/>
    </row>
    <row r="53" spans="7:49" ht="12.75">
      <c r="G53" s="8"/>
      <c r="H53" s="8"/>
      <c r="J53" s="8"/>
      <c r="K53" s="14"/>
      <c r="L53" s="16"/>
      <c r="M53" s="19"/>
      <c r="N53" s="16"/>
      <c r="P53" s="20"/>
      <c r="Q53" s="16"/>
      <c r="R53" s="16"/>
      <c r="S53" s="20"/>
      <c r="T53" s="8"/>
      <c r="U53" s="8"/>
      <c r="V53" s="18"/>
      <c r="W53" s="17"/>
      <c r="Y53" s="15"/>
      <c r="Z53" s="16"/>
      <c r="AB53" s="17"/>
      <c r="AC53" s="8"/>
      <c r="AD53" s="8"/>
      <c r="AE53" s="8"/>
      <c r="AF53" s="8"/>
      <c r="AJ53" s="8"/>
      <c r="AV53" s="38"/>
      <c r="AW53" s="38"/>
    </row>
  </sheetData>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Legka</cp:lastModifiedBy>
  <dcterms:created xsi:type="dcterms:W3CDTF">2008-12-06T07:55:45Z</dcterms:created>
  <dcterms:modified xsi:type="dcterms:W3CDTF">2010-06-01T12:00:37Z</dcterms:modified>
  <cp:category/>
  <cp:version/>
  <cp:contentType/>
  <cp:contentStatus/>
</cp:coreProperties>
</file>