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25" activeTab="0"/>
  </bookViews>
  <sheets>
    <sheet name="Projection" sheetId="1" r:id="rId1"/>
    <sheet name="Sensitivity analysis" sheetId="2" r:id="rId2"/>
    <sheet name="Break-even" sheetId="3" r:id="rId3"/>
    <sheet name="Balance sheet" sheetId="4" r:id="rId4"/>
  </sheets>
  <externalReferences>
    <externalReference r:id="rId7"/>
  </externalReferences>
  <definedNames>
    <definedName name="eur">15.64664</definedName>
    <definedName name="kd">#REF!</definedName>
    <definedName name="omt">#REF!</definedName>
    <definedName name="_xlnm.Print_Area" localSheetId="0">'Projection'!$B$1:$W$79</definedName>
    <definedName name="Re">#REF!</definedName>
    <definedName name="t">#REF!</definedName>
    <definedName name="T_Eq">#REF!</definedName>
    <definedName name="WACC">#REF!</definedName>
  </definedNames>
  <calcPr fullCalcOnLoad="1"/>
</workbook>
</file>

<file path=xl/sharedStrings.xml><?xml version="1.0" encoding="utf-8"?>
<sst xmlns="http://schemas.openxmlformats.org/spreadsheetml/2006/main" count="222" uniqueCount="198">
  <si>
    <t>Total Installed Capacity (MW)</t>
  </si>
  <si>
    <t>No.of turbines</t>
  </si>
  <si>
    <t>Capacity of one turbine (MW)</t>
  </si>
  <si>
    <t>Investment</t>
  </si>
  <si>
    <t>th €</t>
  </si>
  <si>
    <t>th €/MW</t>
  </si>
  <si>
    <t>Land purchase</t>
  </si>
  <si>
    <t>Energy Price until 2020 (Cents/kWh)</t>
  </si>
  <si>
    <t>CO2 income (€/ton)</t>
  </si>
  <si>
    <t>Yearly Net Production (MWh/y)</t>
  </si>
  <si>
    <t>Turbines</t>
  </si>
  <si>
    <t>CO2 coefficient (ton/MWh)</t>
  </si>
  <si>
    <t>Average usage of capacity</t>
  </si>
  <si>
    <t>Grid connection</t>
  </si>
  <si>
    <t>Green Certificate Income per kWh after 2020</t>
  </si>
  <si>
    <t>CO2 commission</t>
  </si>
  <si>
    <t>Economically Useful Lifetime (years)</t>
  </si>
  <si>
    <t>Design, permits</t>
  </si>
  <si>
    <t>Yearly Increase of Running Costs</t>
  </si>
  <si>
    <t>Depreciation (yearly)</t>
  </si>
  <si>
    <t>Transformers</t>
  </si>
  <si>
    <t>Insurance cost</t>
  </si>
  <si>
    <t>Roads, other civil works</t>
  </si>
  <si>
    <t>S&amp;M per MWh produced (if applicable)</t>
  </si>
  <si>
    <t>Total Investment</t>
  </si>
  <si>
    <t>Salaries</t>
  </si>
  <si>
    <t>Land rental (%of sales)</t>
  </si>
  <si>
    <t>Irredeemable Aid</t>
  </si>
  <si>
    <t>Wind measurements</t>
  </si>
  <si>
    <t>NPV of Equity Investment (th €)</t>
  </si>
  <si>
    <t>Net Investment</t>
  </si>
  <si>
    <t>JI fee</t>
  </si>
  <si>
    <t>IRR of the Project</t>
  </si>
  <si>
    <t>Share purchase premium</t>
  </si>
  <si>
    <t>IRR of the Equity Investment</t>
  </si>
  <si>
    <t>Equity Capital</t>
  </si>
  <si>
    <t>Other (legal, etc.)</t>
  </si>
  <si>
    <t>Average DSCR</t>
  </si>
  <si>
    <t>Debt Capital</t>
  </si>
  <si>
    <t>Total inv.</t>
  </si>
  <si>
    <t>Sum S&amp;M/total cost</t>
  </si>
  <si>
    <t>Repayment Term of the Debt (years)</t>
  </si>
  <si>
    <t>Interest Rate of Debt Capital</t>
  </si>
  <si>
    <t>Revenues</t>
  </si>
  <si>
    <t>(th EUR)</t>
  </si>
  <si>
    <t>Tariff of Green Energy (cents per kWH)</t>
  </si>
  <si>
    <t>Sales of electrical Power</t>
  </si>
  <si>
    <t>Emission Reduction Income</t>
  </si>
  <si>
    <t>Terminal value</t>
  </si>
  <si>
    <t>Total Income</t>
  </si>
  <si>
    <t>S&amp;M costs</t>
  </si>
  <si>
    <t>Insurance Costs</t>
  </si>
  <si>
    <t>Administrative costs</t>
  </si>
  <si>
    <t>Own consumption and reactive energy</t>
  </si>
  <si>
    <t>Land rental</t>
  </si>
  <si>
    <t>General maintenance</t>
  </si>
  <si>
    <t>Unexpected costs</t>
  </si>
  <si>
    <t>EBITDA</t>
  </si>
  <si>
    <t>Depreciation</t>
  </si>
  <si>
    <t>Financial Costs</t>
  </si>
  <si>
    <t>Income Before Taxes (EBT)</t>
  </si>
  <si>
    <t>Income Tax</t>
  </si>
  <si>
    <t>Net Income</t>
  </si>
  <si>
    <t>Debt Financing:</t>
  </si>
  <si>
    <t>Loan Amount</t>
  </si>
  <si>
    <t>Outstanding Principal at the Beginning of Year</t>
  </si>
  <si>
    <t>Total Loan Payment</t>
  </si>
  <si>
    <t>Interest Payment</t>
  </si>
  <si>
    <t>Capital Repayment</t>
  </si>
  <si>
    <t>Outstanding Principal at the End of Year</t>
  </si>
  <si>
    <t>Debt Service Ratio (DSCR)</t>
  </si>
  <si>
    <t>Cash Flow:</t>
  </si>
  <si>
    <t>Principal Repayment</t>
  </si>
  <si>
    <t>Yearly Cash Flow</t>
  </si>
  <si>
    <t>Cumulative Cash Flow (Before Dividends)</t>
  </si>
  <si>
    <t>Shareholder transactions</t>
  </si>
  <si>
    <t>Equity placing / Divided payment</t>
  </si>
  <si>
    <t>Effective tax rate</t>
  </si>
  <si>
    <t>Income tax</t>
  </si>
  <si>
    <t>Cash after dividend payment</t>
  </si>
  <si>
    <t>Check</t>
  </si>
  <si>
    <t>IRR for shareholder</t>
  </si>
  <si>
    <t>average</t>
  </si>
  <si>
    <t>ROE</t>
  </si>
  <si>
    <t>ROA</t>
  </si>
  <si>
    <t>Production (MWh/y)</t>
  </si>
  <si>
    <t>Investment cost (th €)</t>
  </si>
  <si>
    <t>interest rate</t>
  </si>
  <si>
    <t>discount rate</t>
  </si>
  <si>
    <t>Break-even production for</t>
  </si>
  <si>
    <t>Expected Yearly Net Production</t>
  </si>
  <si>
    <t>(MWh/y)</t>
  </si>
  <si>
    <r>
      <t>*</t>
    </r>
    <r>
      <rPr>
        <sz val="12"/>
        <rFont val="Tahoma"/>
        <family val="2"/>
      </rPr>
      <t xml:space="preserve"> - within +/- 5% of the expected production</t>
    </r>
  </si>
  <si>
    <t>Energy Price After 2020</t>
  </si>
  <si>
    <t>4e Success Fee</t>
  </si>
  <si>
    <t>15th January 2007</t>
  </si>
  <si>
    <t xml:space="preserve"> As of 31.12.06</t>
  </si>
  <si>
    <t>EUR th</t>
  </si>
  <si>
    <t>CURRENT ASSETS</t>
  </si>
  <si>
    <t>1 0</t>
  </si>
  <si>
    <t>CASH IN BANKS AND ON IN HANDS</t>
  </si>
  <si>
    <t>1 010</t>
  </si>
  <si>
    <t>Hansa bankas LTL</t>
  </si>
  <si>
    <t>1 011</t>
  </si>
  <si>
    <t>Hansa bankas EUR</t>
  </si>
  <si>
    <t>1 2</t>
  </si>
  <si>
    <t>ACCOUNT RECEIVABLES</t>
  </si>
  <si>
    <t>1 22</t>
  </si>
  <si>
    <t>Other companies</t>
  </si>
  <si>
    <t>1 222</t>
  </si>
  <si>
    <t>Account receivables LT</t>
  </si>
  <si>
    <t>1 5</t>
  </si>
  <si>
    <t>PREPAYMENTS</t>
  </si>
  <si>
    <t>1 50</t>
  </si>
  <si>
    <t>Tax prepayments</t>
  </si>
  <si>
    <t>1 500</t>
  </si>
  <si>
    <t>VAT prepayments</t>
  </si>
  <si>
    <t>1 53</t>
  </si>
  <si>
    <t>Prepayments for services</t>
  </si>
  <si>
    <t>1 530</t>
  </si>
  <si>
    <t>Prepayments</t>
  </si>
  <si>
    <t>FIXED ASSETS</t>
  </si>
  <si>
    <t>2 0</t>
  </si>
  <si>
    <t>LAND AND WORK IN PROGRESS</t>
  </si>
  <si>
    <t>2 01</t>
  </si>
  <si>
    <t>Development cost</t>
  </si>
  <si>
    <t>2 010</t>
  </si>
  <si>
    <t>Planning, design,studies</t>
  </si>
  <si>
    <t>2 03</t>
  </si>
  <si>
    <t>Wind turbines</t>
  </si>
  <si>
    <t>2 030</t>
  </si>
  <si>
    <t>WT(incl.trafo,SCADA,etc.)</t>
  </si>
  <si>
    <t>TOTAL LIABILITIES AND EQUITY</t>
  </si>
  <si>
    <t>CURRENT LIABILITIES</t>
  </si>
  <si>
    <t>3 2</t>
  </si>
  <si>
    <t>ACCOUNTS PAYABLE</t>
  </si>
  <si>
    <t>3 21</t>
  </si>
  <si>
    <t>3 216</t>
  </si>
  <si>
    <t>Accounts receivables (currency</t>
  </si>
  <si>
    <t>3 3</t>
  </si>
  <si>
    <t>OTHER PAYABLES</t>
  </si>
  <si>
    <t>3 31</t>
  </si>
  <si>
    <t>3 3101</t>
  </si>
  <si>
    <t>Other payable LT</t>
  </si>
  <si>
    <t>3 3102</t>
  </si>
  <si>
    <t>Other payable ES</t>
  </si>
  <si>
    <t>3 3104</t>
  </si>
  <si>
    <t>Other payable (atskaitingi)</t>
  </si>
  <si>
    <t>3 4</t>
  </si>
  <si>
    <t>TAXES PAYABLE</t>
  </si>
  <si>
    <t>3 40</t>
  </si>
  <si>
    <t>VAT payable</t>
  </si>
  <si>
    <t>3 401</t>
  </si>
  <si>
    <t>VAT 18%</t>
  </si>
  <si>
    <t>3 42</t>
  </si>
  <si>
    <t>Social tax payable</t>
  </si>
  <si>
    <t>3 420</t>
  </si>
  <si>
    <t>Social tax on salaries</t>
  </si>
  <si>
    <t>3 43</t>
  </si>
  <si>
    <t>Individual income tax payable</t>
  </si>
  <si>
    <t>3 430</t>
  </si>
  <si>
    <t>3 44</t>
  </si>
  <si>
    <t>Unemployment tax payable</t>
  </si>
  <si>
    <t>3 440</t>
  </si>
  <si>
    <t>Unemployment tax payable 15%</t>
  </si>
  <si>
    <t>3 49</t>
  </si>
  <si>
    <t>Guarantee fund</t>
  </si>
  <si>
    <t>3 490</t>
  </si>
  <si>
    <t>Payable guarantee fund</t>
  </si>
  <si>
    <t>3 5</t>
  </si>
  <si>
    <t>ACCRUED EXPENSES</t>
  </si>
  <si>
    <t>3 50</t>
  </si>
  <si>
    <t>Payables to employees</t>
  </si>
  <si>
    <t>3 500</t>
  </si>
  <si>
    <t>Salaries payables</t>
  </si>
  <si>
    <t>3 502</t>
  </si>
  <si>
    <t>Social tax on acrued sallaries</t>
  </si>
  <si>
    <t>NONCURRENT LIABILITIES</t>
  </si>
  <si>
    <t>4 0</t>
  </si>
  <si>
    <t>LONG_TERM LIABILITIES</t>
  </si>
  <si>
    <t>4 01</t>
  </si>
  <si>
    <t>Long-term liabilities</t>
  </si>
  <si>
    <t>4 02</t>
  </si>
  <si>
    <t>Kitos trump. fin.skolos</t>
  </si>
  <si>
    <t>OWNERS' EQUITY</t>
  </si>
  <si>
    <t>5 000</t>
  </si>
  <si>
    <t>Share capital (per value)</t>
  </si>
  <si>
    <t>5 040</t>
  </si>
  <si>
    <t>5 041</t>
  </si>
  <si>
    <t>Vejo Elektra</t>
  </si>
  <si>
    <t>Lariteksas</t>
  </si>
  <si>
    <t>Balance sheet</t>
  </si>
  <si>
    <t>TOTAL ASSETS</t>
  </si>
  <si>
    <t>Current year profit</t>
  </si>
  <si>
    <t>Retained earnings</t>
  </si>
  <si>
    <t>Dividends</t>
  </si>
  <si>
    <t>Sudenai/Lendimai Wind Park - Financial Projection</t>
  </si>
  <si>
    <t>Figures given in EUR thousands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</si>
</sst>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%"/>
    <numFmt numFmtId="174" formatCode="_-* #,##0\ _k_r_-;\-* #,##0\ _k_r_-;_-* &quot;-&quot;??\ _k_r_-;_-@_-"/>
    <numFmt numFmtId="175" formatCode="&quot;(discount rate &quot;##%&quot;)&quot;"/>
    <numFmt numFmtId="176" formatCode="_-* #,##0.00\ _L_t_-;\-* #,##0.00\ _L_t_-;_-* &quot;-&quot;??\ _L_t_-;_-@_-"/>
    <numFmt numFmtId="177" formatCode="&quot;(+&quot;#%&quot;)&quot;"/>
    <numFmt numFmtId="178" formatCode="&quot;(-&quot;#%&quot;)&quot;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2"/>
      <color indexed="52"/>
      <name val="Tahoma"/>
      <family val="2"/>
    </font>
    <font>
      <b/>
      <sz val="7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Garamond"/>
      <family val="1"/>
    </font>
    <font>
      <b/>
      <sz val="18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3" fontId="3" fillId="0" borderId="1" xfId="22" applyNumberFormat="1" applyFont="1" applyBorder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Fill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6" fillId="0" borderId="0" xfId="0" applyFont="1" applyAlignment="1">
      <alignment/>
    </xf>
    <xf numFmtId="9" fontId="3" fillId="2" borderId="0" xfId="0" applyNumberFormat="1" applyFont="1" applyFill="1" applyAlignment="1">
      <alignment/>
    </xf>
    <xf numFmtId="0" fontId="7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right" wrapText="1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10" fillId="4" borderId="2" xfId="0" applyFont="1" applyFill="1" applyBorder="1" applyAlignment="1">
      <alignment/>
    </xf>
    <xf numFmtId="174" fontId="10" fillId="4" borderId="2" xfId="17" applyNumberFormat="1" applyFont="1" applyFill="1" applyBorder="1" applyAlignment="1">
      <alignment horizontal="center"/>
    </xf>
    <xf numFmtId="174" fontId="11" fillId="4" borderId="2" xfId="17" applyNumberFormat="1" applyFont="1" applyFill="1" applyBorder="1" applyAlignment="1">
      <alignment horizontal="center"/>
    </xf>
    <xf numFmtId="3" fontId="11" fillId="4" borderId="2" xfId="17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wrapText="1"/>
    </xf>
    <xf numFmtId="0" fontId="10" fillId="5" borderId="1" xfId="0" applyFont="1" applyFill="1" applyBorder="1" applyAlignment="1">
      <alignment horizontal="left" wrapText="1"/>
    </xf>
    <xf numFmtId="174" fontId="10" fillId="5" borderId="1" xfId="17" applyNumberFormat="1" applyFont="1" applyFill="1" applyBorder="1" applyAlignment="1">
      <alignment horizontal="center"/>
    </xf>
    <xf numFmtId="174" fontId="11" fillId="5" borderId="1" xfId="17" applyNumberFormat="1" applyFont="1" applyFill="1" applyBorder="1" applyAlignment="1">
      <alignment horizontal="center"/>
    </xf>
    <xf numFmtId="3" fontId="11" fillId="5" borderId="1" xfId="17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 wrapText="1"/>
    </xf>
    <xf numFmtId="0" fontId="0" fillId="3" borderId="0" xfId="0" applyFont="1" applyFill="1" applyAlignment="1">
      <alignment horizontal="left"/>
    </xf>
    <xf numFmtId="3" fontId="0" fillId="3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10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22" applyFont="1" applyFill="1" applyBorder="1">
      <alignment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5" fillId="0" borderId="0" xfId="22" applyFont="1" applyFill="1" applyBorder="1">
      <alignment/>
      <protection/>
    </xf>
    <xf numFmtId="0" fontId="14" fillId="0" borderId="0" xfId="22" applyFont="1" applyFill="1" applyBorder="1" applyAlignment="1">
      <alignment horizontal="right"/>
      <protection/>
    </xf>
    <xf numFmtId="172" fontId="14" fillId="0" borderId="0" xfId="22" applyNumberFormat="1" applyFont="1" applyFill="1" applyBorder="1" applyAlignment="1">
      <alignment horizontal="right"/>
      <protection/>
    </xf>
    <xf numFmtId="0" fontId="12" fillId="0" borderId="0" xfId="22" applyFont="1" applyFill="1" applyBorder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14" fillId="0" borderId="1" xfId="22" applyFont="1" applyFill="1" applyBorder="1">
      <alignment/>
      <protection/>
    </xf>
    <xf numFmtId="0" fontId="16" fillId="0" borderId="1" xfId="22" applyFont="1" applyFill="1" applyBorder="1" applyAlignment="1">
      <alignment/>
      <protection/>
    </xf>
    <xf numFmtId="3" fontId="14" fillId="0" borderId="0" xfId="22" applyNumberFormat="1" applyFont="1" applyFill="1" applyBorder="1">
      <alignment/>
      <protection/>
    </xf>
    <xf numFmtId="172" fontId="14" fillId="0" borderId="0" xfId="22" applyNumberFormat="1" applyFont="1" applyBorder="1">
      <alignment/>
      <protection/>
    </xf>
    <xf numFmtId="0" fontId="14" fillId="0" borderId="0" xfId="22" applyFont="1" applyFill="1" applyBorder="1" applyAlignment="1">
      <alignment horizontal="left"/>
      <protection/>
    </xf>
    <xf numFmtId="172" fontId="14" fillId="0" borderId="0" xfId="23" applyNumberFormat="1" applyFont="1" applyBorder="1" applyAlignment="1">
      <alignment/>
    </xf>
    <xf numFmtId="0" fontId="14" fillId="0" borderId="0" xfId="22" applyFont="1" applyFill="1" applyBorder="1" applyAlignment="1">
      <alignment horizontal="left" wrapText="1"/>
      <protection/>
    </xf>
    <xf numFmtId="3" fontId="14" fillId="0" borderId="0" xfId="22" applyNumberFormat="1" applyFont="1" applyFill="1" applyBorder="1" applyAlignment="1">
      <alignment horizontal="right"/>
      <protection/>
    </xf>
    <xf numFmtId="172" fontId="14" fillId="0" borderId="0" xfId="22" applyNumberFormat="1" applyFont="1" applyBorder="1" applyAlignment="1">
      <alignment horizontal="right"/>
      <protection/>
    </xf>
    <xf numFmtId="173" fontId="14" fillId="0" borderId="0" xfId="23" applyNumberFormat="1" applyFont="1" applyFill="1" applyBorder="1" applyAlignment="1">
      <alignment horizontal="right"/>
    </xf>
    <xf numFmtId="172" fontId="14" fillId="0" borderId="0" xfId="22" applyNumberFormat="1" applyFont="1" applyFill="1" applyBorder="1">
      <alignment/>
      <protection/>
    </xf>
    <xf numFmtId="3" fontId="14" fillId="0" borderId="0" xfId="22" applyNumberFormat="1" applyFont="1">
      <alignment/>
      <protection/>
    </xf>
    <xf numFmtId="9" fontId="14" fillId="0" borderId="0" xfId="22" applyNumberFormat="1" applyFont="1" applyFill="1" applyBorder="1">
      <alignment/>
      <protection/>
    </xf>
    <xf numFmtId="173" fontId="14" fillId="0" borderId="0" xfId="23" applyNumberFormat="1" applyFont="1" applyFill="1" applyBorder="1" applyAlignment="1">
      <alignment/>
    </xf>
    <xf numFmtId="9" fontId="14" fillId="0" borderId="0" xfId="23" applyFont="1" applyFill="1" applyBorder="1" applyAlignment="1">
      <alignment horizontal="right"/>
    </xf>
    <xf numFmtId="173" fontId="14" fillId="0" borderId="0" xfId="22" applyNumberFormat="1" applyFont="1" applyFill="1" applyBorder="1">
      <alignment/>
      <protection/>
    </xf>
    <xf numFmtId="9" fontId="14" fillId="0" borderId="0" xfId="23" applyFont="1" applyFill="1" applyBorder="1" applyAlignment="1">
      <alignment/>
    </xf>
    <xf numFmtId="2" fontId="14" fillId="0" borderId="0" xfId="22" applyNumberFormat="1" applyFont="1" applyFill="1" applyBorder="1">
      <alignment/>
      <protection/>
    </xf>
    <xf numFmtId="0" fontId="14" fillId="5" borderId="0" xfId="22" applyFont="1" applyFill="1" applyBorder="1" applyAlignment="1">
      <alignment horizontal="left"/>
      <protection/>
    </xf>
    <xf numFmtId="3" fontId="17" fillId="5" borderId="0" xfId="22" applyNumberFormat="1" applyFont="1" applyFill="1" applyBorder="1">
      <alignment/>
      <protection/>
    </xf>
    <xf numFmtId="10" fontId="14" fillId="5" borderId="0" xfId="22" applyNumberFormat="1" applyFont="1" applyFill="1" applyBorder="1">
      <alignment/>
      <protection/>
    </xf>
    <xf numFmtId="0" fontId="14" fillId="5" borderId="0" xfId="22" applyFont="1" applyFill="1">
      <alignment/>
      <protection/>
    </xf>
    <xf numFmtId="9" fontId="14" fillId="0" borderId="0" xfId="22" applyNumberFormat="1" applyFont="1" applyFill="1" applyBorder="1" applyAlignment="1">
      <alignment horizontal="left"/>
      <protection/>
    </xf>
    <xf numFmtId="3" fontId="14" fillId="0" borderId="1" xfId="22" applyNumberFormat="1" applyFont="1" applyFill="1" applyBorder="1">
      <alignment/>
      <protection/>
    </xf>
    <xf numFmtId="0" fontId="14" fillId="5" borderId="0" xfId="22" applyFont="1" applyFill="1" applyBorder="1" applyAlignment="1">
      <alignment horizontal="left" wrapText="1"/>
      <protection/>
    </xf>
    <xf numFmtId="2" fontId="14" fillId="5" borderId="0" xfId="22" applyNumberFormat="1" applyFont="1" applyFill="1" applyBorder="1">
      <alignment/>
      <protection/>
    </xf>
    <xf numFmtId="0" fontId="16" fillId="0" borderId="0" xfId="22" applyFont="1" applyFill="1" applyBorder="1" applyAlignment="1">
      <alignment horizontal="left"/>
      <protection/>
    </xf>
    <xf numFmtId="3" fontId="16" fillId="0" borderId="0" xfId="22" applyNumberFormat="1" applyFont="1" applyFill="1" applyBorder="1">
      <alignment/>
      <protection/>
    </xf>
    <xf numFmtId="0" fontId="14" fillId="5" borderId="0" xfId="22" applyFont="1" applyFill="1" applyBorder="1">
      <alignment/>
      <protection/>
    </xf>
    <xf numFmtId="173" fontId="14" fillId="5" borderId="0" xfId="23" applyNumberFormat="1" applyFont="1" applyFill="1" applyBorder="1" applyAlignment="1">
      <alignment/>
    </xf>
    <xf numFmtId="1" fontId="14" fillId="0" borderId="0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0" fontId="14" fillId="0" borderId="0" xfId="22" applyFont="1">
      <alignment/>
      <protection/>
    </xf>
    <xf numFmtId="0" fontId="14" fillId="0" borderId="0" xfId="22" applyFont="1" applyBorder="1">
      <alignment/>
      <protection/>
    </xf>
    <xf numFmtId="0" fontId="14" fillId="0" borderId="3" xfId="22" applyFont="1" applyFill="1" applyBorder="1">
      <alignment/>
      <protection/>
    </xf>
    <xf numFmtId="0" fontId="16" fillId="5" borderId="0" xfId="22" applyFont="1" applyFill="1" applyBorder="1">
      <alignment/>
      <protection/>
    </xf>
    <xf numFmtId="0" fontId="14" fillId="0" borderId="4" xfId="22" applyFont="1" applyFill="1" applyBorder="1" applyAlignment="1">
      <alignment wrapText="1"/>
      <protection/>
    </xf>
    <xf numFmtId="0" fontId="16" fillId="5" borderId="1" xfId="22" applyFont="1" applyFill="1" applyBorder="1" applyAlignment="1">
      <alignment wrapText="1"/>
      <protection/>
    </xf>
    <xf numFmtId="0" fontId="16" fillId="5" borderId="1" xfId="22" applyFont="1" applyFill="1" applyBorder="1" applyAlignment="1">
      <alignment horizontal="right" wrapText="1"/>
      <protection/>
    </xf>
    <xf numFmtId="0" fontId="14" fillId="0" borderId="0" xfId="22" applyFont="1" applyBorder="1" applyAlignment="1">
      <alignment wrapText="1"/>
      <protection/>
    </xf>
    <xf numFmtId="0" fontId="14" fillId="0" borderId="0" xfId="22" applyFont="1" applyAlignment="1">
      <alignment wrapText="1"/>
      <protection/>
    </xf>
    <xf numFmtId="0" fontId="14" fillId="0" borderId="3" xfId="22" applyFont="1" applyFill="1" applyBorder="1" applyAlignment="1">
      <alignment wrapText="1"/>
      <protection/>
    </xf>
    <xf numFmtId="0" fontId="14" fillId="0" borderId="0" xfId="22" applyFont="1" applyFill="1" applyBorder="1" applyAlignment="1">
      <alignment wrapText="1"/>
      <protection/>
    </xf>
    <xf numFmtId="9" fontId="15" fillId="0" borderId="0" xfId="23" applyFont="1" applyFill="1" applyBorder="1" applyAlignment="1">
      <alignment horizontal="right" wrapText="1"/>
    </xf>
    <xf numFmtId="9" fontId="15" fillId="0" borderId="0" xfId="22" applyNumberFormat="1" applyFont="1" applyFill="1" applyBorder="1" applyAlignment="1">
      <alignment horizontal="right" wrapText="1"/>
      <protection/>
    </xf>
    <xf numFmtId="0" fontId="14" fillId="0" borderId="0" xfId="22" applyFont="1" applyFill="1" applyAlignment="1">
      <alignment wrapText="1"/>
      <protection/>
    </xf>
    <xf numFmtId="0" fontId="18" fillId="0" borderId="0" xfId="22" applyFont="1" applyFill="1">
      <alignment/>
      <protection/>
    </xf>
    <xf numFmtId="0" fontId="18" fillId="0" borderId="0" xfId="22" applyFont="1">
      <alignment/>
      <protection/>
    </xf>
    <xf numFmtId="2" fontId="18" fillId="0" borderId="0" xfId="22" applyNumberFormat="1" applyFont="1">
      <alignment/>
      <protection/>
    </xf>
    <xf numFmtId="2" fontId="18" fillId="0" borderId="0" xfId="22" applyNumberFormat="1" applyFont="1" applyFill="1">
      <alignment/>
      <protection/>
    </xf>
    <xf numFmtId="0" fontId="18" fillId="0" borderId="0" xfId="22" applyFont="1" applyBorder="1">
      <alignment/>
      <protection/>
    </xf>
    <xf numFmtId="3" fontId="14" fillId="0" borderId="0" xfId="22" applyNumberFormat="1" applyFont="1" applyBorder="1">
      <alignment/>
      <protection/>
    </xf>
    <xf numFmtId="3" fontId="14" fillId="0" borderId="3" xfId="22" applyNumberFormat="1" applyFont="1" applyFill="1" applyBorder="1">
      <alignment/>
      <protection/>
    </xf>
    <xf numFmtId="3" fontId="14" fillId="0" borderId="1" xfId="22" applyNumberFormat="1" applyFont="1" applyBorder="1">
      <alignment/>
      <protection/>
    </xf>
    <xf numFmtId="3" fontId="14" fillId="0" borderId="5" xfId="22" applyNumberFormat="1" applyFont="1" applyBorder="1">
      <alignment/>
      <protection/>
    </xf>
    <xf numFmtId="4" fontId="14" fillId="0" borderId="0" xfId="22" applyNumberFormat="1" applyFont="1">
      <alignment/>
      <protection/>
    </xf>
    <xf numFmtId="9" fontId="14" fillId="0" borderId="0" xfId="23" applyFont="1" applyBorder="1" applyAlignment="1">
      <alignment/>
    </xf>
    <xf numFmtId="3" fontId="16" fillId="6" borderId="0" xfId="22" applyNumberFormat="1" applyFont="1" applyFill="1" applyBorder="1">
      <alignment/>
      <protection/>
    </xf>
    <xf numFmtId="3" fontId="14" fillId="6" borderId="0" xfId="22" applyNumberFormat="1" applyFont="1" applyFill="1" applyBorder="1">
      <alignment/>
      <protection/>
    </xf>
    <xf numFmtId="1" fontId="14" fillId="6" borderId="0" xfId="22" applyNumberFormat="1" applyFont="1" applyFill="1" applyBorder="1">
      <alignment/>
      <protection/>
    </xf>
    <xf numFmtId="1" fontId="16" fillId="6" borderId="1" xfId="22" applyNumberFormat="1" applyFont="1" applyFill="1" applyBorder="1" applyAlignment="1">
      <alignment horizontal="right" wrapText="1"/>
      <protection/>
    </xf>
    <xf numFmtId="1" fontId="14" fillId="0" borderId="0" xfId="22" applyNumberFormat="1" applyFont="1" applyBorder="1">
      <alignment/>
      <protection/>
    </xf>
    <xf numFmtId="1" fontId="14" fillId="0" borderId="0" xfId="22" applyNumberFormat="1" applyFont="1">
      <alignment/>
      <protection/>
    </xf>
    <xf numFmtId="2" fontId="16" fillId="6" borderId="6" xfId="22" applyNumberFormat="1" applyFont="1" applyFill="1" applyBorder="1">
      <alignment/>
      <protection/>
    </xf>
    <xf numFmtId="2" fontId="14" fillId="6" borderId="6" xfId="22" applyNumberFormat="1" applyFont="1" applyFill="1" applyBorder="1">
      <alignment/>
      <protection/>
    </xf>
    <xf numFmtId="2" fontId="16" fillId="6" borderId="7" xfId="22" applyNumberFormat="1" applyFont="1" applyFill="1" applyBorder="1">
      <alignment/>
      <protection/>
    </xf>
    <xf numFmtId="2" fontId="14" fillId="0" borderId="5" xfId="22" applyNumberFormat="1" applyFont="1" applyBorder="1">
      <alignment/>
      <protection/>
    </xf>
    <xf numFmtId="2" fontId="14" fillId="0" borderId="0" xfId="22" applyNumberFormat="1" applyFont="1" applyBorder="1">
      <alignment/>
      <protection/>
    </xf>
    <xf numFmtId="2" fontId="14" fillId="0" borderId="0" xfId="22" applyNumberFormat="1" applyFont="1">
      <alignment/>
      <protection/>
    </xf>
    <xf numFmtId="3" fontId="14" fillId="0" borderId="0" xfId="22" applyNumberFormat="1" applyFont="1" applyFill="1">
      <alignment/>
      <protection/>
    </xf>
    <xf numFmtId="1" fontId="16" fillId="6" borderId="1" xfId="22" applyNumberFormat="1" applyFont="1" applyFill="1" applyBorder="1">
      <alignment/>
      <protection/>
    </xf>
    <xf numFmtId="0" fontId="12" fillId="0" borderId="0" xfId="22" applyFont="1" applyFill="1">
      <alignment/>
      <protection/>
    </xf>
    <xf numFmtId="0" fontId="16" fillId="6" borderId="0" xfId="22" applyFont="1" applyFill="1">
      <alignment/>
      <protection/>
    </xf>
    <xf numFmtId="0" fontId="12" fillId="6" borderId="0" xfId="22" applyFont="1" applyFill="1">
      <alignment/>
      <protection/>
    </xf>
    <xf numFmtId="0" fontId="12" fillId="0" borderId="0" xfId="22" applyFont="1">
      <alignment/>
      <protection/>
    </xf>
    <xf numFmtId="2" fontId="14" fillId="6" borderId="0" xfId="22" applyNumberFormat="1" applyFont="1" applyFill="1" applyBorder="1">
      <alignment/>
      <protection/>
    </xf>
    <xf numFmtId="2" fontId="19" fillId="0" borderId="0" xfId="22" applyNumberFormat="1" applyFont="1" applyFill="1" applyBorder="1">
      <alignment/>
      <protection/>
    </xf>
    <xf numFmtId="2" fontId="19" fillId="0" borderId="0" xfId="22" applyNumberFormat="1" applyFont="1" applyBorder="1">
      <alignment/>
      <protection/>
    </xf>
    <xf numFmtId="2" fontId="19" fillId="0" borderId="0" xfId="22" applyNumberFormat="1" applyFont="1" applyBorder="1" quotePrefix="1">
      <alignment/>
      <protection/>
    </xf>
    <xf numFmtId="3" fontId="19" fillId="0" borderId="0" xfId="22" applyNumberFormat="1" applyFont="1" applyBorder="1">
      <alignment/>
      <protection/>
    </xf>
    <xf numFmtId="2" fontId="20" fillId="0" borderId="0" xfId="22" applyNumberFormat="1" applyFont="1" applyBorder="1">
      <alignment/>
      <protection/>
    </xf>
    <xf numFmtId="2" fontId="19" fillId="0" borderId="0" xfId="22" applyNumberFormat="1" applyFont="1">
      <alignment/>
      <protection/>
    </xf>
    <xf numFmtId="173" fontId="14" fillId="6" borderId="0" xfId="23" applyNumberFormat="1" applyFont="1" applyFill="1" applyBorder="1" applyAlignment="1">
      <alignment/>
    </xf>
    <xf numFmtId="0" fontId="12" fillId="0" borderId="8" xfId="22" applyFont="1" applyBorder="1" applyAlignment="1">
      <alignment horizontal="right"/>
      <protection/>
    </xf>
    <xf numFmtId="0" fontId="12" fillId="0" borderId="0" xfId="22" applyFont="1" applyBorder="1">
      <alignment/>
      <protection/>
    </xf>
    <xf numFmtId="9" fontId="12" fillId="0" borderId="0" xfId="23" applyFont="1" applyFill="1" applyAlignment="1">
      <alignment/>
    </xf>
    <xf numFmtId="9" fontId="12" fillId="0" borderId="0" xfId="23" applyFont="1" applyAlignment="1">
      <alignment/>
    </xf>
    <xf numFmtId="9" fontId="12" fillId="0" borderId="9" xfId="23" applyFont="1" applyBorder="1" applyAlignment="1">
      <alignment/>
    </xf>
    <xf numFmtId="9" fontId="12" fillId="0" borderId="0" xfId="23" applyFont="1" applyBorder="1" applyAlignment="1">
      <alignment/>
    </xf>
    <xf numFmtId="9" fontId="12" fillId="0" borderId="10" xfId="23" applyFont="1" applyBorder="1" applyAlignment="1">
      <alignment/>
    </xf>
    <xf numFmtId="3" fontId="12" fillId="0" borderId="0" xfId="22" applyNumberFormat="1" applyFont="1">
      <alignment/>
      <protection/>
    </xf>
    <xf numFmtId="10" fontId="14" fillId="0" borderId="0" xfId="23" applyNumberFormat="1" applyFont="1" applyAlignment="1">
      <alignment/>
    </xf>
    <xf numFmtId="1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3" fontId="14" fillId="0" borderId="7" xfId="0" applyNumberFormat="1" applyFont="1" applyFill="1" applyBorder="1" applyAlignment="1">
      <alignment/>
    </xf>
    <xf numFmtId="178" fontId="14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10" fontId="14" fillId="0" borderId="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0" fontId="14" fillId="0" borderId="1" xfId="23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0" fontId="14" fillId="0" borderId="0" xfId="23" applyNumberFormat="1" applyFont="1" applyFill="1" applyBorder="1" applyAlignment="1">
      <alignment/>
    </xf>
    <xf numFmtId="177" fontId="14" fillId="0" borderId="0" xfId="0" applyNumberFormat="1" applyFont="1" applyAlignment="1">
      <alignment/>
    </xf>
    <xf numFmtId="177" fontId="14" fillId="0" borderId="0" xfId="0" applyNumberFormat="1" applyFont="1" applyFill="1" applyAlignment="1">
      <alignment/>
    </xf>
    <xf numFmtId="3" fontId="14" fillId="2" borderId="7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10" fontId="14" fillId="2" borderId="1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0" fontId="14" fillId="0" borderId="0" xfId="23" applyNumberFormat="1" applyFont="1" applyFill="1" applyAlignment="1">
      <alignment/>
    </xf>
    <xf numFmtId="0" fontId="16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10" fontId="14" fillId="0" borderId="0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10" fontId="14" fillId="0" borderId="13" xfId="23" applyNumberFormat="1" applyFont="1" applyFill="1" applyBorder="1" applyAlignment="1">
      <alignment/>
    </xf>
    <xf numFmtId="10" fontId="14" fillId="0" borderId="14" xfId="23" applyNumberFormat="1" applyFont="1" applyFill="1" applyBorder="1" applyAlignment="1">
      <alignment/>
    </xf>
    <xf numFmtId="10" fontId="14" fillId="0" borderId="15" xfId="23" applyNumberFormat="1" applyFont="1" applyFill="1" applyBorder="1" applyAlignment="1">
      <alignment/>
    </xf>
    <xf numFmtId="10" fontId="14" fillId="0" borderId="16" xfId="23" applyNumberFormat="1" applyFont="1" applyFill="1" applyBorder="1" applyAlignment="1">
      <alignment/>
    </xf>
    <xf numFmtId="10" fontId="14" fillId="0" borderId="12" xfId="23" applyNumberFormat="1" applyFont="1" applyFill="1" applyBorder="1" applyAlignment="1">
      <alignment/>
    </xf>
    <xf numFmtId="10" fontId="14" fillId="0" borderId="17" xfId="23" applyNumberFormat="1" applyFont="1" applyFill="1" applyBorder="1" applyAlignment="1">
      <alignment/>
    </xf>
    <xf numFmtId="10" fontId="14" fillId="0" borderId="18" xfId="23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7" xfId="22" applyNumberFormat="1" applyFont="1" applyBorder="1">
      <alignment/>
      <protection/>
    </xf>
    <xf numFmtId="3" fontId="3" fillId="0" borderId="18" xfId="22" applyNumberFormat="1" applyFont="1" applyBorder="1">
      <alignment/>
      <protection/>
    </xf>
    <xf numFmtId="175" fontId="14" fillId="0" borderId="0" xfId="22" applyNumberFormat="1" applyFont="1" applyFill="1" applyBorder="1" applyAlignment="1">
      <alignment horizontal="left"/>
      <protection/>
    </xf>
    <xf numFmtId="0" fontId="14" fillId="0" borderId="0" xfId="22" applyFont="1" applyBorder="1" applyAlignment="1">
      <alignment horizontal="left" wrapText="1" shrinkToFit="1"/>
      <protection/>
    </xf>
    <xf numFmtId="0" fontId="14" fillId="0" borderId="0" xfId="22" applyFont="1" applyBorder="1" applyAlignment="1">
      <alignment horizontal="left" wrapText="1"/>
      <protection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wrapText="1"/>
    </xf>
  </cellXfs>
  <cellStyles count="10">
    <cellStyle name="Normal" xfId="0"/>
    <cellStyle name="Comma" xfId="15"/>
    <cellStyle name="Comma [0]" xfId="16"/>
    <cellStyle name="Comma_Vejo elektra_balansas_siuntimui" xfId="17"/>
    <cellStyle name="Currency" xfId="18"/>
    <cellStyle name="Currency [0]" xfId="19"/>
    <cellStyle name="Followed Hyperlink" xfId="20"/>
    <cellStyle name="Hyperlink" xfId="21"/>
    <cellStyle name="Normal_Pireka CF" xfId="22"/>
    <cellStyle name="Percent" xfId="23"/>
  </cellStyles>
  <dxfs count="2">
    <dxf>
      <font>
        <color rgb="FFFF00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19050</xdr:rowOff>
    </xdr:from>
    <xdr:to>
      <xdr:col>5</xdr:col>
      <xdr:colOff>0</xdr:colOff>
      <xdr:row>4</xdr:row>
      <xdr:rowOff>76200</xdr:rowOff>
    </xdr:to>
    <xdr:sp macro="[0]!Macro1">
      <xdr:nvSpPr>
        <xdr:cNvPr id="1" name="AutoShape 2"/>
        <xdr:cNvSpPr>
          <a:spLocks/>
        </xdr:cNvSpPr>
      </xdr:nvSpPr>
      <xdr:spPr>
        <a:xfrm>
          <a:off x="733425" y="228600"/>
          <a:ext cx="30861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Calculate 
NPV sensitivity</a:t>
          </a:r>
        </a:p>
      </xdr:txBody>
    </xdr:sp>
    <xdr:clientData/>
  </xdr:twoCellAnchor>
  <xdr:twoCellAnchor>
    <xdr:from>
      <xdr:col>9</xdr:col>
      <xdr:colOff>57150</xdr:colOff>
      <xdr:row>1</xdr:row>
      <xdr:rowOff>28575</xdr:rowOff>
    </xdr:from>
    <xdr:to>
      <xdr:col>12</xdr:col>
      <xdr:colOff>123825</xdr:colOff>
      <xdr:row>4</xdr:row>
      <xdr:rowOff>133350</xdr:rowOff>
    </xdr:to>
    <xdr:sp macro="[0]!Macro3">
      <xdr:nvSpPr>
        <xdr:cNvPr id="2" name="AutoShape 3"/>
        <xdr:cNvSpPr>
          <a:spLocks/>
        </xdr:cNvSpPr>
      </xdr:nvSpPr>
      <xdr:spPr>
        <a:xfrm>
          <a:off x="5810250" y="228600"/>
          <a:ext cx="268605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Calculate IRR sensitivity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28575</xdr:rowOff>
    </xdr:from>
    <xdr:to>
      <xdr:col>4</xdr:col>
      <xdr:colOff>419100</xdr:colOff>
      <xdr:row>4</xdr:row>
      <xdr:rowOff>66675</xdr:rowOff>
    </xdr:to>
    <xdr:sp macro="[0]!Macro2">
      <xdr:nvSpPr>
        <xdr:cNvPr id="1" name="AutoShape 2"/>
        <xdr:cNvSpPr>
          <a:spLocks/>
        </xdr:cNvSpPr>
      </xdr:nvSpPr>
      <xdr:spPr>
        <a:xfrm>
          <a:off x="666750" y="381000"/>
          <a:ext cx="29241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Calculate break-even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iit\My%20Documents\UP\Tuul\Tabelid\Suden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Wind invest budget"/>
      <sheetName val="Monthly"/>
      <sheetName val="Financial Projection"/>
      <sheetName val="Financial Projection (8%)"/>
      <sheetName val="Estimate"/>
      <sheetName val="Actual"/>
      <sheetName val="Estimate vs Actual"/>
    </sheetNames>
    <sheetDataSet>
      <sheetData sheetId="1">
        <row r="5">
          <cell r="B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08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.1484375" style="120" customWidth="1"/>
    <col min="2" max="2" width="48.8515625" style="123" customWidth="1"/>
    <col min="3" max="3" width="11.7109375" style="123" hidden="1" customWidth="1"/>
    <col min="4" max="4" width="10.7109375" style="123" customWidth="1"/>
    <col min="5" max="5" width="11.57421875" style="123" customWidth="1"/>
    <col min="6" max="6" width="13.421875" style="123" customWidth="1"/>
    <col min="7" max="7" width="14.00390625" style="123" customWidth="1"/>
    <col min="8" max="8" width="13.00390625" style="123" customWidth="1"/>
    <col min="9" max="9" width="12.57421875" style="123" customWidth="1"/>
    <col min="10" max="10" width="12.8515625" style="123" customWidth="1"/>
    <col min="11" max="12" width="13.421875" style="123" customWidth="1"/>
    <col min="13" max="13" width="10.8515625" style="123" customWidth="1"/>
    <col min="14" max="14" width="11.00390625" style="123" customWidth="1"/>
    <col min="15" max="15" width="11.8515625" style="123" customWidth="1"/>
    <col min="16" max="16" width="10.140625" style="123" customWidth="1"/>
    <col min="17" max="17" width="10.00390625" style="123" bestFit="1" customWidth="1"/>
    <col min="18" max="18" width="12.00390625" style="123" customWidth="1"/>
    <col min="19" max="20" width="10.00390625" style="123" customWidth="1"/>
    <col min="21" max="21" width="10.00390625" style="123" bestFit="1" customWidth="1"/>
    <col min="22" max="22" width="10.00390625" style="123" customWidth="1"/>
    <col min="23" max="23" width="9.7109375" style="123" customWidth="1"/>
    <col min="24" max="24" width="9.28125" style="123" bestFit="1" customWidth="1"/>
    <col min="25" max="25" width="9.140625" style="123" customWidth="1"/>
    <col min="26" max="26" width="10.00390625" style="123" bestFit="1" customWidth="1"/>
    <col min="27" max="16384" width="9.140625" style="123" customWidth="1"/>
  </cols>
  <sheetData>
    <row r="1" s="40" customFormat="1" ht="23.25">
      <c r="B1" s="41" t="s">
        <v>196</v>
      </c>
    </row>
    <row r="2" s="40" customFormat="1" ht="11.25" customHeight="1">
      <c r="B2" s="41"/>
    </row>
    <row r="3" spans="4:8" s="42" customFormat="1" ht="15.75">
      <c r="D3" s="43"/>
      <c r="F3" s="44"/>
      <c r="G3" s="44"/>
      <c r="H3" s="44"/>
    </row>
    <row r="4" spans="2:5" s="42" customFormat="1" ht="15" customHeight="1">
      <c r="B4" s="42" t="s">
        <v>1</v>
      </c>
      <c r="D4" s="45">
        <v>7</v>
      </c>
      <c r="E4" s="45"/>
    </row>
    <row r="5" spans="2:9" s="42" customFormat="1" ht="15.75">
      <c r="B5" s="42" t="s">
        <v>2</v>
      </c>
      <c r="D5" s="46">
        <v>2</v>
      </c>
      <c r="E5" s="47"/>
      <c r="F5" s="48" t="s">
        <v>3</v>
      </c>
      <c r="G5" s="49"/>
      <c r="H5" s="50" t="s">
        <v>4</v>
      </c>
      <c r="I5" s="50" t="s">
        <v>5</v>
      </c>
    </row>
    <row r="6" spans="2:20" s="42" customFormat="1" ht="15.75">
      <c r="B6" s="42" t="s">
        <v>0</v>
      </c>
      <c r="D6" s="46">
        <f>+D4*D5</f>
        <v>14</v>
      </c>
      <c r="E6" s="43"/>
      <c r="F6" s="42" t="s">
        <v>6</v>
      </c>
      <c r="H6" s="51">
        <v>0</v>
      </c>
      <c r="I6" s="51">
        <f aca="true" t="shared" si="0" ref="I6:I16">H6/D$6</f>
        <v>0</v>
      </c>
      <c r="K6" s="191" t="s">
        <v>7</v>
      </c>
      <c r="L6" s="191"/>
      <c r="M6" s="191"/>
      <c r="N6" s="191"/>
      <c r="O6" s="52">
        <v>6.37</v>
      </c>
      <c r="Q6" s="53" t="s">
        <v>8</v>
      </c>
      <c r="R6" s="51"/>
      <c r="T6" s="54">
        <f>1*7.4</f>
        <v>7.4</v>
      </c>
    </row>
    <row r="7" spans="2:21" s="42" customFormat="1" ht="15.75">
      <c r="B7" s="55" t="s">
        <v>9</v>
      </c>
      <c r="D7" s="56">
        <v>33708</v>
      </c>
      <c r="E7" s="56">
        <v>33708</v>
      </c>
      <c r="F7" s="42" t="s">
        <v>10</v>
      </c>
      <c r="H7" s="51">
        <v>16400</v>
      </c>
      <c r="I7" s="51">
        <f t="shared" si="0"/>
        <v>1171.4285714285713</v>
      </c>
      <c r="K7" s="191" t="s">
        <v>93</v>
      </c>
      <c r="L7" s="191"/>
      <c r="M7" s="191"/>
      <c r="N7" s="191"/>
      <c r="O7" s="57">
        <f>O6</f>
        <v>6.37</v>
      </c>
      <c r="Q7" s="42" t="s">
        <v>11</v>
      </c>
      <c r="T7" s="42">
        <v>0.626</v>
      </c>
      <c r="U7" s="42">
        <v>0.626</v>
      </c>
    </row>
    <row r="8" spans="2:20" s="42" customFormat="1" ht="15.75">
      <c r="B8" s="42" t="s">
        <v>12</v>
      </c>
      <c r="D8" s="58">
        <f>D7/D6/8760</f>
        <v>0.274853228962818</v>
      </c>
      <c r="E8" s="45"/>
      <c r="F8" s="42" t="s">
        <v>13</v>
      </c>
      <c r="H8" s="51">
        <v>1815</v>
      </c>
      <c r="I8" s="51">
        <f t="shared" si="0"/>
        <v>129.64285714285714</v>
      </c>
      <c r="K8" s="42" t="s">
        <v>14</v>
      </c>
      <c r="O8" s="59">
        <v>0</v>
      </c>
      <c r="Q8" s="42" t="s">
        <v>15</v>
      </c>
      <c r="R8" s="60"/>
      <c r="T8" s="61">
        <v>0.1</v>
      </c>
    </row>
    <row r="9" spans="2:15" s="42" customFormat="1" ht="15.75">
      <c r="B9" s="42" t="s">
        <v>16</v>
      </c>
      <c r="D9" s="45">
        <v>20</v>
      </c>
      <c r="E9" s="45"/>
      <c r="F9" s="42" t="s">
        <v>17</v>
      </c>
      <c r="H9" s="51">
        <v>61</v>
      </c>
      <c r="I9" s="51">
        <f t="shared" si="0"/>
        <v>4.357142857142857</v>
      </c>
      <c r="K9" s="53" t="s">
        <v>18</v>
      </c>
      <c r="L9" s="53"/>
      <c r="M9" s="53"/>
      <c r="N9" s="53"/>
      <c r="O9" s="62">
        <v>0.03</v>
      </c>
    </row>
    <row r="10" spans="2:15" s="42" customFormat="1" ht="15.75">
      <c r="B10" s="42" t="s">
        <v>19</v>
      </c>
      <c r="D10" s="63">
        <f>1/D9</f>
        <v>0.05</v>
      </c>
      <c r="E10" s="45"/>
      <c r="F10" s="42" t="s">
        <v>20</v>
      </c>
      <c r="H10" s="51">
        <v>1351</v>
      </c>
      <c r="I10" s="51">
        <f t="shared" si="0"/>
        <v>96.5</v>
      </c>
      <c r="K10" s="42" t="s">
        <v>21</v>
      </c>
      <c r="O10" s="64">
        <v>0.003</v>
      </c>
    </row>
    <row r="11" spans="4:15" s="42" customFormat="1" ht="15.75">
      <c r="D11" s="65"/>
      <c r="E11" s="45"/>
      <c r="F11" s="42" t="s">
        <v>22</v>
      </c>
      <c r="H11" s="51">
        <v>203</v>
      </c>
      <c r="I11" s="51">
        <f t="shared" si="0"/>
        <v>14.5</v>
      </c>
      <c r="K11" s="42" t="s">
        <v>23</v>
      </c>
      <c r="O11" s="66">
        <v>6</v>
      </c>
    </row>
    <row r="12" spans="2:15" s="42" customFormat="1" ht="15.75">
      <c r="B12" s="42" t="s">
        <v>24</v>
      </c>
      <c r="D12" s="51">
        <f>H17</f>
        <v>20008</v>
      </c>
      <c r="E12" s="51"/>
      <c r="F12" s="42" t="s">
        <v>25</v>
      </c>
      <c r="H12" s="51">
        <v>68</v>
      </c>
      <c r="I12" s="51">
        <f t="shared" si="0"/>
        <v>4.857142857142857</v>
      </c>
      <c r="K12" s="42" t="s">
        <v>26</v>
      </c>
      <c r="O12" s="61">
        <v>0.01</v>
      </c>
    </row>
    <row r="13" spans="2:18" s="42" customFormat="1" ht="15" customHeight="1">
      <c r="B13" s="192" t="s">
        <v>27</v>
      </c>
      <c r="C13" s="192"/>
      <c r="D13" s="51">
        <v>0</v>
      </c>
      <c r="E13" s="51"/>
      <c r="F13" s="42" t="s">
        <v>28</v>
      </c>
      <c r="H13" s="51">
        <v>60</v>
      </c>
      <c r="I13" s="51">
        <f t="shared" si="0"/>
        <v>4.285714285714286</v>
      </c>
      <c r="K13" s="67" t="s">
        <v>29</v>
      </c>
      <c r="L13" s="67"/>
      <c r="M13" s="67"/>
      <c r="N13" s="67"/>
      <c r="O13" s="68">
        <f>NPV(P13,C70:X70)</f>
        <v>197.5406663325582</v>
      </c>
      <c r="P13" s="190">
        <f>'Break-even'!E7</f>
        <v>0.08</v>
      </c>
      <c r="Q13" s="190"/>
      <c r="R13" s="190"/>
    </row>
    <row r="14" spans="2:15" s="42" customFormat="1" ht="15" customHeight="1">
      <c r="B14" s="42" t="s">
        <v>30</v>
      </c>
      <c r="D14" s="51">
        <f>D12-D13</f>
        <v>20008</v>
      </c>
      <c r="E14" s="51"/>
      <c r="F14" s="42" t="s">
        <v>31</v>
      </c>
      <c r="H14" s="51">
        <v>0</v>
      </c>
      <c r="I14" s="51">
        <f t="shared" si="0"/>
        <v>0</v>
      </c>
      <c r="K14" s="67" t="s">
        <v>32</v>
      </c>
      <c r="L14" s="67"/>
      <c r="M14" s="67"/>
      <c r="N14" s="67"/>
      <c r="O14" s="69">
        <f>IRR(C42:X42)</f>
        <v>0.0587887324038186</v>
      </c>
    </row>
    <row r="15" spans="5:16" s="42" customFormat="1" ht="15.75">
      <c r="E15" s="51"/>
      <c r="F15" s="42" t="s">
        <v>33</v>
      </c>
      <c r="H15" s="51">
        <v>0</v>
      </c>
      <c r="I15" s="51">
        <f t="shared" si="0"/>
        <v>0</v>
      </c>
      <c r="K15" s="70" t="s">
        <v>34</v>
      </c>
      <c r="L15" s="70"/>
      <c r="M15" s="70"/>
      <c r="N15" s="70"/>
      <c r="O15" s="69">
        <f>IRR(C70:X70)</f>
        <v>0.08473556554018097</v>
      </c>
      <c r="P15" s="55"/>
    </row>
    <row r="16" spans="2:16" s="42" customFormat="1" ht="15" customHeight="1">
      <c r="B16" s="42" t="s">
        <v>35</v>
      </c>
      <c r="D16" s="51">
        <f>+$D$14*E16</f>
        <v>3001.2</v>
      </c>
      <c r="E16" s="71">
        <v>0.15</v>
      </c>
      <c r="F16" s="49" t="s">
        <v>36</v>
      </c>
      <c r="G16" s="49"/>
      <c r="H16" s="72">
        <v>50</v>
      </c>
      <c r="I16" s="72">
        <f t="shared" si="0"/>
        <v>3.5714285714285716</v>
      </c>
      <c r="K16" s="67" t="s">
        <v>37</v>
      </c>
      <c r="L16" s="73"/>
      <c r="M16" s="73"/>
      <c r="N16" s="73"/>
      <c r="O16" s="74">
        <f>Q64</f>
        <v>0.9885121588978225</v>
      </c>
      <c r="P16" s="55"/>
    </row>
    <row r="17" spans="2:15" s="42" customFormat="1" ht="15.75">
      <c r="B17" s="42" t="s">
        <v>38</v>
      </c>
      <c r="D17" s="51">
        <f>+$D$14*E17</f>
        <v>17006.8</v>
      </c>
      <c r="E17" s="71">
        <f>100%-E16</f>
        <v>0.85</v>
      </c>
      <c r="F17" s="75" t="s">
        <v>39</v>
      </c>
      <c r="H17" s="76">
        <f>SUM(H6:H16)</f>
        <v>20008</v>
      </c>
      <c r="I17" s="76">
        <f>SUM(I6:I16)</f>
        <v>1429.142857142857</v>
      </c>
      <c r="J17" s="76"/>
      <c r="K17" s="77" t="s">
        <v>40</v>
      </c>
      <c r="L17" s="77"/>
      <c r="M17" s="77"/>
      <c r="N17" s="77"/>
      <c r="O17" s="78">
        <f>SUM(C33:X33)/H17</f>
        <v>0.23466668825691617</v>
      </c>
    </row>
    <row r="18" spans="2:5" s="42" customFormat="1" ht="15.75">
      <c r="B18" s="42" t="s">
        <v>41</v>
      </c>
      <c r="D18" s="79">
        <v>12</v>
      </c>
      <c r="E18" s="45"/>
    </row>
    <row r="19" spans="2:5" s="42" customFormat="1" ht="15.75">
      <c r="B19" s="42" t="s">
        <v>42</v>
      </c>
      <c r="D19" s="62">
        <v>0.045</v>
      </c>
      <c r="E19" s="45"/>
    </row>
    <row r="20" spans="1:25" s="81" customFormat="1" ht="15.75">
      <c r="A20" s="80"/>
      <c r="L20" s="80"/>
      <c r="M20" s="80"/>
      <c r="N20" s="80"/>
      <c r="O20" s="42"/>
      <c r="P20" s="80"/>
      <c r="Q20" s="80"/>
      <c r="R20" s="80"/>
      <c r="S20" s="80"/>
      <c r="T20" s="80"/>
      <c r="U20" s="80"/>
      <c r="V20" s="80"/>
      <c r="X20" s="82"/>
      <c r="Y20" s="82"/>
    </row>
    <row r="21" spans="1:25" s="81" customFormat="1" ht="15.75" hidden="1">
      <c r="A21" s="83"/>
      <c r="B21" s="82"/>
      <c r="C21" s="82"/>
      <c r="D21" s="82">
        <v>0</v>
      </c>
      <c r="E21" s="82">
        <f aca="true" t="shared" si="1" ref="E21:W21">D21*1.05</f>
        <v>0</v>
      </c>
      <c r="F21" s="82">
        <f t="shared" si="1"/>
        <v>0</v>
      </c>
      <c r="G21" s="82">
        <f t="shared" si="1"/>
        <v>0</v>
      </c>
      <c r="H21" s="82">
        <f t="shared" si="1"/>
        <v>0</v>
      </c>
      <c r="I21" s="82">
        <f t="shared" si="1"/>
        <v>0</v>
      </c>
      <c r="J21" s="82">
        <f t="shared" si="1"/>
        <v>0</v>
      </c>
      <c r="K21" s="82">
        <f t="shared" si="1"/>
        <v>0</v>
      </c>
      <c r="L21" s="82">
        <f t="shared" si="1"/>
        <v>0</v>
      </c>
      <c r="M21" s="82">
        <f t="shared" si="1"/>
        <v>0</v>
      </c>
      <c r="N21" s="82">
        <f t="shared" si="1"/>
        <v>0</v>
      </c>
      <c r="O21" s="82">
        <f t="shared" si="1"/>
        <v>0</v>
      </c>
      <c r="P21" s="82">
        <f t="shared" si="1"/>
        <v>0</v>
      </c>
      <c r="Q21" s="82">
        <f t="shared" si="1"/>
        <v>0</v>
      </c>
      <c r="R21" s="82">
        <f t="shared" si="1"/>
        <v>0</v>
      </c>
      <c r="S21" s="82">
        <f t="shared" si="1"/>
        <v>0</v>
      </c>
      <c r="T21" s="82">
        <f t="shared" si="1"/>
        <v>0</v>
      </c>
      <c r="U21" s="82">
        <f t="shared" si="1"/>
        <v>0</v>
      </c>
      <c r="V21" s="82">
        <f t="shared" si="1"/>
        <v>0</v>
      </c>
      <c r="W21" s="52">
        <f t="shared" si="1"/>
        <v>0</v>
      </c>
      <c r="X21" s="82"/>
      <c r="Y21" s="82"/>
    </row>
    <row r="22" spans="1:25" s="81" customFormat="1" ht="15.75">
      <c r="A22" s="42"/>
      <c r="B22" s="84" t="s">
        <v>43</v>
      </c>
      <c r="C22" s="84" t="s">
        <v>44</v>
      </c>
      <c r="D22" s="77"/>
      <c r="E22" s="70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82"/>
    </row>
    <row r="23" spans="1:25" s="81" customFormat="1" ht="15.75">
      <c r="A23" s="83"/>
      <c r="B23" s="77"/>
      <c r="C23" s="77"/>
      <c r="D23" s="84">
        <v>1</v>
      </c>
      <c r="E23" s="84">
        <v>2</v>
      </c>
      <c r="F23" s="84">
        <v>3</v>
      </c>
      <c r="G23" s="84">
        <v>4</v>
      </c>
      <c r="H23" s="84">
        <v>5</v>
      </c>
      <c r="I23" s="84">
        <v>6</v>
      </c>
      <c r="J23" s="84">
        <v>7</v>
      </c>
      <c r="K23" s="84">
        <v>8</v>
      </c>
      <c r="L23" s="84">
        <v>9</v>
      </c>
      <c r="M23" s="84">
        <v>10</v>
      </c>
      <c r="N23" s="84">
        <v>11</v>
      </c>
      <c r="O23" s="84">
        <v>12</v>
      </c>
      <c r="P23" s="84">
        <v>13</v>
      </c>
      <c r="Q23" s="84">
        <v>14</v>
      </c>
      <c r="R23" s="84">
        <v>15</v>
      </c>
      <c r="S23" s="84">
        <v>16</v>
      </c>
      <c r="T23" s="84">
        <v>17</v>
      </c>
      <c r="U23" s="84">
        <v>18</v>
      </c>
      <c r="V23" s="84">
        <v>19</v>
      </c>
      <c r="W23" s="84">
        <v>20</v>
      </c>
      <c r="X23" s="84">
        <v>21</v>
      </c>
      <c r="Y23" s="82"/>
    </row>
    <row r="24" spans="1:25" s="89" customFormat="1" ht="15.75">
      <c r="A24" s="85"/>
      <c r="B24" s="86" t="s">
        <v>197</v>
      </c>
      <c r="C24" s="87">
        <v>2007</v>
      </c>
      <c r="D24" s="87">
        <f aca="true" t="shared" si="2" ref="D24:W24">C24+1</f>
        <v>2008</v>
      </c>
      <c r="E24" s="87">
        <f t="shared" si="2"/>
        <v>2009</v>
      </c>
      <c r="F24" s="87">
        <f t="shared" si="2"/>
        <v>2010</v>
      </c>
      <c r="G24" s="87">
        <f t="shared" si="2"/>
        <v>2011</v>
      </c>
      <c r="H24" s="87">
        <f t="shared" si="2"/>
        <v>2012</v>
      </c>
      <c r="I24" s="87">
        <f t="shared" si="2"/>
        <v>2013</v>
      </c>
      <c r="J24" s="87">
        <f t="shared" si="2"/>
        <v>2014</v>
      </c>
      <c r="K24" s="87">
        <f t="shared" si="2"/>
        <v>2015</v>
      </c>
      <c r="L24" s="87">
        <f t="shared" si="2"/>
        <v>2016</v>
      </c>
      <c r="M24" s="87">
        <f t="shared" si="2"/>
        <v>2017</v>
      </c>
      <c r="N24" s="87">
        <f t="shared" si="2"/>
        <v>2018</v>
      </c>
      <c r="O24" s="87">
        <f t="shared" si="2"/>
        <v>2019</v>
      </c>
      <c r="P24" s="87">
        <f t="shared" si="2"/>
        <v>2020</v>
      </c>
      <c r="Q24" s="87">
        <f t="shared" si="2"/>
        <v>2021</v>
      </c>
      <c r="R24" s="87">
        <f t="shared" si="2"/>
        <v>2022</v>
      </c>
      <c r="S24" s="87">
        <f t="shared" si="2"/>
        <v>2023</v>
      </c>
      <c r="T24" s="87">
        <f t="shared" si="2"/>
        <v>2024</v>
      </c>
      <c r="U24" s="87">
        <f t="shared" si="2"/>
        <v>2025</v>
      </c>
      <c r="V24" s="87">
        <f t="shared" si="2"/>
        <v>2026</v>
      </c>
      <c r="W24" s="87">
        <f t="shared" si="2"/>
        <v>2027</v>
      </c>
      <c r="X24" s="87">
        <f>W24+1</f>
        <v>2028</v>
      </c>
      <c r="Y24" s="88"/>
    </row>
    <row r="25" spans="1:25" s="94" customFormat="1" ht="15.75" hidden="1">
      <c r="A25" s="90"/>
      <c r="B25" s="91"/>
      <c r="C25" s="91"/>
      <c r="D25" s="92">
        <v>0.25</v>
      </c>
      <c r="E25" s="92">
        <v>1</v>
      </c>
      <c r="F25" s="92">
        <v>1</v>
      </c>
      <c r="G25" s="92">
        <v>1</v>
      </c>
      <c r="H25" s="92">
        <v>1</v>
      </c>
      <c r="I25" s="92">
        <v>1</v>
      </c>
      <c r="J25" s="92">
        <v>1</v>
      </c>
      <c r="K25" s="92">
        <v>1</v>
      </c>
      <c r="L25" s="92">
        <v>1</v>
      </c>
      <c r="M25" s="92">
        <v>1</v>
      </c>
      <c r="N25" s="92">
        <v>1</v>
      </c>
      <c r="O25" s="92">
        <v>1</v>
      </c>
      <c r="P25" s="92">
        <v>1</v>
      </c>
      <c r="Q25" s="92">
        <v>1</v>
      </c>
      <c r="R25" s="92">
        <v>1</v>
      </c>
      <c r="S25" s="92">
        <v>1</v>
      </c>
      <c r="T25" s="92">
        <v>1</v>
      </c>
      <c r="U25" s="92">
        <v>1</v>
      </c>
      <c r="V25" s="92">
        <v>1</v>
      </c>
      <c r="W25" s="92">
        <v>1</v>
      </c>
      <c r="X25" s="93">
        <f>1-D25</f>
        <v>0.75</v>
      </c>
      <c r="Y25" s="91"/>
    </row>
    <row r="26" spans="1:25" s="96" customFormat="1" ht="12.75" hidden="1">
      <c r="A26" s="95"/>
      <c r="B26" s="96" t="s">
        <v>45</v>
      </c>
      <c r="C26" s="97"/>
      <c r="D26" s="97">
        <f>O6</f>
        <v>6.37</v>
      </c>
      <c r="E26" s="98">
        <f aca="true" t="shared" si="3" ref="E26:P26">D26</f>
        <v>6.37</v>
      </c>
      <c r="F26" s="97">
        <f t="shared" si="3"/>
        <v>6.37</v>
      </c>
      <c r="G26" s="97">
        <f t="shared" si="3"/>
        <v>6.37</v>
      </c>
      <c r="H26" s="97">
        <f t="shared" si="3"/>
        <v>6.37</v>
      </c>
      <c r="I26" s="97">
        <f t="shared" si="3"/>
        <v>6.37</v>
      </c>
      <c r="J26" s="97">
        <f t="shared" si="3"/>
        <v>6.37</v>
      </c>
      <c r="K26" s="97">
        <f t="shared" si="3"/>
        <v>6.37</v>
      </c>
      <c r="L26" s="97">
        <f t="shared" si="3"/>
        <v>6.37</v>
      </c>
      <c r="M26" s="97">
        <f t="shared" si="3"/>
        <v>6.37</v>
      </c>
      <c r="N26" s="97">
        <f t="shared" si="3"/>
        <v>6.37</v>
      </c>
      <c r="O26" s="97">
        <f t="shared" si="3"/>
        <v>6.37</v>
      </c>
      <c r="P26" s="97">
        <f t="shared" si="3"/>
        <v>6.37</v>
      </c>
      <c r="Q26" s="97">
        <f>O7+O8</f>
        <v>6.37</v>
      </c>
      <c r="R26" s="97">
        <f aca="true" t="shared" si="4" ref="R26:X26">Q26*(1+$P$7)</f>
        <v>6.37</v>
      </c>
      <c r="S26" s="97">
        <f t="shared" si="4"/>
        <v>6.37</v>
      </c>
      <c r="T26" s="97">
        <f t="shared" si="4"/>
        <v>6.37</v>
      </c>
      <c r="U26" s="97">
        <f t="shared" si="4"/>
        <v>6.37</v>
      </c>
      <c r="V26" s="97">
        <f t="shared" si="4"/>
        <v>6.37</v>
      </c>
      <c r="W26" s="97">
        <f t="shared" si="4"/>
        <v>6.37</v>
      </c>
      <c r="X26" s="97">
        <f t="shared" si="4"/>
        <v>6.37</v>
      </c>
      <c r="Y26" s="99"/>
    </row>
    <row r="27" spans="1:25" s="81" customFormat="1" ht="15.75" hidden="1">
      <c r="A27" s="80"/>
      <c r="E27" s="80"/>
      <c r="Y27" s="82"/>
    </row>
    <row r="28" spans="1:25" s="60" customFormat="1" ht="15.75">
      <c r="A28" s="51"/>
      <c r="B28" s="100" t="s">
        <v>46</v>
      </c>
      <c r="C28" s="100">
        <v>0</v>
      </c>
      <c r="D28" s="100">
        <f>$D7*D26/100*D25</f>
        <v>536.7999</v>
      </c>
      <c r="E28" s="51">
        <f aca="true" t="shared" si="5" ref="E28:W28">$D7*E26/100</f>
        <v>2147.1996</v>
      </c>
      <c r="F28" s="100">
        <f t="shared" si="5"/>
        <v>2147.1996</v>
      </c>
      <c r="G28" s="100">
        <f t="shared" si="5"/>
        <v>2147.1996</v>
      </c>
      <c r="H28" s="100">
        <f t="shared" si="5"/>
        <v>2147.1996</v>
      </c>
      <c r="I28" s="100">
        <f t="shared" si="5"/>
        <v>2147.1996</v>
      </c>
      <c r="J28" s="100">
        <f t="shared" si="5"/>
        <v>2147.1996</v>
      </c>
      <c r="K28" s="100">
        <f t="shared" si="5"/>
        <v>2147.1996</v>
      </c>
      <c r="L28" s="100">
        <f t="shared" si="5"/>
        <v>2147.1996</v>
      </c>
      <c r="M28" s="100">
        <f t="shared" si="5"/>
        <v>2147.1996</v>
      </c>
      <c r="N28" s="100">
        <f t="shared" si="5"/>
        <v>2147.1996</v>
      </c>
      <c r="O28" s="100">
        <f t="shared" si="5"/>
        <v>2147.1996</v>
      </c>
      <c r="P28" s="100">
        <f>$D7*P26/100</f>
        <v>2147.1996</v>
      </c>
      <c r="Q28" s="100">
        <f>$D7*Q26/100</f>
        <v>2147.1996</v>
      </c>
      <c r="R28" s="100">
        <f t="shared" si="5"/>
        <v>2147.1996</v>
      </c>
      <c r="S28" s="100">
        <f t="shared" si="5"/>
        <v>2147.1996</v>
      </c>
      <c r="T28" s="100">
        <f t="shared" si="5"/>
        <v>2147.1996</v>
      </c>
      <c r="U28" s="100">
        <f t="shared" si="5"/>
        <v>2147.1996</v>
      </c>
      <c r="V28" s="100">
        <f t="shared" si="5"/>
        <v>2147.1996</v>
      </c>
      <c r="W28" s="100">
        <f t="shared" si="5"/>
        <v>2147.1996</v>
      </c>
      <c r="X28" s="100">
        <f>W28*X$25</f>
        <v>1610.3997</v>
      </c>
      <c r="Y28" s="100"/>
    </row>
    <row r="29" spans="1:25" s="60" customFormat="1" ht="15.75">
      <c r="A29" s="51"/>
      <c r="B29" s="100" t="s">
        <v>47</v>
      </c>
      <c r="C29" s="100">
        <v>0</v>
      </c>
      <c r="D29" s="100">
        <f>E29*D25</f>
        <v>35.13351132</v>
      </c>
      <c r="E29" s="51">
        <f>T6*D7*T7*(1-T8)/1000</f>
        <v>140.53404528</v>
      </c>
      <c r="F29" s="100">
        <f>E29</f>
        <v>140.53404528</v>
      </c>
      <c r="G29" s="100">
        <f>F29</f>
        <v>140.53404528</v>
      </c>
      <c r="H29" s="100">
        <f>G29</f>
        <v>140.53404528</v>
      </c>
      <c r="I29" s="100"/>
      <c r="J29" s="100"/>
      <c r="K29" s="100"/>
      <c r="L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s="60" customFormat="1" ht="15.75" hidden="1">
      <c r="A30" s="51"/>
      <c r="B30" s="100" t="s">
        <v>48</v>
      </c>
      <c r="C30" s="100"/>
      <c r="D30" s="100"/>
      <c r="E30" s="51"/>
      <c r="F30" s="100"/>
      <c r="G30" s="100"/>
      <c r="H30" s="100"/>
      <c r="I30" s="100"/>
      <c r="J30" s="100"/>
      <c r="K30" s="100"/>
      <c r="L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>
        <f>W21</f>
        <v>0</v>
      </c>
      <c r="X30" s="100">
        <f>X21</f>
        <v>0</v>
      </c>
      <c r="Y30" s="100"/>
    </row>
    <row r="31" spans="1:25" s="60" customFormat="1" ht="15.75">
      <c r="A31" s="51"/>
      <c r="B31" s="100" t="s">
        <v>49</v>
      </c>
      <c r="C31" s="100">
        <f aca="true" t="shared" si="6" ref="C31:X31">SUM(C28:C30)</f>
        <v>0</v>
      </c>
      <c r="D31" s="100">
        <f t="shared" si="6"/>
        <v>571.93341132</v>
      </c>
      <c r="E31" s="51">
        <f t="shared" si="6"/>
        <v>2287.73364528</v>
      </c>
      <c r="F31" s="100">
        <f t="shared" si="6"/>
        <v>2287.73364528</v>
      </c>
      <c r="G31" s="100">
        <f t="shared" si="6"/>
        <v>2287.73364528</v>
      </c>
      <c r="H31" s="100">
        <f t="shared" si="6"/>
        <v>2287.73364528</v>
      </c>
      <c r="I31" s="100">
        <f t="shared" si="6"/>
        <v>2147.1996</v>
      </c>
      <c r="J31" s="100">
        <f t="shared" si="6"/>
        <v>2147.1996</v>
      </c>
      <c r="K31" s="100">
        <f t="shared" si="6"/>
        <v>2147.1996</v>
      </c>
      <c r="L31" s="100">
        <f t="shared" si="6"/>
        <v>2147.1996</v>
      </c>
      <c r="M31" s="100">
        <f t="shared" si="6"/>
        <v>2147.1996</v>
      </c>
      <c r="N31" s="100">
        <f t="shared" si="6"/>
        <v>2147.1996</v>
      </c>
      <c r="O31" s="100">
        <f t="shared" si="6"/>
        <v>2147.1996</v>
      </c>
      <c r="P31" s="100">
        <f t="shared" si="6"/>
        <v>2147.1996</v>
      </c>
      <c r="Q31" s="100">
        <f t="shared" si="6"/>
        <v>2147.1996</v>
      </c>
      <c r="R31" s="100">
        <f t="shared" si="6"/>
        <v>2147.1996</v>
      </c>
      <c r="S31" s="100">
        <f t="shared" si="6"/>
        <v>2147.1996</v>
      </c>
      <c r="T31" s="100">
        <f t="shared" si="6"/>
        <v>2147.1996</v>
      </c>
      <c r="U31" s="100">
        <f t="shared" si="6"/>
        <v>2147.1996</v>
      </c>
      <c r="V31" s="100">
        <f t="shared" si="6"/>
        <v>2147.1996</v>
      </c>
      <c r="W31" s="100">
        <f t="shared" si="6"/>
        <v>2147.1996</v>
      </c>
      <c r="X31" s="100">
        <f t="shared" si="6"/>
        <v>1610.3997</v>
      </c>
      <c r="Y31" s="100"/>
    </row>
    <row r="32" spans="1:25" s="60" customFormat="1" ht="15.75" hidden="1">
      <c r="A32" s="51"/>
      <c r="B32" s="100"/>
      <c r="C32" s="100"/>
      <c r="D32" s="100"/>
      <c r="E32" s="51"/>
      <c r="F32" s="100"/>
      <c r="G32" s="100"/>
      <c r="H32" s="100"/>
      <c r="I32" s="100"/>
      <c r="J32" s="100"/>
      <c r="K32" s="100"/>
      <c r="L32" s="100"/>
      <c r="M32" s="100"/>
      <c r="N32" s="51"/>
      <c r="O32" s="51"/>
      <c r="P32" s="51"/>
      <c r="Q32" s="51"/>
      <c r="R32" s="51"/>
      <c r="S32" s="51"/>
      <c r="T32" s="51"/>
      <c r="U32" s="51"/>
      <c r="V32" s="51"/>
      <c r="W32" s="100"/>
      <c r="X32" s="100"/>
      <c r="Y32" s="100"/>
    </row>
    <row r="33" spans="1:25" s="60" customFormat="1" ht="15.75" hidden="1">
      <c r="A33" s="51"/>
      <c r="B33" s="100" t="s">
        <v>50</v>
      </c>
      <c r="C33" s="60">
        <v>0</v>
      </c>
      <c r="D33" s="100">
        <f>E33*D$25</f>
        <v>0</v>
      </c>
      <c r="E33" s="51">
        <v>0</v>
      </c>
      <c r="F33" s="100">
        <f>G33*D25</f>
        <v>50.562</v>
      </c>
      <c r="G33" s="100">
        <f>O11*D7/1000</f>
        <v>202.248</v>
      </c>
      <c r="H33" s="100">
        <f aca="true" t="shared" si="7" ref="H33:W33">G33*(1+$O9)</f>
        <v>208.31544</v>
      </c>
      <c r="I33" s="100">
        <f t="shared" si="7"/>
        <v>214.5649032</v>
      </c>
      <c r="J33" s="100">
        <f t="shared" si="7"/>
        <v>221.00185029600001</v>
      </c>
      <c r="K33" s="100">
        <f t="shared" si="7"/>
        <v>227.63190580488003</v>
      </c>
      <c r="L33" s="100">
        <f t="shared" si="7"/>
        <v>234.46086297902644</v>
      </c>
      <c r="M33" s="100">
        <f t="shared" si="7"/>
        <v>241.49468886839725</v>
      </c>
      <c r="N33" s="100">
        <f t="shared" si="7"/>
        <v>248.73952953444916</v>
      </c>
      <c r="O33" s="100">
        <f t="shared" si="7"/>
        <v>256.2017154204826</v>
      </c>
      <c r="P33" s="100">
        <f t="shared" si="7"/>
        <v>263.88776688309713</v>
      </c>
      <c r="Q33" s="100">
        <f t="shared" si="7"/>
        <v>271.80439988959006</v>
      </c>
      <c r="R33" s="100">
        <f t="shared" si="7"/>
        <v>279.95853188627774</v>
      </c>
      <c r="S33" s="100">
        <f t="shared" si="7"/>
        <v>288.35728784286607</v>
      </c>
      <c r="T33" s="100">
        <f t="shared" si="7"/>
        <v>297.0080064781521</v>
      </c>
      <c r="U33" s="100">
        <f t="shared" si="7"/>
        <v>305.91824667249665</v>
      </c>
      <c r="V33" s="100">
        <f t="shared" si="7"/>
        <v>315.09579407267154</v>
      </c>
      <c r="W33" s="100">
        <f t="shared" si="7"/>
        <v>324.5486678948517</v>
      </c>
      <c r="X33" s="100">
        <f aca="true" t="shared" si="8" ref="X33:X39">W33*X$25</f>
        <v>243.41150092113878</v>
      </c>
      <c r="Y33" s="100"/>
    </row>
    <row r="34" spans="1:25" s="60" customFormat="1" ht="14.25" customHeight="1" hidden="1">
      <c r="A34" s="101"/>
      <c r="B34" s="100" t="s">
        <v>51</v>
      </c>
      <c r="C34" s="100"/>
      <c r="D34" s="100">
        <f>E34*D$25</f>
        <v>12.3</v>
      </c>
      <c r="E34" s="51">
        <f>O10*H7</f>
        <v>49.2</v>
      </c>
      <c r="F34" s="100">
        <f aca="true" t="shared" si="9" ref="F34:W35">E34</f>
        <v>49.2</v>
      </c>
      <c r="G34" s="100">
        <f t="shared" si="9"/>
        <v>49.2</v>
      </c>
      <c r="H34" s="100">
        <f t="shared" si="9"/>
        <v>49.2</v>
      </c>
      <c r="I34" s="100">
        <f t="shared" si="9"/>
        <v>49.2</v>
      </c>
      <c r="J34" s="100">
        <f t="shared" si="9"/>
        <v>49.2</v>
      </c>
      <c r="K34" s="100">
        <f t="shared" si="9"/>
        <v>49.2</v>
      </c>
      <c r="L34" s="100">
        <f t="shared" si="9"/>
        <v>49.2</v>
      </c>
      <c r="M34" s="100">
        <f t="shared" si="9"/>
        <v>49.2</v>
      </c>
      <c r="N34" s="100">
        <f t="shared" si="9"/>
        <v>49.2</v>
      </c>
      <c r="O34" s="100">
        <f t="shared" si="9"/>
        <v>49.2</v>
      </c>
      <c r="P34" s="100">
        <f t="shared" si="9"/>
        <v>49.2</v>
      </c>
      <c r="Q34" s="100">
        <f t="shared" si="9"/>
        <v>49.2</v>
      </c>
      <c r="R34" s="100">
        <f t="shared" si="9"/>
        <v>49.2</v>
      </c>
      <c r="S34" s="100">
        <f t="shared" si="9"/>
        <v>49.2</v>
      </c>
      <c r="T34" s="100">
        <f t="shared" si="9"/>
        <v>49.2</v>
      </c>
      <c r="U34" s="100">
        <f t="shared" si="9"/>
        <v>49.2</v>
      </c>
      <c r="V34" s="100">
        <f t="shared" si="9"/>
        <v>49.2</v>
      </c>
      <c r="W34" s="100">
        <f t="shared" si="9"/>
        <v>49.2</v>
      </c>
      <c r="X34" s="100">
        <f t="shared" si="8"/>
        <v>36.900000000000006</v>
      </c>
      <c r="Y34" s="100"/>
    </row>
    <row r="35" spans="1:25" s="60" customFormat="1" ht="14.25" customHeight="1" hidden="1">
      <c r="A35" s="101"/>
      <c r="B35" s="100" t="s">
        <v>52</v>
      </c>
      <c r="C35" s="100">
        <v>0</v>
      </c>
      <c r="D35" s="100">
        <f>E35*D$25</f>
        <v>7.82917694579014</v>
      </c>
      <c r="E35" s="51">
        <f>35/15.6466*'[1]Wind invest budget'!B5</f>
        <v>31.31670778316056</v>
      </c>
      <c r="F35" s="100">
        <f>E35</f>
        <v>31.31670778316056</v>
      </c>
      <c r="G35" s="100">
        <f t="shared" si="9"/>
        <v>31.31670778316056</v>
      </c>
      <c r="H35" s="100">
        <f t="shared" si="9"/>
        <v>31.31670778316056</v>
      </c>
      <c r="I35" s="100">
        <f t="shared" si="9"/>
        <v>31.31670778316056</v>
      </c>
      <c r="J35" s="100">
        <f t="shared" si="9"/>
        <v>31.31670778316056</v>
      </c>
      <c r="K35" s="100">
        <f t="shared" si="9"/>
        <v>31.31670778316056</v>
      </c>
      <c r="L35" s="100">
        <f t="shared" si="9"/>
        <v>31.31670778316056</v>
      </c>
      <c r="M35" s="100">
        <f t="shared" si="9"/>
        <v>31.31670778316056</v>
      </c>
      <c r="N35" s="100">
        <f t="shared" si="9"/>
        <v>31.31670778316056</v>
      </c>
      <c r="O35" s="100">
        <f t="shared" si="9"/>
        <v>31.31670778316056</v>
      </c>
      <c r="P35" s="100">
        <f t="shared" si="9"/>
        <v>31.31670778316056</v>
      </c>
      <c r="Q35" s="100">
        <f t="shared" si="9"/>
        <v>31.31670778316056</v>
      </c>
      <c r="R35" s="100">
        <f t="shared" si="9"/>
        <v>31.31670778316056</v>
      </c>
      <c r="S35" s="100">
        <f t="shared" si="9"/>
        <v>31.31670778316056</v>
      </c>
      <c r="T35" s="100">
        <f t="shared" si="9"/>
        <v>31.31670778316056</v>
      </c>
      <c r="U35" s="100">
        <f t="shared" si="9"/>
        <v>31.31670778316056</v>
      </c>
      <c r="V35" s="100">
        <f t="shared" si="9"/>
        <v>31.31670778316056</v>
      </c>
      <c r="W35" s="100">
        <f t="shared" si="9"/>
        <v>31.31670778316056</v>
      </c>
      <c r="X35" s="100">
        <f t="shared" si="8"/>
        <v>23.48753083737042</v>
      </c>
      <c r="Y35" s="100"/>
    </row>
    <row r="36" spans="1:25" s="60" customFormat="1" ht="15.75" hidden="1">
      <c r="A36" s="51"/>
      <c r="B36" s="100" t="s">
        <v>53</v>
      </c>
      <c r="D36" s="100">
        <f>E36*D$25</f>
        <v>0.75</v>
      </c>
      <c r="E36" s="51">
        <v>3</v>
      </c>
      <c r="F36" s="100">
        <f aca="true" t="shared" si="10" ref="F36:W36">E36</f>
        <v>3</v>
      </c>
      <c r="G36" s="100">
        <f t="shared" si="10"/>
        <v>3</v>
      </c>
      <c r="H36" s="100">
        <f t="shared" si="10"/>
        <v>3</v>
      </c>
      <c r="I36" s="100">
        <f t="shared" si="10"/>
        <v>3</v>
      </c>
      <c r="J36" s="100">
        <f t="shared" si="10"/>
        <v>3</v>
      </c>
      <c r="K36" s="100">
        <f t="shared" si="10"/>
        <v>3</v>
      </c>
      <c r="L36" s="100">
        <f t="shared" si="10"/>
        <v>3</v>
      </c>
      <c r="M36" s="100">
        <f t="shared" si="10"/>
        <v>3</v>
      </c>
      <c r="N36" s="100">
        <f t="shared" si="10"/>
        <v>3</v>
      </c>
      <c r="O36" s="100">
        <f t="shared" si="10"/>
        <v>3</v>
      </c>
      <c r="P36" s="100">
        <f t="shared" si="10"/>
        <v>3</v>
      </c>
      <c r="Q36" s="100">
        <f t="shared" si="10"/>
        <v>3</v>
      </c>
      <c r="R36" s="100">
        <f t="shared" si="10"/>
        <v>3</v>
      </c>
      <c r="S36" s="100">
        <f t="shared" si="10"/>
        <v>3</v>
      </c>
      <c r="T36" s="100">
        <f t="shared" si="10"/>
        <v>3</v>
      </c>
      <c r="U36" s="100">
        <f t="shared" si="10"/>
        <v>3</v>
      </c>
      <c r="V36" s="100">
        <f t="shared" si="10"/>
        <v>3</v>
      </c>
      <c r="W36" s="100">
        <f t="shared" si="10"/>
        <v>3</v>
      </c>
      <c r="X36" s="100">
        <f t="shared" si="8"/>
        <v>2.25</v>
      </c>
      <c r="Y36" s="100"/>
    </row>
    <row r="37" spans="1:25" s="60" customFormat="1" ht="14.25" customHeight="1" hidden="1">
      <c r="A37" s="101"/>
      <c r="B37" s="100" t="s">
        <v>54</v>
      </c>
      <c r="C37" s="100"/>
      <c r="D37" s="100">
        <f>D31*$O12</f>
        <v>5.7193341132</v>
      </c>
      <c r="E37" s="100">
        <f>E31*$O12</f>
        <v>22.8773364528</v>
      </c>
      <c r="F37" s="100">
        <f aca="true" t="shared" si="11" ref="F37:X37">F31*$O12</f>
        <v>22.8773364528</v>
      </c>
      <c r="G37" s="100">
        <f t="shared" si="11"/>
        <v>22.8773364528</v>
      </c>
      <c r="H37" s="100">
        <f t="shared" si="11"/>
        <v>22.8773364528</v>
      </c>
      <c r="I37" s="100">
        <f t="shared" si="11"/>
        <v>21.471996</v>
      </c>
      <c r="J37" s="100">
        <f t="shared" si="11"/>
        <v>21.471996</v>
      </c>
      <c r="K37" s="100">
        <f t="shared" si="11"/>
        <v>21.471996</v>
      </c>
      <c r="L37" s="100">
        <f t="shared" si="11"/>
        <v>21.471996</v>
      </c>
      <c r="M37" s="100">
        <f t="shared" si="11"/>
        <v>21.471996</v>
      </c>
      <c r="N37" s="100">
        <f t="shared" si="11"/>
        <v>21.471996</v>
      </c>
      <c r="O37" s="100">
        <f t="shared" si="11"/>
        <v>21.471996</v>
      </c>
      <c r="P37" s="100">
        <f t="shared" si="11"/>
        <v>21.471996</v>
      </c>
      <c r="Q37" s="100">
        <f t="shared" si="11"/>
        <v>21.471996</v>
      </c>
      <c r="R37" s="100">
        <f t="shared" si="11"/>
        <v>21.471996</v>
      </c>
      <c r="S37" s="100">
        <f t="shared" si="11"/>
        <v>21.471996</v>
      </c>
      <c r="T37" s="100">
        <f t="shared" si="11"/>
        <v>21.471996</v>
      </c>
      <c r="U37" s="100">
        <f t="shared" si="11"/>
        <v>21.471996</v>
      </c>
      <c r="V37" s="100">
        <f t="shared" si="11"/>
        <v>21.471996</v>
      </c>
      <c r="W37" s="100">
        <f t="shared" si="11"/>
        <v>21.471996</v>
      </c>
      <c r="X37" s="100">
        <f t="shared" si="11"/>
        <v>16.103997</v>
      </c>
      <c r="Y37" s="100"/>
    </row>
    <row r="38" spans="1:25" s="60" customFormat="1" ht="14.25" customHeight="1" hidden="1">
      <c r="A38" s="101"/>
      <c r="B38" s="100" t="s">
        <v>55</v>
      </c>
      <c r="C38" s="100"/>
      <c r="D38" s="100">
        <f>E38*D$25</f>
        <v>0</v>
      </c>
      <c r="E38" s="51">
        <v>0</v>
      </c>
      <c r="F38" s="100">
        <f aca="true" t="shared" si="12" ref="F38:W38">E38*(1+$O$9)</f>
        <v>0</v>
      </c>
      <c r="G38" s="100">
        <f t="shared" si="12"/>
        <v>0</v>
      </c>
      <c r="H38" s="100">
        <f t="shared" si="12"/>
        <v>0</v>
      </c>
      <c r="I38" s="100">
        <f t="shared" si="12"/>
        <v>0</v>
      </c>
      <c r="J38" s="100">
        <f t="shared" si="12"/>
        <v>0</v>
      </c>
      <c r="K38" s="100">
        <f t="shared" si="12"/>
        <v>0</v>
      </c>
      <c r="L38" s="100">
        <f t="shared" si="12"/>
        <v>0</v>
      </c>
      <c r="M38" s="100">
        <f t="shared" si="12"/>
        <v>0</v>
      </c>
      <c r="N38" s="100">
        <f t="shared" si="12"/>
        <v>0</v>
      </c>
      <c r="O38" s="100">
        <f t="shared" si="12"/>
        <v>0</v>
      </c>
      <c r="P38" s="100">
        <f t="shared" si="12"/>
        <v>0</v>
      </c>
      <c r="Q38" s="100">
        <f t="shared" si="12"/>
        <v>0</v>
      </c>
      <c r="R38" s="100">
        <f t="shared" si="12"/>
        <v>0</v>
      </c>
      <c r="S38" s="100">
        <f t="shared" si="12"/>
        <v>0</v>
      </c>
      <c r="T38" s="100">
        <f t="shared" si="12"/>
        <v>0</v>
      </c>
      <c r="U38" s="100">
        <f t="shared" si="12"/>
        <v>0</v>
      </c>
      <c r="V38" s="100">
        <f t="shared" si="12"/>
        <v>0</v>
      </c>
      <c r="W38" s="100">
        <f t="shared" si="12"/>
        <v>0</v>
      </c>
      <c r="X38" s="100">
        <f t="shared" si="8"/>
        <v>0</v>
      </c>
      <c r="Y38" s="100"/>
    </row>
    <row r="39" spans="1:25" s="60" customFormat="1" ht="14.25" customHeight="1" hidden="1">
      <c r="A39" s="101"/>
      <c r="B39" s="100" t="s">
        <v>56</v>
      </c>
      <c r="C39" s="100"/>
      <c r="D39" s="100">
        <f>E39*D$25</f>
        <v>7.5</v>
      </c>
      <c r="E39" s="51">
        <v>30</v>
      </c>
      <c r="F39" s="100">
        <f aca="true" t="shared" si="13" ref="F39:W39">E39</f>
        <v>30</v>
      </c>
      <c r="G39" s="100">
        <f t="shared" si="13"/>
        <v>30</v>
      </c>
      <c r="H39" s="100">
        <f t="shared" si="13"/>
        <v>30</v>
      </c>
      <c r="I39" s="100">
        <f t="shared" si="13"/>
        <v>30</v>
      </c>
      <c r="J39" s="100">
        <f t="shared" si="13"/>
        <v>30</v>
      </c>
      <c r="K39" s="100">
        <f t="shared" si="13"/>
        <v>30</v>
      </c>
      <c r="L39" s="100">
        <f t="shared" si="13"/>
        <v>30</v>
      </c>
      <c r="M39" s="100">
        <f t="shared" si="13"/>
        <v>30</v>
      </c>
      <c r="N39" s="100">
        <f t="shared" si="13"/>
        <v>30</v>
      </c>
      <c r="O39" s="100">
        <f t="shared" si="13"/>
        <v>30</v>
      </c>
      <c r="P39" s="100">
        <f t="shared" si="13"/>
        <v>30</v>
      </c>
      <c r="Q39" s="100">
        <f t="shared" si="13"/>
        <v>30</v>
      </c>
      <c r="R39" s="100">
        <f t="shared" si="13"/>
        <v>30</v>
      </c>
      <c r="S39" s="100">
        <f t="shared" si="13"/>
        <v>30</v>
      </c>
      <c r="T39" s="100">
        <f t="shared" si="13"/>
        <v>30</v>
      </c>
      <c r="U39" s="100">
        <f t="shared" si="13"/>
        <v>30</v>
      </c>
      <c r="V39" s="100">
        <f t="shared" si="13"/>
        <v>30</v>
      </c>
      <c r="W39" s="100">
        <f t="shared" si="13"/>
        <v>30</v>
      </c>
      <c r="X39" s="100">
        <f t="shared" si="8"/>
        <v>22.5</v>
      </c>
      <c r="Y39" s="100"/>
    </row>
    <row r="40" spans="1:25" s="60" customFormat="1" ht="15.75" hidden="1">
      <c r="A40" s="101"/>
      <c r="B40" s="100"/>
      <c r="D40" s="100"/>
      <c r="E40" s="51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s="60" customFormat="1" ht="15.75">
      <c r="A41" s="51"/>
      <c r="B41" s="102" t="s">
        <v>57</v>
      </c>
      <c r="C41" s="102"/>
      <c r="D41" s="102">
        <f aca="true" t="shared" si="14" ref="D41:X41">+D31-SUM(D33:D40)</f>
        <v>537.8349002610098</v>
      </c>
      <c r="E41" s="72">
        <f t="shared" si="14"/>
        <v>2151.3396010440392</v>
      </c>
      <c r="F41" s="102">
        <f t="shared" si="14"/>
        <v>2100.7776010440393</v>
      </c>
      <c r="G41" s="102">
        <f t="shared" si="14"/>
        <v>1949.0916010440394</v>
      </c>
      <c r="H41" s="102">
        <f t="shared" si="14"/>
        <v>1943.0241610440394</v>
      </c>
      <c r="I41" s="102">
        <f t="shared" si="14"/>
        <v>1797.6459930168394</v>
      </c>
      <c r="J41" s="102">
        <f t="shared" si="14"/>
        <v>1791.2090459208393</v>
      </c>
      <c r="K41" s="102">
        <f t="shared" si="14"/>
        <v>1784.5789904119592</v>
      </c>
      <c r="L41" s="102">
        <f t="shared" si="14"/>
        <v>1777.7500332378129</v>
      </c>
      <c r="M41" s="102">
        <f t="shared" si="14"/>
        <v>1770.7162073484421</v>
      </c>
      <c r="N41" s="102">
        <f t="shared" si="14"/>
        <v>1763.4713666823902</v>
      </c>
      <c r="O41" s="102">
        <f t="shared" si="14"/>
        <v>1756.0091807963568</v>
      </c>
      <c r="P41" s="102">
        <f t="shared" si="14"/>
        <v>1748.3231293337421</v>
      </c>
      <c r="Q41" s="102">
        <f t="shared" si="14"/>
        <v>1740.4064963272494</v>
      </c>
      <c r="R41" s="102">
        <f t="shared" si="14"/>
        <v>1732.2523643305617</v>
      </c>
      <c r="S41" s="102">
        <f t="shared" si="14"/>
        <v>1723.8536083739732</v>
      </c>
      <c r="T41" s="102">
        <f t="shared" si="14"/>
        <v>1715.2028897386872</v>
      </c>
      <c r="U41" s="102">
        <f t="shared" si="14"/>
        <v>1706.2926495443428</v>
      </c>
      <c r="V41" s="102">
        <f t="shared" si="14"/>
        <v>1697.1151021441678</v>
      </c>
      <c r="W41" s="102">
        <f t="shared" si="14"/>
        <v>1687.6622283219876</v>
      </c>
      <c r="X41" s="102">
        <f t="shared" si="14"/>
        <v>1265.7466712414907</v>
      </c>
      <c r="Y41" s="100"/>
    </row>
    <row r="42" spans="1:25" s="60" customFormat="1" ht="15.75" hidden="1">
      <c r="A42" s="51"/>
      <c r="B42" s="100"/>
      <c r="C42" s="100">
        <f>-D12*0.5</f>
        <v>-10004</v>
      </c>
      <c r="D42" s="51">
        <f>-D12*0.5+D41-D51-D50</f>
        <v>-9484.723716789234</v>
      </c>
      <c r="E42" s="51">
        <f aca="true" t="shared" si="15" ref="E42:X42">E41-E51-E50</f>
        <v>2074.773576709561</v>
      </c>
      <c r="F42" s="51">
        <f t="shared" si="15"/>
        <v>2024.3532695987847</v>
      </c>
      <c r="G42" s="51">
        <f t="shared" si="15"/>
        <v>1891.8363770235196</v>
      </c>
      <c r="H42" s="51">
        <f t="shared" si="15"/>
        <v>1876.4474273490384</v>
      </c>
      <c r="I42" s="51">
        <f t="shared" si="15"/>
        <v>1748.085012291394</v>
      </c>
      <c r="J42" s="51">
        <f t="shared" si="15"/>
        <v>1731.415610990333</v>
      </c>
      <c r="K42" s="51">
        <f t="shared" si="15"/>
        <v>1714.0652774136897</v>
      </c>
      <c r="L42" s="51">
        <f t="shared" si="15"/>
        <v>1696.005306966507</v>
      </c>
      <c r="M42" s="51">
        <f t="shared" si="15"/>
        <v>1677.205755135446</v>
      </c>
      <c r="N42" s="51">
        <f t="shared" si="15"/>
        <v>1657.635382956307</v>
      </c>
      <c r="O42" s="51">
        <f t="shared" si="15"/>
        <v>1637.2616000522492</v>
      </c>
      <c r="P42" s="51">
        <f t="shared" si="15"/>
        <v>1616.0504051335083</v>
      </c>
      <c r="Q42" s="51">
        <f t="shared" si="15"/>
        <v>1597.955245784254</v>
      </c>
      <c r="R42" s="51">
        <f t="shared" si="15"/>
        <v>1591.3707841969285</v>
      </c>
      <c r="S42" s="51">
        <f t="shared" si="15"/>
        <v>1584.5887887619833</v>
      </c>
      <c r="T42" s="51">
        <f t="shared" si="15"/>
        <v>1577.60333346399</v>
      </c>
      <c r="U42" s="51">
        <f t="shared" si="15"/>
        <v>1570.408314507057</v>
      </c>
      <c r="V42" s="51">
        <f t="shared" si="15"/>
        <v>1562.9974449814154</v>
      </c>
      <c r="W42" s="51">
        <f t="shared" si="15"/>
        <v>1555.364249370005</v>
      </c>
      <c r="X42" s="51">
        <f t="shared" si="15"/>
        <v>1166.5231870275038</v>
      </c>
      <c r="Y42" s="100"/>
    </row>
    <row r="43" spans="1:25" s="60" customFormat="1" ht="15.75" hidden="1">
      <c r="A43" s="51"/>
      <c r="B43" s="100"/>
      <c r="C43" s="100"/>
      <c r="D43" s="100"/>
      <c r="E43" s="51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s="60" customFormat="1" ht="15.75">
      <c r="A44" s="51"/>
      <c r="B44" s="100" t="s">
        <v>58</v>
      </c>
      <c r="C44" s="100">
        <v>0</v>
      </c>
      <c r="D44" s="100">
        <f>E44*D$25</f>
        <v>250.10000000000002</v>
      </c>
      <c r="E44" s="51">
        <f aca="true" t="shared" si="16" ref="E44:W44">$D12*$D10</f>
        <v>1000.4000000000001</v>
      </c>
      <c r="F44" s="100">
        <f t="shared" si="16"/>
        <v>1000.4000000000001</v>
      </c>
      <c r="G44" s="100">
        <f t="shared" si="16"/>
        <v>1000.4000000000001</v>
      </c>
      <c r="H44" s="100">
        <f t="shared" si="16"/>
        <v>1000.4000000000001</v>
      </c>
      <c r="I44" s="100">
        <f t="shared" si="16"/>
        <v>1000.4000000000001</v>
      </c>
      <c r="J44" s="100">
        <f t="shared" si="16"/>
        <v>1000.4000000000001</v>
      </c>
      <c r="K44" s="100">
        <f t="shared" si="16"/>
        <v>1000.4000000000001</v>
      </c>
      <c r="L44" s="100">
        <f t="shared" si="16"/>
        <v>1000.4000000000001</v>
      </c>
      <c r="M44" s="100">
        <f t="shared" si="16"/>
        <v>1000.4000000000001</v>
      </c>
      <c r="N44" s="100">
        <f t="shared" si="16"/>
        <v>1000.4000000000001</v>
      </c>
      <c r="O44" s="100">
        <f t="shared" si="16"/>
        <v>1000.4000000000001</v>
      </c>
      <c r="P44" s="100">
        <f t="shared" si="16"/>
        <v>1000.4000000000001</v>
      </c>
      <c r="Q44" s="100">
        <f t="shared" si="16"/>
        <v>1000.4000000000001</v>
      </c>
      <c r="R44" s="100">
        <f t="shared" si="16"/>
        <v>1000.4000000000001</v>
      </c>
      <c r="S44" s="100">
        <f t="shared" si="16"/>
        <v>1000.4000000000001</v>
      </c>
      <c r="T44" s="100">
        <f t="shared" si="16"/>
        <v>1000.4000000000001</v>
      </c>
      <c r="U44" s="100">
        <f t="shared" si="16"/>
        <v>1000.4000000000001</v>
      </c>
      <c r="V44" s="100">
        <f t="shared" si="16"/>
        <v>1000.4000000000001</v>
      </c>
      <c r="W44" s="100">
        <f t="shared" si="16"/>
        <v>1000.4000000000001</v>
      </c>
      <c r="X44" s="100">
        <f>W44*X$25</f>
        <v>750.3000000000001</v>
      </c>
      <c r="Y44" s="100"/>
    </row>
    <row r="45" spans="1:25" s="60" customFormat="1" ht="15.75" hidden="1">
      <c r="A45" s="51"/>
      <c r="B45" s="100"/>
      <c r="C45" s="100"/>
      <c r="D45" s="100"/>
      <c r="E45" s="51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s="60" customFormat="1" ht="15.75">
      <c r="A46" s="51"/>
      <c r="B46" s="100" t="s">
        <v>59</v>
      </c>
      <c r="C46" s="100"/>
      <c r="D46" s="100">
        <f>-D61</f>
        <v>191.32649999999998</v>
      </c>
      <c r="E46" s="100">
        <f aca="true" t="shared" si="17" ref="E46:X46">-E61</f>
        <v>753.1940200857103</v>
      </c>
      <c r="F46" s="100">
        <f t="shared" si="17"/>
        <v>703.3680870427162</v>
      </c>
      <c r="G46" s="100">
        <f t="shared" si="17"/>
        <v>651.2618658725083</v>
      </c>
      <c r="H46" s="100">
        <f t="shared" si="17"/>
        <v>596.7709989920864</v>
      </c>
      <c r="I46" s="100">
        <f t="shared" si="17"/>
        <v>539.7863528846547</v>
      </c>
      <c r="J46" s="100">
        <f t="shared" si="17"/>
        <v>480.19379952859947</v>
      </c>
      <c r="K46" s="100">
        <f t="shared" si="17"/>
        <v>417.8739878235455</v>
      </c>
      <c r="L46" s="100">
        <f t="shared" si="17"/>
        <v>352.70210455570515</v>
      </c>
      <c r="M46" s="100">
        <f t="shared" si="17"/>
        <v>284.5476244237865</v>
      </c>
      <c r="N46" s="100">
        <f t="shared" si="17"/>
        <v>213.27404862481572</v>
      </c>
      <c r="O46" s="100">
        <f t="shared" si="17"/>
        <v>138.73863147631687</v>
      </c>
      <c r="P46" s="100">
        <f t="shared" si="17"/>
        <v>60.79209452733218</v>
      </c>
      <c r="Q46" s="100">
        <f t="shared" si="17"/>
        <v>0</v>
      </c>
      <c r="R46" s="100">
        <f t="shared" si="17"/>
        <v>0</v>
      </c>
      <c r="S46" s="100">
        <f t="shared" si="17"/>
        <v>0</v>
      </c>
      <c r="T46" s="100">
        <f t="shared" si="17"/>
        <v>0</v>
      </c>
      <c r="U46" s="100">
        <f t="shared" si="17"/>
        <v>0</v>
      </c>
      <c r="V46" s="100">
        <f t="shared" si="17"/>
        <v>0</v>
      </c>
      <c r="W46" s="100">
        <f t="shared" si="17"/>
        <v>0</v>
      </c>
      <c r="X46" s="100">
        <f t="shared" si="17"/>
        <v>0</v>
      </c>
      <c r="Y46" s="100"/>
    </row>
    <row r="47" spans="1:25" s="60" customFormat="1" ht="15.75" hidden="1">
      <c r="A47" s="51"/>
      <c r="B47" s="100"/>
      <c r="C47" s="100"/>
      <c r="D47" s="100"/>
      <c r="E47" s="51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s="60" customFormat="1" ht="15.75">
      <c r="A48" s="51"/>
      <c r="B48" s="102" t="s">
        <v>60</v>
      </c>
      <c r="C48" s="102">
        <f>-C44-C46</f>
        <v>0</v>
      </c>
      <c r="D48" s="102">
        <f aca="true" t="shared" si="18" ref="D48:W48">+D41-D44-D46</f>
        <v>96.4084002610098</v>
      </c>
      <c r="E48" s="72">
        <f t="shared" si="18"/>
        <v>397.7455809583288</v>
      </c>
      <c r="F48" s="102">
        <f t="shared" si="18"/>
        <v>397.00951400132305</v>
      </c>
      <c r="G48" s="102">
        <f t="shared" si="18"/>
        <v>297.429735171531</v>
      </c>
      <c r="H48" s="102">
        <f t="shared" si="18"/>
        <v>345.85316205195284</v>
      </c>
      <c r="I48" s="102">
        <f t="shared" si="18"/>
        <v>257.45964013218463</v>
      </c>
      <c r="J48" s="102">
        <f t="shared" si="18"/>
        <v>310.6152463922398</v>
      </c>
      <c r="K48" s="102">
        <f t="shared" si="18"/>
        <v>366.30500258841363</v>
      </c>
      <c r="L48" s="102">
        <f t="shared" si="18"/>
        <v>424.64792868210765</v>
      </c>
      <c r="M48" s="102">
        <f t="shared" si="18"/>
        <v>485.76858292465556</v>
      </c>
      <c r="N48" s="102">
        <f t="shared" si="18"/>
        <v>549.7973180575744</v>
      </c>
      <c r="O48" s="102">
        <f t="shared" si="18"/>
        <v>616.8705493200398</v>
      </c>
      <c r="P48" s="102">
        <f t="shared" si="18"/>
        <v>687.1310348064098</v>
      </c>
      <c r="Q48" s="102">
        <f t="shared" si="18"/>
        <v>740.0064963272494</v>
      </c>
      <c r="R48" s="102">
        <f t="shared" si="18"/>
        <v>731.8523643305616</v>
      </c>
      <c r="S48" s="102">
        <f t="shared" si="18"/>
        <v>723.4536083739731</v>
      </c>
      <c r="T48" s="102">
        <f t="shared" si="18"/>
        <v>714.8028897386871</v>
      </c>
      <c r="U48" s="102">
        <f t="shared" si="18"/>
        <v>705.8926495443427</v>
      </c>
      <c r="V48" s="102">
        <f t="shared" si="18"/>
        <v>696.7151021441678</v>
      </c>
      <c r="W48" s="102">
        <f t="shared" si="18"/>
        <v>687.2622283219875</v>
      </c>
      <c r="X48" s="102">
        <f>+X41-X44-X46</f>
        <v>515.4466712414907</v>
      </c>
      <c r="Y48" s="100"/>
    </row>
    <row r="49" spans="1:25" s="60" customFormat="1" ht="15.75" hidden="1">
      <c r="A49" s="51"/>
      <c r="B49" s="100"/>
      <c r="C49" s="100"/>
      <c r="D49" s="100"/>
      <c r="E49" s="51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 s="60" customFormat="1" ht="15.75" hidden="1">
      <c r="A50" s="51"/>
      <c r="B50" s="100" t="s">
        <v>61</v>
      </c>
      <c r="C50" s="100">
        <v>0</v>
      </c>
      <c r="D50" s="100">
        <f aca="true" t="shared" si="19" ref="D50:W50">MAX(0,D48*15%)</f>
        <v>14.461260039151469</v>
      </c>
      <c r="E50" s="100">
        <f t="shared" si="19"/>
        <v>59.66183714374932</v>
      </c>
      <c r="F50" s="100">
        <f t="shared" si="19"/>
        <v>59.55142710019845</v>
      </c>
      <c r="G50" s="100">
        <f t="shared" si="19"/>
        <v>44.61446027572965</v>
      </c>
      <c r="H50" s="100">
        <f t="shared" si="19"/>
        <v>51.877974307792925</v>
      </c>
      <c r="I50" s="100">
        <f t="shared" si="19"/>
        <v>38.618946019827696</v>
      </c>
      <c r="J50" s="100">
        <f t="shared" si="19"/>
        <v>46.59228695883596</v>
      </c>
      <c r="K50" s="100">
        <f t="shared" si="19"/>
        <v>54.94575038826204</v>
      </c>
      <c r="L50" s="100">
        <f t="shared" si="19"/>
        <v>63.69718930231615</v>
      </c>
      <c r="M50" s="100">
        <f t="shared" si="19"/>
        <v>72.86528743869833</v>
      </c>
      <c r="N50" s="100">
        <f t="shared" si="19"/>
        <v>82.46959770863616</v>
      </c>
      <c r="O50" s="100">
        <f t="shared" si="19"/>
        <v>92.53058239800596</v>
      </c>
      <c r="P50" s="100">
        <f t="shared" si="19"/>
        <v>103.06965522096148</v>
      </c>
      <c r="Q50" s="100">
        <f t="shared" si="19"/>
        <v>111.0009744490874</v>
      </c>
      <c r="R50" s="100">
        <f t="shared" si="19"/>
        <v>109.77785464958424</v>
      </c>
      <c r="S50" s="100">
        <f t="shared" si="19"/>
        <v>108.51804125609597</v>
      </c>
      <c r="T50" s="100">
        <f t="shared" si="19"/>
        <v>107.22043346080306</v>
      </c>
      <c r="U50" s="100">
        <f t="shared" si="19"/>
        <v>105.8838974316514</v>
      </c>
      <c r="V50" s="100">
        <f t="shared" si="19"/>
        <v>104.50726532162516</v>
      </c>
      <c r="W50" s="100">
        <f t="shared" si="19"/>
        <v>103.08933424829813</v>
      </c>
      <c r="X50" s="100">
        <f>MAX(0,X48*15%)</f>
        <v>77.3170006862236</v>
      </c>
      <c r="Y50" s="100"/>
    </row>
    <row r="51" spans="1:25" s="60" customFormat="1" ht="15.75" hidden="1">
      <c r="A51" s="51"/>
      <c r="B51" s="100" t="s">
        <v>94</v>
      </c>
      <c r="C51" s="100">
        <f>IF(+C48-C50&gt;0,(+C48-C50)*0.05,0)</f>
        <v>0</v>
      </c>
      <c r="D51" s="100">
        <f>IF(+D48-D50&gt;0,(+D48-D50)*0.05,0)</f>
        <v>4.0973570110929165</v>
      </c>
      <c r="E51" s="100">
        <f aca="true" t="shared" si="20" ref="E51:X51">IF(+E48-E50&gt;0,(+E48-E50)*0.05,0)</f>
        <v>16.904187190728972</v>
      </c>
      <c r="F51" s="100">
        <f t="shared" si="20"/>
        <v>16.87290434505623</v>
      </c>
      <c r="G51" s="100">
        <f t="shared" si="20"/>
        <v>12.640763744790068</v>
      </c>
      <c r="H51" s="100">
        <f t="shared" si="20"/>
        <v>14.698759387207998</v>
      </c>
      <c r="I51" s="100">
        <f t="shared" si="20"/>
        <v>10.942034705617848</v>
      </c>
      <c r="J51" s="100">
        <f t="shared" si="20"/>
        <v>13.20114797167019</v>
      </c>
      <c r="K51" s="100">
        <f t="shared" si="20"/>
        <v>15.567962610007578</v>
      </c>
      <c r="L51" s="100">
        <f t="shared" si="20"/>
        <v>18.047536968989576</v>
      </c>
      <c r="M51" s="100">
        <f t="shared" si="20"/>
        <v>20.645164774297864</v>
      </c>
      <c r="N51" s="100">
        <f t="shared" si="20"/>
        <v>23.366386017446914</v>
      </c>
      <c r="O51" s="100">
        <f t="shared" si="20"/>
        <v>26.21699834610169</v>
      </c>
      <c r="P51" s="100">
        <f t="shared" si="20"/>
        <v>29.203068979272416</v>
      </c>
      <c r="Q51" s="100">
        <f t="shared" si="20"/>
        <v>31.4502760939081</v>
      </c>
      <c r="R51" s="100">
        <f t="shared" si="20"/>
        <v>31.10372548404887</v>
      </c>
      <c r="S51" s="100">
        <f t="shared" si="20"/>
        <v>30.746778355893856</v>
      </c>
      <c r="T51" s="100">
        <f t="shared" si="20"/>
        <v>30.379122813894202</v>
      </c>
      <c r="U51" s="100">
        <f t="shared" si="20"/>
        <v>30.00043760563457</v>
      </c>
      <c r="V51" s="100">
        <f t="shared" si="20"/>
        <v>29.610391841127132</v>
      </c>
      <c r="W51" s="100">
        <f t="shared" si="20"/>
        <v>29.208644703684474</v>
      </c>
      <c r="X51" s="100">
        <f t="shared" si="20"/>
        <v>21.906483527763356</v>
      </c>
      <c r="Y51" s="100"/>
    </row>
    <row r="52" spans="1:26" s="60" customFormat="1" ht="16.5" thickBot="1">
      <c r="A52" s="51"/>
      <c r="B52" s="103" t="s">
        <v>62</v>
      </c>
      <c r="C52" s="103">
        <f>+C48-C50-C51</f>
        <v>0</v>
      </c>
      <c r="D52" s="103">
        <f>+D48-D50-D51</f>
        <v>77.84978321076542</v>
      </c>
      <c r="E52" s="103">
        <f aca="true" t="shared" si="21" ref="E52:X52">+E48-E50-E51</f>
        <v>321.1795566238505</v>
      </c>
      <c r="F52" s="103">
        <f t="shared" si="21"/>
        <v>320.5851825560684</v>
      </c>
      <c r="G52" s="103">
        <f t="shared" si="21"/>
        <v>240.17451115101127</v>
      </c>
      <c r="H52" s="103">
        <f t="shared" si="21"/>
        <v>279.27642835695195</v>
      </c>
      <c r="I52" s="103">
        <f t="shared" si="21"/>
        <v>207.89865940673909</v>
      </c>
      <c r="J52" s="103">
        <f t="shared" si="21"/>
        <v>250.8218114617336</v>
      </c>
      <c r="K52" s="103">
        <f t="shared" si="21"/>
        <v>295.791289590144</v>
      </c>
      <c r="L52" s="103">
        <f t="shared" si="21"/>
        <v>342.90320241080195</v>
      </c>
      <c r="M52" s="103">
        <f t="shared" si="21"/>
        <v>392.25813071165936</v>
      </c>
      <c r="N52" s="103">
        <f t="shared" si="21"/>
        <v>443.96133433149134</v>
      </c>
      <c r="O52" s="103">
        <f t="shared" si="21"/>
        <v>498.1229685759321</v>
      </c>
      <c r="P52" s="103">
        <f t="shared" si="21"/>
        <v>554.8583106061759</v>
      </c>
      <c r="Q52" s="103">
        <f t="shared" si="21"/>
        <v>597.5552457842539</v>
      </c>
      <c r="R52" s="103">
        <f t="shared" si="21"/>
        <v>590.9707841969285</v>
      </c>
      <c r="S52" s="103">
        <f t="shared" si="21"/>
        <v>584.1887887619832</v>
      </c>
      <c r="T52" s="103">
        <f t="shared" si="21"/>
        <v>577.2033334639898</v>
      </c>
      <c r="U52" s="103">
        <f t="shared" si="21"/>
        <v>570.0083145070568</v>
      </c>
      <c r="V52" s="103">
        <f t="shared" si="21"/>
        <v>562.5974449814155</v>
      </c>
      <c r="W52" s="103">
        <f t="shared" si="21"/>
        <v>554.964249370005</v>
      </c>
      <c r="X52" s="103">
        <f t="shared" si="21"/>
        <v>416.22318702750374</v>
      </c>
      <c r="Y52" s="100"/>
      <c r="Z52" s="104"/>
    </row>
    <row r="53" spans="1:26" s="60" customFormat="1" ht="15.75" hidden="1">
      <c r="A53" s="51"/>
      <c r="B53" s="100"/>
      <c r="C53" s="100"/>
      <c r="D53" s="105"/>
      <c r="E53" s="6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0"/>
      <c r="Y53" s="100"/>
      <c r="Z53" s="104"/>
    </row>
    <row r="54" spans="1:26" s="60" customFormat="1" ht="15.75">
      <c r="A54" s="51"/>
      <c r="B54" s="100"/>
      <c r="C54" s="105">
        <f>AVERAGE(D54:W54)</f>
        <v>0.13766442306508994</v>
      </c>
      <c r="D54" s="105">
        <f aca="true" t="shared" si="22" ref="D54:W54">D52/$D16</f>
        <v>0.025939551916155348</v>
      </c>
      <c r="E54" s="65">
        <f t="shared" si="22"/>
        <v>0.10701704538979426</v>
      </c>
      <c r="F54" s="105">
        <f t="shared" si="22"/>
        <v>0.10681899991872199</v>
      </c>
      <c r="G54" s="105">
        <f t="shared" si="22"/>
        <v>0.08002615991970255</v>
      </c>
      <c r="H54" s="105">
        <f t="shared" si="22"/>
        <v>0.09305492081732372</v>
      </c>
      <c r="I54" s="105">
        <f t="shared" si="22"/>
        <v>0.06927184439782057</v>
      </c>
      <c r="J54" s="105">
        <f t="shared" si="22"/>
        <v>0.08357384095086419</v>
      </c>
      <c r="K54" s="105">
        <f t="shared" si="22"/>
        <v>0.09855767346066374</v>
      </c>
      <c r="L54" s="105">
        <f t="shared" si="22"/>
        <v>0.11425536532413767</v>
      </c>
      <c r="M54" s="105">
        <f t="shared" si="22"/>
        <v>0.13070043006519372</v>
      </c>
      <c r="N54" s="105">
        <f t="shared" si="22"/>
        <v>0.14792794026772338</v>
      </c>
      <c r="O54" s="105">
        <f t="shared" si="22"/>
        <v>0.16597459968543654</v>
      </c>
      <c r="P54" s="105">
        <f t="shared" si="22"/>
        <v>0.1848788186745888</v>
      </c>
      <c r="Q54" s="105">
        <f t="shared" si="22"/>
        <v>0.19910543975218375</v>
      </c>
      <c r="R54" s="105">
        <f t="shared" si="22"/>
        <v>0.1969114968002561</v>
      </c>
      <c r="S54" s="105">
        <f t="shared" si="22"/>
        <v>0.19465173555977053</v>
      </c>
      <c r="T54" s="105">
        <f t="shared" si="22"/>
        <v>0.19232418148207045</v>
      </c>
      <c r="U54" s="105">
        <f t="shared" si="22"/>
        <v>0.18992680078203944</v>
      </c>
      <c r="V54" s="105">
        <f t="shared" si="22"/>
        <v>0.18745749866100744</v>
      </c>
      <c r="W54" s="105">
        <f t="shared" si="22"/>
        <v>0.18491411747634445</v>
      </c>
      <c r="X54" s="105">
        <f>X52/$D16</f>
        <v>0.13868558810725834</v>
      </c>
      <c r="Y54" s="100"/>
      <c r="Z54" s="104"/>
    </row>
    <row r="55" spans="1:26" s="60" customFormat="1" ht="15.75">
      <c r="A55" s="51"/>
      <c r="B55" s="106" t="s">
        <v>63</v>
      </c>
      <c r="C55" s="107"/>
      <c r="D55" s="106">
        <f>D25*4</f>
        <v>1</v>
      </c>
      <c r="E55" s="106">
        <f>D55+4</f>
        <v>5</v>
      </c>
      <c r="F55" s="106">
        <f aca="true" t="shared" si="23" ref="F55:Q55">E55+4</f>
        <v>9</v>
      </c>
      <c r="G55" s="106">
        <f t="shared" si="23"/>
        <v>13</v>
      </c>
      <c r="H55" s="106">
        <f t="shared" si="23"/>
        <v>17</v>
      </c>
      <c r="I55" s="106">
        <f t="shared" si="23"/>
        <v>21</v>
      </c>
      <c r="J55" s="106">
        <f t="shared" si="23"/>
        <v>25</v>
      </c>
      <c r="K55" s="106">
        <f t="shared" si="23"/>
        <v>29</v>
      </c>
      <c r="L55" s="106">
        <f t="shared" si="23"/>
        <v>33</v>
      </c>
      <c r="M55" s="106">
        <f t="shared" si="23"/>
        <v>37</v>
      </c>
      <c r="N55" s="106">
        <f t="shared" si="23"/>
        <v>41</v>
      </c>
      <c r="O55" s="106">
        <f t="shared" si="23"/>
        <v>45</v>
      </c>
      <c r="P55" s="106">
        <f t="shared" si="23"/>
        <v>49</v>
      </c>
      <c r="Q55" s="106">
        <f t="shared" si="23"/>
        <v>53</v>
      </c>
      <c r="R55" s="107"/>
      <c r="S55" s="107"/>
      <c r="T55" s="107"/>
      <c r="U55" s="107"/>
      <c r="V55" s="107"/>
      <c r="W55" s="107"/>
      <c r="X55" s="107"/>
      <c r="Y55" s="100"/>
      <c r="Z55" s="104"/>
    </row>
    <row r="56" spans="1:26" s="111" customFormat="1" ht="15.75">
      <c r="A56" s="79"/>
      <c r="B56" s="108"/>
      <c r="C56" s="109">
        <f aca="true" t="shared" si="24" ref="C56:W56">C24</f>
        <v>2007</v>
      </c>
      <c r="D56" s="109">
        <f t="shared" si="24"/>
        <v>2008</v>
      </c>
      <c r="E56" s="109">
        <f t="shared" si="24"/>
        <v>2009</v>
      </c>
      <c r="F56" s="109">
        <f t="shared" si="24"/>
        <v>2010</v>
      </c>
      <c r="G56" s="109">
        <f t="shared" si="24"/>
        <v>2011</v>
      </c>
      <c r="H56" s="109">
        <f t="shared" si="24"/>
        <v>2012</v>
      </c>
      <c r="I56" s="109">
        <f t="shared" si="24"/>
        <v>2013</v>
      </c>
      <c r="J56" s="109">
        <f t="shared" si="24"/>
        <v>2014</v>
      </c>
      <c r="K56" s="109">
        <f t="shared" si="24"/>
        <v>2015</v>
      </c>
      <c r="L56" s="109">
        <f t="shared" si="24"/>
        <v>2016</v>
      </c>
      <c r="M56" s="109">
        <f t="shared" si="24"/>
        <v>2017</v>
      </c>
      <c r="N56" s="109">
        <f t="shared" si="24"/>
        <v>2018</v>
      </c>
      <c r="O56" s="109">
        <f t="shared" si="24"/>
        <v>2019</v>
      </c>
      <c r="P56" s="109">
        <f t="shared" si="24"/>
        <v>2020</v>
      </c>
      <c r="Q56" s="109">
        <f t="shared" si="24"/>
        <v>2021</v>
      </c>
      <c r="R56" s="109">
        <f t="shared" si="24"/>
        <v>2022</v>
      </c>
      <c r="S56" s="109">
        <f t="shared" si="24"/>
        <v>2023</v>
      </c>
      <c r="T56" s="109">
        <f t="shared" si="24"/>
        <v>2024</v>
      </c>
      <c r="U56" s="109">
        <f t="shared" si="24"/>
        <v>2025</v>
      </c>
      <c r="V56" s="109">
        <f t="shared" si="24"/>
        <v>2026</v>
      </c>
      <c r="W56" s="109">
        <f t="shared" si="24"/>
        <v>2027</v>
      </c>
      <c r="X56" s="109">
        <f>X24</f>
        <v>2028</v>
      </c>
      <c r="Y56" s="110"/>
      <c r="Z56" s="104"/>
    </row>
    <row r="57" spans="1:26" s="60" customFormat="1" ht="15.75">
      <c r="A57" s="51"/>
      <c r="B57" s="100"/>
      <c r="C57" s="100">
        <f>D14</f>
        <v>20008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4"/>
    </row>
    <row r="58" spans="1:26" s="60" customFormat="1" ht="15.75">
      <c r="A58" s="51"/>
      <c r="B58" s="100" t="s">
        <v>64</v>
      </c>
      <c r="C58" s="100">
        <f>D17</f>
        <v>17006.8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4"/>
    </row>
    <row r="59" spans="1:26" s="60" customFormat="1" ht="15.75">
      <c r="A59" s="51"/>
      <c r="B59" s="100" t="s">
        <v>65</v>
      </c>
      <c r="C59" s="100"/>
      <c r="D59" s="100">
        <f>C58</f>
        <v>17006.8</v>
      </c>
      <c r="E59" s="100">
        <f aca="true" t="shared" si="25" ref="E59:P59">+D63</f>
        <v>16737.644890793563</v>
      </c>
      <c r="F59" s="100">
        <f t="shared" si="25"/>
        <v>15630.401934282581</v>
      </c>
      <c r="G59" s="100">
        <f t="shared" si="25"/>
        <v>14472.485908277964</v>
      </c>
      <c r="H59" s="100">
        <f t="shared" si="25"/>
        <v>13261.5777553797</v>
      </c>
      <c r="I59" s="100">
        <f t="shared" si="25"/>
        <v>11995.25228632566</v>
      </c>
      <c r="J59" s="100">
        <f t="shared" si="25"/>
        <v>10670.973322857766</v>
      </c>
      <c r="K59" s="100">
        <f t="shared" si="25"/>
        <v>9286.088618301012</v>
      </c>
      <c r="L59" s="100">
        <f t="shared" si="25"/>
        <v>7837.824545682337</v>
      </c>
      <c r="M59" s="100">
        <f t="shared" si="25"/>
        <v>6323.280542750811</v>
      </c>
      <c r="N59" s="100">
        <f t="shared" si="25"/>
        <v>4739.423302773683</v>
      </c>
      <c r="O59" s="100">
        <f t="shared" si="25"/>
        <v>3083.080699473708</v>
      </c>
      <c r="P59" s="100">
        <f t="shared" si="25"/>
        <v>1350.9354339407153</v>
      </c>
      <c r="Q59" s="100"/>
      <c r="R59" s="100"/>
      <c r="S59" s="100"/>
      <c r="T59" s="100"/>
      <c r="U59" s="100"/>
      <c r="V59" s="100"/>
      <c r="W59" s="100"/>
      <c r="X59" s="100"/>
      <c r="Y59" s="100"/>
      <c r="Z59" s="104"/>
    </row>
    <row r="60" spans="1:26" s="60" customFormat="1" ht="15.75">
      <c r="A60" s="51"/>
      <c r="B60" s="100" t="s">
        <v>66</v>
      </c>
      <c r="C60" s="100"/>
      <c r="D60" s="100">
        <f>SUM(D61:D62)</f>
        <v>-460.4816092064376</v>
      </c>
      <c r="E60" s="100">
        <f aca="true" t="shared" si="26" ref="E60:P60">SUM(E61:E62)</f>
        <v>-1860.4369765966908</v>
      </c>
      <c r="F60" s="100">
        <f t="shared" si="26"/>
        <v>-1861.2841130473334</v>
      </c>
      <c r="G60" s="100">
        <f t="shared" si="26"/>
        <v>-1862.170018770773</v>
      </c>
      <c r="H60" s="100">
        <f t="shared" si="26"/>
        <v>-1863.0964680461266</v>
      </c>
      <c r="I60" s="100">
        <f t="shared" si="26"/>
        <v>-1864.065316352548</v>
      </c>
      <c r="J60" s="100">
        <f t="shared" si="26"/>
        <v>-1865.0785040853539</v>
      </c>
      <c r="K60" s="100">
        <f t="shared" si="26"/>
        <v>-1866.1380604422206</v>
      </c>
      <c r="L60" s="100">
        <f t="shared" si="26"/>
        <v>-1867.246107487231</v>
      </c>
      <c r="M60" s="100">
        <f t="shared" si="26"/>
        <v>-1868.4048644009154</v>
      </c>
      <c r="N60" s="100">
        <f t="shared" si="26"/>
        <v>-1869.6166519247904</v>
      </c>
      <c r="O60" s="100">
        <f t="shared" si="26"/>
        <v>-1870.8838970093097</v>
      </c>
      <c r="P60" s="100">
        <f t="shared" si="26"/>
        <v>-1411.7275284680866</v>
      </c>
      <c r="Q60" s="100"/>
      <c r="R60" s="100"/>
      <c r="S60" s="100"/>
      <c r="T60" s="100"/>
      <c r="U60" s="100"/>
      <c r="V60" s="100"/>
      <c r="W60" s="100"/>
      <c r="X60" s="100"/>
      <c r="Y60" s="100"/>
      <c r="Z60" s="104"/>
    </row>
    <row r="61" spans="1:26" s="60" customFormat="1" ht="15.75">
      <c r="A61" s="51"/>
      <c r="B61" s="100" t="s">
        <v>67</v>
      </c>
      <c r="C61" s="100"/>
      <c r="D61" s="100">
        <f>-D59*$D$19*D25</f>
        <v>-191.32649999999998</v>
      </c>
      <c r="E61" s="100">
        <f aca="true" t="shared" si="27" ref="E61:P61">-E59*$D$19*E25</f>
        <v>-753.1940200857103</v>
      </c>
      <c r="F61" s="100">
        <f t="shared" si="27"/>
        <v>-703.3680870427162</v>
      </c>
      <c r="G61" s="100">
        <f t="shared" si="27"/>
        <v>-651.2618658725083</v>
      </c>
      <c r="H61" s="100">
        <f t="shared" si="27"/>
        <v>-596.7709989920864</v>
      </c>
      <c r="I61" s="100">
        <f t="shared" si="27"/>
        <v>-539.7863528846547</v>
      </c>
      <c r="J61" s="100">
        <f t="shared" si="27"/>
        <v>-480.19379952859947</v>
      </c>
      <c r="K61" s="100">
        <f t="shared" si="27"/>
        <v>-417.8739878235455</v>
      </c>
      <c r="L61" s="100">
        <f t="shared" si="27"/>
        <v>-352.70210455570515</v>
      </c>
      <c r="M61" s="100">
        <f t="shared" si="27"/>
        <v>-284.5476244237865</v>
      </c>
      <c r="N61" s="100">
        <f t="shared" si="27"/>
        <v>-213.27404862481572</v>
      </c>
      <c r="O61" s="100">
        <f t="shared" si="27"/>
        <v>-138.73863147631687</v>
      </c>
      <c r="P61" s="100">
        <f t="shared" si="27"/>
        <v>-60.79209452733218</v>
      </c>
      <c r="Q61" s="100"/>
      <c r="R61" s="100"/>
      <c r="S61" s="100"/>
      <c r="T61" s="100"/>
      <c r="U61" s="100"/>
      <c r="V61" s="100"/>
      <c r="W61" s="100"/>
      <c r="X61" s="100"/>
      <c r="Y61" s="100"/>
      <c r="Z61" s="104"/>
    </row>
    <row r="62" spans="1:26" s="60" customFormat="1" ht="15.75">
      <c r="A62" s="51"/>
      <c r="B62" s="100" t="s">
        <v>68</v>
      </c>
      <c r="C62" s="100">
        <v>0</v>
      </c>
      <c r="D62" s="100">
        <f>-SUM(IF(OR(D55-3&lt;=0,D55-3&gt;(4*$D$18)),0,PPMT($D$19/4,D55-3,$D$18*4,-$C$58,0)),IF(OR(D55-2&lt;=0,D55-2&gt;(4*$D$18)),0,PPMT($D$19/4,D55-2,$D$18*4,-$C$58,0)),IF(OR(D55-1&lt;=0,D55-1&gt;(4*$D$18)),0,PPMT($D$19/4,D55-1,$D$18*4,-$C$58,0)),IF(OR(D55&lt;=0,D55&gt;(4*$D$18)),0,PPMT($D$19/4,D55,$D$18*4,-$C$58,0)))</f>
        <v>-269.1551092064376</v>
      </c>
      <c r="E62" s="100">
        <f aca="true" t="shared" si="28" ref="E62:P62">-SUM(IF(OR(E55-3&lt;=0,E55-3&gt;(4*$D$18)),0,PPMT($D$19/4,E55-3,$D$18*4,-$C$58,0)),IF(OR(E55-2&lt;=0,E55-2&gt;(4*$D$18)),0,PPMT($D$19/4,E55-2,$D$18*4,-$C$58,0)),IF(OR(E55-1&lt;=0,E55-1&gt;(4*$D$18)),0,PPMT($D$19/4,E55-1,$D$18*4,-$C$58,0)),IF(OR(E55&lt;=0,E55&gt;(4*$D$18)),0,PPMT($D$19/4,E55,$D$18*4,-$C$58,0)))</f>
        <v>-1107.2429565109805</v>
      </c>
      <c r="F62" s="100">
        <f t="shared" si="28"/>
        <v>-1157.9160260046172</v>
      </c>
      <c r="G62" s="100">
        <f t="shared" si="28"/>
        <v>-1210.9081528982647</v>
      </c>
      <c r="H62" s="100">
        <f t="shared" si="28"/>
        <v>-1266.3254690540402</v>
      </c>
      <c r="I62" s="100">
        <f t="shared" si="28"/>
        <v>-1324.2789634678934</v>
      </c>
      <c r="J62" s="100">
        <f t="shared" si="28"/>
        <v>-1384.8847045567543</v>
      </c>
      <c r="K62" s="100">
        <f t="shared" si="28"/>
        <v>-1448.264072618675</v>
      </c>
      <c r="L62" s="100">
        <f t="shared" si="28"/>
        <v>-1514.544002931526</v>
      </c>
      <c r="M62" s="100">
        <f t="shared" si="28"/>
        <v>-1583.8572399771288</v>
      </c>
      <c r="N62" s="100">
        <f t="shared" si="28"/>
        <v>-1656.3426032999746</v>
      </c>
      <c r="O62" s="100">
        <f t="shared" si="28"/>
        <v>-1732.1452655329929</v>
      </c>
      <c r="P62" s="100">
        <f t="shared" si="28"/>
        <v>-1350.9354339407544</v>
      </c>
      <c r="Q62" s="100"/>
      <c r="R62" s="100"/>
      <c r="S62" s="100"/>
      <c r="T62" s="100"/>
      <c r="U62" s="100"/>
      <c r="V62" s="100"/>
      <c r="W62" s="100"/>
      <c r="X62" s="100"/>
      <c r="Y62" s="100"/>
      <c r="Z62" s="104"/>
    </row>
    <row r="63" spans="1:26" s="60" customFormat="1" ht="16.5" thickBot="1">
      <c r="A63" s="51"/>
      <c r="B63" s="100" t="s">
        <v>69</v>
      </c>
      <c r="C63" s="100"/>
      <c r="D63" s="100">
        <f aca="true" t="shared" si="29" ref="D63:P63">+D59+D62</f>
        <v>16737.644890793563</v>
      </c>
      <c r="E63" s="100">
        <f t="shared" si="29"/>
        <v>15630.401934282581</v>
      </c>
      <c r="F63" s="100">
        <f t="shared" si="29"/>
        <v>14472.485908277964</v>
      </c>
      <c r="G63" s="100">
        <f t="shared" si="29"/>
        <v>13261.5777553797</v>
      </c>
      <c r="H63" s="100">
        <f t="shared" si="29"/>
        <v>11995.25228632566</v>
      </c>
      <c r="I63" s="100">
        <f t="shared" si="29"/>
        <v>10670.973322857766</v>
      </c>
      <c r="J63" s="100">
        <f t="shared" si="29"/>
        <v>9286.088618301012</v>
      </c>
      <c r="K63" s="100">
        <f t="shared" si="29"/>
        <v>7837.824545682337</v>
      </c>
      <c r="L63" s="100">
        <f t="shared" si="29"/>
        <v>6323.280542750811</v>
      </c>
      <c r="M63" s="100">
        <f t="shared" si="29"/>
        <v>4739.423302773683</v>
      </c>
      <c r="N63" s="100">
        <f t="shared" si="29"/>
        <v>3083.080699473708</v>
      </c>
      <c r="O63" s="100">
        <f t="shared" si="29"/>
        <v>1350.9354339407153</v>
      </c>
      <c r="P63" s="100">
        <f t="shared" si="29"/>
        <v>-3.9108272176235914E-11</v>
      </c>
      <c r="Q63" s="100"/>
      <c r="R63" s="100"/>
      <c r="S63" s="100"/>
      <c r="T63" s="100"/>
      <c r="U63" s="100"/>
      <c r="V63" s="100"/>
      <c r="W63" s="100"/>
      <c r="X63" s="100"/>
      <c r="Y63" s="100"/>
      <c r="Z63" s="104"/>
    </row>
    <row r="64" spans="1:26" s="117" customFormat="1" ht="16.5" thickBot="1">
      <c r="A64" s="66"/>
      <c r="B64" s="112" t="s">
        <v>70</v>
      </c>
      <c r="C64" s="113"/>
      <c r="D64" s="113">
        <f aca="true" t="shared" si="30" ref="D64:P64">(D52+D46+D69)/-D60</f>
        <v>1.1276808298721213</v>
      </c>
      <c r="E64" s="113">
        <f t="shared" si="30"/>
        <v>1.1152076650857357</v>
      </c>
      <c r="F64" s="113">
        <f t="shared" si="30"/>
        <v>1.087611104295341</v>
      </c>
      <c r="G64" s="113">
        <f t="shared" si="30"/>
        <v>1.0159310685671599</v>
      </c>
      <c r="H64" s="113">
        <f t="shared" si="30"/>
        <v>1.007166005374329</v>
      </c>
      <c r="I64" s="113">
        <f t="shared" si="30"/>
        <v>0.9377809870481926</v>
      </c>
      <c r="J64" s="113">
        <f t="shared" si="30"/>
        <v>0.9283339050864404</v>
      </c>
      <c r="K64" s="113">
        <f t="shared" si="30"/>
        <v>0.9185093609888145</v>
      </c>
      <c r="L64" s="113">
        <f t="shared" si="30"/>
        <v>0.9082923242768657</v>
      </c>
      <c r="M64" s="113">
        <f t="shared" si="30"/>
        <v>0.8976671957409106</v>
      </c>
      <c r="N64" s="113">
        <f t="shared" si="30"/>
        <v>0.8866177894007062</v>
      </c>
      <c r="O64" s="113">
        <f t="shared" si="30"/>
        <v>0.8751273142440766</v>
      </c>
      <c r="P64" s="113">
        <f t="shared" si="30"/>
        <v>1.1447325156909984</v>
      </c>
      <c r="Q64" s="114">
        <f>AVERAGE(D64:P64)</f>
        <v>0.9885121588978225</v>
      </c>
      <c r="R64" s="115"/>
      <c r="S64" s="115"/>
      <c r="T64" s="115"/>
      <c r="U64" s="115"/>
      <c r="V64" s="115"/>
      <c r="W64" s="115"/>
      <c r="X64" s="115"/>
      <c r="Y64" s="116"/>
      <c r="Z64" s="104"/>
    </row>
    <row r="65" spans="1:26" s="118" customFormat="1" ht="15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104"/>
    </row>
    <row r="66" spans="1:26" s="111" customFormat="1" ht="15.75">
      <c r="A66" s="79"/>
      <c r="B66" s="119" t="s">
        <v>71</v>
      </c>
      <c r="C66" s="109">
        <f aca="true" t="shared" si="31" ref="C66:W66">C56</f>
        <v>2007</v>
      </c>
      <c r="D66" s="109">
        <f t="shared" si="31"/>
        <v>2008</v>
      </c>
      <c r="E66" s="109">
        <f t="shared" si="31"/>
        <v>2009</v>
      </c>
      <c r="F66" s="109">
        <f t="shared" si="31"/>
        <v>2010</v>
      </c>
      <c r="G66" s="109">
        <f t="shared" si="31"/>
        <v>2011</v>
      </c>
      <c r="H66" s="109">
        <f t="shared" si="31"/>
        <v>2012</v>
      </c>
      <c r="I66" s="109">
        <f t="shared" si="31"/>
        <v>2013</v>
      </c>
      <c r="J66" s="109">
        <f t="shared" si="31"/>
        <v>2014</v>
      </c>
      <c r="K66" s="109">
        <f t="shared" si="31"/>
        <v>2015</v>
      </c>
      <c r="L66" s="109">
        <f t="shared" si="31"/>
        <v>2016</v>
      </c>
      <c r="M66" s="109">
        <f t="shared" si="31"/>
        <v>2017</v>
      </c>
      <c r="N66" s="109">
        <f t="shared" si="31"/>
        <v>2018</v>
      </c>
      <c r="O66" s="109">
        <f t="shared" si="31"/>
        <v>2019</v>
      </c>
      <c r="P66" s="109">
        <f t="shared" si="31"/>
        <v>2020</v>
      </c>
      <c r="Q66" s="109">
        <f t="shared" si="31"/>
        <v>2021</v>
      </c>
      <c r="R66" s="109">
        <f t="shared" si="31"/>
        <v>2022</v>
      </c>
      <c r="S66" s="109">
        <f t="shared" si="31"/>
        <v>2023</v>
      </c>
      <c r="T66" s="109">
        <f t="shared" si="31"/>
        <v>2024</v>
      </c>
      <c r="U66" s="109">
        <f t="shared" si="31"/>
        <v>2025</v>
      </c>
      <c r="V66" s="109">
        <f t="shared" si="31"/>
        <v>2026</v>
      </c>
      <c r="W66" s="109">
        <f t="shared" si="31"/>
        <v>2027</v>
      </c>
      <c r="X66" s="109">
        <f>X56</f>
        <v>2028</v>
      </c>
      <c r="Y66" s="110"/>
      <c r="Z66" s="104"/>
    </row>
    <row r="67" spans="1:26" s="60" customFormat="1" ht="15.75">
      <c r="A67" s="51"/>
      <c r="B67" s="100" t="s">
        <v>62</v>
      </c>
      <c r="C67" s="100">
        <f>+C52-C29</f>
        <v>0</v>
      </c>
      <c r="D67" s="100">
        <f>+D52-D29</f>
        <v>42.71627189076543</v>
      </c>
      <c r="E67" s="100">
        <f aca="true" t="shared" si="32" ref="E67:L67">+E52-E29+D29</f>
        <v>215.7790226638505</v>
      </c>
      <c r="F67" s="100">
        <f t="shared" si="32"/>
        <v>320.5851825560684</v>
      </c>
      <c r="G67" s="100">
        <f t="shared" si="32"/>
        <v>240.17451115101127</v>
      </c>
      <c r="H67" s="100">
        <f t="shared" si="32"/>
        <v>279.27642835695195</v>
      </c>
      <c r="I67" s="100">
        <f t="shared" si="32"/>
        <v>348.43270468673904</v>
      </c>
      <c r="J67" s="100">
        <f t="shared" si="32"/>
        <v>250.8218114617336</v>
      </c>
      <c r="K67" s="100">
        <f t="shared" si="32"/>
        <v>295.791289590144</v>
      </c>
      <c r="L67" s="100">
        <f t="shared" si="32"/>
        <v>342.90320241080195</v>
      </c>
      <c r="M67" s="100">
        <f>+M52</f>
        <v>392.25813071165936</v>
      </c>
      <c r="N67" s="100">
        <f>+N52-N29+L29</f>
        <v>443.96133433149134</v>
      </c>
      <c r="O67" s="100">
        <f aca="true" t="shared" si="33" ref="O67:X67">+O52-O29+N29</f>
        <v>498.1229685759321</v>
      </c>
      <c r="P67" s="100">
        <f t="shared" si="33"/>
        <v>554.8583106061759</v>
      </c>
      <c r="Q67" s="100">
        <f t="shared" si="33"/>
        <v>597.5552457842539</v>
      </c>
      <c r="R67" s="100">
        <f t="shared" si="33"/>
        <v>590.9707841969285</v>
      </c>
      <c r="S67" s="100">
        <f t="shared" si="33"/>
        <v>584.1887887619832</v>
      </c>
      <c r="T67" s="100">
        <f t="shared" si="33"/>
        <v>577.2033334639898</v>
      </c>
      <c r="U67" s="100">
        <f t="shared" si="33"/>
        <v>570.0083145070568</v>
      </c>
      <c r="V67" s="100">
        <f t="shared" si="33"/>
        <v>562.5974449814155</v>
      </c>
      <c r="W67" s="100">
        <f t="shared" si="33"/>
        <v>554.964249370005</v>
      </c>
      <c r="X67" s="100">
        <f t="shared" si="33"/>
        <v>416.22318702750374</v>
      </c>
      <c r="Y67" s="100"/>
      <c r="Z67" s="104"/>
    </row>
    <row r="68" spans="1:26" s="60" customFormat="1" ht="15.75">
      <c r="A68" s="51"/>
      <c r="B68" s="100" t="s">
        <v>72</v>
      </c>
      <c r="C68" s="100">
        <f aca="true" t="shared" si="34" ref="C68:W68">C62</f>
        <v>0</v>
      </c>
      <c r="D68" s="100">
        <f t="shared" si="34"/>
        <v>-269.1551092064376</v>
      </c>
      <c r="E68" s="100">
        <f t="shared" si="34"/>
        <v>-1107.2429565109805</v>
      </c>
      <c r="F68" s="100">
        <f t="shared" si="34"/>
        <v>-1157.9160260046172</v>
      </c>
      <c r="G68" s="100">
        <f t="shared" si="34"/>
        <v>-1210.9081528982647</v>
      </c>
      <c r="H68" s="100">
        <f t="shared" si="34"/>
        <v>-1266.3254690540402</v>
      </c>
      <c r="I68" s="100">
        <f t="shared" si="34"/>
        <v>-1324.2789634678934</v>
      </c>
      <c r="J68" s="100">
        <f t="shared" si="34"/>
        <v>-1384.8847045567543</v>
      </c>
      <c r="K68" s="100">
        <f t="shared" si="34"/>
        <v>-1448.264072618675</v>
      </c>
      <c r="L68" s="100">
        <f t="shared" si="34"/>
        <v>-1514.544002931526</v>
      </c>
      <c r="M68" s="100">
        <f t="shared" si="34"/>
        <v>-1583.8572399771288</v>
      </c>
      <c r="N68" s="100">
        <f t="shared" si="34"/>
        <v>-1656.3426032999746</v>
      </c>
      <c r="O68" s="100">
        <f t="shared" si="34"/>
        <v>-1732.1452655329929</v>
      </c>
      <c r="P68" s="100">
        <f t="shared" si="34"/>
        <v>-1350.9354339407544</v>
      </c>
      <c r="Q68" s="100">
        <f t="shared" si="34"/>
        <v>0</v>
      </c>
      <c r="R68" s="100">
        <f t="shared" si="34"/>
        <v>0</v>
      </c>
      <c r="S68" s="100">
        <f t="shared" si="34"/>
        <v>0</v>
      </c>
      <c r="T68" s="100">
        <f t="shared" si="34"/>
        <v>0</v>
      </c>
      <c r="U68" s="100">
        <f t="shared" si="34"/>
        <v>0</v>
      </c>
      <c r="V68" s="100">
        <f t="shared" si="34"/>
        <v>0</v>
      </c>
      <c r="W68" s="100">
        <f t="shared" si="34"/>
        <v>0</v>
      </c>
      <c r="X68" s="100">
        <f>X62</f>
        <v>0</v>
      </c>
      <c r="Y68" s="100"/>
      <c r="Z68" s="104"/>
    </row>
    <row r="69" spans="1:26" s="60" customFormat="1" ht="15.75">
      <c r="A69" s="51"/>
      <c r="B69" s="100" t="s">
        <v>58</v>
      </c>
      <c r="C69" s="100">
        <f aca="true" t="shared" si="35" ref="C69:W69">C44</f>
        <v>0</v>
      </c>
      <c r="D69" s="100">
        <f t="shared" si="35"/>
        <v>250.10000000000002</v>
      </c>
      <c r="E69" s="100">
        <f t="shared" si="35"/>
        <v>1000.4000000000001</v>
      </c>
      <c r="F69" s="100">
        <f t="shared" si="35"/>
        <v>1000.4000000000001</v>
      </c>
      <c r="G69" s="100">
        <f t="shared" si="35"/>
        <v>1000.4000000000001</v>
      </c>
      <c r="H69" s="100">
        <f t="shared" si="35"/>
        <v>1000.4000000000001</v>
      </c>
      <c r="I69" s="100">
        <f t="shared" si="35"/>
        <v>1000.4000000000001</v>
      </c>
      <c r="J69" s="100">
        <f t="shared" si="35"/>
        <v>1000.4000000000001</v>
      </c>
      <c r="K69" s="100">
        <f t="shared" si="35"/>
        <v>1000.4000000000001</v>
      </c>
      <c r="L69" s="100">
        <f t="shared" si="35"/>
        <v>1000.4000000000001</v>
      </c>
      <c r="M69" s="100">
        <f t="shared" si="35"/>
        <v>1000.4000000000001</v>
      </c>
      <c r="N69" s="100">
        <f t="shared" si="35"/>
        <v>1000.4000000000001</v>
      </c>
      <c r="O69" s="100">
        <f t="shared" si="35"/>
        <v>1000.4000000000001</v>
      </c>
      <c r="P69" s="100">
        <f t="shared" si="35"/>
        <v>1000.4000000000001</v>
      </c>
      <c r="Q69" s="100">
        <f t="shared" si="35"/>
        <v>1000.4000000000001</v>
      </c>
      <c r="R69" s="100">
        <f t="shared" si="35"/>
        <v>1000.4000000000001</v>
      </c>
      <c r="S69" s="100">
        <f t="shared" si="35"/>
        <v>1000.4000000000001</v>
      </c>
      <c r="T69" s="100">
        <f t="shared" si="35"/>
        <v>1000.4000000000001</v>
      </c>
      <c r="U69" s="100">
        <f t="shared" si="35"/>
        <v>1000.4000000000001</v>
      </c>
      <c r="V69" s="100">
        <f t="shared" si="35"/>
        <v>1000.4000000000001</v>
      </c>
      <c r="W69" s="100">
        <f t="shared" si="35"/>
        <v>1000.4000000000001</v>
      </c>
      <c r="X69" s="100">
        <f>X44</f>
        <v>750.3000000000001</v>
      </c>
      <c r="Y69" s="100"/>
      <c r="Z69" s="104"/>
    </row>
    <row r="70" spans="1:26" s="60" customFormat="1" ht="15.75">
      <c r="A70" s="51"/>
      <c r="B70" s="100" t="s">
        <v>73</v>
      </c>
      <c r="C70" s="100">
        <f>-D16*0.5</f>
        <v>-1500.6</v>
      </c>
      <c r="D70" s="100">
        <f>-D16*0.5+D67+D68+D69</f>
        <v>-1476.9388373156721</v>
      </c>
      <c r="E70" s="100">
        <f aca="true" t="shared" si="36" ref="E70:X70">+E67+E68+E69</f>
        <v>108.93606615287001</v>
      </c>
      <c r="F70" s="100">
        <f t="shared" si="36"/>
        <v>163.06915655145133</v>
      </c>
      <c r="G70" s="100">
        <f t="shared" si="36"/>
        <v>29.666358252746704</v>
      </c>
      <c r="H70" s="100">
        <f t="shared" si="36"/>
        <v>13.35095930291186</v>
      </c>
      <c r="I70" s="100">
        <f t="shared" si="36"/>
        <v>24.553741218845744</v>
      </c>
      <c r="J70" s="100">
        <f t="shared" si="36"/>
        <v>-133.66289309502054</v>
      </c>
      <c r="K70" s="100">
        <f t="shared" si="36"/>
        <v>-152.07278302853092</v>
      </c>
      <c r="L70" s="100">
        <f t="shared" si="36"/>
        <v>-171.24080052072395</v>
      </c>
      <c r="M70" s="100">
        <f t="shared" si="36"/>
        <v>-191.19910926546936</v>
      </c>
      <c r="N70" s="100">
        <f t="shared" si="36"/>
        <v>-211.98126896848316</v>
      </c>
      <c r="O70" s="100">
        <f t="shared" si="36"/>
        <v>-233.62229695706083</v>
      </c>
      <c r="P70" s="100">
        <f t="shared" si="36"/>
        <v>204.32287666542163</v>
      </c>
      <c r="Q70" s="100">
        <f t="shared" si="36"/>
        <v>1597.955245784254</v>
      </c>
      <c r="R70" s="100">
        <f t="shared" si="36"/>
        <v>1591.3707841969285</v>
      </c>
      <c r="S70" s="100">
        <f t="shared" si="36"/>
        <v>1584.5887887619833</v>
      </c>
      <c r="T70" s="100">
        <f t="shared" si="36"/>
        <v>1577.6033334639899</v>
      </c>
      <c r="U70" s="100">
        <f t="shared" si="36"/>
        <v>1570.4083145070567</v>
      </c>
      <c r="V70" s="100">
        <f t="shared" si="36"/>
        <v>1562.9974449814156</v>
      </c>
      <c r="W70" s="100">
        <f t="shared" si="36"/>
        <v>1555.364249370005</v>
      </c>
      <c r="X70" s="100">
        <f t="shared" si="36"/>
        <v>1166.5231870275038</v>
      </c>
      <c r="Y70" s="100"/>
      <c r="Z70" s="104"/>
    </row>
    <row r="71" spans="1:26" s="60" customFormat="1" ht="16.5" thickBot="1">
      <c r="A71" s="51"/>
      <c r="B71" s="103" t="s">
        <v>74</v>
      </c>
      <c r="C71" s="103">
        <f>+C70</f>
        <v>-1500.6</v>
      </c>
      <c r="D71" s="103">
        <f aca="true" t="shared" si="37" ref="D71:J71">C71+D70</f>
        <v>-2977.538837315672</v>
      </c>
      <c r="E71" s="103">
        <f t="shared" si="37"/>
        <v>-2868.602771162802</v>
      </c>
      <c r="F71" s="103">
        <f t="shared" si="37"/>
        <v>-2705.533614611351</v>
      </c>
      <c r="G71" s="103">
        <f t="shared" si="37"/>
        <v>-2675.867256358604</v>
      </c>
      <c r="H71" s="103">
        <f t="shared" si="37"/>
        <v>-2662.516297055692</v>
      </c>
      <c r="I71" s="103">
        <f t="shared" si="37"/>
        <v>-2637.962555836846</v>
      </c>
      <c r="J71" s="103">
        <f t="shared" si="37"/>
        <v>-2771.6254489318667</v>
      </c>
      <c r="K71" s="103">
        <f aca="true" t="shared" si="38" ref="K71:X71">J71+K70</f>
        <v>-2923.6982319603976</v>
      </c>
      <c r="L71" s="103">
        <f t="shared" si="38"/>
        <v>-3094.9390324811216</v>
      </c>
      <c r="M71" s="103">
        <f t="shared" si="38"/>
        <v>-3286.138141746591</v>
      </c>
      <c r="N71" s="103">
        <f t="shared" si="38"/>
        <v>-3498.119410715074</v>
      </c>
      <c r="O71" s="103">
        <f t="shared" si="38"/>
        <v>-3731.741707672135</v>
      </c>
      <c r="P71" s="103">
        <f t="shared" si="38"/>
        <v>-3527.4188310067134</v>
      </c>
      <c r="Q71" s="103">
        <f t="shared" si="38"/>
        <v>-1929.4635852224594</v>
      </c>
      <c r="R71" s="103">
        <f t="shared" si="38"/>
        <v>-338.0928010255309</v>
      </c>
      <c r="S71" s="103">
        <f t="shared" si="38"/>
        <v>1246.4959877364524</v>
      </c>
      <c r="T71" s="103">
        <f t="shared" si="38"/>
        <v>2824.0993212004423</v>
      </c>
      <c r="U71" s="103">
        <f t="shared" si="38"/>
        <v>4394.5076357074995</v>
      </c>
      <c r="V71" s="103">
        <f t="shared" si="38"/>
        <v>5957.505080688915</v>
      </c>
      <c r="W71" s="103">
        <f t="shared" si="38"/>
        <v>7512.86933005892</v>
      </c>
      <c r="X71" s="103">
        <f t="shared" si="38"/>
        <v>8679.392517086424</v>
      </c>
      <c r="Y71" s="100"/>
      <c r="Z71" s="104"/>
    </row>
    <row r="72" spans="1:25" s="81" customFormat="1" ht="15.75">
      <c r="A72" s="4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2:23" ht="15" customHeight="1" hidden="1">
      <c r="B73" s="121" t="s">
        <v>75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</row>
    <row r="74" spans="1:25" s="117" customFormat="1" ht="15" customHeight="1" hidden="1">
      <c r="A74" s="66"/>
      <c r="B74" s="124" t="s">
        <v>76</v>
      </c>
      <c r="C74" s="122"/>
      <c r="D74" s="107">
        <f>-D16</f>
        <v>-3001.2</v>
      </c>
      <c r="E74" s="107">
        <f aca="true" t="shared" si="39" ref="E74:W74">MIN((E67-E77),E70)*(1-E75)</f>
        <v>-1251.271854235741</v>
      </c>
      <c r="F74" s="107">
        <f t="shared" si="39"/>
        <v>-1177.7714304152248</v>
      </c>
      <c r="G74" s="107">
        <f t="shared" si="39"/>
        <v>-1234.163329842148</v>
      </c>
      <c r="H74" s="107">
        <f t="shared" si="39"/>
        <v>-1206.7412060873323</v>
      </c>
      <c r="I74" s="107">
        <f t="shared" si="39"/>
        <v>-1158.2419993105987</v>
      </c>
      <c r="J74" s="107">
        <f t="shared" si="39"/>
        <v>-1226.696391961901</v>
      </c>
      <c r="K74" s="107">
        <f t="shared" si="39"/>
        <v>-1195.1593553523664</v>
      </c>
      <c r="L74" s="107">
        <f t="shared" si="39"/>
        <v>-1162.1198320755416</v>
      </c>
      <c r="M74" s="107">
        <f t="shared" si="39"/>
        <v>-1127.5072849554597</v>
      </c>
      <c r="N74" s="107">
        <f t="shared" si="39"/>
        <v>-1091.2478954038893</v>
      </c>
      <c r="O74" s="107">
        <f t="shared" si="39"/>
        <v>-1053.2644116480476</v>
      </c>
      <c r="P74" s="107">
        <f t="shared" si="39"/>
        <v>-1013.4759899645</v>
      </c>
      <c r="Q74" s="107">
        <f t="shared" si="39"/>
        <v>-983.5326847746791</v>
      </c>
      <c r="R74" s="107">
        <f t="shared" si="39"/>
        <v>-988.1503591346217</v>
      </c>
      <c r="S74" s="107">
        <f t="shared" si="39"/>
        <v>-992.9065637253624</v>
      </c>
      <c r="T74" s="107">
        <f t="shared" si="39"/>
        <v>-997.8054544538254</v>
      </c>
      <c r="U74" s="107">
        <f t="shared" si="39"/>
        <v>-1002.8513119041421</v>
      </c>
      <c r="V74" s="107">
        <f t="shared" si="39"/>
        <v>-1008.0485450779684</v>
      </c>
      <c r="W74" s="107">
        <f t="shared" si="39"/>
        <v>-1013.4016952470096</v>
      </c>
      <c r="X74" s="116"/>
      <c r="Y74" s="116"/>
    </row>
    <row r="75" spans="1:25" s="117" customFormat="1" ht="15" customHeight="1" hidden="1">
      <c r="A75" s="66"/>
      <c r="B75" s="124" t="s">
        <v>77</v>
      </c>
      <c r="C75" s="124"/>
      <c r="D75" s="124">
        <f>24/76</f>
        <v>0.3157894736842105</v>
      </c>
      <c r="E75" s="124">
        <f>23/77</f>
        <v>0.2987012987012987</v>
      </c>
      <c r="F75" s="124">
        <f aca="true" t="shared" si="40" ref="F75:W75">E75</f>
        <v>0.2987012987012987</v>
      </c>
      <c r="G75" s="124">
        <f t="shared" si="40"/>
        <v>0.2987012987012987</v>
      </c>
      <c r="H75" s="124">
        <f t="shared" si="40"/>
        <v>0.2987012987012987</v>
      </c>
      <c r="I75" s="124">
        <f t="shared" si="40"/>
        <v>0.2987012987012987</v>
      </c>
      <c r="J75" s="124">
        <f t="shared" si="40"/>
        <v>0.2987012987012987</v>
      </c>
      <c r="K75" s="124">
        <f t="shared" si="40"/>
        <v>0.2987012987012987</v>
      </c>
      <c r="L75" s="124">
        <f t="shared" si="40"/>
        <v>0.2987012987012987</v>
      </c>
      <c r="M75" s="124">
        <f t="shared" si="40"/>
        <v>0.2987012987012987</v>
      </c>
      <c r="N75" s="124">
        <f t="shared" si="40"/>
        <v>0.2987012987012987</v>
      </c>
      <c r="O75" s="124">
        <f t="shared" si="40"/>
        <v>0.2987012987012987</v>
      </c>
      <c r="P75" s="124">
        <f t="shared" si="40"/>
        <v>0.2987012987012987</v>
      </c>
      <c r="Q75" s="124">
        <f t="shared" si="40"/>
        <v>0.2987012987012987</v>
      </c>
      <c r="R75" s="124">
        <f t="shared" si="40"/>
        <v>0.2987012987012987</v>
      </c>
      <c r="S75" s="124">
        <f t="shared" si="40"/>
        <v>0.2987012987012987</v>
      </c>
      <c r="T75" s="124">
        <f t="shared" si="40"/>
        <v>0.2987012987012987</v>
      </c>
      <c r="U75" s="124">
        <f t="shared" si="40"/>
        <v>0.2987012987012987</v>
      </c>
      <c r="V75" s="124">
        <f t="shared" si="40"/>
        <v>0.2987012987012987</v>
      </c>
      <c r="W75" s="124">
        <f t="shared" si="40"/>
        <v>0.2987012987012987</v>
      </c>
      <c r="X75" s="116"/>
      <c r="Y75" s="116"/>
    </row>
    <row r="76" spans="1:25" s="117" customFormat="1" ht="15" customHeight="1" hidden="1">
      <c r="A76" s="66"/>
      <c r="B76" s="124" t="s">
        <v>78</v>
      </c>
      <c r="C76" s="124"/>
      <c r="D76" s="124"/>
      <c r="E76" s="107">
        <f aca="true" t="shared" si="41" ref="E76:W76">(E71-E77)*E75</f>
        <v>-1454.2579706070708</v>
      </c>
      <c r="F76" s="107">
        <f t="shared" si="41"/>
        <v>-1405.549001767027</v>
      </c>
      <c r="G76" s="107">
        <f t="shared" si="41"/>
        <v>-1396.6876220291933</v>
      </c>
      <c r="H76" s="107">
        <f t="shared" si="41"/>
        <v>-1392.6996731465053</v>
      </c>
      <c r="I76" s="107">
        <f t="shared" si="41"/>
        <v>-1385.3654387564604</v>
      </c>
      <c r="J76" s="107">
        <f t="shared" si="41"/>
        <v>-1425.2907185121162</v>
      </c>
      <c r="K76" s="107">
        <f t="shared" si="41"/>
        <v>-1470.715056299859</v>
      </c>
      <c r="L76" s="107">
        <f t="shared" si="41"/>
        <v>-1521.8649058060491</v>
      </c>
      <c r="M76" s="107">
        <f t="shared" si="41"/>
        <v>-1578.9763280541765</v>
      </c>
      <c r="N76" s="107">
        <f t="shared" si="41"/>
        <v>-1642.2954083954116</v>
      </c>
      <c r="O76" s="107">
        <f t="shared" si="41"/>
        <v>-1712.078691902066</v>
      </c>
      <c r="P76" s="107">
        <f t="shared" si="41"/>
        <v>-1651.0471832877195</v>
      </c>
      <c r="Q76" s="107">
        <f t="shared" si="41"/>
        <v>-1173.73587610541</v>
      </c>
      <c r="R76" s="107">
        <f t="shared" si="41"/>
        <v>-698.3913561504833</v>
      </c>
      <c r="S76" s="107">
        <f t="shared" si="41"/>
        <v>-225.07262703976096</v>
      </c>
      <c r="T76" s="107">
        <f t="shared" si="41"/>
        <v>246.1595375014308</v>
      </c>
      <c r="U76" s="107">
        <f t="shared" si="41"/>
        <v>715.2425405360063</v>
      </c>
      <c r="V76" s="107">
        <f t="shared" si="41"/>
        <v>1182.1119072187666</v>
      </c>
      <c r="W76" s="107">
        <f t="shared" si="41"/>
        <v>1646.7012284591578</v>
      </c>
      <c r="X76" s="116"/>
      <c r="Y76" s="116"/>
    </row>
    <row r="77" spans="1:25" s="117" customFormat="1" ht="15" customHeight="1" hidden="1">
      <c r="A77" s="66"/>
      <c r="B77" s="124" t="s">
        <v>79</v>
      </c>
      <c r="C77" s="124"/>
      <c r="D77" s="124"/>
      <c r="E77" s="107">
        <v>2000</v>
      </c>
      <c r="F77" s="107">
        <f aca="true" t="shared" si="42" ref="F77:W77">E77</f>
        <v>2000</v>
      </c>
      <c r="G77" s="107">
        <f t="shared" si="42"/>
        <v>2000</v>
      </c>
      <c r="H77" s="107">
        <f t="shared" si="42"/>
        <v>2000</v>
      </c>
      <c r="I77" s="107">
        <f t="shared" si="42"/>
        <v>2000</v>
      </c>
      <c r="J77" s="107">
        <f t="shared" si="42"/>
        <v>2000</v>
      </c>
      <c r="K77" s="107">
        <f t="shared" si="42"/>
        <v>2000</v>
      </c>
      <c r="L77" s="107">
        <f t="shared" si="42"/>
        <v>2000</v>
      </c>
      <c r="M77" s="107">
        <f t="shared" si="42"/>
        <v>2000</v>
      </c>
      <c r="N77" s="107">
        <f t="shared" si="42"/>
        <v>2000</v>
      </c>
      <c r="O77" s="107">
        <f t="shared" si="42"/>
        <v>2000</v>
      </c>
      <c r="P77" s="107">
        <f t="shared" si="42"/>
        <v>2000</v>
      </c>
      <c r="Q77" s="107">
        <f t="shared" si="42"/>
        <v>2000</v>
      </c>
      <c r="R77" s="107">
        <f t="shared" si="42"/>
        <v>2000</v>
      </c>
      <c r="S77" s="107">
        <f t="shared" si="42"/>
        <v>2000</v>
      </c>
      <c r="T77" s="107">
        <f t="shared" si="42"/>
        <v>2000</v>
      </c>
      <c r="U77" s="107">
        <f t="shared" si="42"/>
        <v>2000</v>
      </c>
      <c r="V77" s="107">
        <f t="shared" si="42"/>
        <v>2000</v>
      </c>
      <c r="W77" s="107">
        <f t="shared" si="42"/>
        <v>2000</v>
      </c>
      <c r="X77" s="116"/>
      <c r="Y77" s="116"/>
    </row>
    <row r="78" spans="1:25" s="130" customFormat="1" ht="12.75" customHeight="1" hidden="1">
      <c r="A78" s="125"/>
      <c r="B78" s="126" t="s">
        <v>80</v>
      </c>
      <c r="C78" s="127"/>
      <c r="D78" s="126"/>
      <c r="E78" s="128">
        <f aca="true" t="shared" si="43" ref="E78:W78">E71-E74-E76</f>
        <v>-163.07294631999025</v>
      </c>
      <c r="F78" s="128">
        <f t="shared" si="43"/>
        <v>-122.2131824290991</v>
      </c>
      <c r="G78" s="128">
        <f t="shared" si="43"/>
        <v>-45.016304487262914</v>
      </c>
      <c r="H78" s="128">
        <f t="shared" si="43"/>
        <v>-63.075417821854444</v>
      </c>
      <c r="I78" s="128">
        <f t="shared" si="43"/>
        <v>-94.35511776978706</v>
      </c>
      <c r="J78" s="128">
        <f t="shared" si="43"/>
        <v>-119.63833845784939</v>
      </c>
      <c r="K78" s="128">
        <f t="shared" si="43"/>
        <v>-257.8238203081721</v>
      </c>
      <c r="L78" s="128">
        <f t="shared" si="43"/>
        <v>-410.95429459953084</v>
      </c>
      <c r="M78" s="128">
        <f t="shared" si="43"/>
        <v>-579.6545287369545</v>
      </c>
      <c r="N78" s="128">
        <f t="shared" si="43"/>
        <v>-764.5761069157732</v>
      </c>
      <c r="O78" s="128">
        <f t="shared" si="43"/>
        <v>-966.398604122021</v>
      </c>
      <c r="P78" s="128">
        <f t="shared" si="43"/>
        <v>-862.8956577544939</v>
      </c>
      <c r="Q78" s="128">
        <f t="shared" si="43"/>
        <v>227.8049756576296</v>
      </c>
      <c r="R78" s="128">
        <f t="shared" si="43"/>
        <v>1348.448914259574</v>
      </c>
      <c r="S78" s="128">
        <f t="shared" si="43"/>
        <v>2464.4751785015756</v>
      </c>
      <c r="T78" s="128">
        <f t="shared" si="43"/>
        <v>3575.745238152837</v>
      </c>
      <c r="U78" s="128">
        <f t="shared" si="43"/>
        <v>4682.116407075635</v>
      </c>
      <c r="V78" s="128">
        <f t="shared" si="43"/>
        <v>5783.441718548116</v>
      </c>
      <c r="W78" s="128">
        <f t="shared" si="43"/>
        <v>6879.569796846772</v>
      </c>
      <c r="X78" s="129"/>
      <c r="Y78" s="126"/>
    </row>
    <row r="79" spans="1:25" s="117" customFormat="1" ht="15" customHeight="1" hidden="1">
      <c r="A79" s="66"/>
      <c r="B79" s="124" t="s">
        <v>81</v>
      </c>
      <c r="C79" s="131" t="e">
        <f>IRR(D74:W74)</f>
        <v>#DIV/0!</v>
      </c>
      <c r="D79" s="12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16"/>
      <c r="Y79" s="116"/>
    </row>
    <row r="80" ht="14.25" customHeight="1" hidden="1"/>
    <row r="81" spans="3:25" ht="14.25" customHeight="1" hidden="1">
      <c r="C81" s="132" t="s">
        <v>82</v>
      </c>
      <c r="X81" s="133"/>
      <c r="Y81" s="133"/>
    </row>
    <row r="82" spans="1:25" s="135" customFormat="1" ht="14.25" customHeight="1" hidden="1">
      <c r="A82" s="134"/>
      <c r="B82" s="135" t="s">
        <v>83</v>
      </c>
      <c r="C82" s="136" t="e">
        <f>AVERAGE(D82:W82)</f>
        <v>#REF!</v>
      </c>
      <c r="D82" s="135" t="e">
        <f>D52/-#REF!</f>
        <v>#REF!</v>
      </c>
      <c r="E82" s="135" t="e">
        <f>E52/-#REF!</f>
        <v>#REF!</v>
      </c>
      <c r="F82" s="135" t="e">
        <f>F52/-#REF!</f>
        <v>#REF!</v>
      </c>
      <c r="G82" s="135" t="e">
        <f>G52/-#REF!</f>
        <v>#REF!</v>
      </c>
      <c r="H82" s="135" t="e">
        <f>H52/-#REF!</f>
        <v>#REF!</v>
      </c>
      <c r="I82" s="135" t="e">
        <f>I52/-#REF!</f>
        <v>#REF!</v>
      </c>
      <c r="J82" s="135" t="e">
        <f>J52/-#REF!</f>
        <v>#REF!</v>
      </c>
      <c r="K82" s="135" t="e">
        <f>K52/-#REF!</f>
        <v>#REF!</v>
      </c>
      <c r="L82" s="135" t="e">
        <f>L52/-#REF!</f>
        <v>#REF!</v>
      </c>
      <c r="M82" s="135" t="e">
        <f>M52/-#REF!</f>
        <v>#REF!</v>
      </c>
      <c r="N82" s="135" t="e">
        <f>N52/-#REF!</f>
        <v>#REF!</v>
      </c>
      <c r="O82" s="135" t="e">
        <f>O52/-#REF!</f>
        <v>#REF!</v>
      </c>
      <c r="P82" s="135" t="e">
        <f>P52/-#REF!</f>
        <v>#REF!</v>
      </c>
      <c r="Q82" s="135" t="e">
        <f>Q52/-#REF!</f>
        <v>#REF!</v>
      </c>
      <c r="R82" s="135" t="e">
        <f>R52/-#REF!</f>
        <v>#REF!</v>
      </c>
      <c r="S82" s="135" t="e">
        <f>S52/-#REF!</f>
        <v>#REF!</v>
      </c>
      <c r="T82" s="135" t="e">
        <f>T52/-#REF!</f>
        <v>#REF!</v>
      </c>
      <c r="U82" s="135" t="e">
        <f>U52/-#REF!</f>
        <v>#REF!</v>
      </c>
      <c r="V82" s="135" t="e">
        <f>V52/-#REF!</f>
        <v>#REF!</v>
      </c>
      <c r="W82" s="135" t="e">
        <f>W52/-#REF!</f>
        <v>#REF!</v>
      </c>
      <c r="X82" s="137"/>
      <c r="Y82" s="137"/>
    </row>
    <row r="83" spans="1:25" s="135" customFormat="1" ht="14.25" customHeight="1" hidden="1">
      <c r="A83" s="134"/>
      <c r="B83" s="135" t="s">
        <v>84</v>
      </c>
      <c r="C83" s="138">
        <f>AVERAGE(D83:W83)</f>
        <v>0.02064966345976349</v>
      </c>
      <c r="D83" s="135">
        <f aca="true" t="shared" si="44" ref="D83:W83">D52/$D12</f>
        <v>0.0038909327874233016</v>
      </c>
      <c r="E83" s="135">
        <f t="shared" si="44"/>
        <v>0.016052556808469138</v>
      </c>
      <c r="F83" s="135">
        <f t="shared" si="44"/>
        <v>0.016022849987808296</v>
      </c>
      <c r="G83" s="135">
        <f t="shared" si="44"/>
        <v>0.012003923987955382</v>
      </c>
      <c r="H83" s="135">
        <f t="shared" si="44"/>
        <v>0.013958238122598558</v>
      </c>
      <c r="I83" s="135">
        <f t="shared" si="44"/>
        <v>0.010390776659673084</v>
      </c>
      <c r="J83" s="135">
        <f t="shared" si="44"/>
        <v>0.012536076142629629</v>
      </c>
      <c r="K83" s="135">
        <f t="shared" si="44"/>
        <v>0.01478365101909956</v>
      </c>
      <c r="L83" s="135">
        <f t="shared" si="44"/>
        <v>0.01713830479862065</v>
      </c>
      <c r="M83" s="135">
        <f t="shared" si="44"/>
        <v>0.019605064509779058</v>
      </c>
      <c r="N83" s="135">
        <f t="shared" si="44"/>
        <v>0.022189191040158505</v>
      </c>
      <c r="O83" s="135">
        <f t="shared" si="44"/>
        <v>0.02489618995281548</v>
      </c>
      <c r="P83" s="135">
        <f t="shared" si="44"/>
        <v>0.02773182280118832</v>
      </c>
      <c r="Q83" s="135">
        <f t="shared" si="44"/>
        <v>0.029865815962827565</v>
      </c>
      <c r="R83" s="135">
        <f t="shared" si="44"/>
        <v>0.029536724520038412</v>
      </c>
      <c r="S83" s="135">
        <f t="shared" si="44"/>
        <v>0.029197760333965577</v>
      </c>
      <c r="T83" s="135">
        <f t="shared" si="44"/>
        <v>0.028848627222310564</v>
      </c>
      <c r="U83" s="135">
        <f t="shared" si="44"/>
        <v>0.028489020117305915</v>
      </c>
      <c r="V83" s="135">
        <f t="shared" si="44"/>
        <v>0.028118624799151115</v>
      </c>
      <c r="W83" s="135">
        <f t="shared" si="44"/>
        <v>0.027737117621451667</v>
      </c>
      <c r="X83" s="137"/>
      <c r="Y83" s="137"/>
    </row>
    <row r="84" spans="24:25" ht="14.25" customHeight="1" hidden="1">
      <c r="X84" s="133"/>
      <c r="Y84" s="133"/>
    </row>
    <row r="85" spans="24:25" ht="15">
      <c r="X85" s="133"/>
      <c r="Y85" s="133"/>
    </row>
    <row r="86" spans="24:25" ht="15">
      <c r="X86" s="133"/>
      <c r="Y86" s="133"/>
    </row>
    <row r="87" spans="24:25" ht="15">
      <c r="X87" s="133"/>
      <c r="Y87" s="133"/>
    </row>
    <row r="88" spans="24:25" ht="15">
      <c r="X88" s="133"/>
      <c r="Y88" s="133"/>
    </row>
    <row r="89" spans="24:25" ht="15">
      <c r="X89" s="133"/>
      <c r="Y89" s="133"/>
    </row>
    <row r="90" spans="24:25" ht="15">
      <c r="X90" s="133"/>
      <c r="Y90" s="133"/>
    </row>
    <row r="91" spans="24:25" ht="15">
      <c r="X91" s="133"/>
      <c r="Y91" s="133"/>
    </row>
    <row r="92" spans="24:25" ht="15">
      <c r="X92" s="133"/>
      <c r="Y92" s="133"/>
    </row>
    <row r="93" spans="8:25" ht="15">
      <c r="H93" s="139"/>
      <c r="I93" s="139"/>
      <c r="J93" s="139"/>
      <c r="X93" s="133"/>
      <c r="Y93" s="133"/>
    </row>
    <row r="94" spans="24:25" ht="15">
      <c r="X94" s="133"/>
      <c r="Y94" s="133"/>
    </row>
    <row r="95" spans="24:25" ht="15">
      <c r="X95" s="133"/>
      <c r="Y95" s="133"/>
    </row>
    <row r="96" spans="10:25" ht="15">
      <c r="J96" s="139"/>
      <c r="X96" s="133"/>
      <c r="Y96" s="133"/>
    </row>
    <row r="97" spans="24:25" ht="15">
      <c r="X97" s="133"/>
      <c r="Y97" s="133"/>
    </row>
    <row r="98" spans="24:25" ht="15">
      <c r="X98" s="133"/>
      <c r="Y98" s="133"/>
    </row>
    <row r="99" spans="24:25" ht="15">
      <c r="X99" s="133"/>
      <c r="Y99" s="133"/>
    </row>
    <row r="100" spans="24:25" ht="15">
      <c r="X100" s="133"/>
      <c r="Y100" s="133"/>
    </row>
    <row r="101" spans="24:25" ht="15">
      <c r="X101" s="133"/>
      <c r="Y101" s="133"/>
    </row>
    <row r="102" spans="24:25" ht="15">
      <c r="X102" s="133"/>
      <c r="Y102" s="133"/>
    </row>
    <row r="103" spans="24:25" ht="15">
      <c r="X103" s="133"/>
      <c r="Y103" s="133"/>
    </row>
    <row r="104" spans="24:25" ht="15">
      <c r="X104" s="133"/>
      <c r="Y104" s="133"/>
    </row>
    <row r="105" spans="24:25" ht="15">
      <c r="X105" s="133"/>
      <c r="Y105" s="133"/>
    </row>
    <row r="106" spans="24:25" ht="15">
      <c r="X106" s="133"/>
      <c r="Y106" s="133"/>
    </row>
    <row r="107" spans="24:25" ht="15">
      <c r="X107" s="133"/>
      <c r="Y107" s="133"/>
    </row>
    <row r="108" spans="24:25" ht="15">
      <c r="X108" s="133"/>
      <c r="Y108" s="133"/>
    </row>
  </sheetData>
  <mergeCells count="4">
    <mergeCell ref="P13:R13"/>
    <mergeCell ref="K6:N6"/>
    <mergeCell ref="K7:N7"/>
    <mergeCell ref="B13:C13"/>
  </mergeCells>
  <printOptions/>
  <pageMargins left="0.26" right="0.2362204724409449" top="0.4724409448818898" bottom="0.3937007874015748" header="0.1968503937007874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7:X40"/>
  <sheetViews>
    <sheetView workbookViewId="0" topLeftCell="A1">
      <selection activeCell="G16" sqref="G16"/>
    </sheetView>
  </sheetViews>
  <sheetFormatPr defaultColWidth="9.140625" defaultRowHeight="12.75"/>
  <cols>
    <col min="1" max="1" width="9.140625" style="143" customWidth="1"/>
    <col min="2" max="2" width="20.421875" style="143" customWidth="1"/>
    <col min="3" max="4" width="9.140625" style="143" customWidth="1"/>
    <col min="5" max="5" width="9.421875" style="143" bestFit="1" customWidth="1"/>
    <col min="6" max="8" width="9.140625" style="143" customWidth="1"/>
    <col min="9" max="9" width="1.57421875" style="143" customWidth="1"/>
    <col min="10" max="10" width="21.00390625" style="143" customWidth="1"/>
    <col min="11" max="16384" width="9.140625" style="143" customWidth="1"/>
  </cols>
  <sheetData>
    <row r="7" spans="23:24" s="140" customFormat="1" ht="15.75">
      <c r="W7" s="141">
        <v>0.049746254369973715</v>
      </c>
      <c r="X7" s="141">
        <v>0.07835228183304947</v>
      </c>
    </row>
    <row r="8" spans="2:10" ht="15.75">
      <c r="B8" s="142" t="s">
        <v>29</v>
      </c>
      <c r="J8" s="142" t="s">
        <v>34</v>
      </c>
    </row>
    <row r="9" ht="16.5" thickBot="1"/>
    <row r="10" spans="2:12" ht="16.5" thickBot="1">
      <c r="B10" s="144" t="s">
        <v>85</v>
      </c>
      <c r="C10" s="145">
        <f>C20*(1-D10)</f>
        <v>30337.2</v>
      </c>
      <c r="D10" s="146">
        <v>0.1</v>
      </c>
      <c r="J10" s="144" t="s">
        <v>85</v>
      </c>
      <c r="K10" s="145">
        <f>K20*(1-L10)</f>
        <v>30337.2</v>
      </c>
      <c r="L10" s="146">
        <v>0.1</v>
      </c>
    </row>
    <row r="11" spans="4:12" ht="15.75">
      <c r="D11" s="142" t="s">
        <v>87</v>
      </c>
      <c r="L11" s="142" t="s">
        <v>87</v>
      </c>
    </row>
    <row r="12" spans="2:16" s="153" customFormat="1" ht="15.75">
      <c r="B12" s="147" t="s">
        <v>86</v>
      </c>
      <c r="C12" s="148"/>
      <c r="D12" s="167">
        <f>D$22</f>
        <v>0.04</v>
      </c>
      <c r="E12" s="167">
        <f>E$22</f>
        <v>0.045</v>
      </c>
      <c r="F12" s="167">
        <f>F$22</f>
        <v>0.05</v>
      </c>
      <c r="G12" s="167">
        <f>G$22</f>
        <v>0.055</v>
      </c>
      <c r="H12" s="167">
        <f>H$22</f>
        <v>0.06</v>
      </c>
      <c r="I12" s="150"/>
      <c r="J12" s="151" t="s">
        <v>86</v>
      </c>
      <c r="K12" s="148"/>
      <c r="L12" s="156">
        <f>D12</f>
        <v>0.04</v>
      </c>
      <c r="M12" s="156">
        <f>E12</f>
        <v>0.045</v>
      </c>
      <c r="N12" s="156">
        <f>F12</f>
        <v>0.05</v>
      </c>
      <c r="O12" s="156">
        <f>G12</f>
        <v>0.055</v>
      </c>
      <c r="P12" s="156">
        <f>H12</f>
        <v>0.06</v>
      </c>
    </row>
    <row r="13" spans="2:16" s="153" customFormat="1" ht="15.75">
      <c r="B13" s="146">
        <v>0.1</v>
      </c>
      <c r="C13" s="148">
        <f>C23</f>
        <v>18007.2</v>
      </c>
      <c r="D13" s="168">
        <v>510.830727968022</v>
      </c>
      <c r="E13" s="169">
        <v>264.4281341133567</v>
      </c>
      <c r="F13" s="169">
        <v>14.19299331661371</v>
      </c>
      <c r="G13" s="169">
        <v>-239.8448155897216</v>
      </c>
      <c r="H13" s="170">
        <v>-510.7684103290622</v>
      </c>
      <c r="I13" s="150"/>
      <c r="J13" s="155">
        <v>0.1</v>
      </c>
      <c r="K13" s="148">
        <f>K23</f>
        <v>18007.2</v>
      </c>
      <c r="L13" s="175">
        <v>0.09387796890338095</v>
      </c>
      <c r="M13" s="176">
        <v>0.08705738055017204</v>
      </c>
      <c r="N13" s="176">
        <v>0.08037202094350883</v>
      </c>
      <c r="O13" s="176">
        <v>0.07382736275645618</v>
      </c>
      <c r="P13" s="177">
        <v>0.06711506615054173</v>
      </c>
    </row>
    <row r="14" spans="2:16" s="153" customFormat="1" ht="15.75">
      <c r="B14" s="146">
        <v>0.05</v>
      </c>
      <c r="C14" s="148">
        <f>C24</f>
        <v>19007.6</v>
      </c>
      <c r="D14" s="171">
        <v>-191.65325605912568</v>
      </c>
      <c r="E14" s="148">
        <v>-451.7448829057149</v>
      </c>
      <c r="F14" s="148">
        <v>-715.8819759689466</v>
      </c>
      <c r="G14" s="148">
        <v>-990.309024586429</v>
      </c>
      <c r="H14" s="154">
        <v>-1295.4684450522243</v>
      </c>
      <c r="I14" s="150"/>
      <c r="J14" s="155">
        <v>0.05</v>
      </c>
      <c r="K14" s="148">
        <f>K24</f>
        <v>19007.6</v>
      </c>
      <c r="L14" s="178">
        <v>0.07516717308436721</v>
      </c>
      <c r="M14" s="156">
        <v>0.0688073971461476</v>
      </c>
      <c r="N14" s="156">
        <v>0.06257669958765526</v>
      </c>
      <c r="O14" s="156">
        <v>0.056343713138190775</v>
      </c>
      <c r="P14" s="179">
        <v>0.04972858090369514</v>
      </c>
    </row>
    <row r="15" spans="3:16" s="153" customFormat="1" ht="15.75">
      <c r="C15" s="148">
        <f>C25</f>
        <v>20008</v>
      </c>
      <c r="D15" s="171">
        <v>-894.1372400862746</v>
      </c>
      <c r="E15" s="148">
        <v>-1167.9178999247915</v>
      </c>
      <c r="F15" s="148">
        <v>-1445.9569452545056</v>
      </c>
      <c r="G15" s="148">
        <v>-1744.2468865149458</v>
      </c>
      <c r="H15" s="154">
        <v>-2088.7301404822606</v>
      </c>
      <c r="I15" s="150"/>
      <c r="J15" s="150"/>
      <c r="K15" s="148">
        <f>K25</f>
        <v>20008</v>
      </c>
      <c r="L15" s="178">
        <v>0.058941323467934285</v>
      </c>
      <c r="M15" s="156">
        <v>0.05296763577007702</v>
      </c>
      <c r="N15" s="156">
        <v>0.04711557178467644</v>
      </c>
      <c r="O15" s="156">
        <v>0.041091813510872204</v>
      </c>
      <c r="P15" s="179">
        <v>0.0345272303939629</v>
      </c>
    </row>
    <row r="16" spans="2:16" s="153" customFormat="1" ht="15.75">
      <c r="B16" s="157">
        <v>0.05</v>
      </c>
      <c r="C16" s="148">
        <f>C26</f>
        <v>21008.4</v>
      </c>
      <c r="D16" s="171">
        <v>-1596.6212241134212</v>
      </c>
      <c r="E16" s="148">
        <v>-1884.0909169438648</v>
      </c>
      <c r="F16" s="148">
        <v>-2182.0528791178435</v>
      </c>
      <c r="G16" s="148">
        <v>-2517.5417872943567</v>
      </c>
      <c r="H16" s="154">
        <v>-2883.343359836832</v>
      </c>
      <c r="I16" s="150"/>
      <c r="J16" s="158">
        <v>0.05</v>
      </c>
      <c r="K16" s="148">
        <f>K26</f>
        <v>21008.4</v>
      </c>
      <c r="L16" s="178">
        <v>0.04468783815497939</v>
      </c>
      <c r="M16" s="156">
        <v>0.039038933154201975</v>
      </c>
      <c r="N16" s="156">
        <v>0.03340103275825757</v>
      </c>
      <c r="O16" s="156">
        <v>0.027378588719245322</v>
      </c>
      <c r="P16" s="179">
        <v>0.021166849476966586</v>
      </c>
    </row>
    <row r="17" spans="2:16" s="153" customFormat="1" ht="15.75">
      <c r="B17" s="157">
        <v>0.1</v>
      </c>
      <c r="C17" s="148">
        <f>C27</f>
        <v>22008.800000000003</v>
      </c>
      <c r="D17" s="172">
        <v>-2299.105208140578</v>
      </c>
      <c r="E17" s="173">
        <v>-2600.2639339629422</v>
      </c>
      <c r="F17" s="173">
        <v>-2920.738885688882</v>
      </c>
      <c r="G17" s="173">
        <v>-3293.448718504497</v>
      </c>
      <c r="H17" s="174">
        <v>-3679.3949631958285</v>
      </c>
      <c r="I17" s="150"/>
      <c r="J17" s="158">
        <v>0.1</v>
      </c>
      <c r="K17" s="148">
        <f>K27</f>
        <v>22008.800000000003</v>
      </c>
      <c r="L17" s="180">
        <v>0.03202407809854584</v>
      </c>
      <c r="M17" s="152">
        <v>0.026650242701843276</v>
      </c>
      <c r="N17" s="152">
        <v>0.02116500354673086</v>
      </c>
      <c r="O17" s="152">
        <v>0.015181874362536638</v>
      </c>
      <c r="P17" s="181">
        <v>0.009276169700382779</v>
      </c>
    </row>
    <row r="18" spans="2:16" s="153" customFormat="1" ht="6.75" customHeight="1" thickBot="1">
      <c r="B18" s="157"/>
      <c r="C18" s="148"/>
      <c r="D18" s="148"/>
      <c r="E18" s="148"/>
      <c r="F18" s="148"/>
      <c r="G18" s="148"/>
      <c r="H18" s="148"/>
      <c r="I18" s="150"/>
      <c r="J18" s="158"/>
      <c r="K18" s="148"/>
      <c r="L18" s="156"/>
      <c r="M18" s="156"/>
      <c r="N18" s="156"/>
      <c r="O18" s="156"/>
      <c r="P18" s="156"/>
    </row>
    <row r="19" spans="2:16" ht="16.5" hidden="1" thickBot="1">
      <c r="B19" s="157"/>
      <c r="L19" s="140"/>
      <c r="M19" s="140"/>
      <c r="N19" s="140"/>
      <c r="O19" s="140"/>
      <c r="P19" s="140"/>
    </row>
    <row r="20" spans="2:16" ht="16.5" thickBot="1">
      <c r="B20" s="144" t="s">
        <v>85</v>
      </c>
      <c r="C20" s="159">
        <v>33708</v>
      </c>
      <c r="J20" s="144" t="s">
        <v>85</v>
      </c>
      <c r="K20" s="145">
        <f>C20</f>
        <v>33708</v>
      </c>
      <c r="L20" s="140"/>
      <c r="M20" s="140"/>
      <c r="N20" s="140"/>
      <c r="O20" s="140"/>
      <c r="P20" s="140"/>
    </row>
    <row r="21" spans="4:12" ht="15.75">
      <c r="D21" s="142" t="s">
        <v>87</v>
      </c>
      <c r="L21" s="142" t="s">
        <v>87</v>
      </c>
    </row>
    <row r="22" spans="2:16" s="153" customFormat="1" ht="15.75">
      <c r="B22" s="147" t="s">
        <v>86</v>
      </c>
      <c r="C22" s="160"/>
      <c r="D22" s="161">
        <v>0.04</v>
      </c>
      <c r="E22" s="161">
        <v>0.045</v>
      </c>
      <c r="F22" s="161">
        <v>0.05</v>
      </c>
      <c r="G22" s="161">
        <v>0.055</v>
      </c>
      <c r="H22" s="161">
        <v>0.06</v>
      </c>
      <c r="J22" s="147" t="s">
        <v>86</v>
      </c>
      <c r="K22" s="148"/>
      <c r="L22" s="156">
        <f>D22</f>
        <v>0.04</v>
      </c>
      <c r="M22" s="156">
        <f>E22</f>
        <v>0.045</v>
      </c>
      <c r="N22" s="156">
        <f>F22</f>
        <v>0.05</v>
      </c>
      <c r="O22" s="156">
        <f>G22</f>
        <v>0.055</v>
      </c>
      <c r="P22" s="156">
        <f>H22</f>
        <v>0.06</v>
      </c>
    </row>
    <row r="23" spans="2:16" s="153" customFormat="1" ht="15.75">
      <c r="B23" s="146">
        <v>0.1</v>
      </c>
      <c r="C23" s="162">
        <f>$C$25*(1-B23)</f>
        <v>18007.2</v>
      </c>
      <c r="D23" s="168">
        <v>1876.2892942253702</v>
      </c>
      <c r="E23" s="169">
        <v>1629.8867003707062</v>
      </c>
      <c r="F23" s="169">
        <v>1379.6515595739636</v>
      </c>
      <c r="G23" s="169">
        <v>1125.6137506676287</v>
      </c>
      <c r="H23" s="170">
        <v>867.8054673350796</v>
      </c>
      <c r="J23" s="146">
        <v>0.1</v>
      </c>
      <c r="K23" s="148">
        <f>C23</f>
        <v>18007.2</v>
      </c>
      <c r="L23" s="175">
        <v>0.13330969341389187</v>
      </c>
      <c r="M23" s="176">
        <v>0.12549702376014651</v>
      </c>
      <c r="N23" s="176">
        <v>0.11781914645716592</v>
      </c>
      <c r="O23" s="176">
        <v>0.1102878648891727</v>
      </c>
      <c r="P23" s="177">
        <v>0.10291300483526745</v>
      </c>
    </row>
    <row r="24" spans="2:16" s="153" customFormat="1" ht="15.75">
      <c r="B24" s="146">
        <v>0.05</v>
      </c>
      <c r="C24" s="162">
        <f>$C$25*(1-B24)</f>
        <v>19007.6</v>
      </c>
      <c r="D24" s="171">
        <v>1173.8053101982246</v>
      </c>
      <c r="E24" s="148">
        <v>913.7136833516341</v>
      </c>
      <c r="F24" s="148">
        <v>649.5765902884027</v>
      </c>
      <c r="G24" s="148">
        <v>381.42556977616186</v>
      </c>
      <c r="H24" s="154">
        <v>109.29460403624559</v>
      </c>
      <c r="J24" s="146">
        <v>0.05</v>
      </c>
      <c r="K24" s="148">
        <f>C24</f>
        <v>19007.6</v>
      </c>
      <c r="L24" s="178">
        <v>0.11080847924945772</v>
      </c>
      <c r="M24" s="156">
        <v>0.10355869418753984</v>
      </c>
      <c r="N24" s="156">
        <v>0.09644672630033917</v>
      </c>
      <c r="O24" s="156">
        <v>0.08948045056611559</v>
      </c>
      <c r="P24" s="179">
        <v>0.08266606547365511</v>
      </c>
    </row>
    <row r="25" spans="3:16" s="153" customFormat="1" ht="15.75">
      <c r="C25" s="162">
        <v>20008</v>
      </c>
      <c r="D25" s="171">
        <v>471.3213261710752</v>
      </c>
      <c r="E25" s="148">
        <v>197.5406663325582</v>
      </c>
      <c r="F25" s="148">
        <v>-80.49837899715628</v>
      </c>
      <c r="G25" s="148">
        <v>-362.7626111153052</v>
      </c>
      <c r="H25" s="154">
        <v>-649.2162592625847</v>
      </c>
      <c r="K25" s="148">
        <f>C25</f>
        <v>20008</v>
      </c>
      <c r="L25" s="178">
        <v>0.09150123102530268</v>
      </c>
      <c r="M25" s="156">
        <v>0.08473556554018097</v>
      </c>
      <c r="N25" s="156">
        <v>0.07810475766904222</v>
      </c>
      <c r="O25" s="156">
        <v>0.07161399134833424</v>
      </c>
      <c r="P25" s="179">
        <v>0.06526709217616025</v>
      </c>
    </row>
    <row r="26" spans="2:16" s="153" customFormat="1" ht="15.75">
      <c r="B26" s="157">
        <v>0.05</v>
      </c>
      <c r="C26" s="162">
        <f>$C$25*(1+B26)</f>
        <v>21008.4</v>
      </c>
      <c r="D26" s="171">
        <v>-231.16265785607413</v>
      </c>
      <c r="E26" s="148">
        <v>-518.6323506865167</v>
      </c>
      <c r="F26" s="148">
        <v>-810.5733482827192</v>
      </c>
      <c r="G26" s="148">
        <v>-1106.9507920067729</v>
      </c>
      <c r="H26" s="154">
        <v>-1407.7271225614165</v>
      </c>
      <c r="J26" s="157">
        <v>0.05</v>
      </c>
      <c r="K26" s="148">
        <f>C26</f>
        <v>21008.4</v>
      </c>
      <c r="L26" s="178">
        <v>0.07472529601680022</v>
      </c>
      <c r="M26" s="156">
        <v>0.06837239068978909</v>
      </c>
      <c r="N26" s="156">
        <v>0.06214859581539619</v>
      </c>
      <c r="O26" s="156">
        <v>0.056057306233854826</v>
      </c>
      <c r="P26" s="179">
        <v>0.050100829578270285</v>
      </c>
    </row>
    <row r="27" spans="2:16" s="153" customFormat="1" ht="15.75">
      <c r="B27" s="157">
        <v>0.1</v>
      </c>
      <c r="C27" s="162">
        <f>$C$25*(1+B27)</f>
        <v>22008.800000000003</v>
      </c>
      <c r="D27" s="172">
        <v>-933.6466418832264</v>
      </c>
      <c r="E27" s="173">
        <v>-1234.8053677055937</v>
      </c>
      <c r="F27" s="173">
        <v>-1540.6483175682827</v>
      </c>
      <c r="G27" s="173">
        <v>-1851.1389728982463</v>
      </c>
      <c r="H27" s="174">
        <v>-2170.522831607606</v>
      </c>
      <c r="J27" s="157">
        <v>0.1</v>
      </c>
      <c r="K27" s="148">
        <f>C27</f>
        <v>22008.800000000003</v>
      </c>
      <c r="L27" s="180">
        <v>0.059976918267151375</v>
      </c>
      <c r="M27" s="152">
        <v>0.053975606897252795</v>
      </c>
      <c r="N27" s="152">
        <v>0.048096634966495945</v>
      </c>
      <c r="O27" s="152">
        <v>0.0423422187454104</v>
      </c>
      <c r="P27" s="181">
        <v>0.0366449406941975</v>
      </c>
    </row>
    <row r="28" spans="11:16" ht="8.25" customHeight="1" thickBot="1">
      <c r="K28" s="163"/>
      <c r="L28" s="164"/>
      <c r="M28" s="164"/>
      <c r="N28" s="164"/>
      <c r="O28" s="164"/>
      <c r="P28" s="164"/>
    </row>
    <row r="29" spans="2:16" ht="16.5" thickBot="1">
      <c r="B29" s="144" t="s">
        <v>85</v>
      </c>
      <c r="C29" s="145">
        <f>C20*(1+D29)</f>
        <v>35393.4</v>
      </c>
      <c r="D29" s="157">
        <v>0.05</v>
      </c>
      <c r="J29" s="144" t="s">
        <v>85</v>
      </c>
      <c r="K29" s="145">
        <f>K20*(1+L29)</f>
        <v>35393.4</v>
      </c>
      <c r="L29" s="158">
        <v>0.05</v>
      </c>
      <c r="M29" s="164"/>
      <c r="N29" s="164"/>
      <c r="O29" s="164"/>
      <c r="P29" s="164"/>
    </row>
    <row r="30" spans="4:16" ht="15.75">
      <c r="D30" s="142" t="s">
        <v>87</v>
      </c>
      <c r="K30" s="163"/>
      <c r="L30" s="165" t="s">
        <v>87</v>
      </c>
      <c r="M30" s="163"/>
      <c r="N30" s="163"/>
      <c r="O30" s="163"/>
      <c r="P30" s="163"/>
    </row>
    <row r="31" spans="2:16" s="153" customFormat="1" ht="15.75">
      <c r="B31" s="147" t="s">
        <v>86</v>
      </c>
      <c r="C31" s="148"/>
      <c r="D31" s="149">
        <f>D$22</f>
        <v>0.04</v>
      </c>
      <c r="E31" s="149">
        <f>E$22</f>
        <v>0.045</v>
      </c>
      <c r="F31" s="149">
        <f>F$22</f>
        <v>0.05</v>
      </c>
      <c r="G31" s="149">
        <f>G$22</f>
        <v>0.055</v>
      </c>
      <c r="H31" s="149">
        <f>H$22</f>
        <v>0.06</v>
      </c>
      <c r="J31" s="147" t="s">
        <v>86</v>
      </c>
      <c r="K31" s="148"/>
      <c r="L31" s="156">
        <f>D31</f>
        <v>0.04</v>
      </c>
      <c r="M31" s="156">
        <f>E31</f>
        <v>0.045</v>
      </c>
      <c r="N31" s="156">
        <f>F31</f>
        <v>0.05</v>
      </c>
      <c r="O31" s="156">
        <f>G31</f>
        <v>0.055</v>
      </c>
      <c r="P31" s="156">
        <f>H31</f>
        <v>0.06</v>
      </c>
    </row>
    <row r="32" spans="2:16" s="153" customFormat="1" ht="15.75">
      <c r="B32" s="146">
        <v>0.1</v>
      </c>
      <c r="C32" s="154">
        <f>C13</f>
        <v>18007.2</v>
      </c>
      <c r="D32" s="168">
        <v>2559.0185773540475</v>
      </c>
      <c r="E32" s="169">
        <v>2312.6159834993828</v>
      </c>
      <c r="F32" s="169">
        <v>2062.38084270264</v>
      </c>
      <c r="G32" s="169">
        <v>1808.3430337963055</v>
      </c>
      <c r="H32" s="170">
        <v>1550.5347504637568</v>
      </c>
      <c r="J32" s="146">
        <v>0.1</v>
      </c>
      <c r="K32" s="148">
        <f>K13</f>
        <v>18007.2</v>
      </c>
      <c r="L32" s="175">
        <v>0.15444006083329911</v>
      </c>
      <c r="M32" s="176">
        <v>0.14611246891559704</v>
      </c>
      <c r="N32" s="176">
        <v>0.1379093986008665</v>
      </c>
      <c r="O32" s="176">
        <v>0.12984688921360385</v>
      </c>
      <c r="P32" s="177">
        <v>0.12193889004373017</v>
      </c>
    </row>
    <row r="33" spans="2:16" s="153" customFormat="1" ht="15.75">
      <c r="B33" s="146">
        <v>0.05</v>
      </c>
      <c r="C33" s="154">
        <f>C14</f>
        <v>19007.6</v>
      </c>
      <c r="D33" s="171">
        <v>1856.5345933269014</v>
      </c>
      <c r="E33" s="148">
        <v>1596.4429664803117</v>
      </c>
      <c r="F33" s="148">
        <v>1332.3058734170797</v>
      </c>
      <c r="G33" s="148">
        <v>1064.1548529048393</v>
      </c>
      <c r="H33" s="154">
        <v>792.0238871649237</v>
      </c>
      <c r="J33" s="146">
        <v>0.05</v>
      </c>
      <c r="K33" s="148">
        <f>K14</f>
        <v>19007.6</v>
      </c>
      <c r="L33" s="178">
        <v>0.1297915798205362</v>
      </c>
      <c r="M33" s="156">
        <v>0.12206391324774127</v>
      </c>
      <c r="N33" s="156">
        <v>0.11447212865764118</v>
      </c>
      <c r="O33" s="156">
        <v>0.10702737632509901</v>
      </c>
      <c r="P33" s="179">
        <v>0.09973886405294402</v>
      </c>
    </row>
    <row r="34" spans="3:16" s="153" customFormat="1" ht="15.75">
      <c r="C34" s="154">
        <f>C15</f>
        <v>20008</v>
      </c>
      <c r="D34" s="171">
        <v>1154.0506092997532</v>
      </c>
      <c r="E34" s="148">
        <v>880.2699494612369</v>
      </c>
      <c r="F34" s="148">
        <v>602.2309041315214</v>
      </c>
      <c r="G34" s="148">
        <v>319.96667201337175</v>
      </c>
      <c r="H34" s="154">
        <v>33.513023866091466</v>
      </c>
      <c r="K34" s="148">
        <f>K15</f>
        <v>20008</v>
      </c>
      <c r="L34" s="178">
        <v>0.10871627974028947</v>
      </c>
      <c r="M34" s="156">
        <v>0.10151709312653492</v>
      </c>
      <c r="N34" s="156">
        <v>0.09445572858934229</v>
      </c>
      <c r="O34" s="156">
        <v>0.08753974196192985</v>
      </c>
      <c r="P34" s="179">
        <v>0.08077504380492052</v>
      </c>
    </row>
    <row r="35" spans="2:16" s="153" customFormat="1" ht="15.75">
      <c r="B35" s="157">
        <v>0.05</v>
      </c>
      <c r="C35" s="154">
        <f>C16</f>
        <v>21008.4</v>
      </c>
      <c r="D35" s="171">
        <v>451.56662527260374</v>
      </c>
      <c r="E35" s="148">
        <v>164.09693244216035</v>
      </c>
      <c r="F35" s="148">
        <v>-127.84406515404194</v>
      </c>
      <c r="G35" s="148">
        <v>-424.22150887809516</v>
      </c>
      <c r="H35" s="154">
        <v>-724.9978394327408</v>
      </c>
      <c r="J35" s="157">
        <v>0.05</v>
      </c>
      <c r="K35" s="148">
        <f>K16</f>
        <v>21008.4</v>
      </c>
      <c r="L35" s="178">
        <v>0.09048557004059436</v>
      </c>
      <c r="M35" s="156">
        <v>0.08374334173919296</v>
      </c>
      <c r="N35" s="156">
        <v>0.07713579498545907</v>
      </c>
      <c r="O35" s="156">
        <v>0.07066799306482188</v>
      </c>
      <c r="P35" s="179">
        <v>0.06434365627527384</v>
      </c>
    </row>
    <row r="36" spans="2:16" s="153" customFormat="1" ht="15.75">
      <c r="B36" s="157">
        <v>0.1</v>
      </c>
      <c r="C36" s="154">
        <f>C17</f>
        <v>22008.800000000003</v>
      </c>
      <c r="D36" s="172">
        <v>-250.91735875454995</v>
      </c>
      <c r="E36" s="173">
        <v>-552.0760845769164</v>
      </c>
      <c r="F36" s="173">
        <v>-857.9190344396061</v>
      </c>
      <c r="G36" s="173">
        <v>-1168.4096897695667</v>
      </c>
      <c r="H36" s="174">
        <v>-1483.508702731574</v>
      </c>
      <c r="J36" s="157">
        <v>0.1</v>
      </c>
      <c r="K36" s="148">
        <f>K17</f>
        <v>22008.800000000003</v>
      </c>
      <c r="L36" s="180">
        <v>0.07453444566452284</v>
      </c>
      <c r="M36" s="152">
        <v>0.06818450756813593</v>
      </c>
      <c r="N36" s="152">
        <v>0.061963693360319545</v>
      </c>
      <c r="O36" s="152">
        <v>0.055875380665055714</v>
      </c>
      <c r="P36" s="181">
        <v>0.049921861682374905</v>
      </c>
    </row>
    <row r="37" spans="12:16" ht="15.75">
      <c r="L37" s="140"/>
      <c r="M37" s="140"/>
      <c r="N37" s="140"/>
      <c r="O37" s="140"/>
      <c r="P37" s="140"/>
    </row>
    <row r="38" spans="4:5" ht="15.75">
      <c r="D38" s="141"/>
      <c r="E38" s="166"/>
    </row>
    <row r="40" spans="4:5" ht="15.75">
      <c r="D40" s="166"/>
      <c r="E40" s="141"/>
    </row>
  </sheetData>
  <conditionalFormatting sqref="D23:H27 D32:H36 D13:H1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7:H22"/>
  <sheetViews>
    <sheetView zoomScale="70" zoomScaleNormal="70" workbookViewId="0" topLeftCell="A1">
      <selection activeCell="G11" sqref="G11"/>
    </sheetView>
  </sheetViews>
  <sheetFormatPr defaultColWidth="9.140625" defaultRowHeight="12.75"/>
  <cols>
    <col min="1" max="1" width="9.140625" style="3" customWidth="1"/>
    <col min="2" max="2" width="18.7109375" style="3" customWidth="1"/>
    <col min="3" max="3" width="9.140625" style="3" customWidth="1"/>
    <col min="4" max="4" width="10.57421875" style="3" bestFit="1" customWidth="1"/>
    <col min="5" max="6" width="9.140625" style="3" customWidth="1"/>
    <col min="7" max="7" width="10.8515625" style="3" bestFit="1" customWidth="1"/>
    <col min="8" max="16384" width="9.140625" style="3" customWidth="1"/>
  </cols>
  <sheetData>
    <row r="7" spans="2:6" ht="15">
      <c r="B7" s="2" t="s">
        <v>89</v>
      </c>
      <c r="E7" s="11">
        <v>0.08</v>
      </c>
      <c r="F7" s="2" t="s">
        <v>88</v>
      </c>
    </row>
    <row r="8" spans="2:6" ht="15">
      <c r="B8" s="2"/>
      <c r="E8" s="7"/>
      <c r="F8" s="2"/>
    </row>
    <row r="9" spans="2:6" ht="15">
      <c r="B9" s="3" t="s">
        <v>90</v>
      </c>
      <c r="E9" s="38">
        <f>'Sensitivity analysis'!C20</f>
        <v>33708</v>
      </c>
      <c r="F9" s="3" t="s">
        <v>91</v>
      </c>
    </row>
    <row r="10" spans="4:5" ht="15">
      <c r="D10" s="8">
        <v>0.05</v>
      </c>
      <c r="E10" s="37">
        <f>$E$9*(1+D10)</f>
        <v>35393.4</v>
      </c>
    </row>
    <row r="11" spans="4:5" ht="15">
      <c r="D11" s="9">
        <v>0.05</v>
      </c>
      <c r="E11" s="37">
        <f>$E$9*(1-D11)</f>
        <v>32022.6</v>
      </c>
    </row>
    <row r="12" ht="15">
      <c r="B12" s="2"/>
    </row>
    <row r="13" ht="15">
      <c r="D13" s="2" t="s">
        <v>87</v>
      </c>
    </row>
    <row r="14" spans="2:8" ht="15">
      <c r="B14" s="4" t="s">
        <v>86</v>
      </c>
      <c r="C14" s="5"/>
      <c r="D14" s="182">
        <f>'Sensitivity analysis'!D22</f>
        <v>0.04</v>
      </c>
      <c r="E14" s="182">
        <f>'Sensitivity analysis'!E22</f>
        <v>0.045</v>
      </c>
      <c r="F14" s="182">
        <f>'Sensitivity analysis'!F22</f>
        <v>0.05</v>
      </c>
      <c r="G14" s="182">
        <f>'Sensitivity analysis'!G22</f>
        <v>0.055</v>
      </c>
      <c r="H14" s="182">
        <f>'Sensitivity analysis'!H22</f>
        <v>0.06</v>
      </c>
    </row>
    <row r="15" spans="2:8" ht="15">
      <c r="B15" s="9">
        <v>0.1</v>
      </c>
      <c r="C15" s="39">
        <f>$C$17*(1-B15)</f>
        <v>18007.2</v>
      </c>
      <c r="D15" s="183">
        <v>29076.152422002622</v>
      </c>
      <c r="E15" s="184">
        <v>29684.427095354193</v>
      </c>
      <c r="F15" s="184">
        <v>30302.162875436952</v>
      </c>
      <c r="G15" s="184">
        <v>30929.286002730794</v>
      </c>
      <c r="H15" s="185">
        <v>31565.71700322559</v>
      </c>
    </row>
    <row r="16" spans="2:8" ht="15">
      <c r="B16" s="9">
        <v>0.05</v>
      </c>
      <c r="C16" s="39">
        <f>$C$17*(1-B16)</f>
        <v>19007.6</v>
      </c>
      <c r="D16" s="186">
        <v>30810.319295955513</v>
      </c>
      <c r="E16" s="5">
        <v>31452.387006715515</v>
      </c>
      <c r="F16" s="5">
        <v>32104.441441247327</v>
      </c>
      <c r="G16" s="5">
        <v>32766.4047422797</v>
      </c>
      <c r="H16" s="187">
        <v>33438.19302057977</v>
      </c>
    </row>
    <row r="17" spans="2:8" ht="15">
      <c r="B17" s="6"/>
      <c r="C17" s="39">
        <f>'Sensitivity analysis'!C25</f>
        <v>20008</v>
      </c>
      <c r="D17" s="186">
        <v>32544.486169908418</v>
      </c>
      <c r="E17" s="5">
        <v>33220.34691807682</v>
      </c>
      <c r="F17" s="5">
        <v>33906.72000705766</v>
      </c>
      <c r="G17" s="5">
        <v>34603.523481828604</v>
      </c>
      <c r="H17" s="187">
        <v>35310.66903793394</v>
      </c>
    </row>
    <row r="18" spans="2:8" ht="15">
      <c r="B18" s="8">
        <v>0.05</v>
      </c>
      <c r="C18" s="39">
        <f>$C$17*(1+B18)</f>
        <v>21008.4</v>
      </c>
      <c r="D18" s="186">
        <v>34278.65304386131</v>
      </c>
      <c r="E18" s="5">
        <v>34988.30682943814</v>
      </c>
      <c r="F18" s="5">
        <v>35708.998572868026</v>
      </c>
      <c r="G18" s="5">
        <v>36440.64222137751</v>
      </c>
      <c r="H18" s="187">
        <v>37183.14505528811</v>
      </c>
    </row>
    <row r="19" spans="2:8" ht="15">
      <c r="B19" s="8">
        <v>0.1</v>
      </c>
      <c r="C19" s="39">
        <f>$C$17*(1+B19)</f>
        <v>22008.800000000003</v>
      </c>
      <c r="D19" s="186">
        <v>36012.81991781419</v>
      </c>
      <c r="E19" s="5">
        <v>36756.266740799474</v>
      </c>
      <c r="F19" s="5">
        <v>37511.27713867839</v>
      </c>
      <c r="G19" s="5">
        <v>38277.76096092641</v>
      </c>
      <c r="H19" s="187">
        <v>39055.62107264228</v>
      </c>
    </row>
    <row r="20" spans="2:8" ht="15">
      <c r="B20" s="8">
        <v>0.15</v>
      </c>
      <c r="C20" s="39">
        <f>$C$17*(1+B20)</f>
        <v>23009.199999999997</v>
      </c>
      <c r="D20" s="188">
        <v>37746.9867917671</v>
      </c>
      <c r="E20" s="1">
        <v>38524.226652160774</v>
      </c>
      <c r="F20" s="1">
        <v>39313.55570448874</v>
      </c>
      <c r="G20" s="1">
        <v>40114.87970047531</v>
      </c>
      <c r="H20" s="189">
        <v>40928.09708999646</v>
      </c>
    </row>
    <row r="22" ht="15">
      <c r="C22" s="10" t="s">
        <v>92</v>
      </c>
    </row>
  </sheetData>
  <conditionalFormatting sqref="E15:H20 D16:D20">
    <cfRule type="cellIs" priority="1" dxfId="1" operator="between" stopIfTrue="1">
      <formula>$E$11</formula>
      <formula>$E$10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7"/>
  <sheetViews>
    <sheetView showGridLines="0" workbookViewId="0" topLeftCell="A37">
      <selection activeCell="B62" sqref="B62"/>
    </sheetView>
  </sheetViews>
  <sheetFormatPr defaultColWidth="9.140625" defaultRowHeight="12.75"/>
  <cols>
    <col min="1" max="1" width="22.7109375" style="32" customWidth="1"/>
    <col min="2" max="2" width="30.421875" style="14" customWidth="1"/>
    <col min="3" max="3" width="1.8515625" style="14" customWidth="1"/>
    <col min="4" max="4" width="10.7109375" style="14" customWidth="1"/>
    <col min="5" max="5" width="14.00390625" style="15" customWidth="1"/>
    <col min="6" max="16384" width="9.140625" style="14" customWidth="1"/>
  </cols>
  <sheetData>
    <row r="1" spans="1:5" ht="15.75" customHeight="1">
      <c r="A1" s="12"/>
      <c r="B1" s="13"/>
      <c r="E1" s="15" t="s">
        <v>95</v>
      </c>
    </row>
    <row r="2" spans="1:6" ht="15.75">
      <c r="A2" s="16" t="s">
        <v>191</v>
      </c>
      <c r="B2" s="16"/>
      <c r="C2" s="16"/>
      <c r="D2" s="16"/>
      <c r="E2" s="17"/>
      <c r="F2" s="17"/>
    </row>
    <row r="3" spans="1:29" ht="12.75">
      <c r="A3" s="194" t="s">
        <v>96</v>
      </c>
      <c r="B3" s="195"/>
      <c r="E3" s="15" t="s">
        <v>190</v>
      </c>
      <c r="F3" s="18" t="s">
        <v>189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  <c r="R3" s="35">
        <v>2017</v>
      </c>
      <c r="S3" s="35">
        <v>2018</v>
      </c>
      <c r="T3" s="35">
        <v>2019</v>
      </c>
      <c r="U3" s="35">
        <v>2020</v>
      </c>
      <c r="V3" s="35">
        <v>2021</v>
      </c>
      <c r="W3" s="35">
        <v>2022</v>
      </c>
      <c r="X3" s="35">
        <v>2023</v>
      </c>
      <c r="Y3" s="35">
        <v>2024</v>
      </c>
      <c r="Z3" s="35">
        <v>2025</v>
      </c>
      <c r="AA3" s="35">
        <v>2026</v>
      </c>
      <c r="AB3" s="35">
        <v>2027</v>
      </c>
      <c r="AC3" s="35">
        <v>2028</v>
      </c>
    </row>
    <row r="4" spans="1:29" ht="12.75">
      <c r="A4" s="194"/>
      <c r="B4" s="195"/>
      <c r="E4" s="18">
        <v>2006</v>
      </c>
      <c r="F4" s="14">
        <v>2006</v>
      </c>
      <c r="G4" s="36" t="s">
        <v>97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6" ht="12.75">
      <c r="A5" s="196"/>
      <c r="B5" s="197"/>
      <c r="C5" s="193"/>
      <c r="D5" s="20"/>
      <c r="F5" s="18"/>
    </row>
    <row r="6" spans="1:6" ht="12.75">
      <c r="A6" s="196"/>
      <c r="B6" s="197"/>
      <c r="C6" s="193"/>
      <c r="D6" s="20"/>
      <c r="F6" s="18"/>
    </row>
    <row r="7" spans="1:29" ht="12.75">
      <c r="A7" s="21" t="s">
        <v>192</v>
      </c>
      <c r="B7" s="22"/>
      <c r="C7" s="23"/>
      <c r="D7" s="23"/>
      <c r="E7" s="24">
        <v>1507.0379489110287</v>
      </c>
      <c r="F7" s="24">
        <v>1492.7924756719183</v>
      </c>
      <c r="G7" s="24">
        <f>F7+E7</f>
        <v>2999.8304245829468</v>
      </c>
      <c r="H7" s="24">
        <f aca="true" t="shared" si="0" ref="H7:M7">H9+H22</f>
        <v>20008</v>
      </c>
      <c r="I7" s="24">
        <f t="shared" si="0"/>
        <v>21293.63351132</v>
      </c>
      <c r="J7" s="24">
        <f t="shared" si="0"/>
        <v>19030.631274117197</v>
      </c>
      <c r="K7" s="24">
        <f t="shared" si="0"/>
        <v>18193.30043066865</v>
      </c>
      <c r="L7" s="24">
        <f t="shared" si="0"/>
        <v>17222.56678892139</v>
      </c>
      <c r="M7" s="24">
        <f t="shared" si="0"/>
        <v>16235.517748224305</v>
      </c>
      <c r="N7" s="24">
        <f aca="true" t="shared" si="1" ref="N7:AA7">N9+N22</f>
        <v>15119.137444163152</v>
      </c>
      <c r="O7" s="24">
        <f t="shared" si="1"/>
        <v>13985.074551068132</v>
      </c>
      <c r="P7" s="24">
        <f t="shared" si="1"/>
        <v>12832.6017680396</v>
      </c>
      <c r="Q7" s="24">
        <f t="shared" si="1"/>
        <v>11660.960967518877</v>
      </c>
      <c r="R7" s="24">
        <f t="shared" si="1"/>
        <v>10469.361858253407</v>
      </c>
      <c r="S7" s="24">
        <f t="shared" si="1"/>
        <v>9256.980589284925</v>
      </c>
      <c r="T7" s="24">
        <f t="shared" si="1"/>
        <v>8022.958292327865</v>
      </c>
      <c r="U7" s="24">
        <f t="shared" si="1"/>
        <v>7226.881168993286</v>
      </c>
      <c r="V7" s="24">
        <f t="shared" si="1"/>
        <v>7824.436414777541</v>
      </c>
      <c r="W7" s="24">
        <f t="shared" si="1"/>
        <v>7931.233300000002</v>
      </c>
      <c r="X7" s="24">
        <f t="shared" si="1"/>
        <v>6930.833300000002</v>
      </c>
      <c r="Y7" s="24">
        <f t="shared" si="1"/>
        <v>5930.4333000000015</v>
      </c>
      <c r="Z7" s="24">
        <f t="shared" si="1"/>
        <v>4930.033300000001</v>
      </c>
      <c r="AA7" s="24">
        <f t="shared" si="1"/>
        <v>3929.6333000000013</v>
      </c>
      <c r="AB7" s="24">
        <f>AB9+AB22</f>
        <v>2929.2333000000012</v>
      </c>
      <c r="AC7" s="24">
        <f>AC9+AC22</f>
        <v>2000.000000000001</v>
      </c>
    </row>
    <row r="8" spans="1:29" ht="12.75">
      <c r="A8" s="25"/>
      <c r="B8" s="26"/>
      <c r="C8" s="20"/>
      <c r="D8" s="2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2.75">
      <c r="A9" s="27">
        <v>1</v>
      </c>
      <c r="B9" s="28" t="s">
        <v>98</v>
      </c>
      <c r="C9" s="29"/>
      <c r="D9" s="29"/>
      <c r="E9" s="30">
        <v>542.2924409175163</v>
      </c>
      <c r="F9" s="30">
        <v>739.0495539851714</v>
      </c>
      <c r="G9" s="30">
        <f>F9+E9</f>
        <v>1281.3419949026877</v>
      </c>
      <c r="H9" s="30">
        <f aca="true" t="shared" si="2" ref="H9:AC9">H10+H13+H16</f>
        <v>0</v>
      </c>
      <c r="I9" s="30">
        <f t="shared" si="2"/>
        <v>1535.73351132</v>
      </c>
      <c r="J9" s="30">
        <f t="shared" si="2"/>
        <v>273.1312741171977</v>
      </c>
      <c r="K9" s="30">
        <f t="shared" si="2"/>
        <v>436.2004306686489</v>
      </c>
      <c r="L9" s="30">
        <f t="shared" si="2"/>
        <v>465.8667889213956</v>
      </c>
      <c r="M9" s="30">
        <f t="shared" si="2"/>
        <v>479.2177482243077</v>
      </c>
      <c r="N9" s="30">
        <f t="shared" si="2"/>
        <v>363.23744416315367</v>
      </c>
      <c r="O9" s="30">
        <f t="shared" si="2"/>
        <v>229.57455106813313</v>
      </c>
      <c r="P9" s="30">
        <f t="shared" si="2"/>
        <v>77.50176803960221</v>
      </c>
      <c r="Q9" s="30">
        <f t="shared" si="2"/>
        <v>-93.73903248112177</v>
      </c>
      <c r="R9" s="30">
        <f t="shared" si="2"/>
        <v>-284.9381417465911</v>
      </c>
      <c r="S9" s="30">
        <f t="shared" si="2"/>
        <v>-496.91941071507426</v>
      </c>
      <c r="T9" s="30">
        <f t="shared" si="2"/>
        <v>-730.5417076721351</v>
      </c>
      <c r="U9" s="30">
        <f t="shared" si="2"/>
        <v>-526.2188310067136</v>
      </c>
      <c r="V9" s="30">
        <f t="shared" si="2"/>
        <v>1071.7364147775404</v>
      </c>
      <c r="W9" s="30">
        <f t="shared" si="2"/>
        <v>2178.9333</v>
      </c>
      <c r="X9" s="30">
        <f t="shared" si="2"/>
        <v>2178.9333</v>
      </c>
      <c r="Y9" s="30">
        <f t="shared" si="2"/>
        <v>2178.9333</v>
      </c>
      <c r="Z9" s="30">
        <f t="shared" si="2"/>
        <v>2178.9333</v>
      </c>
      <c r="AA9" s="30">
        <f t="shared" si="2"/>
        <v>2178.9333</v>
      </c>
      <c r="AB9" s="30">
        <f t="shared" si="2"/>
        <v>2178.9333</v>
      </c>
      <c r="AC9" s="30">
        <f t="shared" si="2"/>
        <v>2000</v>
      </c>
    </row>
    <row r="10" spans="1:29" ht="12" customHeight="1">
      <c r="A10" s="25" t="s">
        <v>99</v>
      </c>
      <c r="B10" s="26" t="s">
        <v>100</v>
      </c>
      <c r="C10" s="20"/>
      <c r="D10" s="34">
        <v>2000</v>
      </c>
      <c r="E10" s="31">
        <v>145.71915257182576</v>
      </c>
      <c r="F10" s="31">
        <v>240.11047555607044</v>
      </c>
      <c r="G10" s="31">
        <f>F10+E10</f>
        <v>385.82962812789617</v>
      </c>
      <c r="H10" s="31">
        <f>SUM(H11:H12)</f>
        <v>0</v>
      </c>
      <c r="I10" s="31">
        <f aca="true" t="shared" si="3" ref="I10:AC10">SUM(I11:I12)</f>
        <v>1321.6667</v>
      </c>
      <c r="J10" s="31">
        <f t="shared" si="3"/>
        <v>-46.33607116280231</v>
      </c>
      <c r="K10" s="31">
        <f t="shared" si="3"/>
        <v>116.7330853886489</v>
      </c>
      <c r="L10" s="31">
        <f t="shared" si="3"/>
        <v>146.3994436413956</v>
      </c>
      <c r="M10" s="31">
        <f t="shared" si="3"/>
        <v>159.7504029443077</v>
      </c>
      <c r="N10" s="31">
        <f t="shared" si="3"/>
        <v>184.30414416315367</v>
      </c>
      <c r="O10" s="31">
        <f t="shared" si="3"/>
        <v>50.64125106813313</v>
      </c>
      <c r="P10" s="31">
        <f t="shared" si="3"/>
        <v>-101.43153196039779</v>
      </c>
      <c r="Q10" s="31">
        <f t="shared" si="3"/>
        <v>-272.67233248112177</v>
      </c>
      <c r="R10" s="31">
        <f t="shared" si="3"/>
        <v>-463.87144174659113</v>
      </c>
      <c r="S10" s="31">
        <f t="shared" si="3"/>
        <v>-675.8527107150743</v>
      </c>
      <c r="T10" s="31">
        <f t="shared" si="3"/>
        <v>-909.4750076721351</v>
      </c>
      <c r="U10" s="31">
        <f t="shared" si="3"/>
        <v>-705.1521310067136</v>
      </c>
      <c r="V10" s="31">
        <f t="shared" si="3"/>
        <v>892.8031147775404</v>
      </c>
      <c r="W10" s="31">
        <f t="shared" si="3"/>
        <v>2000.0000000000002</v>
      </c>
      <c r="X10" s="31">
        <f t="shared" si="3"/>
        <v>2000.0000000000002</v>
      </c>
      <c r="Y10" s="31">
        <f t="shared" si="3"/>
        <v>2000.0000000000002</v>
      </c>
      <c r="Z10" s="31">
        <f t="shared" si="3"/>
        <v>2000.0000000000002</v>
      </c>
      <c r="AA10" s="31">
        <f t="shared" si="3"/>
        <v>2000.0000000000002</v>
      </c>
      <c r="AB10" s="31">
        <f t="shared" si="3"/>
        <v>2000.0000000000002</v>
      </c>
      <c r="AC10" s="31">
        <f t="shared" si="3"/>
        <v>2000</v>
      </c>
    </row>
    <row r="11" spans="1:29" ht="12.75">
      <c r="A11" s="19" t="s">
        <v>101</v>
      </c>
      <c r="B11" s="20" t="s">
        <v>102</v>
      </c>
      <c r="C11" s="20"/>
      <c r="D11" s="20"/>
      <c r="E11" s="31"/>
      <c r="F11" s="31"/>
      <c r="G11" s="31"/>
      <c r="H11" s="31"/>
      <c r="I11" s="31">
        <f>MIN($D$10-I12,Projection!C71+$H$61)</f>
        <v>1500.6</v>
      </c>
      <c r="J11" s="31">
        <f>MIN($D$10-J12,Projection!E71+$H$61)</f>
        <v>132.5972288371977</v>
      </c>
      <c r="K11" s="31">
        <f>MIN($D$10-K12,Projection!F71+$H$61)</f>
        <v>295.6663853886489</v>
      </c>
      <c r="L11" s="31">
        <f>MIN($D$10-L12,Projection!G71+$H$61)</f>
        <v>325.3327436413956</v>
      </c>
      <c r="M11" s="31">
        <f>MIN($D$10-M12,Projection!H71+$H$61)</f>
        <v>338.6837029443077</v>
      </c>
      <c r="N11" s="31">
        <f>MIN($D$10-N12,Projection!I71+$H$61)</f>
        <v>363.23744416315367</v>
      </c>
      <c r="O11" s="31">
        <f>MIN($D$10-O12,Projection!J71+$H$61)</f>
        <v>229.57455106813313</v>
      </c>
      <c r="P11" s="31">
        <f>MIN($D$10-P12,Projection!K71+$H$61)</f>
        <v>77.50176803960221</v>
      </c>
      <c r="Q11" s="31">
        <f>MIN($D$10-Q12,Projection!L71+$H$61)</f>
        <v>-93.73903248112174</v>
      </c>
      <c r="R11" s="31">
        <f>MIN($D$10-R12,Projection!M71+$H$61)</f>
        <v>-284.9381417465911</v>
      </c>
      <c r="S11" s="31">
        <f>MIN($D$10-S12,Projection!N71+$H$61)</f>
        <v>-496.91941071507426</v>
      </c>
      <c r="T11" s="31">
        <f>MIN($D$10-T12,Projection!O71+$H$61)</f>
        <v>-730.5417076721351</v>
      </c>
      <c r="U11" s="31">
        <f>MIN($D$10-U12,Projection!P71+$H$61)</f>
        <v>-526.2188310067136</v>
      </c>
      <c r="V11" s="31">
        <f>MIN($D$10-V12,Projection!Q71+$H$61)</f>
        <v>1071.7364147775404</v>
      </c>
      <c r="W11" s="31">
        <f>MIN($D$10-W12,Projection!R71+$H$61)</f>
        <v>2178.9333</v>
      </c>
      <c r="X11" s="31">
        <f>MIN($D$10-X12,Projection!S71+$H$61)</f>
        <v>2178.9333</v>
      </c>
      <c r="Y11" s="31">
        <f>MIN($D$10-Y12,Projection!T71+$H$61)</f>
        <v>2178.9333</v>
      </c>
      <c r="Z11" s="31">
        <f>MIN($D$10-Z12,Projection!U71+$H$61)</f>
        <v>2178.9333</v>
      </c>
      <c r="AA11" s="31">
        <f>MIN($D$10-AA12,Projection!V71+$H$61)</f>
        <v>2178.9333</v>
      </c>
      <c r="AB11" s="31">
        <f>MIN($D$10-AB12,Projection!W71+$H$61)</f>
        <v>2178.9333</v>
      </c>
      <c r="AC11" s="31">
        <f>MIN($D$10-AC12,Projection!X71+$H$61)</f>
        <v>2000</v>
      </c>
    </row>
    <row r="12" spans="1:29" ht="12.75">
      <c r="A12" s="19" t="s">
        <v>103</v>
      </c>
      <c r="B12" s="20" t="s">
        <v>104</v>
      </c>
      <c r="C12" s="20"/>
      <c r="D12" s="20"/>
      <c r="E12" s="31"/>
      <c r="F12" s="31"/>
      <c r="G12" s="31"/>
      <c r="H12" s="31"/>
      <c r="I12" s="31">
        <f>-I15</f>
        <v>-178.9333</v>
      </c>
      <c r="J12" s="31">
        <f aca="true" t="shared" si="4" ref="J12:AC12">-J15</f>
        <v>-178.9333</v>
      </c>
      <c r="K12" s="31">
        <f t="shared" si="4"/>
        <v>-178.9333</v>
      </c>
      <c r="L12" s="31">
        <f t="shared" si="4"/>
        <v>-178.9333</v>
      </c>
      <c r="M12" s="31">
        <f t="shared" si="4"/>
        <v>-178.9333</v>
      </c>
      <c r="N12" s="31">
        <f t="shared" si="4"/>
        <v>-178.9333</v>
      </c>
      <c r="O12" s="31">
        <f t="shared" si="4"/>
        <v>-178.9333</v>
      </c>
      <c r="P12" s="31">
        <f t="shared" si="4"/>
        <v>-178.9333</v>
      </c>
      <c r="Q12" s="31">
        <f t="shared" si="4"/>
        <v>-178.9333</v>
      </c>
      <c r="R12" s="31">
        <f t="shared" si="4"/>
        <v>-178.9333</v>
      </c>
      <c r="S12" s="31">
        <f t="shared" si="4"/>
        <v>-178.9333</v>
      </c>
      <c r="T12" s="31">
        <f t="shared" si="4"/>
        <v>-178.9333</v>
      </c>
      <c r="U12" s="31">
        <f t="shared" si="4"/>
        <v>-178.9333</v>
      </c>
      <c r="V12" s="31">
        <f t="shared" si="4"/>
        <v>-178.9333</v>
      </c>
      <c r="W12" s="31">
        <f t="shared" si="4"/>
        <v>-178.9333</v>
      </c>
      <c r="X12" s="31">
        <f t="shared" si="4"/>
        <v>-178.9333</v>
      </c>
      <c r="Y12" s="31">
        <f t="shared" si="4"/>
        <v>-178.9333</v>
      </c>
      <c r="Z12" s="31">
        <f t="shared" si="4"/>
        <v>-178.9333</v>
      </c>
      <c r="AA12" s="31">
        <f t="shared" si="4"/>
        <v>-178.9333</v>
      </c>
      <c r="AB12" s="31">
        <f t="shared" si="4"/>
        <v>-178.9333</v>
      </c>
      <c r="AC12" s="31">
        <f t="shared" si="4"/>
        <v>0</v>
      </c>
    </row>
    <row r="13" spans="1:29" ht="12.75">
      <c r="A13" s="25" t="s">
        <v>105</v>
      </c>
      <c r="B13" s="26" t="s">
        <v>106</v>
      </c>
      <c r="C13" s="20"/>
      <c r="D13" s="20"/>
      <c r="E13" s="31"/>
      <c r="F13" s="31"/>
      <c r="G13" s="31">
        <f>F13+E13</f>
        <v>0</v>
      </c>
      <c r="H13" s="33">
        <f>SUM(H14:H15)</f>
        <v>0</v>
      </c>
      <c r="I13" s="33">
        <f aca="true" t="shared" si="5" ref="I13:AC13">SUM(I14:I15)</f>
        <v>214.06681132</v>
      </c>
      <c r="J13" s="33">
        <f t="shared" si="5"/>
        <v>319.46734528</v>
      </c>
      <c r="K13" s="33">
        <f t="shared" si="5"/>
        <v>319.46734528</v>
      </c>
      <c r="L13" s="33">
        <f t="shared" si="5"/>
        <v>319.46734528</v>
      </c>
      <c r="M13" s="33">
        <f t="shared" si="5"/>
        <v>319.46734528</v>
      </c>
      <c r="N13" s="33">
        <f t="shared" si="5"/>
        <v>178.9333</v>
      </c>
      <c r="O13" s="33">
        <f t="shared" si="5"/>
        <v>178.9333</v>
      </c>
      <c r="P13" s="33">
        <f t="shared" si="5"/>
        <v>178.9333</v>
      </c>
      <c r="Q13" s="33">
        <f t="shared" si="5"/>
        <v>178.9333</v>
      </c>
      <c r="R13" s="33">
        <f t="shared" si="5"/>
        <v>178.9333</v>
      </c>
      <c r="S13" s="33">
        <f t="shared" si="5"/>
        <v>178.9333</v>
      </c>
      <c r="T13" s="33">
        <f t="shared" si="5"/>
        <v>178.9333</v>
      </c>
      <c r="U13" s="33">
        <f t="shared" si="5"/>
        <v>178.9333</v>
      </c>
      <c r="V13" s="33">
        <f t="shared" si="5"/>
        <v>178.9333</v>
      </c>
      <c r="W13" s="33">
        <f t="shared" si="5"/>
        <v>178.9333</v>
      </c>
      <c r="X13" s="33">
        <f t="shared" si="5"/>
        <v>178.9333</v>
      </c>
      <c r="Y13" s="33">
        <f t="shared" si="5"/>
        <v>178.9333</v>
      </c>
      <c r="Z13" s="33">
        <f t="shared" si="5"/>
        <v>178.9333</v>
      </c>
      <c r="AA13" s="33">
        <f t="shared" si="5"/>
        <v>178.9333</v>
      </c>
      <c r="AB13" s="33">
        <f t="shared" si="5"/>
        <v>178.9333</v>
      </c>
      <c r="AC13" s="33">
        <f t="shared" si="5"/>
        <v>0</v>
      </c>
    </row>
    <row r="14" spans="1:29" ht="12.75">
      <c r="A14" s="25" t="s">
        <v>107</v>
      </c>
      <c r="B14" s="26" t="s">
        <v>108</v>
      </c>
      <c r="C14" s="20"/>
      <c r="D14" s="20"/>
      <c r="E14" s="31"/>
      <c r="F14" s="31"/>
      <c r="G14" s="31"/>
      <c r="H14" s="31">
        <f>Projection!C29</f>
        <v>0</v>
      </c>
      <c r="I14" s="31">
        <f>Projection!D29</f>
        <v>35.13351132</v>
      </c>
      <c r="J14" s="31">
        <f>Projection!E29</f>
        <v>140.53404528</v>
      </c>
      <c r="K14" s="31">
        <f>Projection!F29</f>
        <v>140.53404528</v>
      </c>
      <c r="L14" s="31">
        <f>Projection!G29</f>
        <v>140.53404528</v>
      </c>
      <c r="M14" s="31">
        <f>Projection!H29</f>
        <v>140.53404528</v>
      </c>
      <c r="N14" s="31">
        <f>Projection!I29</f>
        <v>0</v>
      </c>
      <c r="O14" s="31">
        <f>Projection!J29</f>
        <v>0</v>
      </c>
      <c r="P14" s="31">
        <f>Projection!K29</f>
        <v>0</v>
      </c>
      <c r="Q14" s="31">
        <f>Projection!L29</f>
        <v>0</v>
      </c>
      <c r="R14" s="31">
        <f>Projection!M29</f>
        <v>0</v>
      </c>
      <c r="S14" s="31">
        <f>Projection!N29</f>
        <v>0</v>
      </c>
      <c r="T14" s="31">
        <f>Projection!O29</f>
        <v>0</v>
      </c>
      <c r="U14" s="31">
        <f>Projection!P29</f>
        <v>0</v>
      </c>
      <c r="V14" s="31">
        <f>Projection!Q29</f>
        <v>0</v>
      </c>
      <c r="W14" s="31">
        <f>Projection!R29</f>
        <v>0</v>
      </c>
      <c r="X14" s="31">
        <f>Projection!S29</f>
        <v>0</v>
      </c>
      <c r="Y14" s="31">
        <f>Projection!T29</f>
        <v>0</v>
      </c>
      <c r="Z14" s="31">
        <f>Projection!U29</f>
        <v>0</v>
      </c>
      <c r="AA14" s="31">
        <f>Projection!V29</f>
        <v>0</v>
      </c>
      <c r="AB14" s="31">
        <f>Projection!W29</f>
        <v>0</v>
      </c>
      <c r="AC14" s="31">
        <f>Projection!X29</f>
        <v>0</v>
      </c>
    </row>
    <row r="15" spans="1:29" ht="12.75">
      <c r="A15" s="19" t="s">
        <v>109</v>
      </c>
      <c r="B15" s="20" t="s">
        <v>110</v>
      </c>
      <c r="C15" s="20"/>
      <c r="D15" s="20"/>
      <c r="E15" s="31"/>
      <c r="F15" s="31"/>
      <c r="G15" s="31"/>
      <c r="H15" s="31"/>
      <c r="I15" s="31">
        <f>Projection!D28/3</f>
        <v>178.9333</v>
      </c>
      <c r="J15" s="31">
        <f>Projection!E28/12</f>
        <v>178.9333</v>
      </c>
      <c r="K15" s="31">
        <f>Projection!F28/12</f>
        <v>178.9333</v>
      </c>
      <c r="L15" s="31">
        <f>Projection!G28/12</f>
        <v>178.9333</v>
      </c>
      <c r="M15" s="31">
        <f>Projection!H28/12</f>
        <v>178.9333</v>
      </c>
      <c r="N15" s="31">
        <f>Projection!I28/12</f>
        <v>178.9333</v>
      </c>
      <c r="O15" s="31">
        <f>Projection!J28/12</f>
        <v>178.9333</v>
      </c>
      <c r="P15" s="31">
        <f>Projection!K28/12</f>
        <v>178.9333</v>
      </c>
      <c r="Q15" s="31">
        <f>Projection!L28/12</f>
        <v>178.9333</v>
      </c>
      <c r="R15" s="31">
        <f>Projection!M28/12</f>
        <v>178.9333</v>
      </c>
      <c r="S15" s="31">
        <f>Projection!N28/12</f>
        <v>178.9333</v>
      </c>
      <c r="T15" s="31">
        <f>Projection!O28/12</f>
        <v>178.9333</v>
      </c>
      <c r="U15" s="31">
        <f>Projection!P28/12</f>
        <v>178.9333</v>
      </c>
      <c r="V15" s="31">
        <f>Projection!Q28/12</f>
        <v>178.9333</v>
      </c>
      <c r="W15" s="31">
        <f>Projection!R28/12</f>
        <v>178.9333</v>
      </c>
      <c r="X15" s="31">
        <f>Projection!S28/12</f>
        <v>178.9333</v>
      </c>
      <c r="Y15" s="31">
        <f>Projection!T28/12</f>
        <v>178.9333</v>
      </c>
      <c r="Z15" s="31">
        <f>Projection!U28/12</f>
        <v>178.9333</v>
      </c>
      <c r="AA15" s="31">
        <f>Projection!V28/12</f>
        <v>178.9333</v>
      </c>
      <c r="AB15" s="31">
        <f>Projection!W28/12</f>
        <v>178.9333</v>
      </c>
      <c r="AC15" s="31">
        <v>0</v>
      </c>
    </row>
    <row r="16" spans="1:8" ht="12.75">
      <c r="A16" s="25" t="s">
        <v>111</v>
      </c>
      <c r="B16" s="26" t="s">
        <v>112</v>
      </c>
      <c r="C16" s="20"/>
      <c r="D16" s="20"/>
      <c r="E16" s="31">
        <v>396.5732883456905</v>
      </c>
      <c r="F16" s="31">
        <v>498.93907842910096</v>
      </c>
      <c r="G16" s="31">
        <f>F16+E16</f>
        <v>895.5123667747914</v>
      </c>
      <c r="H16" s="31"/>
    </row>
    <row r="17" spans="1:8" ht="12.75">
      <c r="A17" s="25" t="s">
        <v>113</v>
      </c>
      <c r="B17" s="26" t="s">
        <v>114</v>
      </c>
      <c r="C17" s="20"/>
      <c r="D17" s="20"/>
      <c r="E17" s="31"/>
      <c r="F17" s="31"/>
      <c r="G17" s="31"/>
      <c r="H17" s="31"/>
    </row>
    <row r="18" spans="1:29" ht="12.75">
      <c r="A18" s="19" t="s">
        <v>115</v>
      </c>
      <c r="B18" s="20" t="s">
        <v>116</v>
      </c>
      <c r="C18" s="20"/>
      <c r="D18" s="2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2.75">
      <c r="A19" s="25" t="s">
        <v>117</v>
      </c>
      <c r="B19" s="26" t="s">
        <v>118</v>
      </c>
      <c r="C19" s="20"/>
      <c r="D19" s="2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2.75">
      <c r="A20" s="19" t="s">
        <v>119</v>
      </c>
      <c r="B20" s="20" t="s">
        <v>120</v>
      </c>
      <c r="C20" s="20"/>
      <c r="D20" s="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2.75">
      <c r="A21" s="19"/>
      <c r="B21" s="20"/>
      <c r="C21" s="20"/>
      <c r="D21" s="2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.75">
      <c r="A22" s="27">
        <v>2</v>
      </c>
      <c r="B22" s="28" t="s">
        <v>121</v>
      </c>
      <c r="C22" s="29"/>
      <c r="D22" s="29"/>
      <c r="E22" s="30">
        <v>964.7455079935125</v>
      </c>
      <c r="F22" s="30">
        <v>753.7429216867471</v>
      </c>
      <c r="G22" s="30">
        <f>F22+E22</f>
        <v>1718.4884296802597</v>
      </c>
      <c r="H22" s="30">
        <f>Projection!D14</f>
        <v>20008</v>
      </c>
      <c r="I22" s="30">
        <f>H22-Projection!D69</f>
        <v>19757.9</v>
      </c>
      <c r="J22" s="30">
        <f>I22-Projection!E69</f>
        <v>18757.5</v>
      </c>
      <c r="K22" s="30">
        <f>J22-Projection!F69</f>
        <v>17757.1</v>
      </c>
      <c r="L22" s="30">
        <f>K22-Projection!G69</f>
        <v>16756.699999999997</v>
      </c>
      <c r="M22" s="30">
        <f>L22-Projection!H69</f>
        <v>15756.299999999997</v>
      </c>
      <c r="N22" s="30">
        <f>M22-Projection!I69</f>
        <v>14755.899999999998</v>
      </c>
      <c r="O22" s="30">
        <f>N22-Projection!J69</f>
        <v>13755.499999999998</v>
      </c>
      <c r="P22" s="30">
        <f>O22-Projection!K69</f>
        <v>12755.099999999999</v>
      </c>
      <c r="Q22" s="30">
        <f>P22-Projection!L69</f>
        <v>11754.699999999999</v>
      </c>
      <c r="R22" s="30">
        <f>Q22-Projection!M69</f>
        <v>10754.3</v>
      </c>
      <c r="S22" s="30">
        <f>R22-Projection!N69</f>
        <v>9753.9</v>
      </c>
      <c r="T22" s="30">
        <f>S22-Projection!O69</f>
        <v>8753.5</v>
      </c>
      <c r="U22" s="30">
        <f>T22-Projection!P69</f>
        <v>7753.1</v>
      </c>
      <c r="V22" s="30">
        <f>U22-Projection!Q69</f>
        <v>6752.700000000001</v>
      </c>
      <c r="W22" s="30">
        <f>V22-Projection!R69</f>
        <v>5752.300000000001</v>
      </c>
      <c r="X22" s="30">
        <f>W22-Projection!S69</f>
        <v>4751.9000000000015</v>
      </c>
      <c r="Y22" s="30">
        <f>X22-Projection!T69</f>
        <v>3751.5000000000014</v>
      </c>
      <c r="Z22" s="30">
        <f>Y22-Projection!U69</f>
        <v>2751.1000000000013</v>
      </c>
      <c r="AA22" s="30">
        <f>Z22-Projection!V69</f>
        <v>1750.7000000000012</v>
      </c>
      <c r="AB22" s="30">
        <f>AA22-Projection!W69</f>
        <v>750.3000000000011</v>
      </c>
      <c r="AC22" s="30">
        <f>AB22-Projection!X69</f>
        <v>1.0231815394945443E-12</v>
      </c>
    </row>
    <row r="23" spans="1:29" ht="25.5">
      <c r="A23" s="25" t="s">
        <v>122</v>
      </c>
      <c r="B23" s="26" t="s">
        <v>123</v>
      </c>
      <c r="C23" s="20"/>
      <c r="D23" s="20"/>
      <c r="E23" s="31">
        <v>964.7455079935125</v>
      </c>
      <c r="F23" s="31">
        <v>753.7429216867471</v>
      </c>
      <c r="G23" s="31">
        <f>F23+E23</f>
        <v>1718.4884296802597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2.75">
      <c r="A24" s="25" t="s">
        <v>124</v>
      </c>
      <c r="B24" s="26" t="s">
        <v>125</v>
      </c>
      <c r="C24" s="20"/>
      <c r="D24" s="20"/>
      <c r="E24" s="31">
        <v>28.46550915199259</v>
      </c>
      <c r="F24" s="31">
        <v>51.53292110750696</v>
      </c>
      <c r="G24" s="31">
        <f>F24+E24</f>
        <v>79.99843025949954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2.75">
      <c r="A25" s="19" t="s">
        <v>126</v>
      </c>
      <c r="B25" s="20" t="s">
        <v>127</v>
      </c>
      <c r="C25" s="20"/>
      <c r="D25" s="2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2.75">
      <c r="A26" s="25" t="s">
        <v>128</v>
      </c>
      <c r="B26" s="26" t="s">
        <v>129</v>
      </c>
      <c r="C26" s="20"/>
      <c r="D26" s="20"/>
      <c r="E26" s="31">
        <v>936.27999884152</v>
      </c>
      <c r="F26" s="31">
        <v>702.21000057924</v>
      </c>
      <c r="G26" s="31">
        <f>F26+E26</f>
        <v>1638.48999942076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2.75">
      <c r="A27" s="19" t="s">
        <v>130</v>
      </c>
      <c r="B27" s="20" t="s">
        <v>131</v>
      </c>
      <c r="C27" s="20"/>
      <c r="D27" s="2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2.75">
      <c r="A28" s="19"/>
      <c r="B28" s="20"/>
      <c r="C28" s="20"/>
      <c r="D28" s="2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2.75">
      <c r="A29" s="21" t="s">
        <v>132</v>
      </c>
      <c r="B29" s="22"/>
      <c r="C29" s="23"/>
      <c r="D29" s="23"/>
      <c r="E29" s="24">
        <v>1507.0379575996292</v>
      </c>
      <c r="F29" s="24">
        <v>1492.7923916821132</v>
      </c>
      <c r="G29" s="24">
        <f>F29+E29</f>
        <v>2999.830349281742</v>
      </c>
      <c r="H29" s="24">
        <f aca="true" t="shared" si="6" ref="H29:M29">H31+H56+H61</f>
        <v>20008</v>
      </c>
      <c r="I29" s="24">
        <f t="shared" si="6"/>
        <v>19816.694674004328</v>
      </c>
      <c r="J29" s="24">
        <f t="shared" si="6"/>
        <v>19030.631274117197</v>
      </c>
      <c r="K29" s="24">
        <f t="shared" si="6"/>
        <v>18193.30043066865</v>
      </c>
      <c r="L29" s="24">
        <f t="shared" si="6"/>
        <v>17222.566788921395</v>
      </c>
      <c r="M29" s="24">
        <f t="shared" si="6"/>
        <v>16235.517748224307</v>
      </c>
      <c r="N29" s="24">
        <f aca="true" t="shared" si="7" ref="N29:AA29">N31+N56+N61</f>
        <v>15119.137444163152</v>
      </c>
      <c r="O29" s="24">
        <f t="shared" si="7"/>
        <v>13985.074551068132</v>
      </c>
      <c r="P29" s="24">
        <f t="shared" si="7"/>
        <v>12832.6017680396</v>
      </c>
      <c r="Q29" s="24">
        <f t="shared" si="7"/>
        <v>11660.960967518877</v>
      </c>
      <c r="R29" s="24">
        <f t="shared" si="7"/>
        <v>10469.361858253409</v>
      </c>
      <c r="S29" s="24">
        <f t="shared" si="7"/>
        <v>9256.980589284925</v>
      </c>
      <c r="T29" s="24">
        <f t="shared" si="7"/>
        <v>8022.958292327864</v>
      </c>
      <c r="U29" s="24">
        <f t="shared" si="7"/>
        <v>7226.881168993285</v>
      </c>
      <c r="V29" s="24">
        <f t="shared" si="7"/>
        <v>7824.436414777579</v>
      </c>
      <c r="W29" s="24">
        <f t="shared" si="7"/>
        <v>7931.233300000038</v>
      </c>
      <c r="X29" s="24">
        <f t="shared" si="7"/>
        <v>6930.8333000000375</v>
      </c>
      <c r="Y29" s="24">
        <f t="shared" si="7"/>
        <v>5930.433300000038</v>
      </c>
      <c r="Z29" s="24">
        <f t="shared" si="7"/>
        <v>4930.033300000037</v>
      </c>
      <c r="AA29" s="24">
        <f t="shared" si="7"/>
        <v>3929.633300000037</v>
      </c>
      <c r="AB29" s="24">
        <f>AB31+AB56+AB61</f>
        <v>2929.233300000038</v>
      </c>
      <c r="AC29" s="24">
        <f>AC31+AC56+AC61</f>
        <v>2000.000000000036</v>
      </c>
    </row>
    <row r="30" spans="1:29" ht="12.75">
      <c r="A30" s="19"/>
      <c r="B30" s="20"/>
      <c r="C30" s="20"/>
      <c r="D30" s="2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2.75">
      <c r="A31" s="27">
        <v>3</v>
      </c>
      <c r="B31" s="28" t="s">
        <v>133</v>
      </c>
      <c r="C31" s="29"/>
      <c r="D31" s="29"/>
      <c r="E31" s="30">
        <v>0.6983955050973124</v>
      </c>
      <c r="F31" s="30">
        <v>351.51462291473587</v>
      </c>
      <c r="G31" s="30">
        <f>F31+E31</f>
        <v>352.2130184198332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1:29" ht="12.75">
      <c r="A32" s="25" t="s">
        <v>134</v>
      </c>
      <c r="B32" s="26" t="s">
        <v>135</v>
      </c>
      <c r="C32" s="20"/>
      <c r="D32" s="20"/>
      <c r="E32" s="31"/>
      <c r="F32" s="31"/>
      <c r="G32" s="31">
        <f>F32+E32</f>
        <v>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2.75">
      <c r="A33" s="25" t="s">
        <v>136</v>
      </c>
      <c r="B33" s="26" t="s">
        <v>108</v>
      </c>
      <c r="C33" s="20"/>
      <c r="D33" s="2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2.75" customHeight="1">
      <c r="A34" s="19" t="s">
        <v>137</v>
      </c>
      <c r="B34" s="20" t="s">
        <v>138</v>
      </c>
      <c r="C34" s="20"/>
      <c r="D34" s="2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2.75">
      <c r="A35" s="25" t="s">
        <v>139</v>
      </c>
      <c r="B35" s="26" t="s">
        <v>140</v>
      </c>
      <c r="C35" s="20"/>
      <c r="D35" s="20"/>
      <c r="E35" s="31"/>
      <c r="F35" s="31"/>
      <c r="G35" s="31">
        <f>F35+E35</f>
        <v>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2.75">
      <c r="A36" s="25" t="s">
        <v>141</v>
      </c>
      <c r="B36" s="26" t="s">
        <v>108</v>
      </c>
      <c r="C36" s="20"/>
      <c r="D36" s="2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2.75">
      <c r="A37" s="19" t="s">
        <v>142</v>
      </c>
      <c r="B37" s="20" t="s">
        <v>143</v>
      </c>
      <c r="C37" s="20"/>
      <c r="D37" s="20"/>
      <c r="E37" s="31">
        <v>0.6966577849860982</v>
      </c>
      <c r="F37" s="31">
        <v>0.08236793327154773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2.75">
      <c r="A38" s="19" t="s">
        <v>144</v>
      </c>
      <c r="B38" s="20" t="s">
        <v>145</v>
      </c>
      <c r="C38" s="20"/>
      <c r="D38" s="20"/>
      <c r="E38" s="31">
        <v>0.3306591751621872</v>
      </c>
      <c r="F38" s="31">
        <v>351.3790025486561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2.75">
      <c r="A39" s="19" t="s">
        <v>146</v>
      </c>
      <c r="B39" s="20" t="s">
        <v>147</v>
      </c>
      <c r="C39" s="20"/>
      <c r="D39" s="20"/>
      <c r="E39" s="31">
        <v>0.365998609823911</v>
      </c>
      <c r="F39" s="31">
        <v>0.035498725671918446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2.75">
      <c r="A40" s="25" t="s">
        <v>148</v>
      </c>
      <c r="B40" s="26" t="s">
        <v>149</v>
      </c>
      <c r="C40" s="20"/>
      <c r="D40" s="20"/>
      <c r="E40" s="31"/>
      <c r="F40" s="31"/>
      <c r="G40" s="31">
        <f>F40+E40</f>
        <v>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2.75">
      <c r="A41" s="25" t="s">
        <v>150</v>
      </c>
      <c r="B41" s="26" t="s">
        <v>151</v>
      </c>
      <c r="C41" s="20"/>
      <c r="D41" s="2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2.75">
      <c r="A42" s="19" t="s">
        <v>152</v>
      </c>
      <c r="B42" s="20" t="s">
        <v>153</v>
      </c>
      <c r="C42" s="20"/>
      <c r="D42" s="2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2.75">
      <c r="A43" s="25" t="s">
        <v>154</v>
      </c>
      <c r="B43" s="26" t="s">
        <v>155</v>
      </c>
      <c r="C43" s="20"/>
      <c r="D43" s="2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2" customHeight="1">
      <c r="A44" s="19" t="s">
        <v>156</v>
      </c>
      <c r="B44" s="20" t="s">
        <v>157</v>
      </c>
      <c r="C44" s="20"/>
      <c r="D44" s="2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2" customHeight="1">
      <c r="A45" s="25" t="s">
        <v>158</v>
      </c>
      <c r="B45" s="26" t="s">
        <v>159</v>
      </c>
      <c r="C45" s="20"/>
      <c r="D45" s="2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2" customHeight="1">
      <c r="A46" s="19" t="s">
        <v>160</v>
      </c>
      <c r="B46" s="20" t="s">
        <v>159</v>
      </c>
      <c r="C46" s="20"/>
      <c r="D46" s="2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2" customHeight="1">
      <c r="A47" s="25" t="s">
        <v>161</v>
      </c>
      <c r="B47" s="26" t="s">
        <v>162</v>
      </c>
      <c r="C47" s="20"/>
      <c r="D47" s="2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2" customHeight="1">
      <c r="A48" s="19" t="s">
        <v>163</v>
      </c>
      <c r="B48" s="20" t="s">
        <v>164</v>
      </c>
      <c r="C48" s="20"/>
      <c r="D48" s="2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2.75">
      <c r="A49" s="25" t="s">
        <v>165</v>
      </c>
      <c r="B49" s="26" t="s">
        <v>166</v>
      </c>
      <c r="C49" s="20"/>
      <c r="D49" s="2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2.75">
      <c r="A50" s="19" t="s">
        <v>167</v>
      </c>
      <c r="B50" s="20" t="s">
        <v>168</v>
      </c>
      <c r="C50" s="20"/>
      <c r="D50" s="2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2.75">
      <c r="A51" s="25" t="s">
        <v>169</v>
      </c>
      <c r="B51" s="26" t="s">
        <v>170</v>
      </c>
      <c r="C51" s="20"/>
      <c r="D51" s="20"/>
      <c r="E51" s="31">
        <v>0.0017377201112140873</v>
      </c>
      <c r="F51" s="31">
        <v>0.017753707136237258</v>
      </c>
      <c r="G51" s="31">
        <f>F51+E51</f>
        <v>0.019491427247451346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2.75">
      <c r="A52" s="25" t="s">
        <v>171</v>
      </c>
      <c r="B52" s="26" t="s">
        <v>172</v>
      </c>
      <c r="C52" s="20"/>
      <c r="D52" s="20"/>
      <c r="E52" s="31">
        <v>0.0017377201112140873</v>
      </c>
      <c r="F52" s="31">
        <v>0.017753707136237258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2.75">
      <c r="A53" s="19" t="s">
        <v>173</v>
      </c>
      <c r="B53" s="20" t="s">
        <v>174</v>
      </c>
      <c r="C53" s="20"/>
      <c r="D53" s="2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2.75" customHeight="1">
      <c r="A54" s="19" t="s">
        <v>175</v>
      </c>
      <c r="B54" s="20" t="s">
        <v>176</v>
      </c>
      <c r="C54" s="20"/>
      <c r="D54" s="2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2.75">
      <c r="A55" s="19"/>
      <c r="B55" s="20"/>
      <c r="C55" s="20"/>
      <c r="D55" s="2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2.75">
      <c r="A56" s="27">
        <v>4</v>
      </c>
      <c r="B56" s="28" t="s">
        <v>177</v>
      </c>
      <c r="C56" s="29"/>
      <c r="D56" s="29"/>
      <c r="E56" s="30">
        <v>1511.991496756256</v>
      </c>
      <c r="F56" s="30">
        <v>1175.05812384152</v>
      </c>
      <c r="G56" s="30">
        <f>F56+E56</f>
        <v>2687.049620597776</v>
      </c>
      <c r="H56" s="30">
        <f>Projection!D17</f>
        <v>17006.8</v>
      </c>
      <c r="I56" s="30">
        <f>Projection!D63</f>
        <v>16737.644890793563</v>
      </c>
      <c r="J56" s="30">
        <f>Projection!E63</f>
        <v>15630.401934282581</v>
      </c>
      <c r="K56" s="30">
        <f>Projection!F63</f>
        <v>14472.485908277964</v>
      </c>
      <c r="L56" s="30">
        <f>Projection!G63</f>
        <v>13261.5777553797</v>
      </c>
      <c r="M56" s="30">
        <f>Projection!H63</f>
        <v>11995.25228632566</v>
      </c>
      <c r="N56" s="30">
        <f>Projection!I63</f>
        <v>10670.973322857766</v>
      </c>
      <c r="O56" s="30">
        <f>Projection!J63</f>
        <v>9286.088618301012</v>
      </c>
      <c r="P56" s="30">
        <f>Projection!K63</f>
        <v>7837.824545682337</v>
      </c>
      <c r="Q56" s="30">
        <f>Projection!L63</f>
        <v>6323.280542750811</v>
      </c>
      <c r="R56" s="30">
        <f>Projection!M63</f>
        <v>4739.423302773683</v>
      </c>
      <c r="S56" s="30">
        <f>Projection!N63</f>
        <v>3083.080699473708</v>
      </c>
      <c r="T56" s="30">
        <f>Projection!O63</f>
        <v>1350.9354339407153</v>
      </c>
      <c r="U56" s="30">
        <f>Projection!P63</f>
        <v>-3.9108272176235914E-11</v>
      </c>
      <c r="V56" s="30">
        <f>Projection!Q63</f>
        <v>0</v>
      </c>
      <c r="W56" s="30">
        <f>Projection!R63</f>
        <v>0</v>
      </c>
      <c r="X56" s="30">
        <f>Projection!S63</f>
        <v>0</v>
      </c>
      <c r="Y56" s="30">
        <f>Projection!T63</f>
        <v>0</v>
      </c>
      <c r="Z56" s="30">
        <f>Projection!U63</f>
        <v>0</v>
      </c>
      <c r="AA56" s="30">
        <f>Projection!V63</f>
        <v>0</v>
      </c>
      <c r="AB56" s="30">
        <f>Projection!W63</f>
        <v>0</v>
      </c>
      <c r="AC56" s="30">
        <f>Projection!X63</f>
        <v>0</v>
      </c>
    </row>
    <row r="57" spans="1:29" ht="12.75">
      <c r="A57" s="25" t="s">
        <v>178</v>
      </c>
      <c r="B57" s="26" t="s">
        <v>179</v>
      </c>
      <c r="C57" s="20"/>
      <c r="D57" s="20"/>
      <c r="E57" s="31">
        <v>1511.991496756256</v>
      </c>
      <c r="F57" s="31">
        <v>1175.05812384152</v>
      </c>
      <c r="G57" s="31">
        <f>F57+E57</f>
        <v>2687.049620597776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2.75">
      <c r="A58" s="19" t="s">
        <v>180</v>
      </c>
      <c r="B58" s="20" t="s">
        <v>181</v>
      </c>
      <c r="C58" s="20"/>
      <c r="D58" s="2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2.75">
      <c r="A59" s="19" t="s">
        <v>182</v>
      </c>
      <c r="B59" s="20" t="s">
        <v>183</v>
      </c>
      <c r="C59" s="20"/>
      <c r="D59" s="2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2.75">
      <c r="A60" s="19"/>
      <c r="B60" s="20"/>
      <c r="C60" s="20"/>
      <c r="D60" s="2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2.75">
      <c r="A61" s="27">
        <v>5</v>
      </c>
      <c r="B61" s="28" t="s">
        <v>184</v>
      </c>
      <c r="C61" s="29"/>
      <c r="D61" s="29"/>
      <c r="E61" s="30">
        <v>-5.651934661723819</v>
      </c>
      <c r="F61" s="30">
        <v>-33.780355074142726</v>
      </c>
      <c r="G61" s="30">
        <f>F61+E61</f>
        <v>-39.43228973586655</v>
      </c>
      <c r="H61" s="30">
        <f>Projection!D16</f>
        <v>3001.2</v>
      </c>
      <c r="I61" s="30">
        <f aca="true" t="shared" si="8" ref="I61:AC61">SUM(I62:I64)</f>
        <v>3079.0497832107653</v>
      </c>
      <c r="J61" s="30">
        <f t="shared" si="8"/>
        <v>3400.229339834616</v>
      </c>
      <c r="K61" s="30">
        <f t="shared" si="8"/>
        <v>3720.814522390684</v>
      </c>
      <c r="L61" s="30">
        <f t="shared" si="8"/>
        <v>3960.9890335416953</v>
      </c>
      <c r="M61" s="30">
        <f t="shared" si="8"/>
        <v>4240.265461898647</v>
      </c>
      <c r="N61" s="30">
        <f t="shared" si="8"/>
        <v>4448.164121305386</v>
      </c>
      <c r="O61" s="30">
        <f t="shared" si="8"/>
        <v>4698.98593276712</v>
      </c>
      <c r="P61" s="30">
        <f t="shared" si="8"/>
        <v>4994.777222357264</v>
      </c>
      <c r="Q61" s="30">
        <f t="shared" si="8"/>
        <v>5337.680424768067</v>
      </c>
      <c r="R61" s="30">
        <f t="shared" si="8"/>
        <v>5729.938555479726</v>
      </c>
      <c r="S61" s="30">
        <f t="shared" si="8"/>
        <v>6173.899889811217</v>
      </c>
      <c r="T61" s="30">
        <f t="shared" si="8"/>
        <v>6672.0228583871485</v>
      </c>
      <c r="U61" s="30">
        <f t="shared" si="8"/>
        <v>7226.8811689933245</v>
      </c>
      <c r="V61" s="30">
        <f t="shared" si="8"/>
        <v>7824.436414777579</v>
      </c>
      <c r="W61" s="30">
        <f t="shared" si="8"/>
        <v>7931.233300000038</v>
      </c>
      <c r="X61" s="30">
        <f t="shared" si="8"/>
        <v>6930.8333000000375</v>
      </c>
      <c r="Y61" s="30">
        <f t="shared" si="8"/>
        <v>5930.433300000038</v>
      </c>
      <c r="Z61" s="30">
        <f t="shared" si="8"/>
        <v>4930.033300000037</v>
      </c>
      <c r="AA61" s="30">
        <f t="shared" si="8"/>
        <v>3929.633300000037</v>
      </c>
      <c r="AB61" s="30">
        <f t="shared" si="8"/>
        <v>2929.233300000038</v>
      </c>
      <c r="AC61" s="30">
        <f t="shared" si="8"/>
        <v>2000.000000000036</v>
      </c>
    </row>
    <row r="62" spans="1:29" ht="12.75">
      <c r="A62" s="19" t="s">
        <v>185</v>
      </c>
      <c r="B62" s="20" t="s">
        <v>186</v>
      </c>
      <c r="C62" s="20"/>
      <c r="D62" s="20"/>
      <c r="E62" s="31">
        <v>13.901760889712698</v>
      </c>
      <c r="F62" s="31">
        <v>2.896200185356812</v>
      </c>
      <c r="G62" s="31">
        <f>F62+E62</f>
        <v>16.79796107506951</v>
      </c>
      <c r="H62" s="31"/>
      <c r="I62" s="31">
        <f>H61</f>
        <v>3001.2</v>
      </c>
      <c r="J62" s="31">
        <f>I62</f>
        <v>3001.2</v>
      </c>
      <c r="K62" s="31">
        <f>J62</f>
        <v>3001.2</v>
      </c>
      <c r="L62" s="31">
        <f>K62</f>
        <v>3001.2</v>
      </c>
      <c r="M62" s="31">
        <f>L62</f>
        <v>3001.2</v>
      </c>
      <c r="N62" s="31">
        <f aca="true" t="shared" si="9" ref="N62:AA62">M62</f>
        <v>3001.2</v>
      </c>
      <c r="O62" s="31">
        <f t="shared" si="9"/>
        <v>3001.2</v>
      </c>
      <c r="P62" s="31">
        <f t="shared" si="9"/>
        <v>3001.2</v>
      </c>
      <c r="Q62" s="31">
        <f t="shared" si="9"/>
        <v>3001.2</v>
      </c>
      <c r="R62" s="31">
        <f t="shared" si="9"/>
        <v>3001.2</v>
      </c>
      <c r="S62" s="31">
        <f t="shared" si="9"/>
        <v>3001.2</v>
      </c>
      <c r="T62" s="31">
        <f t="shared" si="9"/>
        <v>3001.2</v>
      </c>
      <c r="U62" s="31">
        <f t="shared" si="9"/>
        <v>3001.2</v>
      </c>
      <c r="V62" s="31">
        <f t="shared" si="9"/>
        <v>3001.2</v>
      </c>
      <c r="W62" s="31">
        <f t="shared" si="9"/>
        <v>3001.2</v>
      </c>
      <c r="X62" s="31">
        <f t="shared" si="9"/>
        <v>3001.2</v>
      </c>
      <c r="Y62" s="31">
        <f t="shared" si="9"/>
        <v>3001.2</v>
      </c>
      <c r="Z62" s="31">
        <f t="shared" si="9"/>
        <v>3001.2</v>
      </c>
      <c r="AA62" s="31">
        <f t="shared" si="9"/>
        <v>3001.2</v>
      </c>
      <c r="AB62" s="31">
        <f>AA62</f>
        <v>3001.2</v>
      </c>
      <c r="AC62" s="31">
        <f>AB62</f>
        <v>3001.2</v>
      </c>
    </row>
    <row r="63" spans="1:29" ht="12.75">
      <c r="A63" s="19" t="s">
        <v>187</v>
      </c>
      <c r="B63" s="20" t="s">
        <v>194</v>
      </c>
      <c r="C63" s="20"/>
      <c r="D63" s="20"/>
      <c r="E63" s="31">
        <v>2.9161839666357743</v>
      </c>
      <c r="F63" s="31">
        <v>-4.133112256719184</v>
      </c>
      <c r="G63" s="31">
        <f>F63+E63</f>
        <v>-1.21692829008341</v>
      </c>
      <c r="H63" s="31"/>
      <c r="I63" s="31">
        <f>H63+H64-I65</f>
        <v>0</v>
      </c>
      <c r="J63" s="31">
        <f>I63+I64-J65</f>
        <v>77.84978321076542</v>
      </c>
      <c r="K63" s="31">
        <f aca="true" t="shared" si="10" ref="K63:AC63">J63+J64-K65</f>
        <v>399.02933983461594</v>
      </c>
      <c r="L63" s="31">
        <f t="shared" si="10"/>
        <v>719.6145223906843</v>
      </c>
      <c r="M63" s="31">
        <f t="shared" si="10"/>
        <v>959.7890335416956</v>
      </c>
      <c r="N63" s="31">
        <f t="shared" si="10"/>
        <v>1239.0654618986475</v>
      </c>
      <c r="O63" s="31">
        <f t="shared" si="10"/>
        <v>1446.9641213053867</v>
      </c>
      <c r="P63" s="31">
        <f t="shared" si="10"/>
        <v>1697.7859327671204</v>
      </c>
      <c r="Q63" s="31">
        <f t="shared" si="10"/>
        <v>1993.5772223572644</v>
      </c>
      <c r="R63" s="31">
        <f t="shared" si="10"/>
        <v>2336.4804247680663</v>
      </c>
      <c r="S63" s="31">
        <f t="shared" si="10"/>
        <v>2728.7385554797256</v>
      </c>
      <c r="T63" s="31">
        <f t="shared" si="10"/>
        <v>3172.699889811217</v>
      </c>
      <c r="U63" s="31">
        <f t="shared" si="10"/>
        <v>3670.822858387149</v>
      </c>
      <c r="V63" s="31">
        <f t="shared" si="10"/>
        <v>4225.681168993325</v>
      </c>
      <c r="W63" s="31">
        <f t="shared" si="10"/>
        <v>4339.06251580311</v>
      </c>
      <c r="X63" s="31">
        <f t="shared" si="10"/>
        <v>3345.4445112380545</v>
      </c>
      <c r="Y63" s="31">
        <f t="shared" si="10"/>
        <v>2352.029966536048</v>
      </c>
      <c r="Z63" s="31">
        <f t="shared" si="10"/>
        <v>1358.8249854929804</v>
      </c>
      <c r="AA63" s="31">
        <f t="shared" si="10"/>
        <v>365.8358550186217</v>
      </c>
      <c r="AB63" s="31">
        <f t="shared" si="10"/>
        <v>-626.9309493699664</v>
      </c>
      <c r="AC63" s="31">
        <f t="shared" si="10"/>
        <v>-1417.4231870274675</v>
      </c>
    </row>
    <row r="64" spans="1:29" ht="12.75">
      <c r="A64" s="19" t="s">
        <v>188</v>
      </c>
      <c r="B64" s="20" t="s">
        <v>193</v>
      </c>
      <c r="C64" s="20"/>
      <c r="D64" s="20"/>
      <c r="E64" s="15">
        <v>-22.46987951807229</v>
      </c>
      <c r="F64" s="31">
        <v>-32.54344300278035</v>
      </c>
      <c r="G64" s="31">
        <f>F64+E64</f>
        <v>-55.01332252085264</v>
      </c>
      <c r="H64" s="31"/>
      <c r="I64" s="31">
        <f>Projection!D52</f>
        <v>77.84978321076542</v>
      </c>
      <c r="J64" s="31">
        <f>Projection!E52</f>
        <v>321.1795566238505</v>
      </c>
      <c r="K64" s="31">
        <f>Projection!F52</f>
        <v>320.5851825560684</v>
      </c>
      <c r="L64" s="31">
        <f>Projection!G52</f>
        <v>240.17451115101127</v>
      </c>
      <c r="M64" s="31">
        <f>Projection!H52</f>
        <v>279.27642835695195</v>
      </c>
      <c r="N64" s="31">
        <f>Projection!I52</f>
        <v>207.89865940673909</v>
      </c>
      <c r="O64" s="31">
        <f>Projection!J52</f>
        <v>250.8218114617336</v>
      </c>
      <c r="P64" s="31">
        <f>Projection!K52</f>
        <v>295.791289590144</v>
      </c>
      <c r="Q64" s="31">
        <f>Projection!L52</f>
        <v>342.90320241080195</v>
      </c>
      <c r="R64" s="31">
        <f>Projection!M52</f>
        <v>392.25813071165936</v>
      </c>
      <c r="S64" s="31">
        <f>Projection!N52</f>
        <v>443.96133433149134</v>
      </c>
      <c r="T64" s="31">
        <f>Projection!O52</f>
        <v>498.1229685759321</v>
      </c>
      <c r="U64" s="31">
        <f>Projection!P52</f>
        <v>554.8583106061759</v>
      </c>
      <c r="V64" s="31">
        <f>Projection!Q52</f>
        <v>597.5552457842539</v>
      </c>
      <c r="W64" s="31">
        <f>Projection!R52</f>
        <v>590.9707841969285</v>
      </c>
      <c r="X64" s="31">
        <f>Projection!S52</f>
        <v>584.1887887619832</v>
      </c>
      <c r="Y64" s="31">
        <f>Projection!T52</f>
        <v>577.2033334639898</v>
      </c>
      <c r="Z64" s="31">
        <f>Projection!U52</f>
        <v>570.0083145070568</v>
      </c>
      <c r="AA64" s="31">
        <f>Projection!V52</f>
        <v>562.5974449814155</v>
      </c>
      <c r="AB64" s="31">
        <f>Projection!W52</f>
        <v>554.964249370005</v>
      </c>
      <c r="AC64" s="31">
        <f>Projection!X52</f>
        <v>416.22318702750374</v>
      </c>
    </row>
    <row r="65" spans="2:29" ht="12.75">
      <c r="B65" s="14" t="s">
        <v>195</v>
      </c>
      <c r="I65" s="33">
        <f>IF(I11&gt;=$D$10,Projection!C71+$H$61-$D$10+I12-SUM($H$65:H65),0)</f>
        <v>0</v>
      </c>
      <c r="J65" s="33">
        <f>IF(J11&gt;=$D$10,Projection!E71+$H$61-$D$10+J12-SUM($H$65:I65),0)</f>
        <v>0</v>
      </c>
      <c r="K65" s="33">
        <f>IF(K11&gt;=$D$10,Projection!F71+$H$61-$D$10+K12-SUM($H$65:J65),0)</f>
        <v>0</v>
      </c>
      <c r="L65" s="33">
        <f>IF(L11&gt;=$D$10,Projection!G71+$H$61-$D$10+L12-SUM($H$65:K65),0)</f>
        <v>0</v>
      </c>
      <c r="M65" s="33">
        <f>IF(M11&gt;=$D$10,Projection!H71+$H$61-$D$10+M12-SUM($H$65:L65),0)</f>
        <v>0</v>
      </c>
      <c r="N65" s="33">
        <f>IF(N11&gt;=$D$10,Projection!I71+$H$61-$D$10+N12-SUM($H$65:M65),0)</f>
        <v>0</v>
      </c>
      <c r="O65" s="33">
        <f>IF(O11&gt;=$D$10,Projection!J71+$H$61-$D$10+O12-SUM($H$65:N65),0)</f>
        <v>0</v>
      </c>
      <c r="P65" s="33">
        <f>IF(P11&gt;=$D$10,Projection!K71+$H$61-$D$10+P12-SUM($H$65:O65),0)</f>
        <v>0</v>
      </c>
      <c r="Q65" s="33">
        <f>IF(Q11&gt;=$D$10,Projection!L71+$H$61-$D$10+Q12-SUM($H$65:P65),0)</f>
        <v>0</v>
      </c>
      <c r="R65" s="33">
        <f>IF(R11&gt;=$D$10,Projection!M71+$H$61-$D$10+R12-SUM($H$65:Q65),0)</f>
        <v>0</v>
      </c>
      <c r="S65" s="33">
        <f>IF(S11&gt;=$D$10,Projection!N71+$H$61-$D$10+S12-SUM($H$65:R65),0)</f>
        <v>0</v>
      </c>
      <c r="T65" s="33">
        <f>IF(T11&gt;=$D$10,Projection!O71+$H$61-$D$10+T12-SUM($H$65:S65),0)</f>
        <v>0</v>
      </c>
      <c r="U65" s="33">
        <f>IF(U11&gt;=$D$10,Projection!P71+$H$61-$D$10+U12-SUM($H$65:T65),0)</f>
        <v>0</v>
      </c>
      <c r="V65" s="33">
        <f>IF(V11&gt;=$D$10,Projection!Q71+$H$61-$D$10+V12-SUM($H$65:U65),0)</f>
        <v>0</v>
      </c>
      <c r="W65" s="33">
        <f>IF(W11&gt;=$D$10,Projection!R71+$H$61-$D$10+W12-SUM($H$65:V65),0)</f>
        <v>484.17389897446867</v>
      </c>
      <c r="X65" s="33">
        <f>IF(X11&gt;=$D$10,Projection!S71+$H$61-$D$10+X12-SUM($H$65:W65),0)</f>
        <v>1584.5887887619838</v>
      </c>
      <c r="Y65" s="33">
        <f>IF(Y11&gt;=$D$10,Projection!T71+$H$61-$D$10+Y12-SUM($H$65:X65),0)</f>
        <v>1577.6033334639897</v>
      </c>
      <c r="Z65" s="33">
        <f>IF(Z11&gt;=$D$10,Projection!U71+$H$61-$D$10+Z12-SUM($H$65:Y65),0)</f>
        <v>1570.4083145070576</v>
      </c>
      <c r="AA65" s="33">
        <f>IF(AA11&gt;=$D$10,Projection!V71+$H$61-$D$10+AA12-SUM($H$65:Z65),0)</f>
        <v>1562.9974449814154</v>
      </c>
      <c r="AB65" s="33">
        <f>IF(AB11&gt;=$D$10,Projection!W71+$H$61-$D$10+AB12-SUM($H$65:AA65),0)</f>
        <v>1555.3642493700036</v>
      </c>
      <c r="AC65" s="33">
        <f>IF(AC11&gt;=$D$10,Projection!X71+$H$61-$D$10+AC12-SUM($H$65:AB65),0)</f>
        <v>1345.4564870275062</v>
      </c>
    </row>
    <row r="66" ht="12.75">
      <c r="O66" s="33"/>
    </row>
    <row r="67" spans="14:16" ht="12.75">
      <c r="N67" s="33"/>
      <c r="O67" s="33"/>
      <c r="P67" s="33"/>
    </row>
  </sheetData>
  <mergeCells count="5">
    <mergeCell ref="C5:C6"/>
    <mergeCell ref="A3:A4"/>
    <mergeCell ref="B3:B4"/>
    <mergeCell ref="A5:A6"/>
    <mergeCell ref="B5:B6"/>
  </mergeCells>
  <printOptions/>
  <pageMargins left="0.75" right="0.75" top="0.63" bottom="0.31" header="0.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Baltic Business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Hannu Lamp</cp:lastModifiedBy>
  <cp:lastPrinted>2006-04-24T12:38:44Z</cp:lastPrinted>
  <dcterms:created xsi:type="dcterms:W3CDTF">2006-03-08T12:25:55Z</dcterms:created>
  <dcterms:modified xsi:type="dcterms:W3CDTF">2007-05-23T13:04:38Z</dcterms:modified>
  <cp:category/>
  <cp:version/>
  <cp:contentType/>
  <cp:contentStatus/>
</cp:coreProperties>
</file>