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16" yWindow="1455" windowWidth="18075" windowHeight="4815" activeTab="1"/>
  </bookViews>
  <sheets>
    <sheet name="calcul-s" sheetId="1" r:id="rId1"/>
    <sheet name="2004-2007" sheetId="2" r:id="rId2"/>
    <sheet name="2008-2012" sheetId="3" r:id="rId3"/>
    <sheet name="2013-2020" sheetId="4" r:id="rId4"/>
  </sheets>
  <externalReferences>
    <externalReference r:id="rId7"/>
  </externalReferences>
  <definedNames>
    <definedName name="_xlnm.Print_Area" localSheetId="0">'calcul-s'!$B$9:$L$49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<sst xmlns="http://schemas.openxmlformats.org/spreadsheetml/2006/main" count="353" uniqueCount="101">
  <si>
    <t>tCO2/t clnk</t>
  </si>
  <si>
    <t>no slag emissions</t>
  </si>
  <si>
    <t>Baseline scenario</t>
  </si>
  <si>
    <t>calcination emission</t>
  </si>
  <si>
    <t>fuel emission</t>
  </si>
  <si>
    <t>clinker production</t>
  </si>
  <si>
    <t>%</t>
  </si>
  <si>
    <t>slag addition</t>
  </si>
  <si>
    <t>t clnk</t>
  </si>
  <si>
    <t>total emission baseline</t>
  </si>
  <si>
    <t>Project scenario</t>
  </si>
  <si>
    <t>GJ/t clnk</t>
  </si>
  <si>
    <t>kiln fuel efficiency increase</t>
  </si>
  <si>
    <t>GJ/t clnk/1% slag</t>
  </si>
  <si>
    <t>Fuel emission NG</t>
  </si>
  <si>
    <t>tCO2/GJ</t>
  </si>
  <si>
    <t>Baseline kiln efficency (4% slag)</t>
  </si>
  <si>
    <t>Fuel emission coal</t>
  </si>
  <si>
    <t>Fuel switch to coal 1 Jan 2010</t>
  </si>
  <si>
    <t>fuel type</t>
  </si>
  <si>
    <t>NG</t>
  </si>
  <si>
    <t>coal</t>
  </si>
  <si>
    <t>NG or coal</t>
  </si>
  <si>
    <t>tCO2</t>
  </si>
  <si>
    <t>tCO2/y</t>
  </si>
  <si>
    <t>Emission reduction</t>
  </si>
  <si>
    <t>Assumptions</t>
  </si>
  <si>
    <t>AAU</t>
  </si>
  <si>
    <t>ERU</t>
  </si>
  <si>
    <t>Project emissions and leakage</t>
  </si>
  <si>
    <t>[tCO2/yr]</t>
  </si>
  <si>
    <t>Calcination emissions</t>
  </si>
  <si>
    <t>Dust from kiln</t>
  </si>
  <si>
    <t>Leakage</t>
  </si>
  <si>
    <t>Total</t>
  </si>
  <si>
    <t>Total 2008 - 2012</t>
  </si>
  <si>
    <t>[tCO2]</t>
  </si>
  <si>
    <t>Project emissions</t>
  </si>
  <si>
    <t>Project leakage</t>
  </si>
  <si>
    <t>Baseline emissions</t>
  </si>
  <si>
    <t>Reductions</t>
  </si>
  <si>
    <t>Year</t>
  </si>
  <si>
    <t>(tonnes of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</si>
  <si>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equ.)</t>
    </r>
  </si>
  <si>
    <t>Year 2008</t>
  </si>
  <si>
    <t>Year 2009</t>
  </si>
  <si>
    <t>Year 2010</t>
  </si>
  <si>
    <t>Year 2011</t>
  </si>
  <si>
    <t>Year 2012</t>
  </si>
  <si>
    <r>
      <t>(tonnes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equ.)</t>
    </r>
  </si>
  <si>
    <t>Fuel for drying</t>
  </si>
  <si>
    <t>Kiln fuel combustion</t>
  </si>
  <si>
    <t>Grid electricity consumption</t>
  </si>
  <si>
    <t>Kiln efficiency</t>
  </si>
  <si>
    <t>RM consumption</t>
  </si>
  <si>
    <t>tonnes</t>
  </si>
  <si>
    <t>non-carbonated CaO content in clinker</t>
  </si>
  <si>
    <t>non-carbonated MgO content in clinker</t>
  </si>
  <si>
    <t>non-carbonated CaO content in raw mill*</t>
  </si>
  <si>
    <t>non-carbonated MgO content in raw mill*</t>
  </si>
  <si>
    <t>emission due to discarded dust from dedusting unit</t>
  </si>
  <si>
    <t>emissions from fuel consumption for drying</t>
  </si>
  <si>
    <t>emissions from grid electricity for clinker production</t>
  </si>
  <si>
    <t>fuel consumption for drying of RM</t>
  </si>
  <si>
    <t>GJ</t>
  </si>
  <si>
    <t>Emission factor Ukrainian grid</t>
  </si>
  <si>
    <t>tCO2/MWh</t>
  </si>
  <si>
    <t>Total 2004 - 2007</t>
  </si>
  <si>
    <t>total emission project</t>
  </si>
  <si>
    <t>Year 2004</t>
  </si>
  <si>
    <t>Year 2015</t>
  </si>
  <si>
    <t>Year 2016</t>
  </si>
  <si>
    <t>Year 2017</t>
  </si>
  <si>
    <t>Total (tonnes of CO2 equ.)</t>
  </si>
  <si>
    <t xml:space="preserve">Leakage </t>
  </si>
  <si>
    <t>Estimated emission reductions in the period 2013-2020</t>
  </si>
  <si>
    <t>Year 2005</t>
  </si>
  <si>
    <t>Year 2006</t>
  </si>
  <si>
    <t>Year 2007</t>
  </si>
  <si>
    <t>Year 2013</t>
  </si>
  <si>
    <t>Year 2014</t>
  </si>
  <si>
    <t>Year 2018</t>
  </si>
  <si>
    <t>Year 2019</t>
  </si>
  <si>
    <t>Year 2020</t>
  </si>
  <si>
    <t>(tonnes of CO2 equ.)</t>
  </si>
  <si>
    <r>
      <t xml:space="preserve">Estimated </t>
    </r>
    <r>
      <rPr>
        <u val="single"/>
        <sz val="10"/>
        <rFont val="Times New Roman"/>
        <family val="1"/>
      </rPr>
      <t>leakage (tonnes of CO2 equ.)</t>
    </r>
  </si>
  <si>
    <r>
      <t xml:space="preserve">Estimated </t>
    </r>
    <r>
      <rPr>
        <u val="single"/>
        <sz val="10"/>
        <rFont val="Times New Roman"/>
        <family val="1"/>
      </rPr>
      <t>baseline</t>
    </r>
    <r>
      <rPr>
        <sz val="10"/>
        <rFont val="Times New Roman"/>
        <family val="1"/>
      </rPr>
      <t xml:space="preserve"> emissions (tonnes of CO2 equ.)</t>
    </r>
  </si>
  <si>
    <t>Estimated emission reductions (tonnes of CO2 equ.)</t>
  </si>
  <si>
    <r>
      <t xml:space="preserve">Estimated </t>
    </r>
    <r>
      <rPr>
        <u val="single"/>
        <sz val="10"/>
        <rFont val="Times New Roman"/>
        <family val="1"/>
      </rPr>
      <t>project</t>
    </r>
    <r>
      <rPr>
        <sz val="10"/>
        <rFont val="Times New Roman"/>
        <family val="1"/>
      </rPr>
      <t xml:space="preserve"> emissions  (tonnes of CO2 equ.)</t>
    </r>
  </si>
  <si>
    <r>
      <t xml:space="preserve">Estimated </t>
    </r>
    <r>
      <rPr>
        <u val="single"/>
        <sz val="10"/>
        <rFont val="Times New Roman"/>
        <family val="1"/>
      </rPr>
      <t>project</t>
    </r>
    <r>
      <rPr>
        <sz val="10"/>
        <rFont val="Times New Roman"/>
        <family val="1"/>
      </rPr>
      <t xml:space="preserve"> emissions (tonnes of CO2 equ.)</t>
    </r>
  </si>
  <si>
    <t>Years</t>
  </si>
  <si>
    <t>Length of the crediting period before 1 January 2008</t>
  </si>
  <si>
    <r>
      <t>Estimate of annual emission reductions in tones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equ.</t>
    </r>
  </si>
  <si>
    <t>Total estimated emission reductions over the period before 1 January 2008 (tones of CO2 equ.)</t>
  </si>
  <si>
    <t>Length of the crediting period within 2008-2012</t>
  </si>
  <si>
    <t>Total estimated emission reductions over the crediting period (tones of CO2 equ.) within 2008 - 2012</t>
  </si>
  <si>
    <t>Total estimated emission reductions over the period (tones of CO2 equ.) within 2013 - 2020</t>
  </si>
  <si>
    <t xml:space="preserve">Annual average of estimated emission reductions over the crediting period within 2008-2012 (tones of CO2 equ.) </t>
  </si>
  <si>
    <t xml:space="preserve">Annual average of estimated emission reductions over the crediting period before 2008 (tones of CO2 equ.) </t>
  </si>
  <si>
    <t xml:space="preserve">Annual average of estimated emission reductions over the period within 2013-2020 (tones of CO2 equ.) </t>
  </si>
  <si>
    <t xml:space="preserve">annual average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</si>
</sst>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justify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justify" vertical="top"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34" borderId="24" xfId="0" applyNumberFormat="1" applyFill="1" applyBorder="1" applyAlignment="1">
      <alignment/>
    </xf>
    <xf numFmtId="3" fontId="0" fillId="35" borderId="24" xfId="0" applyNumberFormat="1" applyFill="1" applyBorder="1" applyAlignment="1">
      <alignment/>
    </xf>
    <xf numFmtId="3" fontId="0" fillId="35" borderId="25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3" fontId="4" fillId="33" borderId="25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3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justify" vertical="top" wrapText="1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ey\My%20Documents\heidelberg\PDD%20folder\&#1048;&#1089;&#1087;&#1086;&#1083;&#1100;&#1079;&#1086;&#1074;&#1072;&#1085;&#1080;&#1077;%20&#1096;&#1083;&#1072;&#1082;&#1072;%20&#1080;%20&#1041;&#1050;&#1045;_1997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E,CLNK, RM, Slag, CaO and MgO"/>
      <sheetName val="FC drying"/>
      <sheetName val="El cons"/>
    </sheetNames>
    <sheetDataSet>
      <sheetData sheetId="0">
        <row r="45">
          <cell r="W45">
            <v>1441675</v>
          </cell>
          <cell r="X45">
            <v>1568675</v>
          </cell>
          <cell r="Y45">
            <v>1555994</v>
          </cell>
          <cell r="Z45">
            <v>1563642</v>
          </cell>
        </row>
        <row r="46">
          <cell r="W46">
            <v>165877</v>
          </cell>
          <cell r="X46">
            <v>282787</v>
          </cell>
          <cell r="Y46">
            <v>320882</v>
          </cell>
          <cell r="Z46">
            <v>262004</v>
          </cell>
        </row>
        <row r="47">
          <cell r="W47">
            <v>11.505852567326201</v>
          </cell>
          <cell r="X47">
            <v>18.027124802779415</v>
          </cell>
          <cell r="Y47">
            <v>20.622316024354852</v>
          </cell>
          <cell r="Z47">
            <v>16.756009367873208</v>
          </cell>
        </row>
        <row r="48">
          <cell r="W48">
            <v>922700</v>
          </cell>
          <cell r="X48">
            <v>969767</v>
          </cell>
          <cell r="Y48">
            <v>1016302</v>
          </cell>
          <cell r="Z48">
            <v>1030100</v>
          </cell>
        </row>
        <row r="53">
          <cell r="W53">
            <v>65.54</v>
          </cell>
          <cell r="X53">
            <v>65.79</v>
          </cell>
          <cell r="Y53">
            <v>65.71</v>
          </cell>
          <cell r="Z53">
            <v>65.79</v>
          </cell>
          <cell r="AA53">
            <v>65.79</v>
          </cell>
        </row>
        <row r="54">
          <cell r="W54">
            <v>2.07</v>
          </cell>
          <cell r="X54">
            <v>2.68</v>
          </cell>
          <cell r="Y54">
            <v>2.45</v>
          </cell>
          <cell r="Z54">
            <v>2.21</v>
          </cell>
          <cell r="AA54">
            <v>2.2</v>
          </cell>
        </row>
        <row r="57">
          <cell r="W57">
            <v>5.235162918133422</v>
          </cell>
          <cell r="X57">
            <v>8.256423159672972</v>
          </cell>
          <cell r="Y57">
            <v>9.424398423130167</v>
          </cell>
          <cell r="Z57">
            <v>7.67425229048593</v>
          </cell>
          <cell r="AA57">
            <v>7.5904722436465635</v>
          </cell>
        </row>
        <row r="58">
          <cell r="W58">
            <v>0.690351154039572</v>
          </cell>
          <cell r="X58">
            <v>1.135708862575103</v>
          </cell>
          <cell r="Y58">
            <v>1.1960943294125812</v>
          </cell>
          <cell r="Z58">
            <v>0.9550925339687729</v>
          </cell>
          <cell r="AA58">
            <v>0.9215805152330265</v>
          </cell>
        </row>
        <row r="60">
          <cell r="U60">
            <v>65.67</v>
          </cell>
        </row>
        <row r="61">
          <cell r="U61">
            <v>1.8</v>
          </cell>
        </row>
        <row r="62">
          <cell r="U62">
            <v>1.6096073748098483</v>
          </cell>
        </row>
        <row r="63">
          <cell r="U63">
            <v>0.2122559175573426</v>
          </cell>
        </row>
        <row r="76">
          <cell r="W76">
            <v>3.385</v>
          </cell>
          <cell r="X76">
            <v>3.474953571321771</v>
          </cell>
          <cell r="Y76">
            <v>3.277835151362489</v>
          </cell>
          <cell r="Z76">
            <v>3.1994644209300067</v>
          </cell>
          <cell r="AA76">
            <v>3.2134714954557975</v>
          </cell>
        </row>
      </sheetData>
      <sheetData sheetId="1">
        <row r="4">
          <cell r="E4">
            <v>229956</v>
          </cell>
          <cell r="F4">
            <v>196813</v>
          </cell>
          <cell r="G4">
            <v>218946</v>
          </cell>
          <cell r="H4">
            <v>175241</v>
          </cell>
          <cell r="I4">
            <v>175241</v>
          </cell>
        </row>
      </sheetData>
      <sheetData sheetId="2">
        <row r="7">
          <cell r="F7">
            <v>89619.8</v>
          </cell>
          <cell r="G7">
            <v>91709.9</v>
          </cell>
          <cell r="H7">
            <v>96519.1</v>
          </cell>
          <cell r="I7">
            <v>94389</v>
          </cell>
          <cell r="J7">
            <v>94389</v>
          </cell>
        </row>
        <row r="19">
          <cell r="E19">
            <v>101.06308178739063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0">
      <selection activeCell="D35" sqref="D35"/>
    </sheetView>
  </sheetViews>
  <sheetFormatPr defaultColWidth="9.00390625" defaultRowHeight="12.75"/>
  <cols>
    <col min="2" max="2" width="41.125" style="0" customWidth="1"/>
    <col min="3" max="3" width="16.125" style="0" customWidth="1"/>
    <col min="4" max="4" width="11.00390625" style="0" customWidth="1"/>
  </cols>
  <sheetData>
    <row r="1" ht="12.75">
      <c r="B1" s="1" t="s">
        <v>26</v>
      </c>
    </row>
    <row r="2" spans="2:4" ht="12.75">
      <c r="B2" t="s">
        <v>1</v>
      </c>
      <c r="C2" t="s">
        <v>0</v>
      </c>
      <c r="D2">
        <v>0.525</v>
      </c>
    </row>
    <row r="3" spans="2:4" ht="12.75">
      <c r="B3" t="s">
        <v>16</v>
      </c>
      <c r="C3" t="s">
        <v>11</v>
      </c>
      <c r="D3">
        <v>3.67</v>
      </c>
    </row>
    <row r="4" spans="2:4" ht="12.75">
      <c r="B4" t="s">
        <v>12</v>
      </c>
      <c r="C4" t="s">
        <v>13</v>
      </c>
      <c r="D4">
        <v>0.012561</v>
      </c>
    </row>
    <row r="5" spans="2:4" ht="12.75">
      <c r="B5" t="s">
        <v>14</v>
      </c>
      <c r="C5" t="s">
        <v>15</v>
      </c>
      <c r="D5">
        <v>0.056</v>
      </c>
    </row>
    <row r="6" spans="2:4" ht="12.75">
      <c r="B6" t="s">
        <v>17</v>
      </c>
      <c r="C6" t="s">
        <v>15</v>
      </c>
      <c r="D6">
        <v>0.096</v>
      </c>
    </row>
    <row r="7" ht="12.75">
      <c r="B7" t="s">
        <v>18</v>
      </c>
    </row>
    <row r="8" spans="2:4" ht="13.5" thickBot="1">
      <c r="B8" t="s">
        <v>65</v>
      </c>
      <c r="C8" t="s">
        <v>66</v>
      </c>
      <c r="D8">
        <v>0.896</v>
      </c>
    </row>
    <row r="9" spans="2:12" ht="12.75">
      <c r="B9" s="30" t="s">
        <v>2</v>
      </c>
      <c r="C9" s="31"/>
      <c r="D9" s="31">
        <v>2004</v>
      </c>
      <c r="E9" s="31">
        <v>2005</v>
      </c>
      <c r="F9" s="31">
        <v>2006</v>
      </c>
      <c r="G9" s="31">
        <v>2007</v>
      </c>
      <c r="H9" s="31">
        <v>2008</v>
      </c>
      <c r="I9" s="31">
        <v>2009</v>
      </c>
      <c r="J9" s="31">
        <v>2010</v>
      </c>
      <c r="K9" s="31">
        <v>2011</v>
      </c>
      <c r="L9" s="32">
        <v>2012</v>
      </c>
    </row>
    <row r="10" spans="2:12" ht="12.75">
      <c r="B10" s="33" t="s">
        <v>5</v>
      </c>
      <c r="C10" s="26" t="s">
        <v>8</v>
      </c>
      <c r="D10" s="27">
        <v>738567</v>
      </c>
      <c r="E10" s="27">
        <v>738567</v>
      </c>
      <c r="F10" s="27">
        <v>738567</v>
      </c>
      <c r="G10" s="27">
        <v>738567</v>
      </c>
      <c r="H10" s="27">
        <v>738567</v>
      </c>
      <c r="I10" s="27">
        <v>738567</v>
      </c>
      <c r="J10" s="27">
        <v>738567</v>
      </c>
      <c r="K10" s="27">
        <v>738567</v>
      </c>
      <c r="L10" s="34">
        <v>738567</v>
      </c>
    </row>
    <row r="11" spans="2:12" ht="12.75">
      <c r="B11" s="33" t="s">
        <v>54</v>
      </c>
      <c r="C11" s="26" t="s">
        <v>55</v>
      </c>
      <c r="D11" s="27">
        <v>1163977</v>
      </c>
      <c r="E11" s="27">
        <v>1163977</v>
      </c>
      <c r="F11" s="27">
        <v>1163977</v>
      </c>
      <c r="G11" s="27">
        <v>1163977</v>
      </c>
      <c r="H11" s="27">
        <v>1163977</v>
      </c>
      <c r="I11" s="27">
        <v>1163977</v>
      </c>
      <c r="J11" s="27">
        <v>1163977</v>
      </c>
      <c r="K11" s="27">
        <v>1163977</v>
      </c>
      <c r="L11" s="34">
        <v>1163977</v>
      </c>
    </row>
    <row r="12" spans="2:12" ht="12.75">
      <c r="B12" s="33" t="s">
        <v>7</v>
      </c>
      <c r="C12" s="26" t="s">
        <v>6</v>
      </c>
      <c r="D12" s="26">
        <v>4</v>
      </c>
      <c r="E12" s="26">
        <f>D12</f>
        <v>4</v>
      </c>
      <c r="F12" s="26">
        <f aca="true" t="shared" si="0" ref="F12:L12">E12</f>
        <v>4</v>
      </c>
      <c r="G12" s="26">
        <f t="shared" si="0"/>
        <v>4</v>
      </c>
      <c r="H12" s="26">
        <f t="shared" si="0"/>
        <v>4</v>
      </c>
      <c r="I12" s="26">
        <f t="shared" si="0"/>
        <v>4</v>
      </c>
      <c r="J12" s="26">
        <f t="shared" si="0"/>
        <v>4</v>
      </c>
      <c r="K12" s="26">
        <f t="shared" si="0"/>
        <v>4</v>
      </c>
      <c r="L12" s="35">
        <f t="shared" si="0"/>
        <v>4</v>
      </c>
    </row>
    <row r="13" spans="2:12" ht="12.75">
      <c r="B13" s="33" t="s">
        <v>7</v>
      </c>
      <c r="C13" s="26" t="s">
        <v>55</v>
      </c>
      <c r="D13" s="27">
        <f>D11*D12/100</f>
        <v>46559.08</v>
      </c>
      <c r="E13" s="27">
        <f aca="true" t="shared" si="1" ref="E13:L13">E11*E12/100</f>
        <v>46559.08</v>
      </c>
      <c r="F13" s="27">
        <f t="shared" si="1"/>
        <v>46559.08</v>
      </c>
      <c r="G13" s="27">
        <f t="shared" si="1"/>
        <v>46559.08</v>
      </c>
      <c r="H13" s="27">
        <f t="shared" si="1"/>
        <v>46559.08</v>
      </c>
      <c r="I13" s="27">
        <f t="shared" si="1"/>
        <v>46559.08</v>
      </c>
      <c r="J13" s="27">
        <f t="shared" si="1"/>
        <v>46559.08</v>
      </c>
      <c r="K13" s="27">
        <f t="shared" si="1"/>
        <v>46559.08</v>
      </c>
      <c r="L13" s="34">
        <f t="shared" si="1"/>
        <v>46559.08</v>
      </c>
    </row>
    <row r="14" spans="2:12" ht="12.75">
      <c r="B14" s="33" t="s">
        <v>56</v>
      </c>
      <c r="C14" s="26" t="s">
        <v>6</v>
      </c>
      <c r="D14" s="28">
        <f>'[1]BKE,CLNK, RM, Slag, CaO and MgO'!$U$60</f>
        <v>65.67</v>
      </c>
      <c r="E14" s="28">
        <f>'[1]BKE,CLNK, RM, Slag, CaO and MgO'!$U$60</f>
        <v>65.67</v>
      </c>
      <c r="F14" s="28">
        <f>'[1]BKE,CLNK, RM, Slag, CaO and MgO'!$U$60</f>
        <v>65.67</v>
      </c>
      <c r="G14" s="28">
        <f>'[1]BKE,CLNK, RM, Slag, CaO and MgO'!$U$60</f>
        <v>65.67</v>
      </c>
      <c r="H14" s="28">
        <f>'[1]BKE,CLNK, RM, Slag, CaO and MgO'!$U$60</f>
        <v>65.67</v>
      </c>
      <c r="I14" s="28">
        <f>'[1]BKE,CLNK, RM, Slag, CaO and MgO'!$U$60</f>
        <v>65.67</v>
      </c>
      <c r="J14" s="28">
        <f>'[1]BKE,CLNK, RM, Slag, CaO and MgO'!$U$60</f>
        <v>65.67</v>
      </c>
      <c r="K14" s="28">
        <f>'[1]BKE,CLNK, RM, Slag, CaO and MgO'!$U$60</f>
        <v>65.67</v>
      </c>
      <c r="L14" s="36">
        <f>'[1]BKE,CLNK, RM, Slag, CaO and MgO'!$U$60</f>
        <v>65.67</v>
      </c>
    </row>
    <row r="15" spans="2:12" ht="12.75">
      <c r="B15" s="33" t="s">
        <v>57</v>
      </c>
      <c r="C15" s="26" t="s">
        <v>6</v>
      </c>
      <c r="D15" s="28">
        <f>'[1]BKE,CLNK, RM, Slag, CaO and MgO'!$U$61</f>
        <v>1.8</v>
      </c>
      <c r="E15" s="28">
        <f>'[1]BKE,CLNK, RM, Slag, CaO and MgO'!$U$61</f>
        <v>1.8</v>
      </c>
      <c r="F15" s="28">
        <f>'[1]BKE,CLNK, RM, Slag, CaO and MgO'!$U$61</f>
        <v>1.8</v>
      </c>
      <c r="G15" s="28">
        <f>'[1]BKE,CLNK, RM, Slag, CaO and MgO'!$U$61</f>
        <v>1.8</v>
      </c>
      <c r="H15" s="28">
        <f>'[1]BKE,CLNK, RM, Slag, CaO and MgO'!$U$61</f>
        <v>1.8</v>
      </c>
      <c r="I15" s="28">
        <f>'[1]BKE,CLNK, RM, Slag, CaO and MgO'!$U$61</f>
        <v>1.8</v>
      </c>
      <c r="J15" s="28">
        <f>'[1]BKE,CLNK, RM, Slag, CaO and MgO'!$U$61</f>
        <v>1.8</v>
      </c>
      <c r="K15" s="28">
        <f>'[1]BKE,CLNK, RM, Slag, CaO and MgO'!$U$61</f>
        <v>1.8</v>
      </c>
      <c r="L15" s="36">
        <f>'[1]BKE,CLNK, RM, Slag, CaO and MgO'!$U$61</f>
        <v>1.8</v>
      </c>
    </row>
    <row r="16" spans="2:12" ht="12.75">
      <c r="B16" s="33" t="s">
        <v>58</v>
      </c>
      <c r="C16" s="26" t="s">
        <v>6</v>
      </c>
      <c r="D16" s="28">
        <f>'[1]BKE,CLNK, RM, Slag, CaO and MgO'!$U$62</f>
        <v>1.6096073748098483</v>
      </c>
      <c r="E16" s="28">
        <f>'[1]BKE,CLNK, RM, Slag, CaO and MgO'!$U$62</f>
        <v>1.6096073748098483</v>
      </c>
      <c r="F16" s="28">
        <f>'[1]BKE,CLNK, RM, Slag, CaO and MgO'!$U$62</f>
        <v>1.6096073748098483</v>
      </c>
      <c r="G16" s="28">
        <f>'[1]BKE,CLNK, RM, Slag, CaO and MgO'!$U$62</f>
        <v>1.6096073748098483</v>
      </c>
      <c r="H16" s="28">
        <f>'[1]BKE,CLNK, RM, Slag, CaO and MgO'!$U$62</f>
        <v>1.6096073748098483</v>
      </c>
      <c r="I16" s="28">
        <f>'[1]BKE,CLNK, RM, Slag, CaO and MgO'!$U$62</f>
        <v>1.6096073748098483</v>
      </c>
      <c r="J16" s="28">
        <f>'[1]BKE,CLNK, RM, Slag, CaO and MgO'!$U$62</f>
        <v>1.6096073748098483</v>
      </c>
      <c r="K16" s="28">
        <f>'[1]BKE,CLNK, RM, Slag, CaO and MgO'!$U$62</f>
        <v>1.6096073748098483</v>
      </c>
      <c r="L16" s="36">
        <f>'[1]BKE,CLNK, RM, Slag, CaO and MgO'!$U$62</f>
        <v>1.6096073748098483</v>
      </c>
    </row>
    <row r="17" spans="2:12" ht="12.75">
      <c r="B17" s="33" t="s">
        <v>59</v>
      </c>
      <c r="C17" s="26" t="s">
        <v>6</v>
      </c>
      <c r="D17" s="28">
        <f>'[1]BKE,CLNK, RM, Slag, CaO and MgO'!$U$63</f>
        <v>0.2122559175573426</v>
      </c>
      <c r="E17" s="28">
        <f>'[1]BKE,CLNK, RM, Slag, CaO and MgO'!$U$63</f>
        <v>0.2122559175573426</v>
      </c>
      <c r="F17" s="28">
        <f>'[1]BKE,CLNK, RM, Slag, CaO and MgO'!$U$63</f>
        <v>0.2122559175573426</v>
      </c>
      <c r="G17" s="28">
        <f>'[1]BKE,CLNK, RM, Slag, CaO and MgO'!$U$63</f>
        <v>0.2122559175573426</v>
      </c>
      <c r="H17" s="28">
        <f>'[1]BKE,CLNK, RM, Slag, CaO and MgO'!$U$63</f>
        <v>0.2122559175573426</v>
      </c>
      <c r="I17" s="28">
        <f>'[1]BKE,CLNK, RM, Slag, CaO and MgO'!$U$63</f>
        <v>0.2122559175573426</v>
      </c>
      <c r="J17" s="28">
        <f>'[1]BKE,CLNK, RM, Slag, CaO and MgO'!$U$63</f>
        <v>0.2122559175573426</v>
      </c>
      <c r="K17" s="28">
        <f>'[1]BKE,CLNK, RM, Slag, CaO and MgO'!$U$63</f>
        <v>0.2122559175573426</v>
      </c>
      <c r="L17" s="36">
        <f>'[1]BKE,CLNK, RM, Slag, CaO and MgO'!$U$63</f>
        <v>0.2122559175573426</v>
      </c>
    </row>
    <row r="18" spans="1:14" ht="12.75">
      <c r="A18">
        <v>1</v>
      </c>
      <c r="B18" s="33" t="s">
        <v>3</v>
      </c>
      <c r="C18" s="26" t="s">
        <v>23</v>
      </c>
      <c r="D18" s="27">
        <f>D29/D10*(0.785*(D14/100*D10-D16/100*D11)+1.092*(D15/100*D10-D17/100*D11))</f>
        <v>472052.6436721064</v>
      </c>
      <c r="E18" s="27">
        <f aca="true" t="shared" si="2" ref="E18:L18">E29/E10*(0.785*(E14/100*E10-E16/100*E11)+1.092*(E15/100*E10-E17/100*E11))</f>
        <v>496132.086372567</v>
      </c>
      <c r="F18" s="27">
        <f t="shared" si="2"/>
        <v>519939.35826297716</v>
      </c>
      <c r="G18" s="27">
        <f>G29/G10*(0.785*(G14/100*G10-G16/100*G11)+1.092*(G15/100*G10-G17/100*G11))</f>
        <v>526998.4049492107</v>
      </c>
      <c r="H18" s="27">
        <f t="shared" si="2"/>
        <v>526998.4049492107</v>
      </c>
      <c r="I18" s="27">
        <f t="shared" si="2"/>
        <v>526998.4049492107</v>
      </c>
      <c r="J18" s="27">
        <f t="shared" si="2"/>
        <v>526998.4049492107</v>
      </c>
      <c r="K18" s="27">
        <f t="shared" si="2"/>
        <v>526998.4049492107</v>
      </c>
      <c r="L18" s="34">
        <f t="shared" si="2"/>
        <v>526998.4049492107</v>
      </c>
      <c r="N18" s="11"/>
    </row>
    <row r="19" spans="2:13" ht="12.75">
      <c r="B19" s="33" t="s">
        <v>19</v>
      </c>
      <c r="C19" s="26" t="s">
        <v>22</v>
      </c>
      <c r="D19" s="26" t="s">
        <v>20</v>
      </c>
      <c r="E19" s="26" t="s">
        <v>20</v>
      </c>
      <c r="F19" s="26" t="s">
        <v>20</v>
      </c>
      <c r="G19" s="26" t="s">
        <v>20</v>
      </c>
      <c r="H19" s="26" t="s">
        <v>20</v>
      </c>
      <c r="I19" s="26" t="s">
        <v>21</v>
      </c>
      <c r="J19" s="26" t="s">
        <v>21</v>
      </c>
      <c r="K19" s="26" t="s">
        <v>21</v>
      </c>
      <c r="L19" s="35" t="s">
        <v>21</v>
      </c>
      <c r="M19" s="10"/>
    </row>
    <row r="20" spans="2:12" ht="12.75">
      <c r="B20" s="33" t="s">
        <v>53</v>
      </c>
      <c r="C20" s="26" t="s">
        <v>11</v>
      </c>
      <c r="D20" s="26">
        <f>$D3</f>
        <v>3.67</v>
      </c>
      <c r="E20" s="26">
        <f aca="true" t="shared" si="3" ref="E20:L20">$D3</f>
        <v>3.67</v>
      </c>
      <c r="F20" s="26">
        <f t="shared" si="3"/>
        <v>3.67</v>
      </c>
      <c r="G20" s="26">
        <f t="shared" si="3"/>
        <v>3.67</v>
      </c>
      <c r="H20" s="26">
        <f t="shared" si="3"/>
        <v>3.67</v>
      </c>
      <c r="I20" s="26">
        <f t="shared" si="3"/>
        <v>3.67</v>
      </c>
      <c r="J20" s="26">
        <f t="shared" si="3"/>
        <v>3.67</v>
      </c>
      <c r="K20" s="26">
        <f t="shared" si="3"/>
        <v>3.67</v>
      </c>
      <c r="L20" s="35">
        <f t="shared" si="3"/>
        <v>3.67</v>
      </c>
    </row>
    <row r="21" spans="1:12" ht="12.75">
      <c r="A21">
        <v>2</v>
      </c>
      <c r="B21" s="33" t="s">
        <v>4</v>
      </c>
      <c r="C21" s="26" t="s">
        <v>23</v>
      </c>
      <c r="D21" s="27">
        <f>$D3*D29*$D5</f>
        <v>189633.304</v>
      </c>
      <c r="E21" s="27">
        <f>$D3*E29*$D5</f>
        <v>199306.51384</v>
      </c>
      <c r="F21" s="27">
        <f>$D3*F29*$D5</f>
        <v>208870.38704</v>
      </c>
      <c r="G21" s="27">
        <f>$D3*G29*$D5</f>
        <v>211706.152</v>
      </c>
      <c r="H21" s="27">
        <f>$D3*H29*$D5</f>
        <v>211706.152</v>
      </c>
      <c r="I21" s="27">
        <f>$D3*I29*$D6</f>
        <v>362924.832</v>
      </c>
      <c r="J21" s="27">
        <f>$D3*J29*$D6</f>
        <v>362924.832</v>
      </c>
      <c r="K21" s="27">
        <f>$D3*K29*$D6</f>
        <v>362924.832</v>
      </c>
      <c r="L21" s="34">
        <f>$D3*L29*$D6</f>
        <v>362924.832</v>
      </c>
    </row>
    <row r="22" spans="1:12" ht="12.75">
      <c r="A22">
        <v>3</v>
      </c>
      <c r="B22" s="33" t="s">
        <v>60</v>
      </c>
      <c r="C22" s="26" t="s">
        <v>23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34">
        <v>0</v>
      </c>
    </row>
    <row r="23" spans="2:12" ht="12.75">
      <c r="B23" s="33" t="s">
        <v>63</v>
      </c>
      <c r="C23" s="26" t="s">
        <v>64</v>
      </c>
      <c r="D23" s="27">
        <f>'[1]FC drying'!$B$11</f>
        <v>0</v>
      </c>
      <c r="E23" s="27">
        <f>'[1]FC drying'!$B$11</f>
        <v>0</v>
      </c>
      <c r="F23" s="27">
        <f>'[1]FC drying'!$B$11</f>
        <v>0</v>
      </c>
      <c r="G23" s="27">
        <f>'[1]FC drying'!$B$11</f>
        <v>0</v>
      </c>
      <c r="H23" s="27">
        <f>'[1]FC drying'!$B$11</f>
        <v>0</v>
      </c>
      <c r="I23" s="27">
        <f>'[1]FC drying'!$B$11</f>
        <v>0</v>
      </c>
      <c r="J23" s="27">
        <f>'[1]FC drying'!$B$11</f>
        <v>0</v>
      </c>
      <c r="K23" s="27">
        <f>'[1]FC drying'!$B$11</f>
        <v>0</v>
      </c>
      <c r="L23" s="34">
        <f>'[1]FC drying'!$B$11</f>
        <v>0</v>
      </c>
    </row>
    <row r="24" spans="1:12" ht="12.75">
      <c r="A24">
        <v>4</v>
      </c>
      <c r="B24" s="33" t="s">
        <v>61</v>
      </c>
      <c r="C24" s="26" t="s">
        <v>23</v>
      </c>
      <c r="D24" s="27">
        <f>D23*$D5*D29/D10</f>
        <v>0</v>
      </c>
      <c r="E24" s="27">
        <f aca="true" t="shared" si="4" ref="E24:L24">E23*$D5*E29/E10</f>
        <v>0</v>
      </c>
      <c r="F24" s="27">
        <f t="shared" si="4"/>
        <v>0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0</v>
      </c>
      <c r="K24" s="27">
        <f t="shared" si="4"/>
        <v>0</v>
      </c>
      <c r="L24" s="34">
        <f t="shared" si="4"/>
        <v>0</v>
      </c>
    </row>
    <row r="25" spans="1:12" ht="12.75">
      <c r="A25">
        <v>5</v>
      </c>
      <c r="B25" s="33" t="s">
        <v>62</v>
      </c>
      <c r="C25" s="26" t="s">
        <v>23</v>
      </c>
      <c r="D25" s="27">
        <f>'[1]El cons'!$E$19*$D8*D29/1000</f>
        <v>83552.8113864419</v>
      </c>
      <c r="E25" s="27">
        <f>'[1]El cons'!$E$19*$D8*E29/1000</f>
        <v>87814.84690559836</v>
      </c>
      <c r="F25" s="27">
        <f>'[1]El cons'!$E$19*$D8*F29/1000</f>
        <v>92028.70848343306</v>
      </c>
      <c r="G25" s="27">
        <f>'[1]El cons'!$E$19*$D8*G29/1000</f>
        <v>93278.15217207522</v>
      </c>
      <c r="H25" s="27">
        <f>'[1]El cons'!$E$19*$D8*H29/1000</f>
        <v>93278.15217207522</v>
      </c>
      <c r="I25" s="27">
        <f>H25</f>
        <v>93278.15217207522</v>
      </c>
      <c r="J25" s="27">
        <f>I25</f>
        <v>93278.15217207522</v>
      </c>
      <c r="K25" s="27">
        <f>J25</f>
        <v>93278.15217207522</v>
      </c>
      <c r="L25" s="34">
        <f>K25</f>
        <v>93278.15217207522</v>
      </c>
    </row>
    <row r="26" spans="2:12" ht="13.5" thickBot="1">
      <c r="B26" s="37" t="s">
        <v>9</v>
      </c>
      <c r="C26" s="38" t="s">
        <v>23</v>
      </c>
      <c r="D26" s="39">
        <f>D18+D21+D22+D24+D25</f>
        <v>745238.7590585483</v>
      </c>
      <c r="E26" s="39">
        <f aca="true" t="shared" si="5" ref="E26:L26">E18+E21+E22+E24+E25</f>
        <v>783253.4471181654</v>
      </c>
      <c r="F26" s="39">
        <f t="shared" si="5"/>
        <v>820838.4537864102</v>
      </c>
      <c r="G26" s="39">
        <f t="shared" si="5"/>
        <v>831982.7091212859</v>
      </c>
      <c r="H26" s="39">
        <f t="shared" si="5"/>
        <v>831982.7091212859</v>
      </c>
      <c r="I26" s="39">
        <f t="shared" si="5"/>
        <v>983201.389121286</v>
      </c>
      <c r="J26" s="39">
        <f t="shared" si="5"/>
        <v>983201.389121286</v>
      </c>
      <c r="K26" s="39">
        <f t="shared" si="5"/>
        <v>983201.389121286</v>
      </c>
      <c r="L26" s="40">
        <f t="shared" si="5"/>
        <v>983201.389121286</v>
      </c>
    </row>
    <row r="27" ht="13.5" thickBot="1"/>
    <row r="28" spans="2:12" ht="12.75">
      <c r="B28" s="30" t="s">
        <v>10</v>
      </c>
      <c r="C28" s="31"/>
      <c r="D28" s="31">
        <v>2004</v>
      </c>
      <c r="E28" s="31">
        <v>2005</v>
      </c>
      <c r="F28" s="31">
        <v>2006</v>
      </c>
      <c r="G28" s="31">
        <v>2007</v>
      </c>
      <c r="H28" s="31">
        <v>2008</v>
      </c>
      <c r="I28" s="31">
        <v>2009</v>
      </c>
      <c r="J28" s="31">
        <v>2010</v>
      </c>
      <c r="K28" s="31">
        <v>2011</v>
      </c>
      <c r="L28" s="32">
        <v>2012</v>
      </c>
    </row>
    <row r="29" spans="2:12" ht="12.75">
      <c r="B29" s="33" t="s">
        <v>5</v>
      </c>
      <c r="C29" s="26" t="s">
        <v>8</v>
      </c>
      <c r="D29" s="27">
        <f>'[1]BKE,CLNK, RM, Slag, CaO and MgO'!$W$48</f>
        <v>922700</v>
      </c>
      <c r="E29" s="27">
        <f>'[1]BKE,CLNK, RM, Slag, CaO and MgO'!$X$48</f>
        <v>969767</v>
      </c>
      <c r="F29" s="27">
        <f>'[1]BKE,CLNK, RM, Slag, CaO and MgO'!$Y$48</f>
        <v>1016302</v>
      </c>
      <c r="G29" s="27">
        <f>'[1]BKE,CLNK, RM, Slag, CaO and MgO'!$Z$48</f>
        <v>1030100</v>
      </c>
      <c r="H29" s="27">
        <f>G29</f>
        <v>1030100</v>
      </c>
      <c r="I29" s="27">
        <f>H29</f>
        <v>1030100</v>
      </c>
      <c r="J29" s="27">
        <f>I29</f>
        <v>1030100</v>
      </c>
      <c r="K29" s="27">
        <f>J29</f>
        <v>1030100</v>
      </c>
      <c r="L29" s="34">
        <f>K29</f>
        <v>1030100</v>
      </c>
    </row>
    <row r="30" spans="2:12" ht="12.75">
      <c r="B30" s="33" t="s">
        <v>54</v>
      </c>
      <c r="C30" s="26" t="s">
        <v>55</v>
      </c>
      <c r="D30" s="27">
        <f>'[1]BKE,CLNK, RM, Slag, CaO and MgO'!W45</f>
        <v>1441675</v>
      </c>
      <c r="E30" s="27">
        <f>'[1]BKE,CLNK, RM, Slag, CaO and MgO'!X45</f>
        <v>1568675</v>
      </c>
      <c r="F30" s="27">
        <f>'[1]BKE,CLNK, RM, Slag, CaO and MgO'!Y45</f>
        <v>1555994</v>
      </c>
      <c r="G30" s="27">
        <f>'[1]BKE,CLNK, RM, Slag, CaO and MgO'!Z45</f>
        <v>1563642</v>
      </c>
      <c r="H30" s="27">
        <f>'[1]BKE,CLNK, RM, Slag, CaO and MgO'!$Z$45</f>
        <v>1563642</v>
      </c>
      <c r="I30" s="27">
        <f>'[1]BKE,CLNK, RM, Slag, CaO and MgO'!$Z$45</f>
        <v>1563642</v>
      </c>
      <c r="J30" s="27">
        <f>'[1]BKE,CLNK, RM, Slag, CaO and MgO'!$Z$45</f>
        <v>1563642</v>
      </c>
      <c r="K30" s="27">
        <f>'[1]BKE,CLNK, RM, Slag, CaO and MgO'!$Z$45</f>
        <v>1563642</v>
      </c>
      <c r="L30" s="34">
        <f>'[1]BKE,CLNK, RM, Slag, CaO and MgO'!$Z$45</f>
        <v>1563642</v>
      </c>
    </row>
    <row r="31" spans="2:12" ht="12.75">
      <c r="B31" s="33" t="s">
        <v>7</v>
      </c>
      <c r="C31" s="26" t="s">
        <v>6</v>
      </c>
      <c r="D31" s="28">
        <f>'[1]BKE,CLNK, RM, Slag, CaO and MgO'!$W$47</f>
        <v>11.505852567326201</v>
      </c>
      <c r="E31" s="28">
        <f>'[1]BKE,CLNK, RM, Slag, CaO and MgO'!$X$47</f>
        <v>18.027124802779415</v>
      </c>
      <c r="F31" s="28">
        <f>'[1]BKE,CLNK, RM, Slag, CaO and MgO'!$Y$47</f>
        <v>20.622316024354852</v>
      </c>
      <c r="G31" s="28">
        <f>'[1]BKE,CLNK, RM, Slag, CaO and MgO'!$Z$47</f>
        <v>16.756009367873208</v>
      </c>
      <c r="H31" s="28">
        <f>G31</f>
        <v>16.756009367873208</v>
      </c>
      <c r="I31" s="28">
        <f>H31</f>
        <v>16.756009367873208</v>
      </c>
      <c r="J31" s="28">
        <f>I31</f>
        <v>16.756009367873208</v>
      </c>
      <c r="K31" s="28">
        <f>J31</f>
        <v>16.756009367873208</v>
      </c>
      <c r="L31" s="36">
        <f>K31</f>
        <v>16.756009367873208</v>
      </c>
    </row>
    <row r="32" spans="2:12" ht="12.75">
      <c r="B32" s="33" t="s">
        <v>7</v>
      </c>
      <c r="C32" s="26" t="s">
        <v>55</v>
      </c>
      <c r="D32" s="27">
        <f>'[1]BKE,CLNK, RM, Slag, CaO and MgO'!$W$46</f>
        <v>165877</v>
      </c>
      <c r="E32" s="27">
        <f>'[1]BKE,CLNK, RM, Slag, CaO and MgO'!$X$46</f>
        <v>282787</v>
      </c>
      <c r="F32" s="27">
        <f>'[1]BKE,CLNK, RM, Slag, CaO and MgO'!$Y$46</f>
        <v>320882</v>
      </c>
      <c r="G32" s="27">
        <f>'[1]BKE,CLNK, RM, Slag, CaO and MgO'!$Z$46</f>
        <v>262004</v>
      </c>
      <c r="H32" s="27">
        <f>H30*H31/100</f>
        <v>262004</v>
      </c>
      <c r="I32" s="27">
        <f>I30*I31/100</f>
        <v>262004</v>
      </c>
      <c r="J32" s="27">
        <f>J30*J31/100</f>
        <v>262004</v>
      </c>
      <c r="K32" s="27">
        <f>K30*K31/100</f>
        <v>262004</v>
      </c>
      <c r="L32" s="34">
        <f>L30*L31/100</f>
        <v>262004</v>
      </c>
    </row>
    <row r="33" spans="2:12" ht="12.75">
      <c r="B33" s="33" t="s">
        <v>56</v>
      </c>
      <c r="C33" s="26" t="s">
        <v>6</v>
      </c>
      <c r="D33" s="28">
        <f>'[1]BKE,CLNK, RM, Slag, CaO and MgO'!W53</f>
        <v>65.54</v>
      </c>
      <c r="E33" s="28">
        <f>'[1]BKE,CLNK, RM, Slag, CaO and MgO'!X53</f>
        <v>65.79</v>
      </c>
      <c r="F33" s="28">
        <f>'[1]BKE,CLNK, RM, Slag, CaO and MgO'!Y53</f>
        <v>65.71</v>
      </c>
      <c r="G33" s="28">
        <f>'[1]BKE,CLNK, RM, Slag, CaO and MgO'!Z53</f>
        <v>65.79</v>
      </c>
      <c r="H33" s="28">
        <f>'[1]BKE,CLNK, RM, Slag, CaO and MgO'!AA53</f>
        <v>65.79</v>
      </c>
      <c r="I33" s="28">
        <f aca="true" t="shared" si="6" ref="I33:L36">H33</f>
        <v>65.79</v>
      </c>
      <c r="J33" s="28">
        <f t="shared" si="6"/>
        <v>65.79</v>
      </c>
      <c r="K33" s="28">
        <f t="shared" si="6"/>
        <v>65.79</v>
      </c>
      <c r="L33" s="36">
        <f t="shared" si="6"/>
        <v>65.79</v>
      </c>
    </row>
    <row r="34" spans="2:12" ht="12.75">
      <c r="B34" s="33" t="s">
        <v>57</v>
      </c>
      <c r="C34" s="26" t="s">
        <v>6</v>
      </c>
      <c r="D34" s="28">
        <f>'[1]BKE,CLNK, RM, Slag, CaO and MgO'!W54</f>
        <v>2.07</v>
      </c>
      <c r="E34" s="28">
        <f>'[1]BKE,CLNK, RM, Slag, CaO and MgO'!X54</f>
        <v>2.68</v>
      </c>
      <c r="F34" s="28">
        <f>'[1]BKE,CLNK, RM, Slag, CaO and MgO'!Y54</f>
        <v>2.45</v>
      </c>
      <c r="G34" s="28">
        <f>'[1]BKE,CLNK, RM, Slag, CaO and MgO'!Z54</f>
        <v>2.21</v>
      </c>
      <c r="H34" s="28">
        <f>'[1]BKE,CLNK, RM, Slag, CaO and MgO'!AA54</f>
        <v>2.2</v>
      </c>
      <c r="I34" s="28">
        <f t="shared" si="6"/>
        <v>2.2</v>
      </c>
      <c r="J34" s="28">
        <f t="shared" si="6"/>
        <v>2.2</v>
      </c>
      <c r="K34" s="28">
        <f t="shared" si="6"/>
        <v>2.2</v>
      </c>
      <c r="L34" s="36">
        <f t="shared" si="6"/>
        <v>2.2</v>
      </c>
    </row>
    <row r="35" spans="2:12" ht="12.75">
      <c r="B35" s="33" t="s">
        <v>58</v>
      </c>
      <c r="C35" s="26" t="s">
        <v>6</v>
      </c>
      <c r="D35" s="28">
        <f>'[1]BKE,CLNK, RM, Slag, CaO and MgO'!W57</f>
        <v>5.235162918133422</v>
      </c>
      <c r="E35" s="28">
        <f>'[1]BKE,CLNK, RM, Slag, CaO and MgO'!X57</f>
        <v>8.256423159672972</v>
      </c>
      <c r="F35" s="28">
        <f>'[1]BKE,CLNK, RM, Slag, CaO and MgO'!Y57</f>
        <v>9.424398423130167</v>
      </c>
      <c r="G35" s="28">
        <f>'[1]BKE,CLNK, RM, Slag, CaO and MgO'!Z57</f>
        <v>7.67425229048593</v>
      </c>
      <c r="H35" s="28">
        <f>'[1]BKE,CLNK, RM, Slag, CaO and MgO'!AA57</f>
        <v>7.5904722436465635</v>
      </c>
      <c r="I35" s="28">
        <f t="shared" si="6"/>
        <v>7.5904722436465635</v>
      </c>
      <c r="J35" s="28">
        <f t="shared" si="6"/>
        <v>7.5904722436465635</v>
      </c>
      <c r="K35" s="28">
        <f t="shared" si="6"/>
        <v>7.5904722436465635</v>
      </c>
      <c r="L35" s="36">
        <f t="shared" si="6"/>
        <v>7.5904722436465635</v>
      </c>
    </row>
    <row r="36" spans="2:12" ht="12.75">
      <c r="B36" s="33" t="s">
        <v>59</v>
      </c>
      <c r="C36" s="26" t="s">
        <v>6</v>
      </c>
      <c r="D36" s="28">
        <f>'[1]BKE,CLNK, RM, Slag, CaO and MgO'!W58</f>
        <v>0.690351154039572</v>
      </c>
      <c r="E36" s="28">
        <f>'[1]BKE,CLNK, RM, Slag, CaO and MgO'!X58</f>
        <v>1.135708862575103</v>
      </c>
      <c r="F36" s="28">
        <f>'[1]BKE,CLNK, RM, Slag, CaO and MgO'!Y58</f>
        <v>1.1960943294125812</v>
      </c>
      <c r="G36" s="28">
        <f>'[1]BKE,CLNK, RM, Slag, CaO and MgO'!Z58</f>
        <v>0.9550925339687729</v>
      </c>
      <c r="H36" s="28">
        <f>'[1]BKE,CLNK, RM, Slag, CaO and MgO'!AA58</f>
        <v>0.9215805152330265</v>
      </c>
      <c r="I36" s="28">
        <f t="shared" si="6"/>
        <v>0.9215805152330265</v>
      </c>
      <c r="J36" s="28">
        <f t="shared" si="6"/>
        <v>0.9215805152330265</v>
      </c>
      <c r="K36" s="28">
        <f t="shared" si="6"/>
        <v>0.9215805152330265</v>
      </c>
      <c r="L36" s="36">
        <f t="shared" si="6"/>
        <v>0.9215805152330265</v>
      </c>
    </row>
    <row r="37" spans="1:12" ht="12.75">
      <c r="A37">
        <v>1</v>
      </c>
      <c r="B37" s="33" t="s">
        <v>3</v>
      </c>
      <c r="C37" s="26" t="s">
        <v>23</v>
      </c>
      <c r="D37" s="27">
        <f>0.785*(D33/100*D29-D35/100*D30)+1.092*(D34/100*D29-D36/100*D30)</f>
        <v>425460.70166500006</v>
      </c>
      <c r="E37" s="27">
        <f aca="true" t="shared" si="7" ref="E37:L37">0.785*(E33/100*E29-E35/100*E30)+1.092*(E34/100*E29-E36/100*E30)</f>
        <v>408093.41035370005</v>
      </c>
      <c r="F37" s="27">
        <f t="shared" si="7"/>
        <v>415984.4029629999</v>
      </c>
      <c r="G37" s="27">
        <f t="shared" si="7"/>
        <v>446349.8243740001</v>
      </c>
      <c r="H37" s="27">
        <f t="shared" si="7"/>
        <v>447837.91989</v>
      </c>
      <c r="I37" s="27">
        <f t="shared" si="7"/>
        <v>447837.91989</v>
      </c>
      <c r="J37" s="27">
        <f t="shared" si="7"/>
        <v>447837.91989</v>
      </c>
      <c r="K37" s="27">
        <f t="shared" si="7"/>
        <v>447837.91989</v>
      </c>
      <c r="L37" s="34">
        <f t="shared" si="7"/>
        <v>447837.91989</v>
      </c>
    </row>
    <row r="38" spans="2:12" ht="12.75">
      <c r="B38" s="33" t="s">
        <v>19</v>
      </c>
      <c r="C38" s="26" t="s">
        <v>22</v>
      </c>
      <c r="D38" s="26" t="str">
        <f>D19</f>
        <v>NG</v>
      </c>
      <c r="E38" s="26" t="str">
        <f aca="true" t="shared" si="8" ref="E38:L38">E19</f>
        <v>NG</v>
      </c>
      <c r="F38" s="26" t="str">
        <f t="shared" si="8"/>
        <v>NG</v>
      </c>
      <c r="G38" s="26" t="str">
        <f t="shared" si="8"/>
        <v>NG</v>
      </c>
      <c r="H38" s="26" t="str">
        <f t="shared" si="8"/>
        <v>NG</v>
      </c>
      <c r="I38" s="26" t="str">
        <f t="shared" si="8"/>
        <v>coal</v>
      </c>
      <c r="J38" s="26" t="str">
        <f t="shared" si="8"/>
        <v>coal</v>
      </c>
      <c r="K38" s="26" t="str">
        <f t="shared" si="8"/>
        <v>coal</v>
      </c>
      <c r="L38" s="35" t="str">
        <f t="shared" si="8"/>
        <v>coal</v>
      </c>
    </row>
    <row r="39" spans="2:12" ht="12.75">
      <c r="B39" s="33" t="s">
        <v>53</v>
      </c>
      <c r="C39" s="26" t="s">
        <v>11</v>
      </c>
      <c r="D39" s="29">
        <f>'[1]BKE,CLNK, RM, Slag, CaO and MgO'!W76</f>
        <v>3.385</v>
      </c>
      <c r="E39" s="29">
        <f>'[1]BKE,CLNK, RM, Slag, CaO and MgO'!X76</f>
        <v>3.474953571321771</v>
      </c>
      <c r="F39" s="29">
        <f>'[1]BKE,CLNK, RM, Slag, CaO and MgO'!Y76</f>
        <v>3.277835151362489</v>
      </c>
      <c r="G39" s="29">
        <f>'[1]BKE,CLNK, RM, Slag, CaO and MgO'!Z76</f>
        <v>3.1994644209300067</v>
      </c>
      <c r="H39" s="29">
        <f>'[1]BKE,CLNK, RM, Slag, CaO and MgO'!AA76</f>
        <v>3.2134714954557975</v>
      </c>
      <c r="I39" s="29">
        <f>H39</f>
        <v>3.2134714954557975</v>
      </c>
      <c r="J39" s="29">
        <f>I39</f>
        <v>3.2134714954557975</v>
      </c>
      <c r="K39" s="29">
        <f>J39</f>
        <v>3.2134714954557975</v>
      </c>
      <c r="L39" s="41">
        <f>K39</f>
        <v>3.2134714954557975</v>
      </c>
    </row>
    <row r="40" spans="1:12" ht="12.75">
      <c r="A40">
        <v>2</v>
      </c>
      <c r="B40" s="33" t="s">
        <v>4</v>
      </c>
      <c r="C40" s="26" t="s">
        <v>23</v>
      </c>
      <c r="D40" s="27">
        <f>D39*D29*$D5</f>
        <v>174907.01200000002</v>
      </c>
      <c r="E40" s="27">
        <f>E39*E29*$D5</f>
        <v>188714.1368</v>
      </c>
      <c r="F40" s="27">
        <f>F39*F29*$D5</f>
        <v>186551.14352</v>
      </c>
      <c r="G40" s="27">
        <f>G39*G29*$D5</f>
        <v>184563.02479999998</v>
      </c>
      <c r="H40" s="27">
        <f>H39*H29*$D5</f>
        <v>185371.03129826495</v>
      </c>
      <c r="I40" s="27">
        <f>I39*I29*$D6</f>
        <v>317778.91079702566</v>
      </c>
      <c r="J40" s="27">
        <f>J39*J29*$D6</f>
        <v>317778.91079702566</v>
      </c>
      <c r="K40" s="27">
        <f>K39*K29*$D6</f>
        <v>317778.91079702566</v>
      </c>
      <c r="L40" s="34">
        <f>L39*L29*$D6</f>
        <v>317778.91079702566</v>
      </c>
    </row>
    <row r="41" spans="1:12" ht="12.75">
      <c r="A41">
        <v>3</v>
      </c>
      <c r="B41" s="33" t="s">
        <v>60</v>
      </c>
      <c r="C41" s="26" t="s">
        <v>23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34">
        <v>0</v>
      </c>
    </row>
    <row r="42" spans="2:12" ht="12.75">
      <c r="B42" s="33" t="s">
        <v>63</v>
      </c>
      <c r="C42" s="26" t="s">
        <v>64</v>
      </c>
      <c r="D42" s="27">
        <f>'[1]FC drying'!E4</f>
        <v>229956</v>
      </c>
      <c r="E42" s="27">
        <f>'[1]FC drying'!F4</f>
        <v>196813</v>
      </c>
      <c r="F42" s="27">
        <f>'[1]FC drying'!G4</f>
        <v>218946</v>
      </c>
      <c r="G42" s="27">
        <f>'[1]FC drying'!H4</f>
        <v>175241</v>
      </c>
      <c r="H42" s="27">
        <f>'[1]FC drying'!I4</f>
        <v>175241</v>
      </c>
      <c r="I42" s="27">
        <f>H42</f>
        <v>175241</v>
      </c>
      <c r="J42" s="27">
        <f>I42</f>
        <v>175241</v>
      </c>
      <c r="K42" s="27">
        <f>J42</f>
        <v>175241</v>
      </c>
      <c r="L42" s="34">
        <f>K42</f>
        <v>175241</v>
      </c>
    </row>
    <row r="43" spans="1:12" ht="12.75">
      <c r="A43">
        <v>4</v>
      </c>
      <c r="B43" s="33" t="s">
        <v>61</v>
      </c>
      <c r="C43" s="26" t="s">
        <v>23</v>
      </c>
      <c r="D43" s="27">
        <f>D42*$D5</f>
        <v>12877.536</v>
      </c>
      <c r="E43" s="27">
        <f aca="true" t="shared" si="9" ref="E43:L43">E42*$D5</f>
        <v>11021.528</v>
      </c>
      <c r="F43" s="27">
        <f t="shared" si="9"/>
        <v>12260.976</v>
      </c>
      <c r="G43" s="27">
        <f t="shared" si="9"/>
        <v>9813.496000000001</v>
      </c>
      <c r="H43" s="27">
        <f t="shared" si="9"/>
        <v>9813.496000000001</v>
      </c>
      <c r="I43" s="27">
        <f t="shared" si="9"/>
        <v>9813.496000000001</v>
      </c>
      <c r="J43" s="27">
        <f t="shared" si="9"/>
        <v>9813.496000000001</v>
      </c>
      <c r="K43" s="27">
        <f t="shared" si="9"/>
        <v>9813.496000000001</v>
      </c>
      <c r="L43" s="34">
        <f t="shared" si="9"/>
        <v>9813.496000000001</v>
      </c>
    </row>
    <row r="44" spans="1:12" ht="12.75">
      <c r="A44">
        <v>5</v>
      </c>
      <c r="B44" s="33" t="s">
        <v>62</v>
      </c>
      <c r="C44" s="26" t="s">
        <v>23</v>
      </c>
      <c r="D44" s="27">
        <f>'[1]El cons'!F7*$D8</f>
        <v>80299.3408</v>
      </c>
      <c r="E44" s="27">
        <f>'[1]El cons'!G7*$D8</f>
        <v>82172.0704</v>
      </c>
      <c r="F44" s="27">
        <f>'[1]El cons'!H7*$D8</f>
        <v>86481.11360000001</v>
      </c>
      <c r="G44" s="27">
        <f>'[1]El cons'!I7*$D8</f>
        <v>84572.54400000001</v>
      </c>
      <c r="H44" s="27">
        <f>'[1]El cons'!J7*$D8</f>
        <v>84572.54400000001</v>
      </c>
      <c r="I44" s="27">
        <f>H44</f>
        <v>84572.54400000001</v>
      </c>
      <c r="J44" s="27">
        <f>I44</f>
        <v>84572.54400000001</v>
      </c>
      <c r="K44" s="27">
        <f>J44</f>
        <v>84572.54400000001</v>
      </c>
      <c r="L44" s="34">
        <f>K44</f>
        <v>84572.54400000001</v>
      </c>
    </row>
    <row r="45" spans="2:12" ht="12.75">
      <c r="B45" s="33" t="s">
        <v>68</v>
      </c>
      <c r="C45" s="26"/>
      <c r="D45" s="27">
        <f>D37+D40+D41+D43+D44</f>
        <v>693544.590465</v>
      </c>
      <c r="E45" s="27">
        <f aca="true" t="shared" si="10" ref="E45:L45">E37+E40+E41+E43+E44</f>
        <v>690001.1455537</v>
      </c>
      <c r="F45" s="27">
        <f t="shared" si="10"/>
        <v>701277.636083</v>
      </c>
      <c r="G45" s="27">
        <f t="shared" si="10"/>
        <v>725298.8891740001</v>
      </c>
      <c r="H45" s="27">
        <f t="shared" si="10"/>
        <v>727594.991188265</v>
      </c>
      <c r="I45" s="27">
        <f t="shared" si="10"/>
        <v>860002.8706870257</v>
      </c>
      <c r="J45" s="27">
        <f t="shared" si="10"/>
        <v>860002.8706870257</v>
      </c>
      <c r="K45" s="27">
        <f t="shared" si="10"/>
        <v>860002.8706870257</v>
      </c>
      <c r="L45" s="34">
        <f t="shared" si="10"/>
        <v>860002.8706870257</v>
      </c>
    </row>
    <row r="46" spans="2:12" ht="12.75">
      <c r="B46" s="42"/>
      <c r="C46" s="3"/>
      <c r="D46" s="4"/>
      <c r="E46" s="3"/>
      <c r="F46" s="4"/>
      <c r="G46" s="3"/>
      <c r="H46" s="3"/>
      <c r="I46" s="3"/>
      <c r="J46" s="3"/>
      <c r="K46" s="3"/>
      <c r="L46" s="43"/>
    </row>
    <row r="47" spans="2:12" ht="13.5" thickBot="1">
      <c r="B47" s="44" t="s">
        <v>25</v>
      </c>
      <c r="C47" s="45" t="s">
        <v>24</v>
      </c>
      <c r="D47" s="46">
        <f>D26-D45</f>
        <v>51694.16859354824</v>
      </c>
      <c r="E47" s="46">
        <f aca="true" t="shared" si="11" ref="E47:L47">E26-E45</f>
        <v>93252.3015644654</v>
      </c>
      <c r="F47" s="46">
        <f t="shared" si="11"/>
        <v>119560.81770341017</v>
      </c>
      <c r="G47" s="46">
        <f t="shared" si="11"/>
        <v>106683.81994728581</v>
      </c>
      <c r="H47" s="47">
        <f t="shared" si="11"/>
        <v>104387.7179330209</v>
      </c>
      <c r="I47" s="47">
        <f t="shared" si="11"/>
        <v>123198.51843426027</v>
      </c>
      <c r="J47" s="47">
        <f t="shared" si="11"/>
        <v>123198.51843426027</v>
      </c>
      <c r="K47" s="47">
        <f t="shared" si="11"/>
        <v>123198.51843426027</v>
      </c>
      <c r="L47" s="48">
        <f t="shared" si="11"/>
        <v>123198.51843426027</v>
      </c>
    </row>
    <row r="48" spans="7:12" ht="12.75">
      <c r="G48" s="56">
        <f>G47+F47+E47+D47</f>
        <v>371191.1078087096</v>
      </c>
      <c r="L48" s="56">
        <f>L47+K47+J47+I47+H47</f>
        <v>597181.791670062</v>
      </c>
    </row>
    <row r="49" spans="5:12" ht="12.75">
      <c r="E49" s="2"/>
      <c r="G49" s="57" t="s">
        <v>27</v>
      </c>
      <c r="L49" s="57" t="s">
        <v>28</v>
      </c>
    </row>
  </sheetData>
  <sheetProtection/>
  <printOptions/>
  <pageMargins left="0.42" right="0.37" top="0.7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6">
      <selection activeCell="N25" sqref="N25"/>
    </sheetView>
  </sheetViews>
  <sheetFormatPr defaultColWidth="9.00390625" defaultRowHeight="12.75"/>
  <cols>
    <col min="1" max="1" width="25.75390625" style="0" customWidth="1"/>
    <col min="8" max="8" width="22.375" style="0" customWidth="1"/>
    <col min="9" max="9" width="21.875" style="0" customWidth="1"/>
  </cols>
  <sheetData>
    <row r="2" spans="1:13" ht="12.75">
      <c r="A2" s="9" t="s">
        <v>37</v>
      </c>
      <c r="B2" s="12"/>
      <c r="C2" s="13">
        <v>2004</v>
      </c>
      <c r="D2" s="13">
        <v>2005</v>
      </c>
      <c r="E2" s="13">
        <v>2006</v>
      </c>
      <c r="F2" s="13">
        <v>2007</v>
      </c>
      <c r="H2" s="9" t="s">
        <v>39</v>
      </c>
      <c r="I2" s="12"/>
      <c r="J2" s="13">
        <v>2004</v>
      </c>
      <c r="K2" s="13">
        <v>2005</v>
      </c>
      <c r="L2" s="13">
        <v>2006</v>
      </c>
      <c r="M2" s="13">
        <v>2007</v>
      </c>
    </row>
    <row r="3" spans="1:13" ht="12.75">
      <c r="A3" s="5" t="s">
        <v>31</v>
      </c>
      <c r="B3" s="6" t="s">
        <v>30</v>
      </c>
      <c r="C3" s="14">
        <f>'calcul-s'!D37</f>
        <v>425460.70166500006</v>
      </c>
      <c r="D3" s="14">
        <f>'calcul-s'!E37</f>
        <v>408093.41035370005</v>
      </c>
      <c r="E3" s="14">
        <f>'calcul-s'!F37</f>
        <v>415984.4029629999</v>
      </c>
      <c r="F3" s="14">
        <f>'calcul-s'!G37</f>
        <v>446349.8243740001</v>
      </c>
      <c r="H3" s="5" t="s">
        <v>31</v>
      </c>
      <c r="I3" s="6" t="s">
        <v>30</v>
      </c>
      <c r="J3" s="14">
        <f>'calcul-s'!D18</f>
        <v>472052.6436721064</v>
      </c>
      <c r="K3" s="14">
        <f>'calcul-s'!E18</f>
        <v>496132.086372567</v>
      </c>
      <c r="L3" s="14">
        <f>'calcul-s'!F18</f>
        <v>519939.35826297716</v>
      </c>
      <c r="M3" s="14">
        <f>'calcul-s'!G18</f>
        <v>526998.4049492107</v>
      </c>
    </row>
    <row r="4" spans="1:13" ht="12.75">
      <c r="A4" s="8" t="s">
        <v>51</v>
      </c>
      <c r="B4" s="6" t="s">
        <v>30</v>
      </c>
      <c r="C4" s="14">
        <f>'calcul-s'!D40</f>
        <v>174907.01200000002</v>
      </c>
      <c r="D4" s="14">
        <f>'calcul-s'!E40</f>
        <v>188714.1368</v>
      </c>
      <c r="E4" s="14">
        <f>'calcul-s'!F40</f>
        <v>186551.14352</v>
      </c>
      <c r="F4" s="14">
        <f>'calcul-s'!G40</f>
        <v>184563.02479999998</v>
      </c>
      <c r="H4" s="8" t="s">
        <v>51</v>
      </c>
      <c r="I4" s="6" t="s">
        <v>30</v>
      </c>
      <c r="J4" s="14">
        <f>'calcul-s'!D21</f>
        <v>189633.304</v>
      </c>
      <c r="K4" s="14">
        <f>'calcul-s'!E21</f>
        <v>199306.51384</v>
      </c>
      <c r="L4" s="14">
        <f>'calcul-s'!F21</f>
        <v>208870.38704</v>
      </c>
      <c r="M4" s="14">
        <f>'calcul-s'!G21</f>
        <v>211706.152</v>
      </c>
    </row>
    <row r="5" spans="1:13" ht="12.75">
      <c r="A5" s="5" t="s">
        <v>32</v>
      </c>
      <c r="B5" s="6" t="s">
        <v>30</v>
      </c>
      <c r="C5" s="15">
        <v>0</v>
      </c>
      <c r="D5" s="15">
        <v>0</v>
      </c>
      <c r="E5" s="14">
        <v>0</v>
      </c>
      <c r="F5" s="14">
        <v>0</v>
      </c>
      <c r="H5" s="5" t="s">
        <v>32</v>
      </c>
      <c r="I5" s="6" t="s">
        <v>30</v>
      </c>
      <c r="J5" s="14">
        <f>'calcul-s'!D22</f>
        <v>0</v>
      </c>
      <c r="K5" s="14">
        <f>'calcul-s'!E22</f>
        <v>0</v>
      </c>
      <c r="L5" s="14">
        <f>'calcul-s'!F22</f>
        <v>0</v>
      </c>
      <c r="M5" s="14">
        <f>'calcul-s'!G22</f>
        <v>0</v>
      </c>
    </row>
    <row r="6" spans="1:13" ht="12.75">
      <c r="A6" s="5" t="s">
        <v>50</v>
      </c>
      <c r="B6" s="6" t="s">
        <v>30</v>
      </c>
      <c r="C6" s="14">
        <f>'calcul-s'!D43</f>
        <v>12877.536</v>
      </c>
      <c r="D6" s="14">
        <f>'calcul-s'!E43</f>
        <v>11021.528</v>
      </c>
      <c r="E6" s="14">
        <f>'calcul-s'!F43</f>
        <v>12260.976</v>
      </c>
      <c r="F6" s="14">
        <f>'calcul-s'!G43</f>
        <v>9813.496000000001</v>
      </c>
      <c r="H6" s="5" t="s">
        <v>50</v>
      </c>
      <c r="I6" s="6" t="s">
        <v>30</v>
      </c>
      <c r="J6" s="14">
        <f>'calcul-s'!D24</f>
        <v>0</v>
      </c>
      <c r="K6" s="14">
        <f>'calcul-s'!E24</f>
        <v>0</v>
      </c>
      <c r="L6" s="14">
        <f>'calcul-s'!F24</f>
        <v>0</v>
      </c>
      <c r="M6" s="14">
        <f>'calcul-s'!G24</f>
        <v>0</v>
      </c>
    </row>
    <row r="7" spans="1:13" ht="25.5">
      <c r="A7" s="5" t="s">
        <v>52</v>
      </c>
      <c r="B7" s="6" t="s">
        <v>30</v>
      </c>
      <c r="C7" s="14">
        <f>'calcul-s'!D44</f>
        <v>80299.3408</v>
      </c>
      <c r="D7" s="14">
        <f>'calcul-s'!E44</f>
        <v>82172.0704</v>
      </c>
      <c r="E7" s="14">
        <f>'calcul-s'!F44</f>
        <v>86481.11360000001</v>
      </c>
      <c r="F7" s="14">
        <f>'calcul-s'!G44</f>
        <v>84572.54400000001</v>
      </c>
      <c r="H7" s="5" t="s">
        <v>52</v>
      </c>
      <c r="I7" s="6" t="s">
        <v>30</v>
      </c>
      <c r="J7" s="14">
        <f>'calcul-s'!D25</f>
        <v>83552.8113864419</v>
      </c>
      <c r="K7" s="14">
        <f>'calcul-s'!E25</f>
        <v>87814.84690559836</v>
      </c>
      <c r="L7" s="14">
        <f>'calcul-s'!F25</f>
        <v>92028.70848343306</v>
      </c>
      <c r="M7" s="14">
        <f>'calcul-s'!G25</f>
        <v>93278.15217207522</v>
      </c>
    </row>
    <row r="8" spans="1:13" ht="12.75">
      <c r="A8" s="5" t="s">
        <v>34</v>
      </c>
      <c r="B8" s="6" t="s">
        <v>30</v>
      </c>
      <c r="C8" s="14">
        <f>SUM(C3:C7)</f>
        <v>693544.590465</v>
      </c>
      <c r="D8" s="14">
        <f>SUM(D3:D7)</f>
        <v>690001.1455537</v>
      </c>
      <c r="E8" s="14">
        <f>SUM(E3:E7)</f>
        <v>701277.636083</v>
      </c>
      <c r="F8" s="14">
        <f>SUM(F3:F7)</f>
        <v>725298.8891740001</v>
      </c>
      <c r="H8" s="5" t="s">
        <v>34</v>
      </c>
      <c r="I8" s="6" t="s">
        <v>30</v>
      </c>
      <c r="J8" s="14">
        <f>SUM(J3:J7)</f>
        <v>745238.7590585483</v>
      </c>
      <c r="K8" s="14">
        <f>SUM(K3:K7)</f>
        <v>783253.4471181654</v>
      </c>
      <c r="L8" s="14">
        <f>SUM(L3:L7)</f>
        <v>820838.4537864102</v>
      </c>
      <c r="M8" s="14">
        <f>SUM(M3:M7)</f>
        <v>831982.7091212859</v>
      </c>
    </row>
    <row r="9" spans="1:13" ht="12.75">
      <c r="A9" s="5" t="s">
        <v>67</v>
      </c>
      <c r="B9" s="6" t="s">
        <v>36</v>
      </c>
      <c r="C9" s="65">
        <f>C8+D8+E8+F8</f>
        <v>2810122.2612757003</v>
      </c>
      <c r="D9" s="66"/>
      <c r="E9" s="66"/>
      <c r="F9" s="66"/>
      <c r="H9" s="5" t="s">
        <v>67</v>
      </c>
      <c r="I9" s="6" t="s">
        <v>36</v>
      </c>
      <c r="J9" s="65">
        <f>J8+K8+L8+M8</f>
        <v>3181313.3690844094</v>
      </c>
      <c r="K9" s="66"/>
      <c r="L9" s="66"/>
      <c r="M9" s="66"/>
    </row>
    <row r="11" spans="1:13" ht="12.75">
      <c r="A11" s="9" t="s">
        <v>38</v>
      </c>
      <c r="B11" s="12"/>
      <c r="C11" s="13">
        <v>2004</v>
      </c>
      <c r="D11" s="13">
        <v>2005</v>
      </c>
      <c r="E11" s="13">
        <v>2006</v>
      </c>
      <c r="F11" s="13">
        <v>2007</v>
      </c>
      <c r="H11" s="67" t="s">
        <v>40</v>
      </c>
      <c r="I11" s="67"/>
      <c r="J11" s="13">
        <v>2004</v>
      </c>
      <c r="K11" s="13">
        <v>2005</v>
      </c>
      <c r="L11" s="13">
        <v>2006</v>
      </c>
      <c r="M11" s="13">
        <v>2007</v>
      </c>
    </row>
    <row r="12" spans="1:13" ht="12.75">
      <c r="A12" s="8" t="s">
        <v>33</v>
      </c>
      <c r="B12" s="6" t="s">
        <v>30</v>
      </c>
      <c r="C12" s="15">
        <v>0</v>
      </c>
      <c r="D12" s="15">
        <v>0</v>
      </c>
      <c r="E12" s="14">
        <v>0</v>
      </c>
      <c r="F12" s="14">
        <v>0</v>
      </c>
      <c r="H12" s="5" t="s">
        <v>34</v>
      </c>
      <c r="I12" s="6" t="s">
        <v>30</v>
      </c>
      <c r="J12" s="7">
        <f>J8-C23</f>
        <v>51694.16859354824</v>
      </c>
      <c r="K12" s="7">
        <f>K8-D23</f>
        <v>93252.3015644654</v>
      </c>
      <c r="L12" s="7">
        <f>L8-E23</f>
        <v>119560.81770341017</v>
      </c>
      <c r="M12" s="7">
        <f>M8-F23</f>
        <v>106683.81994728581</v>
      </c>
    </row>
    <row r="13" spans="1:13" ht="12.75">
      <c r="A13" s="5" t="s">
        <v>34</v>
      </c>
      <c r="B13" s="6" t="s">
        <v>30</v>
      </c>
      <c r="C13" s="15">
        <v>0</v>
      </c>
      <c r="D13" s="15">
        <v>0</v>
      </c>
      <c r="E13" s="14">
        <v>0</v>
      </c>
      <c r="F13" s="14">
        <v>0</v>
      </c>
      <c r="H13" s="5" t="s">
        <v>67</v>
      </c>
      <c r="I13" s="6" t="s">
        <v>36</v>
      </c>
      <c r="J13" s="65">
        <f>J12+K12+L12+M12</f>
        <v>371191.1078087096</v>
      </c>
      <c r="K13" s="66"/>
      <c r="L13" s="66"/>
      <c r="M13" s="66"/>
    </row>
    <row r="14" spans="1:6" ht="12.75">
      <c r="A14" s="5" t="s">
        <v>67</v>
      </c>
      <c r="B14" s="6" t="s">
        <v>36</v>
      </c>
      <c r="C14" s="65">
        <v>0</v>
      </c>
      <c r="D14" s="66"/>
      <c r="E14" s="66"/>
      <c r="F14" s="66"/>
    </row>
    <row r="16" spans="1:12" ht="25.5" customHeight="1">
      <c r="A16" s="67" t="s">
        <v>29</v>
      </c>
      <c r="B16" s="67"/>
      <c r="C16" s="13">
        <v>2004</v>
      </c>
      <c r="D16" s="13">
        <v>2005</v>
      </c>
      <c r="E16" s="13">
        <v>2006</v>
      </c>
      <c r="F16" s="13">
        <v>2007</v>
      </c>
      <c r="H16" s="68" t="s">
        <v>41</v>
      </c>
      <c r="I16" s="61" t="s">
        <v>88</v>
      </c>
      <c r="J16" s="61" t="s">
        <v>85</v>
      </c>
      <c r="K16" s="61" t="s">
        <v>86</v>
      </c>
      <c r="L16" s="61" t="s">
        <v>87</v>
      </c>
    </row>
    <row r="17" spans="1:12" ht="12.75" customHeight="1">
      <c r="A17" s="16" t="s">
        <v>31</v>
      </c>
      <c r="B17" s="17" t="s">
        <v>30</v>
      </c>
      <c r="C17" s="18">
        <f aca="true" t="shared" si="0" ref="C17:F21">C3</f>
        <v>425460.70166500006</v>
      </c>
      <c r="D17" s="18">
        <f t="shared" si="0"/>
        <v>408093.41035370005</v>
      </c>
      <c r="E17" s="18">
        <f t="shared" si="0"/>
        <v>415984.4029629999</v>
      </c>
      <c r="F17" s="18">
        <f t="shared" si="0"/>
        <v>446349.8243740001</v>
      </c>
      <c r="H17" s="68"/>
      <c r="I17" s="62" t="s">
        <v>84</v>
      </c>
      <c r="J17" s="62"/>
      <c r="K17" s="62"/>
      <c r="L17" s="62" t="s">
        <v>84</v>
      </c>
    </row>
    <row r="18" spans="1:12" ht="12.75">
      <c r="A18" s="8" t="s">
        <v>51</v>
      </c>
      <c r="B18" s="6" t="s">
        <v>30</v>
      </c>
      <c r="C18" s="7">
        <f t="shared" si="0"/>
        <v>174907.01200000002</v>
      </c>
      <c r="D18" s="7">
        <f t="shared" si="0"/>
        <v>188714.1368</v>
      </c>
      <c r="E18" s="7">
        <f t="shared" si="0"/>
        <v>186551.14352</v>
      </c>
      <c r="F18" s="7">
        <f t="shared" si="0"/>
        <v>184563.02479999998</v>
      </c>
      <c r="H18" s="68"/>
      <c r="I18" s="63" t="s">
        <v>43</v>
      </c>
      <c r="J18" s="63"/>
      <c r="K18" s="63"/>
      <c r="L18" s="63"/>
    </row>
    <row r="19" spans="1:12" ht="12.75">
      <c r="A19" s="5" t="s">
        <v>32</v>
      </c>
      <c r="B19" s="6" t="s">
        <v>30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H19" s="22" t="s">
        <v>69</v>
      </c>
      <c r="I19" s="23">
        <f>C8</f>
        <v>693544.590465</v>
      </c>
      <c r="J19" s="24">
        <f>C13</f>
        <v>0</v>
      </c>
      <c r="K19" s="23">
        <f>J8</f>
        <v>745238.7590585483</v>
      </c>
      <c r="L19" s="23">
        <f>K19-I19-J19</f>
        <v>51694.16859354824</v>
      </c>
    </row>
    <row r="20" spans="1:12" ht="12.75">
      <c r="A20" s="5" t="s">
        <v>50</v>
      </c>
      <c r="B20" s="6" t="s">
        <v>30</v>
      </c>
      <c r="C20" s="7">
        <f t="shared" si="0"/>
        <v>12877.536</v>
      </c>
      <c r="D20" s="7">
        <f t="shared" si="0"/>
        <v>11021.528</v>
      </c>
      <c r="E20" s="7">
        <f t="shared" si="0"/>
        <v>12260.976</v>
      </c>
      <c r="F20" s="7">
        <f t="shared" si="0"/>
        <v>9813.496000000001</v>
      </c>
      <c r="H20" s="22" t="s">
        <v>76</v>
      </c>
      <c r="I20" s="23">
        <f>D8</f>
        <v>690001.1455537</v>
      </c>
      <c r="J20" s="25">
        <f>D13</f>
        <v>0</v>
      </c>
      <c r="K20" s="23">
        <f>K8</f>
        <v>783253.4471181654</v>
      </c>
      <c r="L20" s="23">
        <f>K20-I20-J20</f>
        <v>93252.3015644654</v>
      </c>
    </row>
    <row r="21" spans="1:12" ht="12.75">
      <c r="A21" s="5" t="s">
        <v>52</v>
      </c>
      <c r="B21" s="6" t="s">
        <v>30</v>
      </c>
      <c r="C21" s="7">
        <f t="shared" si="0"/>
        <v>80299.3408</v>
      </c>
      <c r="D21" s="7">
        <f t="shared" si="0"/>
        <v>82172.0704</v>
      </c>
      <c r="E21" s="7">
        <f t="shared" si="0"/>
        <v>86481.11360000001</v>
      </c>
      <c r="F21" s="7">
        <f t="shared" si="0"/>
        <v>84572.54400000001</v>
      </c>
      <c r="H21" s="22" t="s">
        <v>77</v>
      </c>
      <c r="I21" s="23">
        <f>E8</f>
        <v>701277.636083</v>
      </c>
      <c r="J21" s="25">
        <f>E13</f>
        <v>0</v>
      </c>
      <c r="K21" s="23">
        <f>L8</f>
        <v>820838.4537864102</v>
      </c>
      <c r="L21" s="23">
        <f>K21-I21-J21</f>
        <v>119560.81770341017</v>
      </c>
    </row>
    <row r="22" spans="1:12" ht="12.75">
      <c r="A22" s="8" t="s">
        <v>33</v>
      </c>
      <c r="B22" s="6" t="s">
        <v>30</v>
      </c>
      <c r="C22" s="6">
        <f>C13</f>
        <v>0</v>
      </c>
      <c r="D22" s="6">
        <f>D13</f>
        <v>0</v>
      </c>
      <c r="E22" s="6">
        <f>E13</f>
        <v>0</v>
      </c>
      <c r="F22" s="6">
        <f>F13</f>
        <v>0</v>
      </c>
      <c r="H22" s="22" t="s">
        <v>78</v>
      </c>
      <c r="I22" s="23">
        <f>F8</f>
        <v>725298.8891740001</v>
      </c>
      <c r="J22" s="25">
        <f>F13</f>
        <v>0</v>
      </c>
      <c r="K22" s="23">
        <f>M8</f>
        <v>831982.7091212859</v>
      </c>
      <c r="L22" s="23">
        <f>K22-I22-J22</f>
        <v>106683.81994728581</v>
      </c>
    </row>
    <row r="23" spans="1:12" ht="12.75">
      <c r="A23" s="19" t="s">
        <v>34</v>
      </c>
      <c r="B23" s="20" t="s">
        <v>30</v>
      </c>
      <c r="C23" s="21">
        <f>SUM(C17:C22)</f>
        <v>693544.590465</v>
      </c>
      <c r="D23" s="21">
        <f>SUM(D17:D22)</f>
        <v>690001.1455537</v>
      </c>
      <c r="E23" s="21">
        <f>SUM(E17:E22)</f>
        <v>701277.636083</v>
      </c>
      <c r="F23" s="21">
        <f>SUM(F17:F22)</f>
        <v>725298.8891740001</v>
      </c>
      <c r="H23" s="71" t="s">
        <v>73</v>
      </c>
      <c r="I23" s="69">
        <f>I19+I20+I21+I22</f>
        <v>2810122.2612757003</v>
      </c>
      <c r="J23" s="64">
        <f>J19+J20+J21+J22</f>
        <v>0</v>
      </c>
      <c r="K23" s="64">
        <f>K19+K20+K21+K22</f>
        <v>3181313.3690844094</v>
      </c>
      <c r="L23" s="64">
        <f>K23-I23-J23</f>
        <v>371191.10780870914</v>
      </c>
    </row>
    <row r="24" spans="1:12" ht="12.75">
      <c r="A24" s="8" t="s">
        <v>67</v>
      </c>
      <c r="B24" s="6" t="s">
        <v>36</v>
      </c>
      <c r="C24" s="65">
        <f>C23+D23+E23+F23</f>
        <v>2810122.2612757003</v>
      </c>
      <c r="D24" s="66"/>
      <c r="E24" s="66"/>
      <c r="F24" s="66"/>
      <c r="H24" s="72"/>
      <c r="I24" s="70"/>
      <c r="J24" s="64"/>
      <c r="K24" s="64"/>
      <c r="L24" s="64"/>
    </row>
    <row r="26" spans="8:9" ht="12.75">
      <c r="H26" s="49"/>
      <c r="I26" s="49" t="s">
        <v>90</v>
      </c>
    </row>
    <row r="27" spans="8:9" ht="38.25">
      <c r="H27" s="49" t="s">
        <v>91</v>
      </c>
      <c r="I27" s="49">
        <v>4</v>
      </c>
    </row>
    <row r="28" spans="8:9" ht="39.75">
      <c r="H28" s="49" t="s">
        <v>41</v>
      </c>
      <c r="I28" s="49" t="s">
        <v>92</v>
      </c>
    </row>
    <row r="29" spans="8:9" ht="12.75">
      <c r="H29" s="49">
        <v>2004</v>
      </c>
      <c r="I29" s="50">
        <f>L19</f>
        <v>51694.16859354824</v>
      </c>
    </row>
    <row r="30" spans="8:9" ht="12.75">
      <c r="H30" s="49">
        <v>2005</v>
      </c>
      <c r="I30" s="50">
        <f>L20</f>
        <v>93252.3015644654</v>
      </c>
    </row>
    <row r="31" spans="8:9" ht="12.75">
      <c r="H31" s="49">
        <v>2006</v>
      </c>
      <c r="I31" s="50">
        <f>L21</f>
        <v>119560.81770341017</v>
      </c>
    </row>
    <row r="32" spans="8:9" ht="12.75">
      <c r="H32" s="49">
        <v>2007</v>
      </c>
      <c r="I32" s="50">
        <f>L22</f>
        <v>106683.81994728581</v>
      </c>
    </row>
    <row r="33" spans="8:9" ht="51">
      <c r="H33" s="49" t="s">
        <v>93</v>
      </c>
      <c r="I33" s="50">
        <f>SUM(I29:I32)</f>
        <v>371191.1078087096</v>
      </c>
    </row>
    <row r="34" spans="8:9" ht="64.5" thickBot="1">
      <c r="H34" s="53" t="s">
        <v>98</v>
      </c>
      <c r="I34" s="55">
        <f>I33/I27</f>
        <v>92797.7769521774</v>
      </c>
    </row>
  </sheetData>
  <sheetProtection/>
  <mergeCells count="17">
    <mergeCell ref="A16:B16"/>
    <mergeCell ref="I23:I24"/>
    <mergeCell ref="H23:H24"/>
    <mergeCell ref="I16:I18"/>
    <mergeCell ref="J16:J18"/>
    <mergeCell ref="K16:K18"/>
    <mergeCell ref="L16:L18"/>
    <mergeCell ref="L23:L24"/>
    <mergeCell ref="C9:F9"/>
    <mergeCell ref="C14:F14"/>
    <mergeCell ref="C24:F24"/>
    <mergeCell ref="J9:M9"/>
    <mergeCell ref="J13:M13"/>
    <mergeCell ref="J23:J24"/>
    <mergeCell ref="K23:K24"/>
    <mergeCell ref="H11:I11"/>
    <mergeCell ref="H16:H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3">
      <selection activeCell="J19" sqref="J19:M25"/>
    </sheetView>
  </sheetViews>
  <sheetFormatPr defaultColWidth="9.00390625" defaultRowHeight="12.75"/>
  <cols>
    <col min="1" max="1" width="24.375" style="0" customWidth="1"/>
    <col min="9" max="9" width="22.375" style="0" customWidth="1"/>
  </cols>
  <sheetData>
    <row r="2" spans="1:15" ht="12.75">
      <c r="A2" s="9" t="s">
        <v>37</v>
      </c>
      <c r="B2" s="12"/>
      <c r="C2" s="13">
        <v>2008</v>
      </c>
      <c r="D2" s="13">
        <v>2009</v>
      </c>
      <c r="E2" s="13">
        <v>2010</v>
      </c>
      <c r="F2" s="13">
        <v>2011</v>
      </c>
      <c r="G2" s="13">
        <v>2012</v>
      </c>
      <c r="I2" s="9" t="s">
        <v>39</v>
      </c>
      <c r="J2" s="12"/>
      <c r="K2" s="13">
        <v>2008</v>
      </c>
      <c r="L2" s="13">
        <v>2009</v>
      </c>
      <c r="M2" s="13">
        <v>2010</v>
      </c>
      <c r="N2" s="13">
        <v>2011</v>
      </c>
      <c r="O2" s="13">
        <v>2012</v>
      </c>
    </row>
    <row r="3" spans="1:15" ht="12.75">
      <c r="A3" s="5" t="s">
        <v>31</v>
      </c>
      <c r="B3" s="6" t="s">
        <v>30</v>
      </c>
      <c r="C3" s="14">
        <f>'calcul-s'!H37</f>
        <v>447837.91989</v>
      </c>
      <c r="D3" s="14">
        <f>'calcul-s'!I37</f>
        <v>447837.91989</v>
      </c>
      <c r="E3" s="14">
        <f>'calcul-s'!J37</f>
        <v>447837.91989</v>
      </c>
      <c r="F3" s="14">
        <f>'calcul-s'!K37</f>
        <v>447837.91989</v>
      </c>
      <c r="G3" s="14">
        <f>'calcul-s'!L37</f>
        <v>447837.91989</v>
      </c>
      <c r="I3" s="5" t="s">
        <v>31</v>
      </c>
      <c r="J3" s="6" t="s">
        <v>30</v>
      </c>
      <c r="K3" s="14">
        <f>'calcul-s'!H18</f>
        <v>526998.4049492107</v>
      </c>
      <c r="L3" s="14">
        <f>'calcul-s'!I18</f>
        <v>526998.4049492107</v>
      </c>
      <c r="M3" s="14">
        <f>'calcul-s'!J18</f>
        <v>526998.4049492107</v>
      </c>
      <c r="N3" s="14">
        <f>'calcul-s'!K18</f>
        <v>526998.4049492107</v>
      </c>
      <c r="O3" s="14">
        <f>'calcul-s'!L18</f>
        <v>526998.4049492107</v>
      </c>
    </row>
    <row r="4" spans="1:15" ht="12.75">
      <c r="A4" s="8" t="s">
        <v>51</v>
      </c>
      <c r="B4" s="6" t="s">
        <v>30</v>
      </c>
      <c r="C4" s="14">
        <f>'calcul-s'!H40</f>
        <v>185371.03129826495</v>
      </c>
      <c r="D4" s="14">
        <f>'calcul-s'!I40</f>
        <v>317778.91079702566</v>
      </c>
      <c r="E4" s="14">
        <f>'calcul-s'!J40</f>
        <v>317778.91079702566</v>
      </c>
      <c r="F4" s="14">
        <f>'calcul-s'!K40</f>
        <v>317778.91079702566</v>
      </c>
      <c r="G4" s="14">
        <f>'calcul-s'!L40</f>
        <v>317778.91079702566</v>
      </c>
      <c r="I4" s="8" t="s">
        <v>51</v>
      </c>
      <c r="J4" s="6" t="s">
        <v>30</v>
      </c>
      <c r="K4" s="14">
        <f>'calcul-s'!H21</f>
        <v>211706.152</v>
      </c>
      <c r="L4" s="14">
        <f>'calcul-s'!I21</f>
        <v>362924.832</v>
      </c>
      <c r="M4" s="14">
        <f>'calcul-s'!J21</f>
        <v>362924.832</v>
      </c>
      <c r="N4" s="14">
        <f>'calcul-s'!K21</f>
        <v>362924.832</v>
      </c>
      <c r="O4" s="14">
        <f>'calcul-s'!L21</f>
        <v>362924.832</v>
      </c>
    </row>
    <row r="5" spans="1:15" ht="12.75">
      <c r="A5" s="5" t="s">
        <v>32</v>
      </c>
      <c r="B5" s="6" t="s">
        <v>30</v>
      </c>
      <c r="C5" s="14">
        <f>'calcul-s'!H41</f>
        <v>0</v>
      </c>
      <c r="D5" s="14">
        <f>'calcul-s'!I41</f>
        <v>0</v>
      </c>
      <c r="E5" s="14">
        <f>'calcul-s'!J41</f>
        <v>0</v>
      </c>
      <c r="F5" s="14">
        <f>'calcul-s'!K41</f>
        <v>0</v>
      </c>
      <c r="G5" s="14">
        <f>'calcul-s'!L41</f>
        <v>0</v>
      </c>
      <c r="I5" s="5" t="s">
        <v>32</v>
      </c>
      <c r="J5" s="6" t="s">
        <v>30</v>
      </c>
      <c r="K5" s="14">
        <f>'calcul-s'!H22</f>
        <v>0</v>
      </c>
      <c r="L5" s="14">
        <f>'calcul-s'!I22</f>
        <v>0</v>
      </c>
      <c r="M5" s="14">
        <f>'calcul-s'!J22</f>
        <v>0</v>
      </c>
      <c r="N5" s="14">
        <f>'calcul-s'!K22</f>
        <v>0</v>
      </c>
      <c r="O5" s="14">
        <f>'calcul-s'!L22</f>
        <v>0</v>
      </c>
    </row>
    <row r="6" spans="1:15" ht="12.75">
      <c r="A6" s="5" t="s">
        <v>50</v>
      </c>
      <c r="B6" s="6" t="s">
        <v>30</v>
      </c>
      <c r="C6" s="14">
        <f>'calcul-s'!H43</f>
        <v>9813.496000000001</v>
      </c>
      <c r="D6" s="14">
        <f>'calcul-s'!I43</f>
        <v>9813.496000000001</v>
      </c>
      <c r="E6" s="14">
        <f>'calcul-s'!J43</f>
        <v>9813.496000000001</v>
      </c>
      <c r="F6" s="14">
        <f>'calcul-s'!K43</f>
        <v>9813.496000000001</v>
      </c>
      <c r="G6" s="14">
        <f>'calcul-s'!L43</f>
        <v>9813.496000000001</v>
      </c>
      <c r="I6" s="5" t="s">
        <v>50</v>
      </c>
      <c r="J6" s="6" t="s">
        <v>30</v>
      </c>
      <c r="K6" s="14">
        <f>'calcul-s'!H24</f>
        <v>0</v>
      </c>
      <c r="L6" s="14">
        <f>'calcul-s'!I24</f>
        <v>0</v>
      </c>
      <c r="M6" s="14">
        <f>'calcul-s'!J24</f>
        <v>0</v>
      </c>
      <c r="N6" s="14">
        <f>'calcul-s'!K24</f>
        <v>0</v>
      </c>
      <c r="O6" s="14">
        <f>'calcul-s'!L24</f>
        <v>0</v>
      </c>
    </row>
    <row r="7" spans="1:15" ht="14.25" customHeight="1">
      <c r="A7" s="5" t="s">
        <v>52</v>
      </c>
      <c r="B7" s="6" t="s">
        <v>30</v>
      </c>
      <c r="C7" s="14">
        <f>'calcul-s'!H44</f>
        <v>84572.54400000001</v>
      </c>
      <c r="D7" s="14">
        <f>'calcul-s'!I44</f>
        <v>84572.54400000001</v>
      </c>
      <c r="E7" s="14">
        <f>'calcul-s'!J44</f>
        <v>84572.54400000001</v>
      </c>
      <c r="F7" s="14">
        <f>'calcul-s'!K44</f>
        <v>84572.54400000001</v>
      </c>
      <c r="G7" s="14">
        <f>'calcul-s'!L44</f>
        <v>84572.54400000001</v>
      </c>
      <c r="I7" s="5" t="s">
        <v>52</v>
      </c>
      <c r="J7" s="6" t="s">
        <v>30</v>
      </c>
      <c r="K7" s="14">
        <f>'calcul-s'!H25</f>
        <v>93278.15217207522</v>
      </c>
      <c r="L7" s="14">
        <f>'calcul-s'!I25</f>
        <v>93278.15217207522</v>
      </c>
      <c r="M7" s="14">
        <f>'calcul-s'!J25</f>
        <v>93278.15217207522</v>
      </c>
      <c r="N7" s="14">
        <f>'calcul-s'!K25</f>
        <v>93278.15217207522</v>
      </c>
      <c r="O7" s="14">
        <f>'calcul-s'!L25</f>
        <v>93278.15217207522</v>
      </c>
    </row>
    <row r="8" spans="1:15" ht="12.75">
      <c r="A8" s="5" t="s">
        <v>34</v>
      </c>
      <c r="B8" s="6" t="s">
        <v>30</v>
      </c>
      <c r="C8" s="14">
        <f>SUM(C3:C7)</f>
        <v>727594.991188265</v>
      </c>
      <c r="D8" s="14">
        <f>SUM(D3:D7)</f>
        <v>860002.8706870257</v>
      </c>
      <c r="E8" s="14">
        <f>SUM(E3:E7)</f>
        <v>860002.8706870257</v>
      </c>
      <c r="F8" s="14">
        <f>SUM(F3:F7)</f>
        <v>860002.8706870257</v>
      </c>
      <c r="G8" s="14">
        <f>SUM(G3:G7)</f>
        <v>860002.8706870257</v>
      </c>
      <c r="I8" s="5" t="s">
        <v>34</v>
      </c>
      <c r="J8" s="6" t="s">
        <v>30</v>
      </c>
      <c r="K8" s="14">
        <f>SUM(K3:K7)</f>
        <v>831982.7091212859</v>
      </c>
      <c r="L8" s="14">
        <f>SUM(L3:L7)</f>
        <v>983201.389121286</v>
      </c>
      <c r="M8" s="14">
        <f>SUM(M3:M7)</f>
        <v>983201.389121286</v>
      </c>
      <c r="N8" s="14">
        <f>SUM(N3:N7)</f>
        <v>983201.389121286</v>
      </c>
      <c r="O8" s="14">
        <f>SUM(O3:O7)</f>
        <v>983201.389121286</v>
      </c>
    </row>
    <row r="9" spans="1:15" ht="12.75">
      <c r="A9" s="5" t="s">
        <v>35</v>
      </c>
      <c r="B9" s="6" t="s">
        <v>36</v>
      </c>
      <c r="C9" s="65">
        <f>C8+D8+E8+F8+G8</f>
        <v>4167606.473936368</v>
      </c>
      <c r="D9" s="65"/>
      <c r="E9" s="65"/>
      <c r="F9" s="65"/>
      <c r="G9" s="65"/>
      <c r="I9" s="5" t="s">
        <v>35</v>
      </c>
      <c r="J9" s="6" t="s">
        <v>36</v>
      </c>
      <c r="K9" s="65">
        <f>K8+L8+M8+N8+O8</f>
        <v>4764788.26560643</v>
      </c>
      <c r="L9" s="65"/>
      <c r="M9" s="65"/>
      <c r="N9" s="65"/>
      <c r="O9" s="65"/>
    </row>
    <row r="11" spans="1:15" ht="12.75">
      <c r="A11" s="9" t="s">
        <v>38</v>
      </c>
      <c r="B11" s="12"/>
      <c r="C11" s="13">
        <v>2008</v>
      </c>
      <c r="D11" s="13">
        <v>2009</v>
      </c>
      <c r="E11" s="13">
        <v>2010</v>
      </c>
      <c r="F11" s="13">
        <v>2011</v>
      </c>
      <c r="G11" s="13">
        <v>2012</v>
      </c>
      <c r="I11" s="67" t="s">
        <v>40</v>
      </c>
      <c r="J11" s="67"/>
      <c r="K11" s="13">
        <v>2008</v>
      </c>
      <c r="L11" s="13">
        <v>2009</v>
      </c>
      <c r="M11" s="13">
        <v>2010</v>
      </c>
      <c r="N11" s="13">
        <v>2011</v>
      </c>
      <c r="O11" s="13">
        <v>2012</v>
      </c>
    </row>
    <row r="12" spans="1:15" ht="12.75">
      <c r="A12" s="8" t="s">
        <v>74</v>
      </c>
      <c r="B12" s="6" t="s">
        <v>30</v>
      </c>
      <c r="C12" s="15">
        <f>0</f>
        <v>0</v>
      </c>
      <c r="D12" s="15">
        <f>0</f>
        <v>0</v>
      </c>
      <c r="E12" s="15">
        <f>0</f>
        <v>0</v>
      </c>
      <c r="F12" s="15">
        <f>0</f>
        <v>0</v>
      </c>
      <c r="G12" s="15">
        <f>0</f>
        <v>0</v>
      </c>
      <c r="I12" s="5" t="s">
        <v>34</v>
      </c>
      <c r="J12" s="6" t="s">
        <v>30</v>
      </c>
      <c r="K12" s="7">
        <f>K8-C23</f>
        <v>104387.7179330209</v>
      </c>
      <c r="L12" s="7">
        <f>L8-D23</f>
        <v>123198.51843426027</v>
      </c>
      <c r="M12" s="7">
        <f>M8-E23</f>
        <v>123198.51843426027</v>
      </c>
      <c r="N12" s="7">
        <f>N8-F23</f>
        <v>123198.51843426027</v>
      </c>
      <c r="O12" s="7">
        <f>O8-G23</f>
        <v>123198.51843426027</v>
      </c>
    </row>
    <row r="13" spans="1:15" ht="13.5" customHeight="1">
      <c r="A13" s="5" t="s">
        <v>34</v>
      </c>
      <c r="B13" s="6" t="s">
        <v>30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I13" s="5" t="s">
        <v>35</v>
      </c>
      <c r="J13" s="6" t="s">
        <v>36</v>
      </c>
      <c r="K13" s="65">
        <f>K12+L12+M12+N12+O12</f>
        <v>597181.791670062</v>
      </c>
      <c r="L13" s="65"/>
      <c r="M13" s="65"/>
      <c r="N13" s="65"/>
      <c r="O13" s="65"/>
    </row>
    <row r="14" spans="1:7" ht="12.75" customHeight="1">
      <c r="A14" s="5" t="s">
        <v>35</v>
      </c>
      <c r="B14" s="6" t="s">
        <v>36</v>
      </c>
      <c r="C14" s="65">
        <f>C13+D13+E13+F13+G13</f>
        <v>0</v>
      </c>
      <c r="D14" s="65"/>
      <c r="E14" s="65"/>
      <c r="F14" s="65"/>
      <c r="G14" s="65"/>
    </row>
    <row r="16" spans="1:13" ht="12.75">
      <c r="A16" s="67" t="s">
        <v>29</v>
      </c>
      <c r="B16" s="67"/>
      <c r="C16" s="13">
        <v>2008</v>
      </c>
      <c r="D16" s="13">
        <v>2009</v>
      </c>
      <c r="E16" s="13">
        <v>2010</v>
      </c>
      <c r="F16" s="13">
        <v>2011</v>
      </c>
      <c r="G16" s="13">
        <v>2012</v>
      </c>
      <c r="I16" s="68" t="s">
        <v>41</v>
      </c>
      <c r="J16" s="61" t="s">
        <v>89</v>
      </c>
      <c r="K16" s="61" t="s">
        <v>85</v>
      </c>
      <c r="L16" s="61" t="s">
        <v>86</v>
      </c>
      <c r="M16" s="61" t="s">
        <v>87</v>
      </c>
    </row>
    <row r="17" spans="1:13" ht="12.75">
      <c r="A17" s="16" t="s">
        <v>31</v>
      </c>
      <c r="B17" s="6" t="s">
        <v>30</v>
      </c>
      <c r="C17" s="7">
        <f aca="true" t="shared" si="0" ref="C17:G21">C3</f>
        <v>447837.91989</v>
      </c>
      <c r="D17" s="7">
        <f t="shared" si="0"/>
        <v>447837.91989</v>
      </c>
      <c r="E17" s="7">
        <f t="shared" si="0"/>
        <v>447837.91989</v>
      </c>
      <c r="F17" s="7">
        <f t="shared" si="0"/>
        <v>447837.91989</v>
      </c>
      <c r="G17" s="7">
        <f t="shared" si="0"/>
        <v>447837.91989</v>
      </c>
      <c r="I17" s="68"/>
      <c r="J17" s="62"/>
      <c r="K17" s="62"/>
      <c r="L17" s="62" t="s">
        <v>42</v>
      </c>
      <c r="M17" s="62" t="s">
        <v>42</v>
      </c>
    </row>
    <row r="18" spans="1:13" ht="39" customHeight="1">
      <c r="A18" s="8" t="s">
        <v>51</v>
      </c>
      <c r="B18" s="6" t="s">
        <v>30</v>
      </c>
      <c r="C18" s="7">
        <f t="shared" si="0"/>
        <v>185371.03129826495</v>
      </c>
      <c r="D18" s="7">
        <f t="shared" si="0"/>
        <v>317778.91079702566</v>
      </c>
      <c r="E18" s="7">
        <f t="shared" si="0"/>
        <v>317778.91079702566</v>
      </c>
      <c r="F18" s="7">
        <f t="shared" si="0"/>
        <v>317778.91079702566</v>
      </c>
      <c r="G18" s="7">
        <f t="shared" si="0"/>
        <v>317778.91079702566</v>
      </c>
      <c r="I18" s="68"/>
      <c r="J18" s="63"/>
      <c r="K18" s="63" t="s">
        <v>43</v>
      </c>
      <c r="L18" s="63" t="s">
        <v>43</v>
      </c>
      <c r="M18" s="63" t="s">
        <v>43</v>
      </c>
    </row>
    <row r="19" spans="1:13" ht="12.75">
      <c r="A19" s="5" t="s">
        <v>32</v>
      </c>
      <c r="B19" s="6" t="s">
        <v>30</v>
      </c>
      <c r="C19" s="7">
        <f t="shared" si="0"/>
        <v>0</v>
      </c>
      <c r="D19" s="7">
        <f t="shared" si="0"/>
        <v>0</v>
      </c>
      <c r="E19" s="7">
        <f t="shared" si="0"/>
        <v>0</v>
      </c>
      <c r="F19" s="7">
        <f t="shared" si="0"/>
        <v>0</v>
      </c>
      <c r="G19" s="7">
        <f t="shared" si="0"/>
        <v>0</v>
      </c>
      <c r="I19" s="22" t="s">
        <v>44</v>
      </c>
      <c r="J19" s="23">
        <f>C8</f>
        <v>727594.991188265</v>
      </c>
      <c r="K19" s="25">
        <f>C22</f>
        <v>0</v>
      </c>
      <c r="L19" s="23">
        <f>K8</f>
        <v>831982.7091212859</v>
      </c>
      <c r="M19" s="23">
        <f aca="true" t="shared" si="1" ref="M19:M24">L19-K19-J19</f>
        <v>104387.7179330209</v>
      </c>
    </row>
    <row r="20" spans="1:13" ht="12.75">
      <c r="A20" s="5" t="s">
        <v>50</v>
      </c>
      <c r="B20" s="6" t="s">
        <v>30</v>
      </c>
      <c r="C20" s="7">
        <f t="shared" si="0"/>
        <v>9813.496000000001</v>
      </c>
      <c r="D20" s="7">
        <f t="shared" si="0"/>
        <v>9813.496000000001</v>
      </c>
      <c r="E20" s="7">
        <f t="shared" si="0"/>
        <v>9813.496000000001</v>
      </c>
      <c r="F20" s="7">
        <f t="shared" si="0"/>
        <v>9813.496000000001</v>
      </c>
      <c r="G20" s="7">
        <f t="shared" si="0"/>
        <v>9813.496000000001</v>
      </c>
      <c r="I20" s="22" t="s">
        <v>45</v>
      </c>
      <c r="J20" s="23">
        <f>D23</f>
        <v>860002.8706870257</v>
      </c>
      <c r="K20" s="25">
        <f>D22</f>
        <v>0</v>
      </c>
      <c r="L20" s="23">
        <f>L8</f>
        <v>983201.389121286</v>
      </c>
      <c r="M20" s="23">
        <f t="shared" si="1"/>
        <v>123198.51843426027</v>
      </c>
    </row>
    <row r="21" spans="1:13" ht="13.5" customHeight="1">
      <c r="A21" s="5" t="s">
        <v>52</v>
      </c>
      <c r="B21" s="6" t="s">
        <v>30</v>
      </c>
      <c r="C21" s="7">
        <f t="shared" si="0"/>
        <v>84572.54400000001</v>
      </c>
      <c r="D21" s="7">
        <f t="shared" si="0"/>
        <v>84572.54400000001</v>
      </c>
      <c r="E21" s="7">
        <f t="shared" si="0"/>
        <v>84572.54400000001</v>
      </c>
      <c r="F21" s="7">
        <f t="shared" si="0"/>
        <v>84572.54400000001</v>
      </c>
      <c r="G21" s="7">
        <f t="shared" si="0"/>
        <v>84572.54400000001</v>
      </c>
      <c r="I21" s="22" t="s">
        <v>46</v>
      </c>
      <c r="J21" s="23">
        <f>E23</f>
        <v>860002.8706870257</v>
      </c>
      <c r="K21" s="25">
        <f>E22</f>
        <v>0</v>
      </c>
      <c r="L21" s="23">
        <f>M8</f>
        <v>983201.389121286</v>
      </c>
      <c r="M21" s="23">
        <f t="shared" si="1"/>
        <v>123198.51843426027</v>
      </c>
    </row>
    <row r="22" spans="1:13" ht="12.75">
      <c r="A22" s="8" t="s">
        <v>33</v>
      </c>
      <c r="B22" s="6" t="s">
        <v>30</v>
      </c>
      <c r="C22" s="7">
        <f>C13</f>
        <v>0</v>
      </c>
      <c r="D22" s="7">
        <f>D13</f>
        <v>0</v>
      </c>
      <c r="E22" s="7">
        <f>E13</f>
        <v>0</v>
      </c>
      <c r="F22" s="7">
        <f>F13</f>
        <v>0</v>
      </c>
      <c r="G22" s="7">
        <f>G13</f>
        <v>0</v>
      </c>
      <c r="I22" s="22" t="s">
        <v>47</v>
      </c>
      <c r="J22" s="23">
        <f>F23</f>
        <v>860002.8706870257</v>
      </c>
      <c r="K22" s="25">
        <f>F22</f>
        <v>0</v>
      </c>
      <c r="L22" s="23">
        <f>N8</f>
        <v>983201.389121286</v>
      </c>
      <c r="M22" s="23">
        <f t="shared" si="1"/>
        <v>123198.51843426027</v>
      </c>
    </row>
    <row r="23" spans="1:13" ht="12.75">
      <c r="A23" s="19" t="s">
        <v>34</v>
      </c>
      <c r="B23" s="6" t="s">
        <v>30</v>
      </c>
      <c r="C23" s="7">
        <f>SUM(C17:C22)</f>
        <v>727594.991188265</v>
      </c>
      <c r="D23" s="7">
        <f>SUM(D17:D22)</f>
        <v>860002.8706870257</v>
      </c>
      <c r="E23" s="7">
        <f>SUM(E17:E22)</f>
        <v>860002.8706870257</v>
      </c>
      <c r="F23" s="7">
        <f>SUM(F17:F22)</f>
        <v>860002.8706870257</v>
      </c>
      <c r="G23" s="7">
        <f>SUM(G17:G22)</f>
        <v>860002.8706870257</v>
      </c>
      <c r="I23" s="22" t="s">
        <v>48</v>
      </c>
      <c r="J23" s="23">
        <f>G23</f>
        <v>860002.8706870257</v>
      </c>
      <c r="K23" s="25">
        <f>G22</f>
        <v>0</v>
      </c>
      <c r="L23" s="23">
        <f>O8</f>
        <v>983201.389121286</v>
      </c>
      <c r="M23" s="23">
        <f t="shared" si="1"/>
        <v>123198.51843426027</v>
      </c>
    </row>
    <row r="24" spans="1:13" ht="12.75">
      <c r="A24" s="8" t="s">
        <v>35</v>
      </c>
      <c r="B24" s="6" t="s">
        <v>36</v>
      </c>
      <c r="C24" s="65">
        <f>C23+D23+E23+F23+G23</f>
        <v>4167606.473936368</v>
      </c>
      <c r="D24" s="65"/>
      <c r="E24" s="65"/>
      <c r="F24" s="65"/>
      <c r="G24" s="65"/>
      <c r="I24" s="75" t="s">
        <v>73</v>
      </c>
      <c r="J24" s="73">
        <f>SUM(J19:J23)</f>
        <v>4167606.473936368</v>
      </c>
      <c r="K24" s="73">
        <f>SUM(K19:K23)</f>
        <v>0</v>
      </c>
      <c r="L24" s="73">
        <f>SUM(L19:L23)</f>
        <v>4764788.26560643</v>
      </c>
      <c r="M24" s="73">
        <f t="shared" si="1"/>
        <v>597181.7916700626</v>
      </c>
    </row>
    <row r="25" spans="9:13" ht="5.25" customHeight="1">
      <c r="I25" s="76"/>
      <c r="J25" s="77"/>
      <c r="K25" s="74"/>
      <c r="L25" s="74"/>
      <c r="M25" s="74"/>
    </row>
    <row r="26" ht="13.5" thickBot="1"/>
    <row r="27" spans="9:10" ht="13.5" thickBot="1">
      <c r="I27" s="51"/>
      <c r="J27" s="52" t="s">
        <v>90</v>
      </c>
    </row>
    <row r="28" spans="9:10" ht="26.25" thickBot="1">
      <c r="I28" s="53" t="s">
        <v>94</v>
      </c>
      <c r="J28" s="54">
        <v>5</v>
      </c>
    </row>
    <row r="29" spans="9:10" ht="78.75" thickBot="1">
      <c r="I29" s="53" t="s">
        <v>41</v>
      </c>
      <c r="J29" s="54" t="s">
        <v>92</v>
      </c>
    </row>
    <row r="30" spans="9:10" ht="13.5" thickBot="1">
      <c r="I30" s="53" t="s">
        <v>44</v>
      </c>
      <c r="J30" s="55">
        <f>M19</f>
        <v>104387.7179330209</v>
      </c>
    </row>
    <row r="31" spans="9:10" ht="13.5" thickBot="1">
      <c r="I31" s="53" t="s">
        <v>45</v>
      </c>
      <c r="J31" s="55">
        <f>M20</f>
        <v>123198.51843426027</v>
      </c>
    </row>
    <row r="32" spans="9:10" ht="13.5" thickBot="1">
      <c r="I32" s="53" t="s">
        <v>46</v>
      </c>
      <c r="J32" s="55">
        <f>M21</f>
        <v>123198.51843426027</v>
      </c>
    </row>
    <row r="33" spans="9:10" ht="13.5" thickBot="1">
      <c r="I33" s="53" t="s">
        <v>47</v>
      </c>
      <c r="J33" s="55">
        <f>M22</f>
        <v>123198.51843426027</v>
      </c>
    </row>
    <row r="34" spans="9:10" ht="13.5" thickBot="1">
      <c r="I34" s="53" t="s">
        <v>48</v>
      </c>
      <c r="J34" s="55">
        <f>M23</f>
        <v>123198.51843426027</v>
      </c>
    </row>
    <row r="35" spans="9:10" ht="64.5" thickBot="1">
      <c r="I35" s="53" t="s">
        <v>95</v>
      </c>
      <c r="J35" s="55">
        <f>SUM(J30:J34)</f>
        <v>597181.791670062</v>
      </c>
    </row>
    <row r="36" spans="9:10" ht="64.5" thickBot="1">
      <c r="I36" s="53" t="s">
        <v>97</v>
      </c>
      <c r="J36" s="55">
        <f>J35/J28</f>
        <v>119436.3583340124</v>
      </c>
    </row>
  </sheetData>
  <sheetProtection/>
  <mergeCells count="17">
    <mergeCell ref="C9:G9"/>
    <mergeCell ref="K9:O9"/>
    <mergeCell ref="I11:J11"/>
    <mergeCell ref="K13:O13"/>
    <mergeCell ref="C14:G14"/>
    <mergeCell ref="K24:K25"/>
    <mergeCell ref="L24:L25"/>
    <mergeCell ref="M24:M25"/>
    <mergeCell ref="C24:G24"/>
    <mergeCell ref="A16:B16"/>
    <mergeCell ref="I16:I18"/>
    <mergeCell ref="I24:I25"/>
    <mergeCell ref="J24:J25"/>
    <mergeCell ref="J16:J18"/>
    <mergeCell ref="K16:K18"/>
    <mergeCell ref="L16:L18"/>
    <mergeCell ref="M16:M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D13">
      <selection activeCell="M21" sqref="M21:P30"/>
    </sheetView>
  </sheetViews>
  <sheetFormatPr defaultColWidth="9.00390625" defaultRowHeight="12.75"/>
  <cols>
    <col min="1" max="1" width="23.875" style="0" customWidth="1"/>
    <col min="11" max="11" width="4.875" style="0" customWidth="1"/>
    <col min="12" max="12" width="22.875" style="0" customWidth="1"/>
  </cols>
  <sheetData>
    <row r="1" ht="12.75">
      <c r="A1" s="1" t="s">
        <v>75</v>
      </c>
    </row>
    <row r="4" spans="1:21" ht="12.75">
      <c r="A4" s="9" t="s">
        <v>37</v>
      </c>
      <c r="B4" s="12"/>
      <c r="C4" s="13">
        <v>2013</v>
      </c>
      <c r="D4" s="13">
        <v>2014</v>
      </c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L4" s="9" t="s">
        <v>39</v>
      </c>
      <c r="M4" s="12"/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13">
        <v>2020</v>
      </c>
    </row>
    <row r="5" spans="1:21" ht="12.75">
      <c r="A5" s="5" t="s">
        <v>31</v>
      </c>
      <c r="B5" s="6" t="s">
        <v>30</v>
      </c>
      <c r="C5" s="14">
        <f>'calcul-s'!$L37</f>
        <v>447837.91989</v>
      </c>
      <c r="D5" s="14">
        <f>'calcul-s'!$L37</f>
        <v>447837.91989</v>
      </c>
      <c r="E5" s="14">
        <f>'calcul-s'!$L37</f>
        <v>447837.91989</v>
      </c>
      <c r="F5" s="14">
        <f>'calcul-s'!$L37</f>
        <v>447837.91989</v>
      </c>
      <c r="G5" s="14">
        <f>'calcul-s'!$L37</f>
        <v>447837.91989</v>
      </c>
      <c r="H5" s="14">
        <f>'calcul-s'!$L37</f>
        <v>447837.91989</v>
      </c>
      <c r="I5" s="14">
        <f>'calcul-s'!$L37</f>
        <v>447837.91989</v>
      </c>
      <c r="J5" s="14">
        <f>'calcul-s'!$L37</f>
        <v>447837.91989</v>
      </c>
      <c r="L5" s="5" t="s">
        <v>31</v>
      </c>
      <c r="M5" s="6" t="s">
        <v>30</v>
      </c>
      <c r="N5" s="14">
        <f>'calcul-s'!$L18</f>
        <v>526998.4049492107</v>
      </c>
      <c r="O5" s="14">
        <f>'calcul-s'!$L18</f>
        <v>526998.4049492107</v>
      </c>
      <c r="P5" s="14">
        <f>'calcul-s'!$L18</f>
        <v>526998.4049492107</v>
      </c>
      <c r="Q5" s="14">
        <f>'calcul-s'!$L18</f>
        <v>526998.4049492107</v>
      </c>
      <c r="R5" s="14">
        <f>'calcul-s'!$L18</f>
        <v>526998.4049492107</v>
      </c>
      <c r="S5" s="14">
        <f>'calcul-s'!$L18</f>
        <v>526998.4049492107</v>
      </c>
      <c r="T5" s="14">
        <f>'calcul-s'!$L18</f>
        <v>526998.4049492107</v>
      </c>
      <c r="U5" s="14">
        <f>'calcul-s'!$L18</f>
        <v>526998.4049492107</v>
      </c>
    </row>
    <row r="6" spans="1:21" ht="12.75">
      <c r="A6" s="8" t="s">
        <v>51</v>
      </c>
      <c r="B6" s="6" t="s">
        <v>30</v>
      </c>
      <c r="C6" s="14">
        <f>'calcul-s'!$L40</f>
        <v>317778.91079702566</v>
      </c>
      <c r="D6" s="14">
        <f>'calcul-s'!$L40</f>
        <v>317778.91079702566</v>
      </c>
      <c r="E6" s="14">
        <f>'calcul-s'!$L40</f>
        <v>317778.91079702566</v>
      </c>
      <c r="F6" s="14">
        <f>'calcul-s'!$L40</f>
        <v>317778.91079702566</v>
      </c>
      <c r="G6" s="14">
        <f>'calcul-s'!$L40</f>
        <v>317778.91079702566</v>
      </c>
      <c r="H6" s="14">
        <f>'calcul-s'!$L40</f>
        <v>317778.91079702566</v>
      </c>
      <c r="I6" s="14">
        <f>'calcul-s'!$L40</f>
        <v>317778.91079702566</v>
      </c>
      <c r="J6" s="14">
        <f>'calcul-s'!$L40</f>
        <v>317778.91079702566</v>
      </c>
      <c r="L6" s="8" t="s">
        <v>51</v>
      </c>
      <c r="M6" s="6" t="s">
        <v>30</v>
      </c>
      <c r="N6" s="14">
        <f>'calcul-s'!$L21</f>
        <v>362924.832</v>
      </c>
      <c r="O6" s="14">
        <f>'calcul-s'!$L21</f>
        <v>362924.832</v>
      </c>
      <c r="P6" s="14">
        <f>'calcul-s'!$L21</f>
        <v>362924.832</v>
      </c>
      <c r="Q6" s="14">
        <f>'calcul-s'!$L21</f>
        <v>362924.832</v>
      </c>
      <c r="R6" s="14">
        <f>'calcul-s'!$L21</f>
        <v>362924.832</v>
      </c>
      <c r="S6" s="14">
        <f>'calcul-s'!$L21</f>
        <v>362924.832</v>
      </c>
      <c r="T6" s="14">
        <f>'calcul-s'!$L21</f>
        <v>362924.832</v>
      </c>
      <c r="U6" s="14">
        <f>'calcul-s'!$L21</f>
        <v>362924.832</v>
      </c>
    </row>
    <row r="7" spans="1:21" ht="12.75">
      <c r="A7" s="5" t="s">
        <v>32</v>
      </c>
      <c r="B7" s="6" t="s">
        <v>30</v>
      </c>
      <c r="C7" s="2">
        <f>'calcul-s'!$L41</f>
        <v>0</v>
      </c>
      <c r="D7" s="2">
        <f>'calcul-s'!$L41</f>
        <v>0</v>
      </c>
      <c r="E7" s="2">
        <f>'calcul-s'!$L41</f>
        <v>0</v>
      </c>
      <c r="F7" s="2">
        <f>'calcul-s'!$L41</f>
        <v>0</v>
      </c>
      <c r="G7" s="2">
        <f>'calcul-s'!$L41</f>
        <v>0</v>
      </c>
      <c r="H7" s="2">
        <f>'calcul-s'!$L41</f>
        <v>0</v>
      </c>
      <c r="I7" s="2">
        <f>'calcul-s'!$L41</f>
        <v>0</v>
      </c>
      <c r="J7" s="2">
        <f>'calcul-s'!$L41</f>
        <v>0</v>
      </c>
      <c r="L7" s="5" t="s">
        <v>32</v>
      </c>
      <c r="M7" s="6" t="s">
        <v>30</v>
      </c>
      <c r="N7" s="2">
        <f>'calcul-s'!$L22</f>
        <v>0</v>
      </c>
      <c r="O7" s="2">
        <f>'calcul-s'!$L22</f>
        <v>0</v>
      </c>
      <c r="P7" s="2">
        <f>'calcul-s'!$L22</f>
        <v>0</v>
      </c>
      <c r="Q7" s="2">
        <f>'calcul-s'!$L22</f>
        <v>0</v>
      </c>
      <c r="R7" s="2">
        <f>'calcul-s'!$L22</f>
        <v>0</v>
      </c>
      <c r="S7" s="2">
        <f>'calcul-s'!$L22</f>
        <v>0</v>
      </c>
      <c r="T7" s="2">
        <f>'calcul-s'!$L22</f>
        <v>0</v>
      </c>
      <c r="U7" s="2">
        <f>'calcul-s'!$L22</f>
        <v>0</v>
      </c>
    </row>
    <row r="8" spans="1:21" ht="12.75">
      <c r="A8" s="5" t="s">
        <v>50</v>
      </c>
      <c r="B8" s="6" t="s">
        <v>30</v>
      </c>
      <c r="C8" s="14">
        <f>'calcul-s'!$L43</f>
        <v>9813.496000000001</v>
      </c>
      <c r="D8" s="14">
        <f>'calcul-s'!$L43</f>
        <v>9813.496000000001</v>
      </c>
      <c r="E8" s="14">
        <f>'calcul-s'!$L43</f>
        <v>9813.496000000001</v>
      </c>
      <c r="F8" s="14">
        <f>'calcul-s'!$L43</f>
        <v>9813.496000000001</v>
      </c>
      <c r="G8" s="14">
        <f>'calcul-s'!$L43</f>
        <v>9813.496000000001</v>
      </c>
      <c r="H8" s="14">
        <f>'calcul-s'!$L43</f>
        <v>9813.496000000001</v>
      </c>
      <c r="I8" s="14">
        <f>'calcul-s'!$L43</f>
        <v>9813.496000000001</v>
      </c>
      <c r="J8" s="14">
        <f>'calcul-s'!$L43</f>
        <v>9813.496000000001</v>
      </c>
      <c r="L8" s="5" t="s">
        <v>50</v>
      </c>
      <c r="M8" s="6" t="s">
        <v>30</v>
      </c>
      <c r="N8" s="14">
        <f>'calcul-s'!$L24</f>
        <v>0</v>
      </c>
      <c r="O8" s="14">
        <f>'calcul-s'!$L24</f>
        <v>0</v>
      </c>
      <c r="P8" s="14">
        <f>'calcul-s'!$L24</f>
        <v>0</v>
      </c>
      <c r="Q8" s="14">
        <f>'calcul-s'!$L24</f>
        <v>0</v>
      </c>
      <c r="R8" s="14">
        <f>'calcul-s'!$L24</f>
        <v>0</v>
      </c>
      <c r="S8" s="14">
        <f>'calcul-s'!$L24</f>
        <v>0</v>
      </c>
      <c r="T8" s="14">
        <f>'calcul-s'!$L24</f>
        <v>0</v>
      </c>
      <c r="U8" s="14">
        <f>'calcul-s'!$L24</f>
        <v>0</v>
      </c>
    </row>
    <row r="9" spans="1:21" ht="12.75">
      <c r="A9" s="5" t="s">
        <v>52</v>
      </c>
      <c r="B9" s="6" t="s">
        <v>30</v>
      </c>
      <c r="C9" s="14">
        <f>'calcul-s'!$L44</f>
        <v>84572.54400000001</v>
      </c>
      <c r="D9" s="14">
        <f>'calcul-s'!$L44</f>
        <v>84572.54400000001</v>
      </c>
      <c r="E9" s="14">
        <f>'calcul-s'!$L44</f>
        <v>84572.54400000001</v>
      </c>
      <c r="F9" s="14">
        <f>'calcul-s'!$L44</f>
        <v>84572.54400000001</v>
      </c>
      <c r="G9" s="14">
        <f>'calcul-s'!$L44</f>
        <v>84572.54400000001</v>
      </c>
      <c r="H9" s="14">
        <f>'calcul-s'!$L44</f>
        <v>84572.54400000001</v>
      </c>
      <c r="I9" s="14">
        <f>'calcul-s'!$L44</f>
        <v>84572.54400000001</v>
      </c>
      <c r="J9" s="14">
        <f>'calcul-s'!$L44</f>
        <v>84572.54400000001</v>
      </c>
      <c r="L9" s="5" t="s">
        <v>52</v>
      </c>
      <c r="M9" s="6" t="s">
        <v>30</v>
      </c>
      <c r="N9" s="14">
        <f>'calcul-s'!$L25</f>
        <v>93278.15217207522</v>
      </c>
      <c r="O9" s="14">
        <f>'calcul-s'!$L25</f>
        <v>93278.15217207522</v>
      </c>
      <c r="P9" s="14">
        <f>'calcul-s'!$L25</f>
        <v>93278.15217207522</v>
      </c>
      <c r="Q9" s="14">
        <f>'calcul-s'!$L25</f>
        <v>93278.15217207522</v>
      </c>
      <c r="R9" s="14">
        <f>'calcul-s'!$L25</f>
        <v>93278.15217207522</v>
      </c>
      <c r="S9" s="14">
        <f>'calcul-s'!$L25</f>
        <v>93278.15217207522</v>
      </c>
      <c r="T9" s="14">
        <f>'calcul-s'!$L25</f>
        <v>93278.15217207522</v>
      </c>
      <c r="U9" s="14">
        <f>'calcul-s'!$L25</f>
        <v>93278.15217207522</v>
      </c>
    </row>
    <row r="10" spans="1:21" ht="12.75">
      <c r="A10" s="5" t="s">
        <v>34</v>
      </c>
      <c r="B10" s="6" t="s">
        <v>30</v>
      </c>
      <c r="C10" s="14">
        <f aca="true" t="shared" si="0" ref="C10:J10">SUM(C5:C9)</f>
        <v>860002.8706870257</v>
      </c>
      <c r="D10" s="14">
        <f t="shared" si="0"/>
        <v>860002.8706870257</v>
      </c>
      <c r="E10" s="14">
        <f t="shared" si="0"/>
        <v>860002.8706870257</v>
      </c>
      <c r="F10" s="14">
        <f t="shared" si="0"/>
        <v>860002.8706870257</v>
      </c>
      <c r="G10" s="14">
        <f t="shared" si="0"/>
        <v>860002.8706870257</v>
      </c>
      <c r="H10" s="14">
        <f t="shared" si="0"/>
        <v>860002.8706870257</v>
      </c>
      <c r="I10" s="14">
        <f t="shared" si="0"/>
        <v>860002.8706870257</v>
      </c>
      <c r="J10" s="14">
        <f t="shared" si="0"/>
        <v>860002.8706870257</v>
      </c>
      <c r="L10" s="5" t="s">
        <v>34</v>
      </c>
      <c r="M10" s="6" t="s">
        <v>30</v>
      </c>
      <c r="N10" s="14">
        <f aca="true" t="shared" si="1" ref="N10:U10">SUM(N5:N9)</f>
        <v>983201.389121286</v>
      </c>
      <c r="O10" s="14">
        <f t="shared" si="1"/>
        <v>983201.389121286</v>
      </c>
      <c r="P10" s="14">
        <f t="shared" si="1"/>
        <v>983201.389121286</v>
      </c>
      <c r="Q10" s="14">
        <f t="shared" si="1"/>
        <v>983201.389121286</v>
      </c>
      <c r="R10" s="14">
        <f t="shared" si="1"/>
        <v>983201.389121286</v>
      </c>
      <c r="S10" s="14">
        <f t="shared" si="1"/>
        <v>983201.389121286</v>
      </c>
      <c r="T10" s="14">
        <f t="shared" si="1"/>
        <v>983201.389121286</v>
      </c>
      <c r="U10" s="14">
        <f t="shared" si="1"/>
        <v>983201.389121286</v>
      </c>
    </row>
    <row r="11" spans="1:21" ht="12.75">
      <c r="A11" s="5" t="s">
        <v>35</v>
      </c>
      <c r="B11" s="6" t="s">
        <v>36</v>
      </c>
      <c r="C11" s="78">
        <f>C10+D10+E10+F10+G10+H10+I10+J10</f>
        <v>6880022.965496206</v>
      </c>
      <c r="D11" s="79"/>
      <c r="E11" s="79"/>
      <c r="F11" s="79"/>
      <c r="G11" s="79"/>
      <c r="H11" s="79"/>
      <c r="I11" s="79"/>
      <c r="J11" s="80"/>
      <c r="L11" s="5" t="s">
        <v>35</v>
      </c>
      <c r="M11" s="6" t="s">
        <v>36</v>
      </c>
      <c r="N11" s="78">
        <f>N10+O10+P10+Q10+R10+S10+T10+U10</f>
        <v>7865611.112970287</v>
      </c>
      <c r="O11" s="81"/>
      <c r="P11" s="81"/>
      <c r="Q11" s="81"/>
      <c r="R11" s="81"/>
      <c r="S11" s="81"/>
      <c r="T11" s="81"/>
      <c r="U11" s="82"/>
    </row>
    <row r="13" spans="1:21" ht="12.75">
      <c r="A13" s="9" t="s">
        <v>38</v>
      </c>
      <c r="B13" s="12"/>
      <c r="C13" s="13">
        <v>2013</v>
      </c>
      <c r="D13" s="13">
        <v>2014</v>
      </c>
      <c r="E13" s="13">
        <v>2015</v>
      </c>
      <c r="F13" s="13">
        <v>2016</v>
      </c>
      <c r="G13" s="13">
        <v>2017</v>
      </c>
      <c r="H13" s="13">
        <v>2018</v>
      </c>
      <c r="I13" s="13">
        <v>2019</v>
      </c>
      <c r="J13" s="13">
        <v>2020</v>
      </c>
      <c r="L13" s="67" t="s">
        <v>40</v>
      </c>
      <c r="M13" s="67"/>
      <c r="N13" s="13">
        <v>2013</v>
      </c>
      <c r="O13" s="13">
        <v>2014</v>
      </c>
      <c r="P13" s="13">
        <v>2015</v>
      </c>
      <c r="Q13" s="13">
        <v>2016</v>
      </c>
      <c r="R13" s="13">
        <v>2017</v>
      </c>
      <c r="S13" s="13">
        <v>2018</v>
      </c>
      <c r="T13" s="13">
        <v>2019</v>
      </c>
      <c r="U13" s="13">
        <v>2020</v>
      </c>
    </row>
    <row r="14" spans="1:21" ht="12.75">
      <c r="A14" s="8" t="s">
        <v>74</v>
      </c>
      <c r="B14" s="6" t="s">
        <v>30</v>
      </c>
      <c r="C14" s="15">
        <f>0</f>
        <v>0</v>
      </c>
      <c r="D14" s="15">
        <f>0</f>
        <v>0</v>
      </c>
      <c r="E14" s="15">
        <f>0</f>
        <v>0</v>
      </c>
      <c r="F14" s="15">
        <f>0</f>
        <v>0</v>
      </c>
      <c r="G14" s="15">
        <f>0</f>
        <v>0</v>
      </c>
      <c r="H14" s="15">
        <f>0</f>
        <v>0</v>
      </c>
      <c r="I14" s="15">
        <f>0</f>
        <v>0</v>
      </c>
      <c r="J14" s="15">
        <f>0</f>
        <v>0</v>
      </c>
      <c r="L14" s="5" t="s">
        <v>34</v>
      </c>
      <c r="M14" s="6" t="s">
        <v>30</v>
      </c>
      <c r="N14" s="7">
        <f>N10-C25</f>
        <v>123198.51843426027</v>
      </c>
      <c r="O14" s="7">
        <f aca="true" t="shared" si="2" ref="O14:U14">O10-D25</f>
        <v>123198.51843426027</v>
      </c>
      <c r="P14" s="7">
        <f t="shared" si="2"/>
        <v>123198.51843426027</v>
      </c>
      <c r="Q14" s="7">
        <f t="shared" si="2"/>
        <v>123198.51843426027</v>
      </c>
      <c r="R14" s="7">
        <f t="shared" si="2"/>
        <v>123198.51843426027</v>
      </c>
      <c r="S14" s="7">
        <f t="shared" si="2"/>
        <v>123198.51843426027</v>
      </c>
      <c r="T14" s="7">
        <f t="shared" si="2"/>
        <v>123198.51843426027</v>
      </c>
      <c r="U14" s="7">
        <f t="shared" si="2"/>
        <v>123198.51843426027</v>
      </c>
    </row>
    <row r="15" spans="1:21" ht="12.75">
      <c r="A15" s="5" t="s">
        <v>34</v>
      </c>
      <c r="B15" s="6" t="s">
        <v>30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L15" s="5" t="s">
        <v>35</v>
      </c>
      <c r="M15" s="6" t="s">
        <v>36</v>
      </c>
      <c r="N15" s="78">
        <f>N14+O14+P14+Q14+R14+S14+T14+U14</f>
        <v>985588.1474740822</v>
      </c>
      <c r="O15" s="81"/>
      <c r="P15" s="81"/>
      <c r="Q15" s="81"/>
      <c r="R15" s="81"/>
      <c r="S15" s="81"/>
      <c r="T15" s="81"/>
      <c r="U15" s="82"/>
    </row>
    <row r="16" spans="1:10" ht="12.75">
      <c r="A16" s="5" t="s">
        <v>35</v>
      </c>
      <c r="B16" s="6" t="s">
        <v>36</v>
      </c>
      <c r="C16" s="78">
        <f>C15+D15+E15+F15+G15+H15+I15+J15</f>
        <v>0</v>
      </c>
      <c r="D16" s="79"/>
      <c r="E16" s="79"/>
      <c r="F16" s="79"/>
      <c r="G16" s="79"/>
      <c r="H16" s="79"/>
      <c r="I16" s="79"/>
      <c r="J16" s="80"/>
    </row>
    <row r="18" spans="1:19" ht="78">
      <c r="A18" s="67" t="s">
        <v>29</v>
      </c>
      <c r="B18" s="67"/>
      <c r="C18" s="13">
        <v>2013</v>
      </c>
      <c r="D18" s="13">
        <v>2014</v>
      </c>
      <c r="E18" s="13">
        <v>2015</v>
      </c>
      <c r="F18" s="13">
        <v>2016</v>
      </c>
      <c r="G18" s="13">
        <v>2017</v>
      </c>
      <c r="H18" s="13">
        <v>2018</v>
      </c>
      <c r="I18" s="13">
        <v>2019</v>
      </c>
      <c r="J18" s="13">
        <v>2020</v>
      </c>
      <c r="L18" s="68" t="s">
        <v>41</v>
      </c>
      <c r="M18" s="61" t="s">
        <v>89</v>
      </c>
      <c r="N18" s="61" t="s">
        <v>85</v>
      </c>
      <c r="O18" s="61" t="s">
        <v>86</v>
      </c>
      <c r="P18" s="61" t="s">
        <v>87</v>
      </c>
      <c r="R18" s="49" t="s">
        <v>41</v>
      </c>
      <c r="S18" s="49" t="s">
        <v>92</v>
      </c>
    </row>
    <row r="19" spans="1:19" ht="12.75">
      <c r="A19" s="16" t="s">
        <v>31</v>
      </c>
      <c r="B19" s="6" t="s">
        <v>30</v>
      </c>
      <c r="C19" s="7">
        <f aca="true" t="shared" si="3" ref="C19:J20">C5</f>
        <v>447837.91989</v>
      </c>
      <c r="D19" s="7">
        <f t="shared" si="3"/>
        <v>447837.91989</v>
      </c>
      <c r="E19" s="7">
        <f t="shared" si="3"/>
        <v>447837.91989</v>
      </c>
      <c r="F19" s="7">
        <f t="shared" si="3"/>
        <v>447837.91989</v>
      </c>
      <c r="G19" s="7">
        <f t="shared" si="3"/>
        <v>447837.91989</v>
      </c>
      <c r="H19" s="7">
        <f t="shared" si="3"/>
        <v>447837.91989</v>
      </c>
      <c r="I19" s="7">
        <f t="shared" si="3"/>
        <v>447837.91989</v>
      </c>
      <c r="J19" s="7">
        <f t="shared" si="3"/>
        <v>447837.91989</v>
      </c>
      <c r="L19" s="68"/>
      <c r="M19" s="62"/>
      <c r="N19" s="62"/>
      <c r="O19" s="62" t="s">
        <v>42</v>
      </c>
      <c r="P19" s="62" t="s">
        <v>42</v>
      </c>
      <c r="R19" s="49" t="s">
        <v>79</v>
      </c>
      <c r="S19" s="50">
        <f>N14</f>
        <v>123198.51843426027</v>
      </c>
    </row>
    <row r="20" spans="1:19" ht="38.25" customHeight="1">
      <c r="A20" s="8" t="s">
        <v>51</v>
      </c>
      <c r="B20" s="6" t="s">
        <v>30</v>
      </c>
      <c r="C20" s="7">
        <f t="shared" si="3"/>
        <v>317778.91079702566</v>
      </c>
      <c r="D20" s="7">
        <f t="shared" si="3"/>
        <v>317778.91079702566</v>
      </c>
      <c r="E20" s="7">
        <f t="shared" si="3"/>
        <v>317778.91079702566</v>
      </c>
      <c r="F20" s="7">
        <f t="shared" si="3"/>
        <v>317778.91079702566</v>
      </c>
      <c r="G20" s="7">
        <f t="shared" si="3"/>
        <v>317778.91079702566</v>
      </c>
      <c r="H20" s="7">
        <f t="shared" si="3"/>
        <v>317778.91079702566</v>
      </c>
      <c r="I20" s="7">
        <f t="shared" si="3"/>
        <v>317778.91079702566</v>
      </c>
      <c r="J20" s="7">
        <f t="shared" si="3"/>
        <v>317778.91079702566</v>
      </c>
      <c r="L20" s="68"/>
      <c r="M20" s="63"/>
      <c r="N20" s="63" t="s">
        <v>43</v>
      </c>
      <c r="O20" s="63" t="s">
        <v>43</v>
      </c>
      <c r="P20" s="63" t="s">
        <v>43</v>
      </c>
      <c r="R20" s="49" t="s">
        <v>80</v>
      </c>
      <c r="S20" s="50">
        <f>O14</f>
        <v>123198.51843426027</v>
      </c>
    </row>
    <row r="21" spans="1:19" ht="12.75">
      <c r="A21" s="5" t="s">
        <v>32</v>
      </c>
      <c r="B21" s="6" t="s">
        <v>30</v>
      </c>
      <c r="C21" s="7">
        <f>C7</f>
        <v>0</v>
      </c>
      <c r="D21" s="7">
        <f aca="true" t="shared" si="4" ref="D21:J21">D7</f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L21" s="22" t="s">
        <v>79</v>
      </c>
      <c r="M21" s="23">
        <f>C10</f>
        <v>860002.8706870257</v>
      </c>
      <c r="N21" s="25">
        <f>C15</f>
        <v>0</v>
      </c>
      <c r="O21" s="23">
        <f>N10</f>
        <v>983201.389121286</v>
      </c>
      <c r="P21" s="23">
        <f>O21-N21-M21</f>
        <v>123198.51843426027</v>
      </c>
      <c r="R21" s="49" t="s">
        <v>70</v>
      </c>
      <c r="S21" s="50">
        <f>P14</f>
        <v>123198.51843426027</v>
      </c>
    </row>
    <row r="22" spans="1:19" ht="12.75">
      <c r="A22" s="5" t="s">
        <v>50</v>
      </c>
      <c r="B22" s="6" t="s">
        <v>30</v>
      </c>
      <c r="C22" s="7">
        <f>C8</f>
        <v>9813.496000000001</v>
      </c>
      <c r="D22" s="7">
        <f aca="true" t="shared" si="5" ref="D22:J22">D8</f>
        <v>9813.496000000001</v>
      </c>
      <c r="E22" s="7">
        <f t="shared" si="5"/>
        <v>9813.496000000001</v>
      </c>
      <c r="F22" s="7">
        <f t="shared" si="5"/>
        <v>9813.496000000001</v>
      </c>
      <c r="G22" s="7">
        <f t="shared" si="5"/>
        <v>9813.496000000001</v>
      </c>
      <c r="H22" s="7">
        <f t="shared" si="5"/>
        <v>9813.496000000001</v>
      </c>
      <c r="I22" s="7">
        <f t="shared" si="5"/>
        <v>9813.496000000001</v>
      </c>
      <c r="J22" s="7">
        <f t="shared" si="5"/>
        <v>9813.496000000001</v>
      </c>
      <c r="L22" s="22" t="s">
        <v>80</v>
      </c>
      <c r="M22" s="23">
        <f>D10</f>
        <v>860002.8706870257</v>
      </c>
      <c r="N22" s="25">
        <f>D15</f>
        <v>0</v>
      </c>
      <c r="O22" s="23">
        <f>O10</f>
        <v>983201.389121286</v>
      </c>
      <c r="P22" s="58">
        <f>O22-N22-M22</f>
        <v>123198.51843426027</v>
      </c>
      <c r="R22" s="49" t="s">
        <v>71</v>
      </c>
      <c r="S22" s="50">
        <f>Q14</f>
        <v>123198.51843426027</v>
      </c>
    </row>
    <row r="23" spans="1:19" ht="12.75">
      <c r="A23" s="5" t="s">
        <v>52</v>
      </c>
      <c r="B23" s="6" t="s">
        <v>30</v>
      </c>
      <c r="C23" s="7">
        <f>C9</f>
        <v>84572.54400000001</v>
      </c>
      <c r="D23" s="7">
        <f aca="true" t="shared" si="6" ref="D23:J23">D9</f>
        <v>84572.54400000001</v>
      </c>
      <c r="E23" s="7">
        <f t="shared" si="6"/>
        <v>84572.54400000001</v>
      </c>
      <c r="F23" s="7">
        <f t="shared" si="6"/>
        <v>84572.54400000001</v>
      </c>
      <c r="G23" s="7">
        <f t="shared" si="6"/>
        <v>84572.54400000001</v>
      </c>
      <c r="H23" s="7">
        <f t="shared" si="6"/>
        <v>84572.54400000001</v>
      </c>
      <c r="I23" s="7">
        <f t="shared" si="6"/>
        <v>84572.54400000001</v>
      </c>
      <c r="J23" s="7">
        <f t="shared" si="6"/>
        <v>84572.54400000001</v>
      </c>
      <c r="L23" s="22" t="s">
        <v>70</v>
      </c>
      <c r="M23" s="23">
        <f>E10</f>
        <v>860002.8706870257</v>
      </c>
      <c r="N23" s="25">
        <f>E15</f>
        <v>0</v>
      </c>
      <c r="O23" s="23">
        <f>P10</f>
        <v>983201.389121286</v>
      </c>
      <c r="P23" s="58">
        <f>O23-N23-M23</f>
        <v>123198.51843426027</v>
      </c>
      <c r="R23" s="49" t="s">
        <v>72</v>
      </c>
      <c r="S23" s="50">
        <f>R14</f>
        <v>123198.51843426027</v>
      </c>
    </row>
    <row r="24" spans="1:19" ht="12.75">
      <c r="A24" s="8" t="s">
        <v>33</v>
      </c>
      <c r="B24" s="6" t="s">
        <v>30</v>
      </c>
      <c r="C24" s="7">
        <f aca="true" t="shared" si="7" ref="C24:I24">C15</f>
        <v>0</v>
      </c>
      <c r="D24" s="7">
        <f t="shared" si="7"/>
        <v>0</v>
      </c>
      <c r="E24" s="7">
        <f t="shared" si="7"/>
        <v>0</v>
      </c>
      <c r="F24" s="7">
        <f t="shared" si="7"/>
        <v>0</v>
      </c>
      <c r="G24" s="7">
        <f t="shared" si="7"/>
        <v>0</v>
      </c>
      <c r="H24" s="7">
        <f t="shared" si="7"/>
        <v>0</v>
      </c>
      <c r="I24" s="7">
        <f t="shared" si="7"/>
        <v>0</v>
      </c>
      <c r="J24" s="7">
        <v>0</v>
      </c>
      <c r="L24" s="22" t="s">
        <v>71</v>
      </c>
      <c r="M24" s="23">
        <f>F10</f>
        <v>860002.8706870257</v>
      </c>
      <c r="N24" s="25">
        <f>F15</f>
        <v>0</v>
      </c>
      <c r="O24" s="23">
        <f>Q10</f>
        <v>983201.389121286</v>
      </c>
      <c r="P24" s="58">
        <f>O24-N24-M24</f>
        <v>123198.51843426027</v>
      </c>
      <c r="R24" s="49" t="s">
        <v>81</v>
      </c>
      <c r="S24" s="50">
        <f>S14</f>
        <v>123198.51843426027</v>
      </c>
    </row>
    <row r="25" spans="1:19" ht="12.75">
      <c r="A25" s="19" t="s">
        <v>34</v>
      </c>
      <c r="B25" s="6" t="s">
        <v>30</v>
      </c>
      <c r="C25" s="7">
        <f aca="true" t="shared" si="8" ref="C25:J25">SUM(C19:C24)</f>
        <v>860002.8706870257</v>
      </c>
      <c r="D25" s="7">
        <f t="shared" si="8"/>
        <v>860002.8706870257</v>
      </c>
      <c r="E25" s="7">
        <f t="shared" si="8"/>
        <v>860002.8706870257</v>
      </c>
      <c r="F25" s="7">
        <f t="shared" si="8"/>
        <v>860002.8706870257</v>
      </c>
      <c r="G25" s="7">
        <f t="shared" si="8"/>
        <v>860002.8706870257</v>
      </c>
      <c r="H25" s="7">
        <f t="shared" si="8"/>
        <v>860002.8706870257</v>
      </c>
      <c r="I25" s="7">
        <f t="shared" si="8"/>
        <v>860002.8706870257</v>
      </c>
      <c r="J25" s="7">
        <f t="shared" si="8"/>
        <v>860002.8706870257</v>
      </c>
      <c r="L25" s="22" t="s">
        <v>72</v>
      </c>
      <c r="M25" s="23">
        <f>G10</f>
        <v>860002.8706870257</v>
      </c>
      <c r="N25" s="25">
        <f>G15</f>
        <v>0</v>
      </c>
      <c r="O25" s="23">
        <f>R10</f>
        <v>983201.389121286</v>
      </c>
      <c r="P25" s="58">
        <f>O25-N25-M25</f>
        <v>123198.51843426027</v>
      </c>
      <c r="R25" s="49" t="s">
        <v>82</v>
      </c>
      <c r="S25" s="50">
        <f>T14</f>
        <v>123198.51843426027</v>
      </c>
    </row>
    <row r="26" spans="1:19" ht="12.75">
      <c r="A26" s="8" t="s">
        <v>35</v>
      </c>
      <c r="B26" s="6" t="s">
        <v>36</v>
      </c>
      <c r="C26" s="78">
        <f>C25+D25+E25+F25+G25+H25+I25+J25</f>
        <v>6880022.965496206</v>
      </c>
      <c r="D26" s="79"/>
      <c r="E26" s="79"/>
      <c r="F26" s="79"/>
      <c r="G26" s="79"/>
      <c r="H26" s="79"/>
      <c r="I26" s="79"/>
      <c r="J26" s="80"/>
      <c r="L26" s="22" t="s">
        <v>81</v>
      </c>
      <c r="M26" s="23">
        <f>H10</f>
        <v>860002.8706870257</v>
      </c>
      <c r="N26" s="25">
        <f>H15</f>
        <v>0</v>
      </c>
      <c r="O26" s="23">
        <f>S10</f>
        <v>983201.389121286</v>
      </c>
      <c r="P26" s="58">
        <f>O26-N26-M26</f>
        <v>123198.51843426027</v>
      </c>
      <c r="R26" s="49" t="s">
        <v>83</v>
      </c>
      <c r="S26" s="50">
        <f>U14</f>
        <v>123198.51843426027</v>
      </c>
    </row>
    <row r="27" spans="12:19" ht="140.25">
      <c r="L27" s="22" t="s">
        <v>82</v>
      </c>
      <c r="M27" s="23">
        <f>I10</f>
        <v>860002.8706870257</v>
      </c>
      <c r="N27" s="25">
        <f>I15</f>
        <v>0</v>
      </c>
      <c r="O27" s="23">
        <f>T10</f>
        <v>983201.389121286</v>
      </c>
      <c r="P27" s="23">
        <f>O27-N27-M27</f>
        <v>123198.51843426027</v>
      </c>
      <c r="R27" s="49" t="s">
        <v>96</v>
      </c>
      <c r="S27" s="50">
        <f>SUM(S19:S26)</f>
        <v>985588.1474740822</v>
      </c>
    </row>
    <row r="28" spans="12:19" ht="141" thickBot="1">
      <c r="L28" s="22" t="s">
        <v>83</v>
      </c>
      <c r="M28" s="23">
        <f>J10</f>
        <v>860002.8706870257</v>
      </c>
      <c r="N28" s="25">
        <f>J15</f>
        <v>0</v>
      </c>
      <c r="O28" s="23">
        <f>U10</f>
        <v>983201.389121286</v>
      </c>
      <c r="P28" s="23">
        <f>O28-N28-M28</f>
        <v>123198.51843426027</v>
      </c>
      <c r="R28" s="53" t="s">
        <v>99</v>
      </c>
      <c r="S28" s="55">
        <f>S27/8</f>
        <v>123198.51843426027</v>
      </c>
    </row>
    <row r="29" spans="12:16" ht="12.75">
      <c r="L29" s="75" t="s">
        <v>34</v>
      </c>
      <c r="M29" s="73">
        <f>SUM(M21:M28)</f>
        <v>6880022.965496206</v>
      </c>
      <c r="N29" s="73">
        <f>SUM(N21:N28)</f>
        <v>0</v>
      </c>
      <c r="O29" s="73">
        <f>SUM(O21:O28)</f>
        <v>7865611.112970287</v>
      </c>
      <c r="P29" s="73">
        <f>O29-N29-M29</f>
        <v>985588.1474740813</v>
      </c>
    </row>
    <row r="30" spans="12:16" ht="12.75">
      <c r="L30" s="76" t="s">
        <v>49</v>
      </c>
      <c r="M30" s="77"/>
      <c r="N30" s="74"/>
      <c r="O30" s="74"/>
      <c r="P30" s="74"/>
    </row>
    <row r="31" spans="12:16" ht="12.75">
      <c r="L31" s="59" t="s">
        <v>100</v>
      </c>
      <c r="P31" s="60">
        <f>P29/8</f>
        <v>123198.51843426016</v>
      </c>
    </row>
  </sheetData>
  <sheetProtection/>
  <mergeCells count="17">
    <mergeCell ref="L29:L30"/>
    <mergeCell ref="C16:J16"/>
    <mergeCell ref="N29:N30"/>
    <mergeCell ref="O29:O30"/>
    <mergeCell ref="P29:P30"/>
    <mergeCell ref="C26:J26"/>
    <mergeCell ref="M29:M30"/>
    <mergeCell ref="M18:M20"/>
    <mergeCell ref="N18:N20"/>
    <mergeCell ref="O18:O20"/>
    <mergeCell ref="L13:M13"/>
    <mergeCell ref="C11:J11"/>
    <mergeCell ref="N11:U11"/>
    <mergeCell ref="N15:U15"/>
    <mergeCell ref="A18:B18"/>
    <mergeCell ref="L18:L20"/>
    <mergeCell ref="P18:P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Doomik</cp:lastModifiedBy>
  <cp:lastPrinted>2008-12-11T13:49:29Z</cp:lastPrinted>
  <dcterms:created xsi:type="dcterms:W3CDTF">2008-08-08T14:29:21Z</dcterms:created>
  <dcterms:modified xsi:type="dcterms:W3CDTF">2010-07-16T14:01:14Z</dcterms:modified>
  <cp:category/>
  <cp:version/>
  <cp:contentType/>
  <cp:contentStatus/>
</cp:coreProperties>
</file>