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1760" tabRatio="717" activeTab="0"/>
  </bookViews>
  <sheets>
    <sheet name="K22-ERU3 ER table V1c" sheetId="1" r:id="rId1"/>
  </sheets>
  <definedNames>
    <definedName name="OLE_LINK10" localSheetId="0">'K22-ERU3 ER table V1c'!$AJ$3</definedName>
    <definedName name="OLE_LINK11" localSheetId="0">'K22-ERU3 ER table V1c'!$AJ$4</definedName>
    <definedName name="OLE_LINK12" localSheetId="0">'K22-ERU3 ER table V1c'!$AN$4</definedName>
    <definedName name="OLE_LINK3" localSheetId="0">'K22-ERU3 ER table V1c'!$Y$4</definedName>
    <definedName name="OLE_LINK4" localSheetId="0">'K22-ERU3 ER table V1c'!$AE$3</definedName>
    <definedName name="OLE_LINK5" localSheetId="0">'K22-ERU3 ER table V1c'!$AE$4</definedName>
    <definedName name="OLE_LINK7" localSheetId="0">'K22-ERU3 ER table V1c'!$AI$3</definedName>
    <definedName name="OLE_LINK8" localSheetId="0">'K22-ERU3 ER table V1c'!$AI$4</definedName>
    <definedName name="_xlnm.Print_Area" localSheetId="0">'K22-ERU3 ER table V1c'!$A$1:$BG$34</definedName>
  </definedNames>
  <calcPr fullCalcOnLoad="1"/>
</workbook>
</file>

<file path=xl/comments1.xml><?xml version="1.0" encoding="utf-8"?>
<comments xmlns="http://schemas.openxmlformats.org/spreadsheetml/2006/main">
  <authors>
    <author>Adam Hadulla</author>
    <author>A-TEC</author>
  </authors>
  <commentList>
    <comment ref="Z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850°C
99.5% above 850°C
This calculation can't be done with monthly sums.
See xls-files (data sources) for details</t>
        </r>
      </text>
    </comment>
    <comment ref="AE6"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AH6" authorId="0">
      <text>
        <r>
          <rPr>
            <b/>
            <sz val="8"/>
            <rFont val="Tahoma"/>
            <family val="0"/>
          </rPr>
          <t>Adam Hadulla:</t>
        </r>
        <r>
          <rPr>
            <sz val="8"/>
            <rFont val="Tahoma"/>
            <family val="0"/>
          </rPr>
          <t xml:space="preserve">
ex-ante value
constant</t>
        </r>
      </text>
    </comment>
    <comment ref="AI6" authorId="0">
      <text>
        <r>
          <rPr>
            <b/>
            <sz val="8"/>
            <rFont val="Tahoma"/>
            <family val="0"/>
          </rPr>
          <t>Adam Hadulla:</t>
        </r>
        <r>
          <rPr>
            <sz val="8"/>
            <rFont val="Tahoma"/>
            <family val="0"/>
          </rPr>
          <t xml:space="preserve">
ex-ante value
constant</t>
        </r>
      </text>
    </comment>
    <comment ref="AN6" authorId="0">
      <text>
        <r>
          <rPr>
            <b/>
            <sz val="8"/>
            <rFont val="Tahoma"/>
            <family val="0"/>
          </rPr>
          <t>Adam Hadulla:</t>
        </r>
        <r>
          <rPr>
            <sz val="8"/>
            <rFont val="Tahoma"/>
            <family val="0"/>
          </rPr>
          <t xml:space="preserve">
ex-ante value
constant</t>
        </r>
      </text>
    </comment>
    <comment ref="AX6" authorId="0">
      <text>
        <r>
          <rPr>
            <b/>
            <sz val="8"/>
            <rFont val="Tahoma"/>
            <family val="0"/>
          </rPr>
          <t>Adam Hadulla:</t>
        </r>
        <r>
          <rPr>
            <sz val="8"/>
            <rFont val="Tahoma"/>
            <family val="0"/>
          </rPr>
          <t xml:space="preserve">
ex-ante value
constant</t>
        </r>
      </text>
    </comment>
    <comment ref="AY6" authorId="0">
      <text>
        <r>
          <rPr>
            <b/>
            <sz val="8"/>
            <rFont val="Tahoma"/>
            <family val="0"/>
          </rPr>
          <t>Adam Hadulla:</t>
        </r>
        <r>
          <rPr>
            <sz val="8"/>
            <rFont val="Tahoma"/>
            <family val="0"/>
          </rPr>
          <t xml:space="preserve">
ex-ante value
constant</t>
        </r>
      </text>
    </comment>
    <comment ref="BF6" authorId="0">
      <text>
        <r>
          <rPr>
            <b/>
            <sz val="8"/>
            <rFont val="Tahoma"/>
            <family val="0"/>
          </rPr>
          <t>Adam Hadulla:</t>
        </r>
        <r>
          <rPr>
            <sz val="8"/>
            <rFont val="Tahoma"/>
            <family val="0"/>
          </rPr>
          <t xml:space="preserve">
ex-ante value 
constant
manufacturer date
boiler pass</t>
        </r>
      </text>
    </comment>
    <comment ref="AB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BC6" authorId="1">
      <text>
        <r>
          <rPr>
            <b/>
            <sz val="8"/>
            <rFont val="Tahoma"/>
            <family val="0"/>
          </rPr>
          <t xml:space="preserve">Adam Hadulla:
</t>
        </r>
        <r>
          <rPr>
            <sz val="8"/>
            <rFont val="Tahoma"/>
            <family val="2"/>
          </rPr>
          <t>The heat has not been measured but calculated using the utilised methane amount, the heating value of methane 9.965 kWh/m³ and the boiler efficiency</t>
        </r>
      </text>
    </comment>
    <comment ref="Y6" authorId="0">
      <text>
        <r>
          <rPr>
            <b/>
            <sz val="8"/>
            <rFont val="Tahoma"/>
            <family val="0"/>
          </rPr>
          <t>Adam Hadulla:</t>
        </r>
        <r>
          <rPr>
            <sz val="8"/>
            <rFont val="Tahoma"/>
            <family val="0"/>
          </rPr>
          <t xml:space="preserve">
NEIA
2011 := 1.063</t>
        </r>
      </text>
    </comment>
    <comment ref="Y17" authorId="0">
      <text>
        <r>
          <rPr>
            <b/>
            <sz val="8"/>
            <rFont val="Tahoma"/>
            <family val="0"/>
          </rPr>
          <t>Adam Hadulla:</t>
        </r>
        <r>
          <rPr>
            <sz val="8"/>
            <rFont val="Tahoma"/>
            <family val="0"/>
          </rPr>
          <t xml:space="preserve">
NEIA
2012 := 1.063</t>
        </r>
      </text>
    </comment>
    <comment ref="BE6" authorId="0">
      <text>
        <r>
          <rPr>
            <b/>
            <sz val="8"/>
            <rFont val="Tahoma"/>
            <family val="0"/>
          </rPr>
          <t>Adam Hadulla:</t>
        </r>
        <r>
          <rPr>
            <sz val="8"/>
            <rFont val="Tahoma"/>
            <family val="0"/>
          </rPr>
          <t xml:space="preserve">
NEIA 2012</t>
        </r>
      </text>
    </comment>
  </commentList>
</comments>
</file>

<file path=xl/sharedStrings.xml><?xml version="1.0" encoding="utf-8"?>
<sst xmlns="http://schemas.openxmlformats.org/spreadsheetml/2006/main" count="225" uniqueCount="157">
  <si>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</si>
  <si>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</si>
  <si>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</si>
  <si>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</si>
  <si>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</si>
  <si>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</si>
  <si>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</si>
  <si>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</si>
  <si>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</si>
  <si>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</si>
  <si>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</si>
  <si>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</si>
  <si>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</si>
  <si>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</si>
  <si>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</si>
  <si>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</si>
  <si>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</si>
  <si>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</si>
  <si>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</si>
  <si>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</si>
  <si>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</si>
  <si>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</si>
  <si>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</si>
  <si>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</si>
  <si>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</si>
  <si>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</si>
  <si>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</si>
  <si>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</si>
  <si>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</si>
  <si>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</si>
  <si>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</si>
  <si>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</si>
  <si>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</si>
  <si>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</si>
  <si>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</si>
  <si>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</si>
  <si>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</si>
  <si>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</si>
  <si>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</si>
  <si>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</si>
  <si>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</si>
  <si>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</si>
  <si>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</si>
  <si>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Project emissions from methane destroyed</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</si>
  <si>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</si>
  <si>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</si>
  <si>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</si>
  <si>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</si>
  <si>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</si>
  <si>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</si>
  <si>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</si>
  <si>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</si>
  <si>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</si>
  <si>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</si>
  <si>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</si>
  <si>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</si>
  <si>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r>
      <t>PE</t>
    </r>
    <r>
      <rPr>
        <b/>
        <vertAlign val="subscript"/>
        <sz val="11"/>
        <rFont val="Times New Roman"/>
        <family val="1"/>
      </rPr>
      <t>ME</t>
    </r>
  </si>
  <si>
    <r>
      <t>PE</t>
    </r>
    <r>
      <rPr>
        <b/>
        <vertAlign val="subscript"/>
        <sz val="11"/>
        <rFont val="Times New Roman"/>
        <family val="1"/>
      </rPr>
      <t>MD</t>
    </r>
  </si>
  <si>
    <r>
      <t>PE</t>
    </r>
    <r>
      <rPr>
        <b/>
        <vertAlign val="subscript"/>
        <sz val="11"/>
        <rFont val="Times New Roman"/>
        <family val="1"/>
      </rPr>
      <t>UM</t>
    </r>
  </si>
  <si>
    <r>
      <t>CONS</t>
    </r>
    <r>
      <rPr>
        <b/>
        <vertAlign val="subscript"/>
        <sz val="11"/>
        <rFont val="Times New Roman"/>
        <family val="1"/>
      </rPr>
      <t>ELEC,PJ</t>
    </r>
  </si>
  <si>
    <r>
      <t>CEF</t>
    </r>
    <r>
      <rPr>
        <b/>
        <vertAlign val="subscript"/>
        <sz val="11"/>
        <color indexed="8"/>
        <rFont val="Times New Roman"/>
        <family val="1"/>
      </rPr>
      <t>E</t>
    </r>
    <r>
      <rPr>
        <b/>
        <vertAlign val="subscript"/>
        <sz val="11"/>
        <rFont val="Times New Roman"/>
        <family val="1"/>
      </rPr>
      <t>LEC,PJ</t>
    </r>
  </si>
  <si>
    <r>
      <t>MD</t>
    </r>
    <r>
      <rPr>
        <b/>
        <vertAlign val="subscript"/>
        <sz val="11"/>
        <rFont val="Times New Roman"/>
        <family val="1"/>
      </rPr>
      <t>FL</t>
    </r>
  </si>
  <si>
    <r>
      <t>MM</t>
    </r>
    <r>
      <rPr>
        <b/>
        <vertAlign val="subscript"/>
        <sz val="11"/>
        <rFont val="Times New Roman"/>
        <family val="1"/>
      </rPr>
      <t>FL</t>
    </r>
  </si>
  <si>
    <r>
      <t>Eff</t>
    </r>
    <r>
      <rPr>
        <b/>
        <vertAlign val="subscript"/>
        <sz val="11"/>
        <rFont val="Times New Roman"/>
        <family val="1"/>
      </rPr>
      <t>FL</t>
    </r>
  </si>
  <si>
    <r>
      <t>MD</t>
    </r>
    <r>
      <rPr>
        <b/>
        <vertAlign val="subscript"/>
        <sz val="11"/>
        <rFont val="Times New Roman"/>
        <family val="1"/>
      </rPr>
      <t>ELEC</t>
    </r>
  </si>
  <si>
    <r>
      <t>MM</t>
    </r>
    <r>
      <rPr>
        <b/>
        <vertAlign val="subscript"/>
        <sz val="11"/>
        <rFont val="Times New Roman"/>
        <family val="1"/>
      </rPr>
      <t>ELEC</t>
    </r>
  </si>
  <si>
    <r>
      <t>Eff</t>
    </r>
    <r>
      <rPr>
        <b/>
        <vertAlign val="subscript"/>
        <sz val="11"/>
        <rFont val="Times New Roman"/>
        <family val="1"/>
      </rPr>
      <t>ELEC</t>
    </r>
  </si>
  <si>
    <r>
      <t>MD</t>
    </r>
    <r>
      <rPr>
        <b/>
        <vertAlign val="subscript"/>
        <sz val="11"/>
        <rFont val="Times New Roman"/>
        <family val="1"/>
      </rPr>
      <t>HEAT</t>
    </r>
  </si>
  <si>
    <r>
      <t>MM</t>
    </r>
    <r>
      <rPr>
        <b/>
        <vertAlign val="subscript"/>
        <sz val="11"/>
        <rFont val="Times New Roman"/>
        <family val="1"/>
      </rPr>
      <t>HEAT</t>
    </r>
  </si>
  <si>
    <r>
      <t>Eff</t>
    </r>
    <r>
      <rPr>
        <b/>
        <vertAlign val="subscript"/>
        <sz val="11"/>
        <rFont val="Times New Roman"/>
        <family val="1"/>
      </rPr>
      <t>HEAT</t>
    </r>
  </si>
  <si>
    <r>
      <t>CEF</t>
    </r>
    <r>
      <rPr>
        <b/>
        <vertAlign val="subscript"/>
        <sz val="11"/>
        <rFont val="Times New Roman"/>
        <family val="1"/>
      </rPr>
      <t>CH4</t>
    </r>
  </si>
  <si>
    <r>
      <t>CEF</t>
    </r>
    <r>
      <rPr>
        <b/>
        <vertAlign val="subscript"/>
        <sz val="11"/>
        <rFont val="Times New Roman"/>
        <family val="1"/>
      </rPr>
      <t>NMHC</t>
    </r>
  </si>
  <si>
    <r>
      <t>PC</t>
    </r>
    <r>
      <rPr>
        <b/>
        <vertAlign val="subscript"/>
        <sz val="10"/>
        <rFont val="Times New Roman"/>
        <family val="1"/>
      </rPr>
      <t>CH4</t>
    </r>
  </si>
  <si>
    <r>
      <t>PC</t>
    </r>
    <r>
      <rPr>
        <b/>
        <vertAlign val="subscript"/>
        <sz val="10"/>
        <rFont val="Times New Roman"/>
        <family val="1"/>
      </rPr>
      <t>NMHC</t>
    </r>
  </si>
  <si>
    <r>
      <t>GWP</t>
    </r>
    <r>
      <rPr>
        <b/>
        <vertAlign val="subscript"/>
        <sz val="11"/>
        <rFont val="Times New Roman"/>
        <family val="1"/>
      </rPr>
      <t>CH4</t>
    </r>
  </si>
  <si>
    <r>
      <t>EF</t>
    </r>
    <r>
      <rPr>
        <b/>
        <vertAlign val="subscript"/>
        <sz val="11"/>
        <rFont val="Times New Roman"/>
        <family val="1"/>
      </rPr>
      <t>elec</t>
    </r>
  </si>
  <si>
    <r>
      <t>EF</t>
    </r>
    <r>
      <rPr>
        <b/>
        <vertAlign val="subscript"/>
        <sz val="11"/>
        <rFont val="Times New Roman"/>
        <family val="1"/>
      </rPr>
      <t>CO2,Coal</t>
    </r>
  </si>
  <si>
    <r>
      <t>Eff</t>
    </r>
    <r>
      <rPr>
        <b/>
        <vertAlign val="subscript"/>
        <sz val="11"/>
        <color indexed="8"/>
        <rFont val="Times New Roman"/>
        <family val="1"/>
      </rPr>
      <t>hea</t>
    </r>
    <r>
      <rPr>
        <b/>
        <vertAlign val="subscript"/>
        <sz val="10"/>
        <rFont val="Arial"/>
        <family val="2"/>
      </rPr>
      <t>t</t>
    </r>
  </si>
  <si>
    <r>
      <t>Carbon emission factor of CONS</t>
    </r>
    <r>
      <rPr>
        <b/>
        <sz val="8"/>
        <rFont val="Arial"/>
        <family val="2"/>
      </rPr>
      <t>ELEC,PJ</t>
    </r>
  </si>
  <si>
    <t>t CO2eq</t>
  </si>
  <si>
    <t>MWh</t>
  </si>
  <si>
    <t>t CH4</t>
  </si>
  <si>
    <t>-</t>
  </si>
  <si>
    <t>t CO2 / MWh</t>
  </si>
  <si>
    <t>t CO2eq / 
t CH4</t>
  </si>
  <si>
    <t>tCO2/MWh</t>
  </si>
  <si>
    <t>ER</t>
  </si>
  <si>
    <t>Emission reductions</t>
  </si>
  <si>
    <t>Total Monitoring Period</t>
  </si>
  <si>
    <r>
      <t>t CO</t>
    </r>
    <r>
      <rPr>
        <b/>
        <sz val="8"/>
        <rFont val="Arial"/>
        <family val="2"/>
      </rPr>
      <t>2eq</t>
    </r>
  </si>
  <si>
    <r>
      <t>t CH</t>
    </r>
    <r>
      <rPr>
        <b/>
        <sz val="8"/>
        <rFont val="Arial"/>
        <family val="2"/>
      </rPr>
      <t>4</t>
    </r>
  </si>
  <si>
    <r>
      <t>t CH</t>
    </r>
    <r>
      <rPr>
        <b/>
        <sz val="8"/>
        <rFont val="Arial"/>
        <family val="2"/>
      </rPr>
      <t>4</t>
    </r>
  </si>
  <si>
    <r>
      <t>t CO</t>
    </r>
    <r>
      <rPr>
        <b/>
        <sz val="8"/>
        <rFont val="Arial"/>
        <family val="2"/>
      </rPr>
      <t>2eq</t>
    </r>
    <r>
      <rPr>
        <b/>
        <sz val="10"/>
        <rFont val="Arial"/>
        <family val="2"/>
      </rPr>
      <t xml:space="preserve"> / 
t NMHC</t>
    </r>
  </si>
  <si>
    <r>
      <t>t CO</t>
    </r>
    <r>
      <rPr>
        <b/>
        <sz val="8"/>
        <rFont val="Arial"/>
        <family val="2"/>
      </rPr>
      <t>2eq</t>
    </r>
    <r>
      <rPr>
        <b/>
        <sz val="10"/>
        <rFont val="Arial"/>
        <family val="2"/>
      </rPr>
      <t xml:space="preserve"> / 
t CH</t>
    </r>
    <r>
      <rPr>
        <b/>
        <sz val="8"/>
        <rFont val="Arial"/>
        <family val="2"/>
      </rPr>
      <t>4</t>
    </r>
  </si>
  <si>
    <t>colour codes</t>
  </si>
  <si>
    <t>green</t>
  </si>
  <si>
    <t>input data</t>
  </si>
  <si>
    <t>white</t>
  </si>
  <si>
    <t>calculated data</t>
  </si>
  <si>
    <t xml:space="preserve">Project emissions </t>
  </si>
  <si>
    <t xml:space="preserve">Baseline emissions </t>
  </si>
  <si>
    <t>Baseline emissions from release of methane into the atmosphere that is avoided by the project activity</t>
  </si>
  <si>
    <t xml:space="preserve">Baseline emissions from the production of power, heat or supply to gas grid replaced by the project activity </t>
  </si>
  <si>
    <t>CMM captured in the project activity</t>
  </si>
  <si>
    <t>HEAT</t>
  </si>
  <si>
    <t>GEN</t>
  </si>
  <si>
    <r>
      <t>CMM</t>
    </r>
    <r>
      <rPr>
        <b/>
        <vertAlign val="subscript"/>
        <sz val="11"/>
        <color indexed="8"/>
        <rFont val="Times New Roman"/>
        <family val="1"/>
      </rPr>
      <t>PJ</t>
    </r>
  </si>
  <si>
    <r>
      <t>BE</t>
    </r>
    <r>
      <rPr>
        <b/>
        <vertAlign val="subscript"/>
        <sz val="11"/>
        <rFont val="Times New Roman"/>
        <family val="1"/>
      </rPr>
      <t>Use</t>
    </r>
  </si>
  <si>
    <r>
      <t>BE</t>
    </r>
    <r>
      <rPr>
        <b/>
        <vertAlign val="subscript"/>
        <sz val="11"/>
        <rFont val="Times New Roman"/>
        <family val="1"/>
      </rPr>
      <t>MR</t>
    </r>
  </si>
  <si>
    <t>BE</t>
  </si>
  <si>
    <t>PE</t>
  </si>
  <si>
    <t>data sources:</t>
  </si>
  <si>
    <t>Values put into MR</t>
  </si>
  <si>
    <t>blue</t>
  </si>
  <si>
    <t>Total 2011</t>
  </si>
  <si>
    <t>total methane amount utilised (sent to)</t>
  </si>
  <si>
    <t>methane amount sent to
boiler</t>
  </si>
  <si>
    <t>m³ CH4</t>
  </si>
  <si>
    <t>methane amount sent to
power plant</t>
  </si>
  <si>
    <t>methane amount sent to
ventilation air heater</t>
  </si>
  <si>
    <t>Heat generation by boiler</t>
  </si>
  <si>
    <t>Heat generation by ventilation air heater</t>
  </si>
  <si>
    <r>
      <t>Eff</t>
    </r>
    <r>
      <rPr>
        <b/>
        <vertAlign val="subscript"/>
        <sz val="11"/>
        <color indexed="8"/>
        <rFont val="Times New Roman"/>
        <family val="1"/>
      </rPr>
      <t>hea</t>
    </r>
    <r>
      <rPr>
        <b/>
        <vertAlign val="subscript"/>
        <sz val="10"/>
        <rFont val="Times New Roman"/>
        <family val="1"/>
      </rPr>
      <t>t,VAH</t>
    </r>
  </si>
  <si>
    <t>Energy efficiency of VAH</t>
  </si>
  <si>
    <t>Methane destroyed by heat generation</t>
  </si>
  <si>
    <t>Methane sent to heat plant</t>
  </si>
  <si>
    <t>methane amount sent to flare 1</t>
  </si>
  <si>
    <t>methane amount destroyed by flare 1</t>
  </si>
  <si>
    <t>methane amount sent to flare 2</t>
  </si>
  <si>
    <t>methane amount destroyed by flare 2</t>
  </si>
  <si>
    <t>methane amount sent to flare 3</t>
  </si>
  <si>
    <t>methane amount destroyed by flare 3</t>
  </si>
  <si>
    <t>methane amount sent to flare SUM</t>
  </si>
  <si>
    <t>methane amount destroyed by flare SUM</t>
  </si>
  <si>
    <t>MMFL [t]</t>
  </si>
  <si>
    <t>MDFL [t]</t>
  </si>
  <si>
    <t>methane concen-tration (flare 1)</t>
  </si>
  <si>
    <t xml:space="preserve">Flare combustion efficiency, determined by the flame temperature and operation hours </t>
  </si>
  <si>
    <t>Emission Reductions - K22 from 2011-03-16 to 2012-04-30</t>
  </si>
  <si>
    <t>16.to31.March-11</t>
  </si>
  <si>
    <t>Total 2012</t>
  </si>
  <si>
    <t>P3/4</t>
  </si>
  <si>
    <t>Project emissions from methane destroyed and uncombusted methane (flare)</t>
  </si>
  <si>
    <t>Project emissions from methane destroyed and uncombusted methane (heat plant)</t>
  </si>
  <si>
    <t>Project emissions from methane destroyed and uncombusted methane (power plant)</t>
  </si>
  <si>
    <t>Baseline emissions from release of methane into the atmosphere that is avoided by the project activity (flare)</t>
  </si>
  <si>
    <t>Baseline emissions from release of methane into the atmosphere that is avoided by the project activity (power plant)</t>
  </si>
  <si>
    <t>Baseline emissions from release of methane into the atmosphere that is avoided by the project activity (heat plant)</t>
  </si>
  <si>
    <t>Baseline emissions from the production of power, heat or supply to gas grid replaced by the project activity (heat)</t>
  </si>
  <si>
    <t>Baseline emissions from the production of power, heat or supply to gas grid replaced by the project activity (power)</t>
  </si>
  <si>
    <t>K22-F1_Measuring_Data_2011-03-16 to 2012-04-30.V1.xls</t>
  </si>
  <si>
    <t>K22-F2_Measuring_Data_2011-03-16 to 2012-04-30.V1.xls</t>
  </si>
  <si>
    <t>K22-F3_Measuring_Data_2011-03-16 to 2012-04-30.V1.xls</t>
  </si>
  <si>
    <t>K22-M1_Measuring_Data_2011-03-16 to 2012-04-30.V1.xls</t>
  </si>
  <si>
    <t>K22-B1_Measuring Data_2011-03-16 to 2012-04-30.V1.xls</t>
  </si>
  <si>
    <t>K22-VAH_Measuring Data_2011-03-16 to 2012-04-30.V1.xls</t>
  </si>
  <si>
    <t>The values of emission reductions, baseline and project emissions,methane sent and destroyed, generated heat and power, consumed power are shown without decimal digits.</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</si>
</sst>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7]dddd\,\ d\.\ mmmm\ yyyy"/>
    <numFmt numFmtId="202" formatCode="d/m/yy;@"/>
    <numFmt numFmtId="203" formatCode="[$-409]mmmm\-yy;@"/>
  </numFmts>
  <fonts count="50">
    <font>
      <sz val="10"/>
      <name val="Arial"/>
      <family val="0"/>
    </font>
    <font>
      <b/>
      <sz val="14"/>
      <name val="Arial"/>
      <family val="2"/>
    </font>
    <font>
      <b/>
      <sz val="10"/>
      <name val="Arial"/>
      <family val="2"/>
    </font>
    <font>
      <b/>
      <sz val="11"/>
      <color indexed="8"/>
      <name val="Times New Roman"/>
      <family val="1"/>
    </font>
    <font>
      <b/>
      <vertAlign val="subscript"/>
      <sz val="11"/>
      <color indexed="8"/>
      <name val="Times New Roman"/>
      <family val="1"/>
    </font>
    <font>
      <b/>
      <vertAlign val="subscript"/>
      <sz val="11"/>
      <name val="Times New Roman"/>
      <family val="1"/>
    </font>
    <font>
      <b/>
      <vertAlign val="subscript"/>
      <sz val="10"/>
      <name val="Times New Roman"/>
      <family val="1"/>
    </font>
    <font>
      <b/>
      <vertAlign val="subscript"/>
      <sz val="10"/>
      <name val="Arial"/>
      <family val="2"/>
    </font>
    <font>
      <b/>
      <sz val="8"/>
      <name val="Arial"/>
      <family val="2"/>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color indexed="8"/>
      <name val="Arial"/>
      <family val="0"/>
    </font>
    <font>
      <b/>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03">
    <xf numFmtId="0" fontId="0" fillId="0" borderId="0" xfId="0" applyAlignment="1">
      <alignment/>
    </xf>
    <xf numFmtId="0" fontId="1" fillId="0" borderId="0" xfId="0" applyFont="1" applyAlignment="1">
      <alignment/>
    </xf>
    <xf numFmtId="0" fontId="2" fillId="0" borderId="0" xfId="0" applyFont="1" applyBorder="1" applyAlignment="1">
      <alignment/>
    </xf>
    <xf numFmtId="0" fontId="0" fillId="0" borderId="10" xfId="0" applyBorder="1" applyAlignment="1">
      <alignment/>
    </xf>
    <xf numFmtId="0" fontId="2" fillId="0" borderId="0" xfId="0" applyFont="1" applyBorder="1" applyAlignment="1">
      <alignment wrapText="1"/>
    </xf>
    <xf numFmtId="192" fontId="0" fillId="0" borderId="0" xfId="0" applyNumberFormat="1" applyAlignment="1">
      <alignment/>
    </xf>
    <xf numFmtId="0" fontId="0" fillId="0" borderId="0" xfId="0" applyAlignment="1">
      <alignment horizontal="righ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wrapText="1"/>
    </xf>
    <xf numFmtId="0" fontId="2" fillId="0" borderId="11" xfId="0" applyFont="1" applyBorder="1" applyAlignment="1">
      <alignment horizontal="right" wrapText="1"/>
    </xf>
    <xf numFmtId="2" fontId="0" fillId="0" borderId="0" xfId="0" applyNumberFormat="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0" fontId="3" fillId="0" borderId="10" xfId="0" applyFont="1" applyBorder="1" applyAlignment="1">
      <alignment/>
    </xf>
    <xf numFmtId="0" fontId="3" fillId="0" borderId="10" xfId="0" applyFont="1" applyBorder="1" applyAlignment="1">
      <alignment vertical="top" wrapText="1"/>
    </xf>
    <xf numFmtId="0" fontId="2" fillId="0" borderId="11" xfId="0" applyFont="1" applyBorder="1" applyAlignment="1">
      <alignment horizontal="right"/>
    </xf>
    <xf numFmtId="197" fontId="2" fillId="0" borderId="12" xfId="0" applyNumberFormat="1" applyFont="1" applyBorder="1" applyAlignment="1">
      <alignment horizontal="right"/>
    </xf>
    <xf numFmtId="3" fontId="2" fillId="0" borderId="12"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92" fontId="2" fillId="0" borderId="12" xfId="0" applyNumberFormat="1" applyFont="1" applyBorder="1" applyAlignment="1">
      <alignment horizontal="right" vertical="center" wrapText="1"/>
    </xf>
    <xf numFmtId="3" fontId="2" fillId="0" borderId="1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0" fontId="3" fillId="0" borderId="10" xfId="0" applyFont="1" applyFill="1" applyBorder="1" applyAlignment="1">
      <alignment/>
    </xf>
    <xf numFmtId="0" fontId="2" fillId="0" borderId="0" xfId="0" applyFont="1" applyFill="1" applyAlignment="1">
      <alignment wrapText="1"/>
    </xf>
    <xf numFmtId="0" fontId="2" fillId="0" borderId="11" xfId="0" applyFont="1" applyFill="1" applyBorder="1" applyAlignment="1">
      <alignment horizontal="right" wrapText="1"/>
    </xf>
    <xf numFmtId="1" fontId="0" fillId="0" borderId="0" xfId="0" applyNumberFormat="1" applyFill="1" applyAlignment="1">
      <alignment/>
    </xf>
    <xf numFmtId="0" fontId="3" fillId="0" borderId="10" xfId="0" applyFont="1" applyFill="1" applyBorder="1" applyAlignment="1">
      <alignment vertical="top" wrapText="1"/>
    </xf>
    <xf numFmtId="193"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3"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4" borderId="10" xfId="0" applyNumberFormat="1" applyFont="1" applyFill="1" applyBorder="1" applyAlignment="1">
      <alignment/>
    </xf>
    <xf numFmtId="1" fontId="0" fillId="34" borderId="0" xfId="0" applyNumberFormat="1" applyFill="1" applyAlignment="1">
      <alignment/>
    </xf>
    <xf numFmtId="3" fontId="0" fillId="0" borderId="0" xfId="0" applyNumberFormat="1" applyAlignment="1">
      <alignment/>
    </xf>
    <xf numFmtId="0" fontId="0" fillId="3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0" fontId="0" fillId="0" borderId="0" xfId="0" applyNumberFormat="1" applyFill="1" applyBorder="1" applyAlignment="1">
      <alignment/>
    </xf>
    <xf numFmtId="3" fontId="0" fillId="33" borderId="0" xfId="0" applyNumberFormat="1" applyFill="1" applyAlignment="1" applyProtection="1">
      <alignment/>
      <protection locked="0"/>
    </xf>
    <xf numFmtId="3" fontId="2" fillId="35" borderId="12" xfId="0" applyNumberFormat="1" applyFont="1" applyFill="1" applyBorder="1" applyAlignment="1">
      <alignment horizontal="right" vertical="center"/>
    </xf>
    <xf numFmtId="1" fontId="0" fillId="33" borderId="0" xfId="0" applyNumberFormat="1" applyFill="1" applyAlignment="1">
      <alignment/>
    </xf>
    <xf numFmtId="0" fontId="2" fillId="0" borderId="0" xfId="0" applyFont="1" applyAlignment="1">
      <alignment horizontal="left" wrapText="1"/>
    </xf>
    <xf numFmtId="0" fontId="2" fillId="0" borderId="0" xfId="0" applyFont="1" applyFill="1" applyAlignment="1">
      <alignment horizontal="left" wrapText="1"/>
    </xf>
    <xf numFmtId="0" fontId="2" fillId="0" borderId="11" xfId="0" applyFont="1" applyFill="1" applyBorder="1" applyAlignment="1">
      <alignment horizontal="right"/>
    </xf>
    <xf numFmtId="0" fontId="2" fillId="0" borderId="0" xfId="0" applyFont="1" applyFill="1" applyBorder="1" applyAlignment="1">
      <alignment wrapText="1"/>
    </xf>
    <xf numFmtId="198" fontId="2" fillId="0" borderId="11" xfId="0" applyNumberFormat="1" applyFont="1" applyFill="1" applyBorder="1" applyAlignment="1">
      <alignment horizontal="right" wrapText="1"/>
    </xf>
    <xf numFmtId="3" fontId="2" fillId="0" borderId="12" xfId="0" applyNumberFormat="1" applyFont="1" applyFill="1" applyBorder="1" applyAlignment="1">
      <alignment/>
    </xf>
    <xf numFmtId="3" fontId="2" fillId="0" borderId="12" xfId="0" applyNumberFormat="1" applyFont="1" applyFill="1" applyBorder="1" applyAlignment="1">
      <alignment horizontal="right" vertical="center"/>
    </xf>
    <xf numFmtId="198" fontId="0" fillId="33" borderId="0"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2" fillId="0" borderId="13" xfId="0" applyFont="1" applyBorder="1" applyAlignment="1">
      <alignment horizontal="left" wrapText="1"/>
    </xf>
    <xf numFmtId="198" fontId="2" fillId="0" borderId="15" xfId="0" applyNumberFormat="1" applyFont="1" applyFill="1" applyBorder="1" applyAlignment="1">
      <alignment horizontal="right" wrapText="1"/>
    </xf>
    <xf numFmtId="3" fontId="0" fillId="0" borderId="13" xfId="0" applyNumberFormat="1" applyFill="1" applyBorder="1" applyAlignment="1">
      <alignment/>
    </xf>
    <xf numFmtId="3" fontId="2" fillId="0" borderId="16" xfId="0" applyNumberFormat="1" applyFont="1" applyBorder="1" applyAlignment="1">
      <alignment/>
    </xf>
    <xf numFmtId="3" fontId="2" fillId="35" borderId="16" xfId="0" applyNumberFormat="1" applyFont="1" applyFill="1" applyBorder="1" applyAlignment="1">
      <alignment horizontal="right" vertical="center"/>
    </xf>
    <xf numFmtId="3" fontId="0" fillId="0" borderId="0" xfId="0" applyNumberFormat="1" applyFill="1" applyAlignment="1" applyProtection="1">
      <alignment/>
      <protection locked="0"/>
    </xf>
    <xf numFmtId="0" fontId="0" fillId="0" borderId="11" xfId="0" applyBorder="1" applyAlignment="1">
      <alignment horizontal="right"/>
    </xf>
    <xf numFmtId="198" fontId="0" fillId="0" borderId="0" xfId="0" applyNumberFormat="1" applyFont="1" applyFill="1" applyBorder="1" applyAlignment="1">
      <alignment horizontal="right"/>
    </xf>
    <xf numFmtId="198" fontId="2" fillId="0" borderId="12" xfId="0" applyNumberFormat="1" applyFont="1" applyBorder="1" applyAlignment="1">
      <alignment/>
    </xf>
    <xf numFmtId="202" fontId="0" fillId="0" borderId="0" xfId="0" applyNumberFormat="1" applyAlignment="1">
      <alignment/>
    </xf>
    <xf numFmtId="3" fontId="2" fillId="35" borderId="12" xfId="0" applyNumberFormat="1" applyFont="1" applyFill="1" applyBorder="1" applyAlignment="1">
      <alignment/>
    </xf>
    <xf numFmtId="3" fontId="14" fillId="33" borderId="0" xfId="0" applyNumberFormat="1" applyFont="1" applyFill="1" applyAlignment="1" applyProtection="1">
      <alignment/>
      <protection locked="0"/>
    </xf>
    <xf numFmtId="0" fontId="0" fillId="0" borderId="0" xfId="0" applyFill="1" applyBorder="1" applyAlignment="1">
      <alignment horizontal="right"/>
    </xf>
    <xf numFmtId="0" fontId="15" fillId="0" borderId="0" xfId="0" applyFont="1" applyAlignment="1">
      <alignment wrapText="1"/>
    </xf>
    <xf numFmtId="198" fontId="2" fillId="0" borderId="12" xfId="0" applyNumberFormat="1" applyFont="1" applyFill="1" applyBorder="1" applyAlignment="1">
      <alignment horizontal="right" vertical="center"/>
    </xf>
    <xf numFmtId="3" fontId="0" fillId="0" borderId="0" xfId="0" applyNumberFormat="1" applyBorder="1" applyAlignment="1">
      <alignment/>
    </xf>
    <xf numFmtId="0" fontId="0" fillId="34" borderId="0" xfId="0" applyFill="1" applyAlignment="1">
      <alignment/>
    </xf>
    <xf numFmtId="3" fontId="0" fillId="0" borderId="10" xfId="0" applyNumberFormat="1" applyBorder="1" applyAlignment="1">
      <alignment/>
    </xf>
    <xf numFmtId="198" fontId="0" fillId="0" borderId="0" xfId="0" applyNumberFormat="1" applyAlignment="1">
      <alignment/>
    </xf>
    <xf numFmtId="198" fontId="0" fillId="0" borderId="0" xfId="0" applyNumberFormat="1" applyBorder="1" applyAlignment="1">
      <alignment/>
    </xf>
    <xf numFmtId="198" fontId="0" fillId="0" borderId="0" xfId="0" applyNumberFormat="1" applyBorder="1" applyAlignment="1">
      <alignment horizontal="right"/>
    </xf>
    <xf numFmtId="197" fontId="0" fillId="0" borderId="0" xfId="0" applyNumberFormat="1" applyAlignment="1">
      <alignment horizontal="left"/>
    </xf>
    <xf numFmtId="197" fontId="2" fillId="0" borderId="0" xfId="0" applyNumberFormat="1" applyFont="1" applyBorder="1" applyAlignment="1">
      <alignment horizontal="left"/>
    </xf>
    <xf numFmtId="0" fontId="0" fillId="0" borderId="0" xfId="0" applyBorder="1" applyAlignment="1">
      <alignment horizontal="left"/>
    </xf>
    <xf numFmtId="198" fontId="0" fillId="0" borderId="0" xfId="0" applyNumberFormat="1" applyBorder="1" applyAlignment="1" applyProtection="1">
      <alignment/>
      <protection locked="0"/>
    </xf>
    <xf numFmtId="203" fontId="0" fillId="0" borderId="0" xfId="0" applyNumberFormat="1" applyAlignment="1">
      <alignment/>
    </xf>
    <xf numFmtId="197" fontId="0" fillId="0" borderId="0" xfId="0" applyNumberFormat="1" applyAlignment="1">
      <alignment horizontal="right"/>
    </xf>
    <xf numFmtId="198" fontId="2" fillId="0" borderId="0" xfId="0" applyNumberFormat="1" applyFont="1" applyBorder="1" applyAlignment="1">
      <alignment/>
    </xf>
    <xf numFmtId="0" fontId="3" fillId="35" borderId="0" xfId="0" applyFont="1" applyFill="1" applyAlignment="1">
      <alignment/>
    </xf>
    <xf numFmtId="0" fontId="2" fillId="0" borderId="0" xfId="0" applyFont="1" applyAlignment="1">
      <alignment wrapText="1"/>
    </xf>
    <xf numFmtId="189" fontId="14" fillId="0" borderId="0" xfId="0" applyNumberFormat="1" applyFont="1" applyFill="1" applyAlignment="1" quotePrefix="1">
      <alignment horizontal="right"/>
    </xf>
    <xf numFmtId="0" fontId="3" fillId="35" borderId="10" xfId="0" applyFont="1" applyFill="1" applyBorder="1" applyAlignment="1">
      <alignment wrapText="1"/>
    </xf>
    <xf numFmtId="189" fontId="14" fillId="0" borderId="0" xfId="0" applyNumberFormat="1" applyFont="1" applyAlignment="1">
      <alignment/>
    </xf>
    <xf numFmtId="3" fontId="0" fillId="33" borderId="0" xfId="0" applyNumberFormat="1" applyFill="1" applyAlignment="1">
      <alignment/>
    </xf>
    <xf numFmtId="1" fontId="0" fillId="33" borderId="0" xfId="0" applyNumberFormat="1" applyFill="1" applyBorder="1" applyAlignment="1">
      <alignment/>
    </xf>
    <xf numFmtId="192" fontId="0" fillId="0" borderId="0" xfId="0" applyNumberForma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45"/>
  <sheetViews>
    <sheetView tabSelected="1" zoomScalePageLayoutView="0" workbookViewId="0" topLeftCell="A1">
      <pane xSplit="1" ySplit="5" topLeftCell="B15" activePane="bottomRight" state="frozen"/>
      <selection pane="topLeft" activeCell="K6" sqref="K6"/>
      <selection pane="topRight" activeCell="A1" sqref="A1"/>
      <selection pane="bottomLeft" activeCell="A7" sqref="A7"/>
      <selection pane="bottomRight" activeCell="J13" sqref="J13"/>
    </sheetView>
  </sheetViews>
  <sheetFormatPr defaultColWidth="11.421875" defaultRowHeight="12.75"/>
  <cols>
    <col min="1" max="1" width="16.421875" style="5" customWidth="1"/>
    <col min="2" max="2" width="8.57421875" style="0" customWidth="1"/>
    <col min="3" max="3" width="9.7109375" style="0" customWidth="1"/>
    <col min="4" max="4" width="8.28125" style="0" customWidth="1"/>
    <col min="5" max="5" width="9.7109375" style="0" customWidth="1"/>
    <col min="6" max="7" width="8.57421875" style="0" customWidth="1"/>
    <col min="8" max="8" width="8.7109375" style="0" customWidth="1"/>
    <col min="9" max="9" width="9.7109375" style="0" customWidth="1"/>
    <col min="10" max="10" width="8.421875" style="0" customWidth="1"/>
    <col min="11" max="11" width="8.8515625" style="0" customWidth="1"/>
    <col min="12" max="12" width="8.28125" style="0" customWidth="1"/>
    <col min="13" max="13" width="8.8515625" style="0" customWidth="1"/>
    <col min="14" max="14" width="8.28125" style="0" customWidth="1"/>
    <col min="15" max="16" width="10.140625" style="0" bestFit="1" customWidth="1"/>
    <col min="17" max="17" width="9.7109375" style="0" customWidth="1"/>
    <col min="18" max="19" width="9.8515625" style="0" customWidth="1"/>
    <col min="20" max="20" width="10.00390625" style="0" customWidth="1"/>
    <col min="21" max="21" width="12.8515625" style="0" customWidth="1"/>
    <col min="22" max="22" width="10.28125" style="0" customWidth="1"/>
    <col min="23" max="23" width="9.57421875" style="0" customWidth="1"/>
    <col min="24" max="24" width="13.140625" style="0" customWidth="1"/>
    <col min="25" max="25" width="12.28125" style="0" customWidth="1"/>
    <col min="26" max="26" width="7.7109375" style="0" customWidth="1"/>
    <col min="27" max="27" width="7.140625" style="15" customWidth="1"/>
    <col min="28" max="28" width="13.7109375" style="15" customWidth="1"/>
    <col min="29" max="29" width="10.7109375" style="0" customWidth="1"/>
    <col min="30" max="30" width="9.28125" style="0" customWidth="1"/>
    <col min="31" max="31" width="11.28125" style="0" customWidth="1"/>
    <col min="32" max="32" width="9.57421875" style="0" customWidth="1"/>
    <col min="33" max="33" width="9.421875" style="0" customWidth="1"/>
    <col min="34" max="34" width="11.28125" style="0" customWidth="1"/>
    <col min="35" max="35" width="9.140625" style="0" customWidth="1"/>
    <col min="36" max="36" width="13.28125" style="0" customWidth="1"/>
    <col min="37" max="37" width="13.7109375" style="0" customWidth="1"/>
    <col min="38" max="38" width="9.28125" style="0" customWidth="1"/>
    <col min="39" max="39" width="9.8515625" style="0" customWidth="1"/>
    <col min="40" max="40" width="9.28125" style="0" customWidth="1"/>
    <col min="41" max="41" width="9.8515625" style="0" customWidth="1"/>
    <col min="42" max="42" width="15.00390625" style="0" customWidth="1"/>
    <col min="43" max="43" width="11.8515625" style="0" customWidth="1"/>
    <col min="44" max="44" width="12.7109375" style="0" customWidth="1"/>
    <col min="45" max="45" width="12.8515625" style="0" customWidth="1"/>
    <col min="46" max="46" width="16.421875" style="0" customWidth="1"/>
    <col min="47" max="47" width="12.00390625" style="0" customWidth="1"/>
    <col min="48" max="48" width="12.7109375" style="0" customWidth="1"/>
    <col min="49" max="49" width="9.00390625" style="0" customWidth="1"/>
    <col min="50" max="50" width="9.28125" style="0" customWidth="1"/>
    <col min="51" max="51" width="10.8515625" style="0" customWidth="1"/>
    <col min="52" max="52" width="8.28125" style="0" bestFit="1" customWidth="1"/>
    <col min="53" max="53" width="8.00390625" style="0" bestFit="1" customWidth="1"/>
    <col min="54" max="54" width="8.00390625" style="0" customWidth="1"/>
    <col min="55" max="55" width="7.7109375" style="0" bestFit="1" customWidth="1"/>
    <col min="56" max="56" width="7.00390625" style="0" customWidth="1"/>
    <col min="57" max="57" width="9.8515625" style="0" bestFit="1" customWidth="1"/>
    <col min="58" max="58" width="7.7109375" style="0" customWidth="1"/>
    <col min="59" max="59" width="7.00390625" style="0" customWidth="1"/>
  </cols>
  <sheetData>
    <row r="1" ht="18">
      <c r="A1" s="1" t="s">
        <v>138</v>
      </c>
    </row>
    <row r="2" spans="1:58" ht="18">
      <c r="A2" s="1"/>
      <c r="M2" s="8"/>
      <c r="N2" s="65"/>
      <c r="Q2" s="9" t="s">
        <v>35</v>
      </c>
      <c r="R2" s="9" t="s">
        <v>2</v>
      </c>
      <c r="S2" s="95" t="s">
        <v>141</v>
      </c>
      <c r="T2" s="95" t="s">
        <v>141</v>
      </c>
      <c r="U2" s="95" t="s">
        <v>141</v>
      </c>
      <c r="V2" s="9" t="s">
        <v>3</v>
      </c>
      <c r="W2" s="9" t="s">
        <v>4</v>
      </c>
      <c r="X2" s="9" t="s">
        <v>5</v>
      </c>
      <c r="Y2" s="9" t="s">
        <v>6</v>
      </c>
      <c r="Z2" s="9" t="s">
        <v>36</v>
      </c>
      <c r="AA2" s="30" t="s">
        <v>37</v>
      </c>
      <c r="AB2" s="9" t="s">
        <v>38</v>
      </c>
      <c r="AC2" s="10" t="s">
        <v>39</v>
      </c>
      <c r="AD2" s="10" t="s">
        <v>40</v>
      </c>
      <c r="AE2" s="10" t="s">
        <v>41</v>
      </c>
      <c r="AF2" s="9" t="s">
        <v>7</v>
      </c>
      <c r="AG2" s="9" t="s">
        <v>8</v>
      </c>
      <c r="AH2" s="9" t="s">
        <v>9</v>
      </c>
      <c r="AI2" s="9" t="s">
        <v>10</v>
      </c>
      <c r="AJ2" s="9" t="s">
        <v>11</v>
      </c>
      <c r="AK2" s="9" t="s">
        <v>12</v>
      </c>
      <c r="AL2" s="9" t="s">
        <v>13</v>
      </c>
      <c r="AM2" s="9" t="s">
        <v>14</v>
      </c>
      <c r="AN2" s="9" t="s">
        <v>16</v>
      </c>
      <c r="AO2" s="9" t="s">
        <v>17</v>
      </c>
      <c r="AP2" s="9" t="s">
        <v>18</v>
      </c>
      <c r="AQ2" s="95" t="s">
        <v>18</v>
      </c>
      <c r="AR2" s="95" t="s">
        <v>18</v>
      </c>
      <c r="AS2" s="95" t="s">
        <v>18</v>
      </c>
      <c r="AT2" s="9" t="s">
        <v>19</v>
      </c>
      <c r="AU2" s="95" t="s">
        <v>19</v>
      </c>
      <c r="AV2" s="95" t="s">
        <v>19</v>
      </c>
      <c r="AW2" s="9" t="s">
        <v>20</v>
      </c>
      <c r="AX2" s="9" t="s">
        <v>21</v>
      </c>
      <c r="AY2" s="9" t="s">
        <v>22</v>
      </c>
      <c r="AZ2" s="9" t="s">
        <v>23</v>
      </c>
      <c r="BA2" s="9" t="s">
        <v>24</v>
      </c>
      <c r="BB2" s="9"/>
      <c r="BC2" s="9"/>
      <c r="BD2" s="9" t="s">
        <v>25</v>
      </c>
      <c r="BE2" s="9" t="s">
        <v>26</v>
      </c>
      <c r="BF2" s="9" t="s">
        <v>27</v>
      </c>
    </row>
    <row r="3" spans="1:59" ht="33">
      <c r="A3" s="3"/>
      <c r="B3" s="84" t="s">
        <v>134</v>
      </c>
      <c r="C3" s="84" t="s">
        <v>135</v>
      </c>
      <c r="D3" s="84" t="s">
        <v>134</v>
      </c>
      <c r="E3" s="84" t="s">
        <v>135</v>
      </c>
      <c r="F3" s="84" t="s">
        <v>134</v>
      </c>
      <c r="G3" s="84" t="s">
        <v>135</v>
      </c>
      <c r="H3" s="3"/>
      <c r="I3" s="3"/>
      <c r="J3" s="3"/>
      <c r="K3" s="3"/>
      <c r="L3" s="3"/>
      <c r="M3" s="3"/>
      <c r="N3" s="66"/>
      <c r="O3" s="3"/>
      <c r="P3" s="20" t="s">
        <v>86</v>
      </c>
      <c r="Q3" s="20" t="s">
        <v>110</v>
      </c>
      <c r="R3" s="20" t="s">
        <v>56</v>
      </c>
      <c r="S3" s="98" t="s">
        <v>57</v>
      </c>
      <c r="T3" s="98" t="s">
        <v>57</v>
      </c>
      <c r="U3" s="98" t="s">
        <v>57</v>
      </c>
      <c r="V3" s="20" t="s">
        <v>57</v>
      </c>
      <c r="W3" s="20" t="s">
        <v>58</v>
      </c>
      <c r="X3" s="20" t="s">
        <v>59</v>
      </c>
      <c r="Y3" s="20" t="s">
        <v>60</v>
      </c>
      <c r="Z3" s="21" t="s">
        <v>61</v>
      </c>
      <c r="AA3" s="31" t="s">
        <v>62</v>
      </c>
      <c r="AB3" s="35" t="s">
        <v>63</v>
      </c>
      <c r="AC3" s="20" t="s">
        <v>64</v>
      </c>
      <c r="AD3" s="21" t="s">
        <v>65</v>
      </c>
      <c r="AE3" s="21" t="s">
        <v>66</v>
      </c>
      <c r="AF3" s="20" t="s">
        <v>67</v>
      </c>
      <c r="AG3" s="20" t="s">
        <v>68</v>
      </c>
      <c r="AH3" s="20" t="s">
        <v>69</v>
      </c>
      <c r="AI3" s="20" t="s">
        <v>70</v>
      </c>
      <c r="AJ3" s="20" t="s">
        <v>71</v>
      </c>
      <c r="AK3" s="20" t="s">
        <v>72</v>
      </c>
      <c r="AL3" s="20" t="s">
        <v>73</v>
      </c>
      <c r="AM3" s="20" t="s">
        <v>15</v>
      </c>
      <c r="AN3" s="20" t="s">
        <v>74</v>
      </c>
      <c r="AO3" s="20" t="s">
        <v>109</v>
      </c>
      <c r="AP3" s="20" t="s">
        <v>108</v>
      </c>
      <c r="AQ3" s="98" t="s">
        <v>108</v>
      </c>
      <c r="AR3" s="98" t="s">
        <v>108</v>
      </c>
      <c r="AS3" s="98" t="s">
        <v>108</v>
      </c>
      <c r="AT3" s="20" t="s">
        <v>107</v>
      </c>
      <c r="AU3" s="98" t="s">
        <v>107</v>
      </c>
      <c r="AV3" s="98" t="s">
        <v>107</v>
      </c>
      <c r="AW3" s="20" t="s">
        <v>106</v>
      </c>
      <c r="AX3" s="20" t="s">
        <v>74</v>
      </c>
      <c r="AY3" s="20" t="s">
        <v>70</v>
      </c>
      <c r="AZ3" s="20" t="s">
        <v>105</v>
      </c>
      <c r="BA3" s="20" t="s">
        <v>104</v>
      </c>
      <c r="BB3" s="20"/>
      <c r="BC3" s="20"/>
      <c r="BD3" s="20" t="s">
        <v>75</v>
      </c>
      <c r="BE3" s="20" t="s">
        <v>76</v>
      </c>
      <c r="BF3" s="20" t="s">
        <v>77</v>
      </c>
      <c r="BG3" s="20" t="s">
        <v>122</v>
      </c>
    </row>
    <row r="4" spans="1:59" ht="165.75">
      <c r="A4" s="2" t="s">
        <v>0</v>
      </c>
      <c r="B4" s="60" t="s">
        <v>126</v>
      </c>
      <c r="C4" s="60" t="s">
        <v>127</v>
      </c>
      <c r="D4" s="60" t="s">
        <v>128</v>
      </c>
      <c r="E4" s="60" t="s">
        <v>129</v>
      </c>
      <c r="F4" s="60" t="s">
        <v>130</v>
      </c>
      <c r="G4" s="60" t="s">
        <v>131</v>
      </c>
      <c r="H4" s="60" t="s">
        <v>132</v>
      </c>
      <c r="I4" s="60" t="s">
        <v>133</v>
      </c>
      <c r="J4" s="58" t="s">
        <v>118</v>
      </c>
      <c r="K4" s="58" t="s">
        <v>116</v>
      </c>
      <c r="L4" s="58" t="s">
        <v>119</v>
      </c>
      <c r="M4" s="4" t="s">
        <v>136</v>
      </c>
      <c r="N4" s="67" t="s">
        <v>115</v>
      </c>
      <c r="O4" s="57" t="s">
        <v>115</v>
      </c>
      <c r="P4" s="11" t="s">
        <v>87</v>
      </c>
      <c r="Q4" s="11" t="s">
        <v>99</v>
      </c>
      <c r="R4" s="11" t="s">
        <v>42</v>
      </c>
      <c r="S4" s="96" t="s">
        <v>142</v>
      </c>
      <c r="T4" s="96" t="s">
        <v>143</v>
      </c>
      <c r="U4" s="96" t="s">
        <v>144</v>
      </c>
      <c r="V4" s="11" t="s">
        <v>43</v>
      </c>
      <c r="W4" s="11" t="s">
        <v>44</v>
      </c>
      <c r="X4" s="32" t="s">
        <v>45</v>
      </c>
      <c r="Y4" s="11" t="s">
        <v>78</v>
      </c>
      <c r="Z4" s="11" t="s">
        <v>46</v>
      </c>
      <c r="AA4" s="32" t="s">
        <v>47</v>
      </c>
      <c r="AB4" s="32" t="s">
        <v>137</v>
      </c>
      <c r="AC4" s="11" t="s">
        <v>48</v>
      </c>
      <c r="AD4" s="11" t="s">
        <v>49</v>
      </c>
      <c r="AE4" s="11" t="s">
        <v>50</v>
      </c>
      <c r="AF4" s="80" t="s">
        <v>124</v>
      </c>
      <c r="AG4" s="80" t="s">
        <v>125</v>
      </c>
      <c r="AH4" s="11" t="s">
        <v>51</v>
      </c>
      <c r="AI4" s="11" t="s">
        <v>29</v>
      </c>
      <c r="AJ4" s="11" t="s">
        <v>52</v>
      </c>
      <c r="AK4" s="11" t="s">
        <v>53</v>
      </c>
      <c r="AL4" s="11" t="s">
        <v>55</v>
      </c>
      <c r="AM4" s="11" t="s">
        <v>54</v>
      </c>
      <c r="AN4" s="11" t="s">
        <v>28</v>
      </c>
      <c r="AO4" s="11" t="s">
        <v>100</v>
      </c>
      <c r="AP4" s="11" t="s">
        <v>101</v>
      </c>
      <c r="AQ4" s="96" t="s">
        <v>145</v>
      </c>
      <c r="AR4" s="96" t="s">
        <v>146</v>
      </c>
      <c r="AS4" s="96" t="s">
        <v>147</v>
      </c>
      <c r="AT4" s="11" t="s">
        <v>102</v>
      </c>
      <c r="AU4" s="96" t="s">
        <v>148</v>
      </c>
      <c r="AV4" s="96" t="s">
        <v>149</v>
      </c>
      <c r="AW4" s="11" t="s">
        <v>103</v>
      </c>
      <c r="AX4" s="11" t="s">
        <v>28</v>
      </c>
      <c r="AY4" s="11" t="s">
        <v>29</v>
      </c>
      <c r="AZ4" s="11" t="s">
        <v>30</v>
      </c>
      <c r="BA4" s="11" t="s">
        <v>31</v>
      </c>
      <c r="BB4" s="11" t="s">
        <v>120</v>
      </c>
      <c r="BC4" s="11" t="s">
        <v>121</v>
      </c>
      <c r="BD4" s="11" t="s">
        <v>32</v>
      </c>
      <c r="BE4" s="11" t="s">
        <v>33</v>
      </c>
      <c r="BF4" s="11" t="s">
        <v>34</v>
      </c>
      <c r="BG4" s="11" t="s">
        <v>123</v>
      </c>
    </row>
    <row r="5" spans="1:59" s="6" customFormat="1" ht="39" thickBot="1">
      <c r="A5" s="22"/>
      <c r="B5" s="61" t="s">
        <v>81</v>
      </c>
      <c r="C5" s="61" t="s">
        <v>81</v>
      </c>
      <c r="D5" s="61" t="s">
        <v>81</v>
      </c>
      <c r="E5" s="61" t="s">
        <v>81</v>
      </c>
      <c r="F5" s="61" t="s">
        <v>81</v>
      </c>
      <c r="G5" s="61" t="s">
        <v>81</v>
      </c>
      <c r="H5" s="61" t="s">
        <v>81</v>
      </c>
      <c r="I5" s="61" t="s">
        <v>81</v>
      </c>
      <c r="J5" s="61" t="s">
        <v>81</v>
      </c>
      <c r="K5" s="61" t="s">
        <v>81</v>
      </c>
      <c r="L5" s="61" t="s">
        <v>81</v>
      </c>
      <c r="M5" s="22" t="s">
        <v>1</v>
      </c>
      <c r="N5" s="68" t="s">
        <v>81</v>
      </c>
      <c r="O5" s="59" t="s">
        <v>117</v>
      </c>
      <c r="P5" s="12" t="s">
        <v>89</v>
      </c>
      <c r="Q5" s="12" t="s">
        <v>89</v>
      </c>
      <c r="R5" s="12" t="s">
        <v>89</v>
      </c>
      <c r="S5" s="12" t="s">
        <v>89</v>
      </c>
      <c r="T5" s="12" t="s">
        <v>89</v>
      </c>
      <c r="U5" s="12" t="s">
        <v>89</v>
      </c>
      <c r="V5" s="12" t="s">
        <v>89</v>
      </c>
      <c r="W5" s="12" t="s">
        <v>89</v>
      </c>
      <c r="X5" s="12" t="s">
        <v>80</v>
      </c>
      <c r="Y5" s="12" t="s">
        <v>89</v>
      </c>
      <c r="Z5" s="12" t="s">
        <v>90</v>
      </c>
      <c r="AA5" s="12" t="s">
        <v>91</v>
      </c>
      <c r="AB5" s="33" t="s">
        <v>1</v>
      </c>
      <c r="AC5" s="12" t="s">
        <v>91</v>
      </c>
      <c r="AD5" s="12" t="s">
        <v>91</v>
      </c>
      <c r="AE5" s="12" t="s">
        <v>1</v>
      </c>
      <c r="AF5" s="12" t="s">
        <v>91</v>
      </c>
      <c r="AG5" s="12" t="s">
        <v>91</v>
      </c>
      <c r="AH5" s="12" t="s">
        <v>1</v>
      </c>
      <c r="AI5" s="12" t="s">
        <v>93</v>
      </c>
      <c r="AJ5" s="12" t="s">
        <v>92</v>
      </c>
      <c r="AK5" s="12" t="s">
        <v>1</v>
      </c>
      <c r="AL5" s="12" t="s">
        <v>1</v>
      </c>
      <c r="AM5" s="12" t="s">
        <v>82</v>
      </c>
      <c r="AN5" s="12" t="s">
        <v>84</v>
      </c>
      <c r="AO5" s="12" t="s">
        <v>79</v>
      </c>
      <c r="AP5" s="12" t="s">
        <v>79</v>
      </c>
      <c r="AQ5" s="12" t="s">
        <v>79</v>
      </c>
      <c r="AR5" s="12" t="s">
        <v>79</v>
      </c>
      <c r="AS5" s="12" t="s">
        <v>79</v>
      </c>
      <c r="AT5" s="12" t="s">
        <v>79</v>
      </c>
      <c r="AU5" s="12" t="s">
        <v>79</v>
      </c>
      <c r="AV5" s="12" t="s">
        <v>79</v>
      </c>
      <c r="AW5" s="12" t="s">
        <v>81</v>
      </c>
      <c r="AX5" s="12" t="s">
        <v>84</v>
      </c>
      <c r="AY5" s="12" t="s">
        <v>84</v>
      </c>
      <c r="AZ5" s="12" t="s">
        <v>80</v>
      </c>
      <c r="BA5" s="12" t="s">
        <v>80</v>
      </c>
      <c r="BB5" s="12" t="s">
        <v>80</v>
      </c>
      <c r="BC5" s="12" t="s">
        <v>80</v>
      </c>
      <c r="BD5" s="12" t="s">
        <v>83</v>
      </c>
      <c r="BE5" s="12" t="s">
        <v>85</v>
      </c>
      <c r="BF5" s="12" t="s">
        <v>1</v>
      </c>
      <c r="BG5" s="73" t="s">
        <v>1</v>
      </c>
    </row>
    <row r="6" spans="1:59" ht="12.75">
      <c r="A6" s="93" t="s">
        <v>139</v>
      </c>
      <c r="B6" s="100">
        <v>175.2372369396004</v>
      </c>
      <c r="C6" s="100">
        <v>174.01292459465475</v>
      </c>
      <c r="D6" s="100">
        <v>202.536</v>
      </c>
      <c r="E6" s="100">
        <v>201.14415</v>
      </c>
      <c r="F6" s="100">
        <v>123.79442800000014</v>
      </c>
      <c r="G6" s="100">
        <v>122.72293929999978</v>
      </c>
      <c r="H6" s="100">
        <f>B6+D6+F6</f>
        <v>501.56766493960055</v>
      </c>
      <c r="I6" s="100">
        <f>C6+E6+G6</f>
        <v>497.88001389465455</v>
      </c>
      <c r="J6" s="100">
        <v>37.945083759493905</v>
      </c>
      <c r="K6" s="100">
        <v>65.73217039999965</v>
      </c>
      <c r="L6" s="100">
        <v>17.047</v>
      </c>
      <c r="M6" s="64">
        <v>54.748418972332146</v>
      </c>
      <c r="N6" s="69">
        <f>SUM(J6:L6)+H6</f>
        <v>622.2919190990941</v>
      </c>
      <c r="O6" s="25">
        <f>N6/0.717*1000</f>
        <v>867910.6263585693</v>
      </c>
      <c r="P6" s="41">
        <f aca="true" t="shared" si="0" ref="P6:P15">AO6-Q6</f>
        <v>11606.286444394244</v>
      </c>
      <c r="Q6" s="41">
        <f aca="true" t="shared" si="1" ref="Q6:Q15">R6+V6+W6</f>
        <v>1796.8467377285272</v>
      </c>
      <c r="R6" s="44">
        <f>X6*Y6</f>
        <v>7.228240443700179</v>
      </c>
      <c r="S6" s="41">
        <f>(Z6)*(AI$6+AJ6*AM6)+(AN$6*(AA6-Z6))</f>
        <v>1446.6107101541659</v>
      </c>
      <c r="T6" s="41">
        <f>(AF6)*(AI$6+AJ6*AM6)+(AN$6*AG6*(1-AH$6))</f>
        <v>235.196317898999</v>
      </c>
      <c r="U6" s="41">
        <f>(AC6)*(AI$6+AJ6*AM6)+(AN$6*AD6*(1-AE$6))</f>
        <v>107.81146923166204</v>
      </c>
      <c r="V6" s="41">
        <f>(Z6+AC6+AF6)*(AI$6+AJ6*AM6)</f>
        <v>1699.5017786542144</v>
      </c>
      <c r="W6" s="7">
        <f aca="true" t="shared" si="2" ref="W6:W15">AN$6*((AA6-Z6)+AD6*(1-AE$6)+AG6*(1-AH$6))</f>
        <v>90.11671863061272</v>
      </c>
      <c r="X6" s="101">
        <v>6.799849900000169</v>
      </c>
      <c r="Y6" s="97">
        <v>1.063</v>
      </c>
      <c r="Z6" s="25">
        <f aca="true" t="shared" si="3" ref="Z6:Z15">I6</f>
        <v>497.88001389465455</v>
      </c>
      <c r="AA6" s="25">
        <f aca="true" t="shared" si="4" ref="AA6:AA15">H6</f>
        <v>501.56766493960055</v>
      </c>
      <c r="AB6" s="36">
        <f aca="true" t="shared" si="5" ref="AB6:AB15">Z6/AA6</f>
        <v>0.99264774964034</v>
      </c>
      <c r="AC6" s="34">
        <f>AD6*$AE$6</f>
        <v>37.75535834069643</v>
      </c>
      <c r="AD6" s="25">
        <f aca="true" t="shared" si="6" ref="AD6:AD15">J6</f>
        <v>37.945083759493905</v>
      </c>
      <c r="AE6" s="36">
        <v>0.995</v>
      </c>
      <c r="AF6" s="34">
        <f>AG6*AH$6</f>
        <v>82.36527454799965</v>
      </c>
      <c r="AG6" s="25">
        <f>K6+L6</f>
        <v>82.77917039999964</v>
      </c>
      <c r="AH6" s="17">
        <v>0.995</v>
      </c>
      <c r="AI6" s="16">
        <v>2.75</v>
      </c>
      <c r="AJ6">
        <v>0</v>
      </c>
      <c r="AK6" s="37">
        <f aca="true" t="shared" si="7" ref="AK6:AK15">M6/100</f>
        <v>0.5474841897233215</v>
      </c>
      <c r="AL6" s="15">
        <v>0</v>
      </c>
      <c r="AM6">
        <f aca="true" t="shared" si="8" ref="AM6:AM15">IF(AK6,AL6/AK6,0)</f>
        <v>0</v>
      </c>
      <c r="AN6" s="16">
        <v>21</v>
      </c>
      <c r="AO6" s="41">
        <f aca="true" t="shared" si="9" ref="AO6:AO15">AP6+AT6</f>
        <v>13403.13318212277</v>
      </c>
      <c r="AP6" s="41">
        <f aca="true" t="shared" si="10" ref="AP6:AP15">AW6*$AX$6</f>
        <v>13068.130301080977</v>
      </c>
      <c r="AQ6" s="41">
        <f>AA6*$AX$6</f>
        <v>10532.92096373161</v>
      </c>
      <c r="AR6" s="41">
        <f>AD6*$AX$6</f>
        <v>796.846758949372</v>
      </c>
      <c r="AS6" s="41">
        <f>AG6*$AX$6</f>
        <v>1738.3625783999926</v>
      </c>
      <c r="AT6" s="34">
        <f aca="true" t="shared" si="11" ref="AT6:AT15">AZ6*BD$6+BA6*BE$6/BF$6</f>
        <v>335.00288104179316</v>
      </c>
      <c r="AU6" s="41">
        <f>BA6*BE$6/BF$6</f>
        <v>143.23613979809343</v>
      </c>
      <c r="AV6" s="41">
        <f>AZ6*BD$6</f>
        <v>191.76674124369973</v>
      </c>
      <c r="AW6" s="41">
        <f aca="true" t="shared" si="12" ref="AW6:AW15">(AA6+AD6+AG6)</f>
        <v>622.2919190990941</v>
      </c>
      <c r="AX6" s="39">
        <v>21</v>
      </c>
      <c r="AY6" s="39">
        <v>2.75</v>
      </c>
      <c r="AZ6" s="56">
        <v>180.40144989999976</v>
      </c>
      <c r="BA6" s="72">
        <f>SUM(BB6:BC6)</f>
        <v>381.68341791</v>
      </c>
      <c r="BB6" s="54">
        <v>148.318</v>
      </c>
      <c r="BC6" s="25">
        <f>L6*13.898*$BG$6</f>
        <v>233.36541791</v>
      </c>
      <c r="BD6" s="99">
        <v>1.063</v>
      </c>
      <c r="BE6" s="38">
        <v>0.3415</v>
      </c>
      <c r="BF6" s="45">
        <v>0.91</v>
      </c>
      <c r="BG6">
        <v>0.985</v>
      </c>
    </row>
    <row r="7" spans="1:59" ht="12.75">
      <c r="A7" s="92">
        <v>40634</v>
      </c>
      <c r="B7" s="100">
        <v>299.16552444997575</v>
      </c>
      <c r="C7" s="100">
        <v>297.51161709062933</v>
      </c>
      <c r="D7" s="100">
        <v>331.951</v>
      </c>
      <c r="E7" s="100">
        <v>329.6636399999991</v>
      </c>
      <c r="F7" s="100">
        <v>369.0820240000003</v>
      </c>
      <c r="G7" s="100">
        <v>356.3756519799989</v>
      </c>
      <c r="H7" s="100">
        <f aca="true" t="shared" si="13" ref="H7:H15">B7+D7+F7</f>
        <v>1000.198548449976</v>
      </c>
      <c r="I7" s="100">
        <f aca="true" t="shared" si="14" ref="I7:I14">C7+E7+G7</f>
        <v>983.5509090706273</v>
      </c>
      <c r="J7" s="100">
        <v>2.5643418486177483</v>
      </c>
      <c r="K7" s="100">
        <v>141.95842180000216</v>
      </c>
      <c r="L7" s="100">
        <v>27.484</v>
      </c>
      <c r="M7" s="64">
        <v>53.052145841245775</v>
      </c>
      <c r="N7" s="69">
        <f aca="true" t="shared" si="15" ref="N7:N17">SUM(J7:L7)+H7</f>
        <v>1172.2053120985959</v>
      </c>
      <c r="O7" s="25">
        <f aca="true" t="shared" si="16" ref="O7:O20">N7/0.717*1000</f>
        <v>1634874.912271403</v>
      </c>
      <c r="P7" s="41">
        <f>AO7-Q7</f>
        <v>21592.934091363742</v>
      </c>
      <c r="Q7" s="41">
        <f t="shared" si="1"/>
        <v>3543.919742833364</v>
      </c>
      <c r="R7" s="44">
        <f aca="true" t="shared" si="17" ref="R7:R15">X7*Y7</f>
        <v>0.8400987061754981</v>
      </c>
      <c r="S7" s="41">
        <f aca="true" t="shared" si="18" ref="S7:S15">(Z7)*(AI$6+AJ7*AM7)+(AN$6*(AA7-Z7))</f>
        <v>3054.3654269105473</v>
      </c>
      <c r="T7" s="41">
        <f aca="true" t="shared" si="19" ref="T7:T15">(AF7)*(AI$6+AJ7*AM7)+(AN$6*AG7*(1-AH$6))</f>
        <v>481.4282809392561</v>
      </c>
      <c r="U7" s="41">
        <f aca="true" t="shared" si="20" ref="U7:U15">(AC7)*(AI$6+AJ7*AM7)+(AN$6*AD7*(1-AE$6))</f>
        <v>7.2859362773851775</v>
      </c>
      <c r="V7" s="41">
        <f aca="true" t="shared" si="21" ref="V7:V15">(Z7+AC7+AF7)*(AI$6+AJ7*AM7)</f>
        <v>3175.4185069777614</v>
      </c>
      <c r="W7" s="7">
        <f t="shared" si="2"/>
        <v>367.66113714942725</v>
      </c>
      <c r="X7" s="101">
        <v>0.7903092250004686</v>
      </c>
      <c r="Y7" s="97">
        <v>1.063</v>
      </c>
      <c r="Z7" s="25">
        <f t="shared" si="3"/>
        <v>983.5509090706273</v>
      </c>
      <c r="AA7" s="25">
        <f t="shared" si="4"/>
        <v>1000.198548449976</v>
      </c>
      <c r="AB7" s="36">
        <f t="shared" si="5"/>
        <v>0.9833556653275014</v>
      </c>
      <c r="AC7" s="34">
        <f aca="true" t="shared" si="22" ref="AC7:AC17">AD7*$AE$6</f>
        <v>2.5515201393746594</v>
      </c>
      <c r="AD7" s="25">
        <f t="shared" si="6"/>
        <v>2.5643418486177483</v>
      </c>
      <c r="AE7" s="36"/>
      <c r="AF7" s="34">
        <f aca="true" t="shared" si="23" ref="AF7:AF15">AG7*AH$6</f>
        <v>168.59520969100214</v>
      </c>
      <c r="AG7" s="25">
        <f aca="true" t="shared" si="24" ref="AG7:AG17">K7+L7</f>
        <v>169.44242180000217</v>
      </c>
      <c r="AH7" s="17"/>
      <c r="AI7" s="16"/>
      <c r="AJ7">
        <v>0</v>
      </c>
      <c r="AK7" s="37">
        <f t="shared" si="7"/>
        <v>0.5305214584124578</v>
      </c>
      <c r="AL7" s="15">
        <v>0</v>
      </c>
      <c r="AM7">
        <f t="shared" si="8"/>
        <v>0</v>
      </c>
      <c r="AN7" s="16"/>
      <c r="AO7" s="41">
        <f t="shared" si="9"/>
        <v>25136.853834197107</v>
      </c>
      <c r="AP7" s="41">
        <f t="shared" si="10"/>
        <v>24616.311554070515</v>
      </c>
      <c r="AQ7" s="41">
        <f aca="true" t="shared" si="25" ref="AQ7:AQ15">AA7*$AX$6</f>
        <v>21004.169517449496</v>
      </c>
      <c r="AR7" s="41">
        <f aca="true" t="shared" si="26" ref="AR7:AR20">AD7*$AX$6</f>
        <v>53.85117882097271</v>
      </c>
      <c r="AS7" s="41">
        <f aca="true" t="shared" si="27" ref="AS7:AS15">AG7*$AX$6</f>
        <v>3558.2908578000456</v>
      </c>
      <c r="AT7" s="34">
        <f t="shared" si="11"/>
        <v>520.5422801265914</v>
      </c>
      <c r="AU7" s="41">
        <f aca="true" t="shared" si="28" ref="AU7:AU15">BA7*BE$6/BF$6</f>
        <v>508.3723022204165</v>
      </c>
      <c r="AV7" s="41">
        <f aca="true" t="shared" si="29" ref="AV7:AV15">AZ7*BD$6</f>
        <v>12.169977906174996</v>
      </c>
      <c r="AW7" s="41">
        <f t="shared" si="12"/>
        <v>1172.2053120985959</v>
      </c>
      <c r="AX7" s="40"/>
      <c r="AY7" s="40"/>
      <c r="AZ7" s="56">
        <v>11.448709224999996</v>
      </c>
      <c r="BA7" s="72">
        <f aca="true" t="shared" si="30" ref="BA7:BA17">SUM(BB7:BC7)</f>
        <v>1354.667042519997</v>
      </c>
      <c r="BB7" s="54">
        <v>978.423999999997</v>
      </c>
      <c r="BC7" s="25">
        <f aca="true" t="shared" si="31" ref="BC7:BC15">L7*13.898*$BG$6</f>
        <v>376.24304252</v>
      </c>
      <c r="BD7" s="99">
        <v>1.063</v>
      </c>
      <c r="BE7" s="38"/>
      <c r="BF7" s="45"/>
      <c r="BG7" s="45"/>
    </row>
    <row r="8" spans="1:59" ht="12.75">
      <c r="A8" s="92">
        <v>40664</v>
      </c>
      <c r="B8" s="100">
        <v>145.6508152908003</v>
      </c>
      <c r="C8" s="100">
        <v>144.57183559685873</v>
      </c>
      <c r="D8" s="100">
        <v>370.937</v>
      </c>
      <c r="E8" s="100">
        <v>368.8735550000006</v>
      </c>
      <c r="F8" s="100">
        <v>413.41718399999985</v>
      </c>
      <c r="G8" s="100">
        <v>300.4781668200008</v>
      </c>
      <c r="H8" s="100">
        <f t="shared" si="13"/>
        <v>930.0049992908002</v>
      </c>
      <c r="I8" s="100">
        <f t="shared" si="14"/>
        <v>813.9235574168601</v>
      </c>
      <c r="J8" s="100">
        <v>107.8407158941842</v>
      </c>
      <c r="K8" s="100">
        <v>125.42514919999722</v>
      </c>
      <c r="L8" s="100">
        <v>0</v>
      </c>
      <c r="M8" s="64">
        <v>51.986352800953554</v>
      </c>
      <c r="N8" s="69">
        <f t="shared" si="15"/>
        <v>1163.2708643849817</v>
      </c>
      <c r="O8" s="25">
        <f t="shared" si="16"/>
        <v>1622414.0367991377</v>
      </c>
      <c r="P8" s="41">
        <f t="shared" si="0"/>
        <v>19889.077226698202</v>
      </c>
      <c r="Q8" s="41">
        <f t="shared" si="1"/>
        <v>5355.6947843372745</v>
      </c>
      <c r="R8" s="44">
        <f t="shared" si="17"/>
        <v>16.928082889324582</v>
      </c>
      <c r="S8" s="41">
        <f t="shared" si="18"/>
        <v>4676.000062249108</v>
      </c>
      <c r="T8" s="41">
        <f t="shared" si="19"/>
        <v>356.36420516449215</v>
      </c>
      <c r="U8" s="41">
        <f t="shared" si="20"/>
        <v>306.40243403435085</v>
      </c>
      <c r="V8" s="41">
        <f t="shared" si="21"/>
        <v>2876.563506260319</v>
      </c>
      <c r="W8" s="7">
        <f t="shared" si="2"/>
        <v>2462.203195187631</v>
      </c>
      <c r="X8" s="101">
        <v>15.924819274999606</v>
      </c>
      <c r="Y8" s="97">
        <v>1.063</v>
      </c>
      <c r="Z8" s="25">
        <f t="shared" si="3"/>
        <v>813.9235574168601</v>
      </c>
      <c r="AA8" s="25">
        <f t="shared" si="4"/>
        <v>930.0049992908002</v>
      </c>
      <c r="AB8" s="36">
        <f t="shared" si="5"/>
        <v>0.8751819162666211</v>
      </c>
      <c r="AC8" s="34">
        <f t="shared" si="22"/>
        <v>107.30151231471328</v>
      </c>
      <c r="AD8" s="25">
        <f t="shared" si="6"/>
        <v>107.8407158941842</v>
      </c>
      <c r="AE8" s="36"/>
      <c r="AF8" s="34">
        <f t="shared" si="23"/>
        <v>124.79802345399723</v>
      </c>
      <c r="AG8" s="25">
        <f t="shared" si="24"/>
        <v>125.42514919999722</v>
      </c>
      <c r="AH8" s="17"/>
      <c r="AI8" s="16"/>
      <c r="AJ8">
        <v>0</v>
      </c>
      <c r="AK8" s="37">
        <f t="shared" si="7"/>
        <v>0.5198635280095355</v>
      </c>
      <c r="AL8" s="15">
        <v>0</v>
      </c>
      <c r="AM8">
        <f t="shared" si="8"/>
        <v>0</v>
      </c>
      <c r="AN8" s="16"/>
      <c r="AO8" s="41">
        <f t="shared" si="9"/>
        <v>25244.772011035475</v>
      </c>
      <c r="AP8" s="41">
        <f t="shared" si="10"/>
        <v>24428.68815208461</v>
      </c>
      <c r="AQ8" s="41">
        <f t="shared" si="25"/>
        <v>19530.104985106806</v>
      </c>
      <c r="AR8" s="41">
        <f t="shared" si="26"/>
        <v>2264.655033777868</v>
      </c>
      <c r="AS8" s="41">
        <f t="shared" si="27"/>
        <v>2633.928133199942</v>
      </c>
      <c r="AT8" s="34">
        <f t="shared" si="11"/>
        <v>816.0838589508649</v>
      </c>
      <c r="AU8" s="41">
        <f t="shared" si="28"/>
        <v>297.02093846153946</v>
      </c>
      <c r="AV8" s="41">
        <f t="shared" si="29"/>
        <v>519.0629204893254</v>
      </c>
      <c r="AW8" s="41">
        <f t="shared" si="12"/>
        <v>1163.2708643849815</v>
      </c>
      <c r="AX8" s="40"/>
      <c r="AY8" s="40"/>
      <c r="AZ8" s="56">
        <v>488.30001927500035</v>
      </c>
      <c r="BA8" s="72">
        <f t="shared" si="30"/>
        <v>791.4760000000026</v>
      </c>
      <c r="BB8" s="54">
        <v>791.4760000000026</v>
      </c>
      <c r="BC8" s="25">
        <f t="shared" si="31"/>
        <v>0</v>
      </c>
      <c r="BD8" s="99">
        <v>1.063</v>
      </c>
      <c r="BE8" s="38"/>
      <c r="BF8" s="45"/>
      <c r="BG8" s="45"/>
    </row>
    <row r="9" spans="1:59" ht="12.75">
      <c r="A9" s="92">
        <v>40695</v>
      </c>
      <c r="B9" s="100">
        <v>278.74039513807486</v>
      </c>
      <c r="C9" s="100">
        <v>275.38916181488463</v>
      </c>
      <c r="D9" s="100">
        <v>344.259</v>
      </c>
      <c r="E9" s="100">
        <v>342.53869999999785</v>
      </c>
      <c r="F9" s="100">
        <v>118.5406079999999</v>
      </c>
      <c r="G9" s="100">
        <v>64.79142754000004</v>
      </c>
      <c r="H9" s="100">
        <f t="shared" si="13"/>
        <v>741.5400031380748</v>
      </c>
      <c r="I9" s="100">
        <f t="shared" si="14"/>
        <v>682.7192893548826</v>
      </c>
      <c r="J9" s="100">
        <v>124.96505766961272</v>
      </c>
      <c r="K9" s="100">
        <v>86.33411279999959</v>
      </c>
      <c r="L9" s="100">
        <v>0</v>
      </c>
      <c r="M9" s="64">
        <v>50.09636940430046</v>
      </c>
      <c r="N9" s="69">
        <f t="shared" si="15"/>
        <v>952.8391736076871</v>
      </c>
      <c r="O9" s="25">
        <f t="shared" si="16"/>
        <v>1328924.928323134</v>
      </c>
      <c r="P9" s="41">
        <f t="shared" si="0"/>
        <v>17074.02105829827</v>
      </c>
      <c r="Q9" s="41">
        <f t="shared" si="1"/>
        <v>3730.1748817699213</v>
      </c>
      <c r="R9" s="44">
        <f t="shared" si="17"/>
        <v>17.108078500171526</v>
      </c>
      <c r="S9" s="41">
        <f t="shared" si="18"/>
        <v>3112.713035172964</v>
      </c>
      <c r="T9" s="41">
        <f t="shared" si="19"/>
        <v>245.29679799299882</v>
      </c>
      <c r="U9" s="41">
        <f t="shared" si="20"/>
        <v>355.05697010378714</v>
      </c>
      <c r="V9" s="41">
        <f t="shared" si="21"/>
        <v>2455.645400923404</v>
      </c>
      <c r="W9" s="7">
        <f t="shared" si="2"/>
        <v>1257.421402346346</v>
      </c>
      <c r="X9" s="101">
        <v>16.094147224996732</v>
      </c>
      <c r="Y9" s="97">
        <v>1.063</v>
      </c>
      <c r="Z9" s="25">
        <f t="shared" si="3"/>
        <v>682.7192893548826</v>
      </c>
      <c r="AA9" s="25">
        <f t="shared" si="4"/>
        <v>741.5400031380748</v>
      </c>
      <c r="AB9" s="36">
        <f t="shared" si="5"/>
        <v>0.9206776255707411</v>
      </c>
      <c r="AC9" s="34">
        <f t="shared" si="22"/>
        <v>124.34023238126466</v>
      </c>
      <c r="AD9" s="25">
        <f t="shared" si="6"/>
        <v>124.96505766961272</v>
      </c>
      <c r="AE9" s="36"/>
      <c r="AF9" s="34">
        <f t="shared" si="23"/>
        <v>85.90244223599959</v>
      </c>
      <c r="AG9" s="25">
        <f t="shared" si="24"/>
        <v>86.33411279999959</v>
      </c>
      <c r="AH9" s="17"/>
      <c r="AI9" s="16"/>
      <c r="AJ9">
        <v>0</v>
      </c>
      <c r="AK9" s="37">
        <f t="shared" si="7"/>
        <v>0.5009636940430046</v>
      </c>
      <c r="AL9" s="15">
        <v>0</v>
      </c>
      <c r="AM9">
        <f t="shared" si="8"/>
        <v>0</v>
      </c>
      <c r="AN9" s="16"/>
      <c r="AO9" s="41">
        <f t="shared" si="9"/>
        <v>20804.19594006819</v>
      </c>
      <c r="AP9" s="41">
        <f t="shared" si="10"/>
        <v>20009.62264576143</v>
      </c>
      <c r="AQ9" s="41">
        <f t="shared" si="25"/>
        <v>15572.34006589957</v>
      </c>
      <c r="AR9" s="41">
        <f t="shared" si="26"/>
        <v>2624.266211061867</v>
      </c>
      <c r="AS9" s="41">
        <f t="shared" si="27"/>
        <v>1813.0163687999914</v>
      </c>
      <c r="AT9" s="34">
        <f t="shared" si="11"/>
        <v>794.5732943067645</v>
      </c>
      <c r="AU9" s="41">
        <f t="shared" si="28"/>
        <v>200.31489340659343</v>
      </c>
      <c r="AV9" s="41">
        <f t="shared" si="29"/>
        <v>594.2584009001711</v>
      </c>
      <c r="AW9" s="41">
        <f t="shared" si="12"/>
        <v>952.8391736076871</v>
      </c>
      <c r="AX9" s="40"/>
      <c r="AY9" s="40"/>
      <c r="AZ9" s="56">
        <v>559.0389472249964</v>
      </c>
      <c r="BA9" s="72">
        <f t="shared" si="30"/>
        <v>533.782</v>
      </c>
      <c r="BB9" s="54">
        <v>533.782</v>
      </c>
      <c r="BC9" s="25">
        <f t="shared" si="31"/>
        <v>0</v>
      </c>
      <c r="BD9" s="99">
        <v>1.063</v>
      </c>
      <c r="BE9" s="38"/>
      <c r="BF9" s="45"/>
      <c r="BG9" s="45"/>
    </row>
    <row r="10" spans="1:59" ht="12.75">
      <c r="A10" s="92">
        <v>40725</v>
      </c>
      <c r="B10" s="100">
        <v>222.9648312920995</v>
      </c>
      <c r="C10" s="100">
        <v>220.46737469252326</v>
      </c>
      <c r="D10" s="100">
        <v>196.879</v>
      </c>
      <c r="E10" s="100">
        <v>195.2495250000002</v>
      </c>
      <c r="F10" s="100">
        <v>277.489204</v>
      </c>
      <c r="G10" s="100">
        <v>274.2580545999999</v>
      </c>
      <c r="H10" s="100">
        <f t="shared" si="13"/>
        <v>697.3330352920995</v>
      </c>
      <c r="I10" s="100">
        <f t="shared" si="14"/>
        <v>689.9749542925234</v>
      </c>
      <c r="J10" s="100">
        <v>102.46367202975985</v>
      </c>
      <c r="K10" s="100">
        <v>79.00729979999981</v>
      </c>
      <c r="L10" s="100">
        <v>0</v>
      </c>
      <c r="M10" s="64">
        <v>41.25833619800627</v>
      </c>
      <c r="N10" s="69">
        <f>SUM(J10:L10)+H10</f>
        <v>878.8040071218591</v>
      </c>
      <c r="O10" s="25">
        <f t="shared" si="16"/>
        <v>1225668.071299664</v>
      </c>
      <c r="P10" s="41">
        <f>AO10-Q10</f>
        <v>16587.405289758797</v>
      </c>
      <c r="Q10" s="41">
        <f>R10+V10+W10</f>
        <v>2592.9912254330648</v>
      </c>
      <c r="R10" s="44">
        <f>X10*Y10</f>
        <v>25.43600142622364</v>
      </c>
      <c r="S10" s="41">
        <f t="shared" si="18"/>
        <v>2051.950825295536</v>
      </c>
      <c r="T10" s="41">
        <f t="shared" si="19"/>
        <v>224.47949055674948</v>
      </c>
      <c r="U10" s="41">
        <f t="shared" si="20"/>
        <v>291.1249081545552</v>
      </c>
      <c r="V10" s="41">
        <f>(Z10+AC10+AF10)*(AI$6+AJ10*AM10)</f>
        <v>2393.9810709736194</v>
      </c>
      <c r="W10" s="7">
        <f>AN$6*((AA10-Z10)+AD10*(1-AE$6)+AG10*(1-AH$6))</f>
        <v>173.57415303322148</v>
      </c>
      <c r="X10" s="101">
        <v>23.928505574998724</v>
      </c>
      <c r="Y10" s="97">
        <v>1.063</v>
      </c>
      <c r="Z10" s="25">
        <f>I10</f>
        <v>689.9749542925234</v>
      </c>
      <c r="AA10" s="25">
        <f>H10</f>
        <v>697.3330352920995</v>
      </c>
      <c r="AB10" s="36">
        <f>Z10/AA10</f>
        <v>0.9894482540949836</v>
      </c>
      <c r="AC10" s="34">
        <f>AD10*$AE$6</f>
        <v>101.95135366961105</v>
      </c>
      <c r="AD10" s="25">
        <f>J10</f>
        <v>102.46367202975985</v>
      </c>
      <c r="AE10" s="36"/>
      <c r="AF10" s="34">
        <f>AG10*AH$6</f>
        <v>78.61226330099981</v>
      </c>
      <c r="AG10" s="25">
        <f>K10+L10</f>
        <v>79.00729979999981</v>
      </c>
      <c r="AH10" s="17"/>
      <c r="AI10" s="16"/>
      <c r="AJ10">
        <v>0</v>
      </c>
      <c r="AK10" s="37">
        <f>M10/100</f>
        <v>0.4125833619800627</v>
      </c>
      <c r="AL10" s="15">
        <v>0</v>
      </c>
      <c r="AM10">
        <f>IF(AK10,AL10/AK10,0)</f>
        <v>0</v>
      </c>
      <c r="AN10" s="16"/>
      <c r="AO10" s="41">
        <f t="shared" si="9"/>
        <v>19180.39651519186</v>
      </c>
      <c r="AP10" s="41">
        <f t="shared" si="10"/>
        <v>18454.884149559042</v>
      </c>
      <c r="AQ10" s="41">
        <f t="shared" si="25"/>
        <v>14643.993741134089</v>
      </c>
      <c r="AR10" s="41">
        <f t="shared" si="26"/>
        <v>2151.737112624957</v>
      </c>
      <c r="AS10" s="41">
        <f t="shared" si="27"/>
        <v>1659.1532957999962</v>
      </c>
      <c r="AT10" s="34">
        <f t="shared" si="11"/>
        <v>725.5123656328174</v>
      </c>
      <c r="AU10" s="41">
        <f t="shared" si="28"/>
        <v>249.32014340659327</v>
      </c>
      <c r="AV10" s="41">
        <f t="shared" si="29"/>
        <v>476.19222222622415</v>
      </c>
      <c r="AW10" s="41">
        <f>(AA10+AD10+AG10)</f>
        <v>878.8040071218592</v>
      </c>
      <c r="AX10" s="40"/>
      <c r="AY10" s="40"/>
      <c r="AZ10" s="56">
        <v>447.9701055749992</v>
      </c>
      <c r="BA10" s="72">
        <f t="shared" si="30"/>
        <v>664.3669999999996</v>
      </c>
      <c r="BB10" s="54">
        <v>664.3669999999996</v>
      </c>
      <c r="BC10" s="25">
        <f t="shared" si="31"/>
        <v>0</v>
      </c>
      <c r="BD10" s="99">
        <v>1.063</v>
      </c>
      <c r="BE10" s="38"/>
      <c r="BF10" s="45"/>
      <c r="BG10" s="45"/>
    </row>
    <row r="11" spans="1:59" ht="12.75">
      <c r="A11" s="92">
        <v>40756</v>
      </c>
      <c r="B11" s="100">
        <v>91.90999909034993</v>
      </c>
      <c r="C11" s="100">
        <v>88.71453475997185</v>
      </c>
      <c r="D11" s="100">
        <v>90.663</v>
      </c>
      <c r="E11" s="100">
        <v>89.71408000000042</v>
      </c>
      <c r="F11" s="100">
        <v>281.2667440000001</v>
      </c>
      <c r="G11" s="100">
        <v>243.30841554000014</v>
      </c>
      <c r="H11" s="100">
        <f t="shared" si="13"/>
        <v>463.83974309035</v>
      </c>
      <c r="I11" s="100">
        <f t="shared" si="14"/>
        <v>421.7370302999724</v>
      </c>
      <c r="J11" s="100">
        <v>109.27248267161727</v>
      </c>
      <c r="K11" s="100">
        <v>72.31394039999924</v>
      </c>
      <c r="L11" s="100">
        <v>0</v>
      </c>
      <c r="M11" s="64">
        <v>37.56094069529647</v>
      </c>
      <c r="N11" s="69">
        <f>SUM(J11:L11)+H11</f>
        <v>645.4261661619665</v>
      </c>
      <c r="O11" s="25">
        <f t="shared" si="16"/>
        <v>900175.9639636911</v>
      </c>
      <c r="P11" s="41">
        <f>AO11-Q11</f>
        <v>11716.805535972362</v>
      </c>
      <c r="Q11" s="41">
        <f>R11+V11+W11</f>
        <v>2578.9904812099885</v>
      </c>
      <c r="R11" s="44">
        <f>X11*Y11</f>
        <v>19.12425473490425</v>
      </c>
      <c r="S11" s="41">
        <f t="shared" si="18"/>
        <v>2043.933801922854</v>
      </c>
      <c r="T11" s="41">
        <f t="shared" si="19"/>
        <v>205.46198316149787</v>
      </c>
      <c r="U11" s="41">
        <f t="shared" si="20"/>
        <v>310.47044139073256</v>
      </c>
      <c r="V11" s="41">
        <f>(Z11+AC11+AF11)*(AI$6+AJ11*AM11)</f>
        <v>1656.6426834546344</v>
      </c>
      <c r="W11" s="7">
        <f>AN$6*((AA11-Z11)+AD11*(1-AE$6)+AG11*(1-AH$6))</f>
        <v>903.2235430204496</v>
      </c>
      <c r="X11" s="101">
        <v>17.990832300004</v>
      </c>
      <c r="Y11" s="97">
        <v>1.063</v>
      </c>
      <c r="Z11" s="25">
        <f t="shared" si="3"/>
        <v>421.7370302999724</v>
      </c>
      <c r="AA11" s="25">
        <f t="shared" si="4"/>
        <v>463.83974309035</v>
      </c>
      <c r="AB11" s="36">
        <f t="shared" si="5"/>
        <v>0.9092300446057798</v>
      </c>
      <c r="AC11" s="34">
        <f t="shared" si="22"/>
        <v>108.72612025825919</v>
      </c>
      <c r="AD11" s="25">
        <f t="shared" si="6"/>
        <v>109.27248267161727</v>
      </c>
      <c r="AE11" s="36"/>
      <c r="AF11" s="34">
        <f t="shared" si="23"/>
        <v>71.95237069799924</v>
      </c>
      <c r="AG11" s="25">
        <f t="shared" si="24"/>
        <v>72.31394039999924</v>
      </c>
      <c r="AH11" s="17"/>
      <c r="AI11" s="16"/>
      <c r="AJ11">
        <v>0</v>
      </c>
      <c r="AK11" s="37">
        <f>M11/100</f>
        <v>0.37560940695296474</v>
      </c>
      <c r="AL11" s="15">
        <v>0</v>
      </c>
      <c r="AM11">
        <f>IF(AK11,AL11/AK11,0)</f>
        <v>0</v>
      </c>
      <c r="AN11" s="16"/>
      <c r="AO11" s="41">
        <f t="shared" si="9"/>
        <v>14295.79601718235</v>
      </c>
      <c r="AP11" s="41">
        <f t="shared" si="10"/>
        <v>13553.949489401295</v>
      </c>
      <c r="AQ11" s="41">
        <f t="shared" si="25"/>
        <v>9740.63460489735</v>
      </c>
      <c r="AR11" s="41">
        <f t="shared" si="26"/>
        <v>2294.722136103963</v>
      </c>
      <c r="AS11" s="41">
        <f t="shared" si="27"/>
        <v>1518.592748399984</v>
      </c>
      <c r="AT11" s="34">
        <f t="shared" si="11"/>
        <v>741.8465277810564</v>
      </c>
      <c r="AU11" s="41">
        <f t="shared" si="28"/>
        <v>255.17405384615313</v>
      </c>
      <c r="AV11" s="41">
        <f t="shared" si="29"/>
        <v>486.6724739349032</v>
      </c>
      <c r="AW11" s="41">
        <f>(AA11+AD11+AG11)</f>
        <v>645.4261661619664</v>
      </c>
      <c r="AX11" s="40"/>
      <c r="AY11" s="40"/>
      <c r="AZ11" s="56">
        <v>457.82923230000307</v>
      </c>
      <c r="BA11" s="72">
        <f t="shared" si="30"/>
        <v>679.9659999999981</v>
      </c>
      <c r="BB11" s="54">
        <v>679.9659999999981</v>
      </c>
      <c r="BC11" s="25">
        <f t="shared" si="31"/>
        <v>0</v>
      </c>
      <c r="BD11" s="99">
        <v>1.063</v>
      </c>
      <c r="BE11" s="38"/>
      <c r="BF11" s="45"/>
      <c r="BG11" s="45"/>
    </row>
    <row r="12" spans="1:59" ht="12.75">
      <c r="A12" s="92">
        <v>40787</v>
      </c>
      <c r="B12" s="100">
        <v>173.66584396560012</v>
      </c>
      <c r="C12" s="100">
        <v>171.95375652137182</v>
      </c>
      <c r="D12" s="100">
        <v>0.756</v>
      </c>
      <c r="E12" s="100">
        <v>0.75222</v>
      </c>
      <c r="F12" s="100">
        <v>145.86848800000013</v>
      </c>
      <c r="G12" s="100">
        <v>144.3848199200004</v>
      </c>
      <c r="H12" s="100">
        <f t="shared" si="13"/>
        <v>320.2903319656002</v>
      </c>
      <c r="I12" s="100">
        <f t="shared" si="14"/>
        <v>317.0907964413722</v>
      </c>
      <c r="J12" s="100">
        <v>97.21652658984964</v>
      </c>
      <c r="K12" s="100">
        <v>102.10162820000194</v>
      </c>
      <c r="L12" s="100">
        <v>0</v>
      </c>
      <c r="M12" s="64">
        <v>40.79881925522243</v>
      </c>
      <c r="N12" s="69">
        <f t="shared" si="15"/>
        <v>519.6084867554518</v>
      </c>
      <c r="O12" s="25">
        <f t="shared" si="16"/>
        <v>724698.0289476317</v>
      </c>
      <c r="P12" s="41">
        <f t="shared" si="0"/>
        <v>10179.201623949659</v>
      </c>
      <c r="Q12" s="41">
        <f t="shared" si="1"/>
        <v>1524.5512773376802</v>
      </c>
      <c r="R12" s="44">
        <f t="shared" si="17"/>
        <v>19.04863381845284</v>
      </c>
      <c r="S12" s="41">
        <f t="shared" si="18"/>
        <v>939.1899362225615</v>
      </c>
      <c r="T12" s="41">
        <f t="shared" si="19"/>
        <v>290.0962511232555</v>
      </c>
      <c r="U12" s="41">
        <f t="shared" si="20"/>
        <v>276.2164561734103</v>
      </c>
      <c r="V12" s="41">
        <f t="shared" si="21"/>
        <v>1417.383991257505</v>
      </c>
      <c r="W12" s="7">
        <f t="shared" si="2"/>
        <v>88.11865226172237</v>
      </c>
      <c r="X12" s="101">
        <v>17.919693150002672</v>
      </c>
      <c r="Y12" s="97">
        <v>1.063</v>
      </c>
      <c r="Z12" s="25">
        <f t="shared" si="3"/>
        <v>317.0907964413722</v>
      </c>
      <c r="AA12" s="25">
        <f t="shared" si="4"/>
        <v>320.2903319656002</v>
      </c>
      <c r="AB12" s="36">
        <f t="shared" si="5"/>
        <v>0.9900105148207482</v>
      </c>
      <c r="AC12" s="34">
        <f t="shared" si="22"/>
        <v>96.73044395690039</v>
      </c>
      <c r="AD12" s="25">
        <f t="shared" si="6"/>
        <v>97.21652658984964</v>
      </c>
      <c r="AE12" s="36"/>
      <c r="AF12" s="34">
        <f t="shared" si="23"/>
        <v>101.59112005900192</v>
      </c>
      <c r="AG12" s="25">
        <f t="shared" si="24"/>
        <v>102.10162820000194</v>
      </c>
      <c r="AH12" s="17"/>
      <c r="AI12" s="16"/>
      <c r="AJ12">
        <v>0</v>
      </c>
      <c r="AK12" s="37">
        <f t="shared" si="7"/>
        <v>0.40798819255222435</v>
      </c>
      <c r="AL12" s="15">
        <v>0</v>
      </c>
      <c r="AM12">
        <f t="shared" si="8"/>
        <v>0</v>
      </c>
      <c r="AN12" s="16"/>
      <c r="AO12" s="41">
        <f t="shared" si="9"/>
        <v>11703.752901287338</v>
      </c>
      <c r="AP12" s="41">
        <f t="shared" si="10"/>
        <v>10911.77822186449</v>
      </c>
      <c r="AQ12" s="41">
        <f t="shared" si="25"/>
        <v>6726.096971277604</v>
      </c>
      <c r="AR12" s="41">
        <f t="shared" si="26"/>
        <v>2041.5470583868423</v>
      </c>
      <c r="AS12" s="41">
        <f t="shared" si="27"/>
        <v>2144.1341922000406</v>
      </c>
      <c r="AT12" s="34">
        <f t="shared" si="11"/>
        <v>791.9746794228483</v>
      </c>
      <c r="AU12" s="41">
        <f t="shared" si="28"/>
        <v>351.97804560439556</v>
      </c>
      <c r="AV12" s="41">
        <f>AZ12*BD$6</f>
        <v>439.99663381845284</v>
      </c>
      <c r="AW12" s="41">
        <f t="shared" si="12"/>
        <v>519.6084867554518</v>
      </c>
      <c r="AX12" s="40"/>
      <c r="AY12" s="40"/>
      <c r="AZ12" s="56">
        <v>413.9196931500027</v>
      </c>
      <c r="BA12" s="72">
        <f t="shared" si="30"/>
        <v>937.9209999999998</v>
      </c>
      <c r="BB12" s="54">
        <v>937.9209999999998</v>
      </c>
      <c r="BC12" s="25">
        <f t="shared" si="31"/>
        <v>0</v>
      </c>
      <c r="BD12" s="99">
        <v>1.063</v>
      </c>
      <c r="BE12" s="38"/>
      <c r="BF12" s="45"/>
      <c r="BG12" s="45"/>
    </row>
    <row r="13" spans="1:59" ht="12.75">
      <c r="A13" s="92">
        <v>40817</v>
      </c>
      <c r="B13" s="100">
        <v>380.30100205020034</v>
      </c>
      <c r="C13" s="100">
        <v>378.0190851100049</v>
      </c>
      <c r="D13" s="100">
        <v>3.837</v>
      </c>
      <c r="E13" s="100">
        <v>0</v>
      </c>
      <c r="F13" s="100">
        <v>218.70052799999993</v>
      </c>
      <c r="G13" s="100">
        <v>215.8069991600004</v>
      </c>
      <c r="H13" s="100">
        <f t="shared" si="13"/>
        <v>602.8385300502002</v>
      </c>
      <c r="I13" s="100">
        <f t="shared" si="14"/>
        <v>593.8260842700053</v>
      </c>
      <c r="J13" s="100">
        <v>75.46357899818497</v>
      </c>
      <c r="K13" s="100">
        <v>147.66618619999971</v>
      </c>
      <c r="L13" s="100">
        <v>0</v>
      </c>
      <c r="M13" s="64">
        <v>49.34521384928715</v>
      </c>
      <c r="N13" s="69">
        <f t="shared" si="15"/>
        <v>825.968295248385</v>
      </c>
      <c r="O13" s="25">
        <f t="shared" si="16"/>
        <v>1151978.0965807321</v>
      </c>
      <c r="P13" s="41">
        <f>AO13-Q13</f>
        <v>15669.386158221228</v>
      </c>
      <c r="Q13" s="41">
        <f t="shared" si="1"/>
        <v>2461.022307121651</v>
      </c>
      <c r="R13" s="44">
        <f t="shared" si="17"/>
        <v>4.771768625700228</v>
      </c>
      <c r="S13" s="41">
        <f t="shared" si="18"/>
        <v>1822.283093126609</v>
      </c>
      <c r="T13" s="41">
        <f t="shared" si="19"/>
        <v>419.5565515407492</v>
      </c>
      <c r="U13" s="41">
        <f t="shared" si="20"/>
        <v>214.41089382859306</v>
      </c>
      <c r="V13" s="41">
        <f t="shared" si="21"/>
        <v>2243.560551766047</v>
      </c>
      <c r="W13" s="7">
        <f t="shared" si="2"/>
        <v>212.68998672990398</v>
      </c>
      <c r="X13" s="101">
        <v>4.488963900000215</v>
      </c>
      <c r="Y13" s="97">
        <v>1.063</v>
      </c>
      <c r="Z13" s="25">
        <f t="shared" si="3"/>
        <v>593.8260842700053</v>
      </c>
      <c r="AA13" s="25">
        <f t="shared" si="4"/>
        <v>602.8385300502002</v>
      </c>
      <c r="AB13" s="36">
        <f t="shared" si="5"/>
        <v>0.9850499838166541</v>
      </c>
      <c r="AC13" s="34">
        <f t="shared" si="22"/>
        <v>75.08626110319405</v>
      </c>
      <c r="AD13" s="25">
        <f t="shared" si="6"/>
        <v>75.46357899818497</v>
      </c>
      <c r="AE13" s="36"/>
      <c r="AF13" s="34">
        <f t="shared" si="23"/>
        <v>146.9278552689997</v>
      </c>
      <c r="AG13" s="25">
        <f t="shared" si="24"/>
        <v>147.66618619999971</v>
      </c>
      <c r="AH13" s="17"/>
      <c r="AI13" s="16"/>
      <c r="AJ13">
        <v>0</v>
      </c>
      <c r="AK13" s="37">
        <f t="shared" si="7"/>
        <v>0.4934521384928715</v>
      </c>
      <c r="AL13" s="15">
        <v>0</v>
      </c>
      <c r="AM13">
        <f t="shared" si="8"/>
        <v>0</v>
      </c>
      <c r="AN13" s="16"/>
      <c r="AO13" s="41">
        <f t="shared" si="9"/>
        <v>18130.40846534288</v>
      </c>
      <c r="AP13" s="41">
        <f t="shared" si="10"/>
        <v>17345.334200216083</v>
      </c>
      <c r="AQ13" s="41">
        <f t="shared" si="25"/>
        <v>12659.609131054205</v>
      </c>
      <c r="AR13" s="41">
        <f t="shared" si="26"/>
        <v>1584.7351589618843</v>
      </c>
      <c r="AS13" s="41">
        <f t="shared" si="27"/>
        <v>3100.989910199994</v>
      </c>
      <c r="AT13" s="34">
        <f t="shared" si="11"/>
        <v>785.0742651267963</v>
      </c>
      <c r="AU13" s="41">
        <f t="shared" si="28"/>
        <v>423.458498901097</v>
      </c>
      <c r="AV13" s="41">
        <f t="shared" si="29"/>
        <v>361.6157662256992</v>
      </c>
      <c r="AW13" s="41">
        <f t="shared" si="12"/>
        <v>825.968295248385</v>
      </c>
      <c r="AX13" s="40"/>
      <c r="AY13" s="40"/>
      <c r="AZ13" s="56">
        <v>340.18416389999925</v>
      </c>
      <c r="BA13" s="72">
        <f t="shared" si="30"/>
        <v>1128.395999999995</v>
      </c>
      <c r="BB13" s="54">
        <v>1128.395999999995</v>
      </c>
      <c r="BC13" s="25">
        <f t="shared" si="31"/>
        <v>0</v>
      </c>
      <c r="BD13" s="99">
        <v>1.063</v>
      </c>
      <c r="BE13" s="38"/>
      <c r="BF13" s="45"/>
      <c r="BG13" s="45"/>
    </row>
    <row r="14" spans="1:59" ht="12.75">
      <c r="A14" s="92">
        <v>40848</v>
      </c>
      <c r="B14" s="100">
        <v>292.24273382512524</v>
      </c>
      <c r="C14" s="100">
        <v>289.84147053178515</v>
      </c>
      <c r="D14" s="100">
        <v>293.153</v>
      </c>
      <c r="E14" s="100">
        <v>291.6872349999998</v>
      </c>
      <c r="F14" s="100">
        <v>102.62684399999998</v>
      </c>
      <c r="G14" s="100">
        <v>100.20802267999998</v>
      </c>
      <c r="H14" s="100">
        <f t="shared" si="13"/>
        <v>688.0225778251253</v>
      </c>
      <c r="I14" s="100">
        <f t="shared" si="14"/>
        <v>681.7367282117849</v>
      </c>
      <c r="J14" s="100">
        <v>0</v>
      </c>
      <c r="K14" s="100">
        <v>132.03765640000262</v>
      </c>
      <c r="L14" s="100">
        <v>0</v>
      </c>
      <c r="M14" s="64">
        <v>44.29222779369648</v>
      </c>
      <c r="N14" s="69">
        <f t="shared" si="15"/>
        <v>820.0602342251279</v>
      </c>
      <c r="O14" s="25">
        <f t="shared" si="16"/>
        <v>1143738.1230475982</v>
      </c>
      <c r="P14" s="41">
        <f t="shared" si="0"/>
        <v>15254.659252798843</v>
      </c>
      <c r="Q14" s="41">
        <f t="shared" si="1"/>
        <v>2381.9308357090636</v>
      </c>
      <c r="R14" s="44">
        <f t="shared" si="17"/>
        <v>0</v>
      </c>
      <c r="S14" s="41">
        <f t="shared" si="18"/>
        <v>2006.778844462556</v>
      </c>
      <c r="T14" s="41">
        <f t="shared" si="19"/>
        <v>375.15199124650746</v>
      </c>
      <c r="U14" s="41">
        <f t="shared" si="20"/>
        <v>0</v>
      </c>
      <c r="V14" s="41">
        <f t="shared" si="21"/>
        <v>2236.0640399069157</v>
      </c>
      <c r="W14" s="7">
        <f t="shared" si="2"/>
        <v>145.86679580214786</v>
      </c>
      <c r="X14" s="101">
        <v>0</v>
      </c>
      <c r="Y14" s="97">
        <v>1.063</v>
      </c>
      <c r="Z14" s="25">
        <f t="shared" si="3"/>
        <v>681.7367282117849</v>
      </c>
      <c r="AA14" s="25">
        <f t="shared" si="4"/>
        <v>688.0225778251253</v>
      </c>
      <c r="AB14" s="36">
        <f t="shared" si="5"/>
        <v>0.990863890494393</v>
      </c>
      <c r="AC14" s="34">
        <f t="shared" si="22"/>
        <v>0</v>
      </c>
      <c r="AD14" s="25">
        <f t="shared" si="6"/>
        <v>0</v>
      </c>
      <c r="AE14" s="36"/>
      <c r="AF14" s="34">
        <f t="shared" si="23"/>
        <v>131.3774681180026</v>
      </c>
      <c r="AG14" s="25">
        <f t="shared" si="24"/>
        <v>132.03765640000262</v>
      </c>
      <c r="AH14" s="17"/>
      <c r="AI14" s="16"/>
      <c r="AJ14">
        <v>0</v>
      </c>
      <c r="AK14" s="37">
        <f t="shared" si="7"/>
        <v>0.4429222779369648</v>
      </c>
      <c r="AL14" s="15">
        <v>0</v>
      </c>
      <c r="AM14">
        <f t="shared" si="8"/>
        <v>0</v>
      </c>
      <c r="AN14" s="16"/>
      <c r="AO14" s="41">
        <f t="shared" si="9"/>
        <v>17636.590088507906</v>
      </c>
      <c r="AP14" s="41">
        <f t="shared" si="10"/>
        <v>17221.264918727687</v>
      </c>
      <c r="AQ14" s="41">
        <f t="shared" si="25"/>
        <v>14448.474134327631</v>
      </c>
      <c r="AR14" s="41">
        <f t="shared" si="26"/>
        <v>0</v>
      </c>
      <c r="AS14" s="41">
        <f t="shared" si="27"/>
        <v>2772.790784400055</v>
      </c>
      <c r="AT14" s="34">
        <f t="shared" si="11"/>
        <v>415.3251697802189</v>
      </c>
      <c r="AU14" s="41">
        <f>BA14*BE$6/BF$6</f>
        <v>415.3251697802189</v>
      </c>
      <c r="AV14" s="41">
        <f>AZ14*BD$6</f>
        <v>0</v>
      </c>
      <c r="AW14" s="41">
        <f t="shared" si="12"/>
        <v>820.0602342251279</v>
      </c>
      <c r="AX14" s="40"/>
      <c r="AY14" s="40"/>
      <c r="AZ14" s="56">
        <v>0</v>
      </c>
      <c r="BA14" s="72">
        <f t="shared" si="30"/>
        <v>1106.7229999999977</v>
      </c>
      <c r="BB14" s="54">
        <v>1106.7229999999977</v>
      </c>
      <c r="BC14" s="25">
        <f t="shared" si="31"/>
        <v>0</v>
      </c>
      <c r="BD14" s="99">
        <v>1.063</v>
      </c>
      <c r="BE14" s="38"/>
      <c r="BF14" s="45"/>
      <c r="BG14" s="45"/>
    </row>
    <row r="15" spans="1:59" ht="13.5" thickBot="1">
      <c r="A15" s="92">
        <v>40878</v>
      </c>
      <c r="B15" s="100">
        <v>296.9762926118244</v>
      </c>
      <c r="C15" s="100">
        <v>295.1263276959933</v>
      </c>
      <c r="D15" s="100">
        <v>327.063</v>
      </c>
      <c r="E15" s="100">
        <v>325.42668999999887</v>
      </c>
      <c r="F15" s="100">
        <v>0</v>
      </c>
      <c r="G15" s="100">
        <v>0</v>
      </c>
      <c r="H15" s="100">
        <f t="shared" si="13"/>
        <v>624.0392926118244</v>
      </c>
      <c r="I15" s="100">
        <f>C15+E15+G15</f>
        <v>620.5530176959921</v>
      </c>
      <c r="J15" s="100">
        <v>0</v>
      </c>
      <c r="K15" s="100">
        <v>167.48032080000036</v>
      </c>
      <c r="L15" s="100">
        <v>10.077</v>
      </c>
      <c r="M15" s="64">
        <v>49.81544401544384</v>
      </c>
      <c r="N15" s="69">
        <f t="shared" si="15"/>
        <v>801.5966134118248</v>
      </c>
      <c r="O15" s="25">
        <f t="shared" si="16"/>
        <v>1117986.908524163</v>
      </c>
      <c r="P15" s="41">
        <f t="shared" si="0"/>
        <v>15078.734291244375</v>
      </c>
      <c r="Q15" s="41">
        <f t="shared" si="1"/>
        <v>2284.217309619457</v>
      </c>
      <c r="R15" s="44">
        <f t="shared" si="17"/>
        <v>0</v>
      </c>
      <c r="S15" s="41">
        <f t="shared" si="18"/>
        <v>1779.7325718964562</v>
      </c>
      <c r="T15" s="41">
        <f t="shared" si="19"/>
        <v>504.484737723001</v>
      </c>
      <c r="U15" s="41">
        <f t="shared" si="20"/>
        <v>0</v>
      </c>
      <c r="V15" s="41">
        <f t="shared" si="21"/>
        <v>2192.3620177029793</v>
      </c>
      <c r="W15" s="7">
        <f t="shared" si="2"/>
        <v>91.85529191647768</v>
      </c>
      <c r="X15" s="101">
        <v>0</v>
      </c>
      <c r="Y15" s="97">
        <v>1.063</v>
      </c>
      <c r="Z15" s="25">
        <f t="shared" si="3"/>
        <v>620.5530176959921</v>
      </c>
      <c r="AA15" s="25">
        <f t="shared" si="4"/>
        <v>624.0392926118244</v>
      </c>
      <c r="AB15" s="36">
        <f t="shared" si="5"/>
        <v>0.9944133727521531</v>
      </c>
      <c r="AC15" s="34">
        <f t="shared" si="22"/>
        <v>0</v>
      </c>
      <c r="AD15" s="25">
        <f t="shared" si="6"/>
        <v>0</v>
      </c>
      <c r="AE15" s="36"/>
      <c r="AF15" s="34">
        <f t="shared" si="23"/>
        <v>176.66953419600034</v>
      </c>
      <c r="AG15" s="25">
        <f t="shared" si="24"/>
        <v>177.55732080000035</v>
      </c>
      <c r="AH15" s="17"/>
      <c r="AI15" s="16"/>
      <c r="AJ15">
        <v>0</v>
      </c>
      <c r="AK15" s="37">
        <f t="shared" si="7"/>
        <v>0.4981544401544384</v>
      </c>
      <c r="AL15" s="15">
        <v>0</v>
      </c>
      <c r="AM15">
        <f t="shared" si="8"/>
        <v>0</v>
      </c>
      <c r="AN15" s="16"/>
      <c r="AO15" s="41">
        <f t="shared" si="9"/>
        <v>17362.95160086383</v>
      </c>
      <c r="AP15" s="41">
        <f t="shared" si="10"/>
        <v>16833.528881648323</v>
      </c>
      <c r="AQ15" s="41">
        <f t="shared" si="25"/>
        <v>13104.825144848313</v>
      </c>
      <c r="AR15" s="41">
        <f t="shared" si="26"/>
        <v>0</v>
      </c>
      <c r="AS15" s="41">
        <f t="shared" si="27"/>
        <v>3728.7037368000074</v>
      </c>
      <c r="AT15" s="34">
        <f t="shared" si="11"/>
        <v>529.4227192155099</v>
      </c>
      <c r="AU15" s="41">
        <f t="shared" si="28"/>
        <v>529.4227192155099</v>
      </c>
      <c r="AV15" s="41">
        <f t="shared" si="29"/>
        <v>0</v>
      </c>
      <c r="AW15" s="41">
        <f t="shared" si="12"/>
        <v>801.5966134118248</v>
      </c>
      <c r="AX15" s="40"/>
      <c r="AY15" s="40"/>
      <c r="AZ15" s="56">
        <v>0</v>
      </c>
      <c r="BA15" s="72">
        <f t="shared" si="30"/>
        <v>1410.760393809997</v>
      </c>
      <c r="BB15" s="54">
        <v>1272.810999999997</v>
      </c>
      <c r="BC15" s="25">
        <f t="shared" si="31"/>
        <v>137.94939380999998</v>
      </c>
      <c r="BD15" s="99">
        <v>1.063</v>
      </c>
      <c r="BE15" s="38"/>
      <c r="BF15" s="45"/>
      <c r="BG15" s="45"/>
    </row>
    <row r="16" spans="1:59" ht="13.5" thickBot="1">
      <c r="A16" s="23" t="s">
        <v>114</v>
      </c>
      <c r="B16" s="24">
        <f>SUM(B6:B15)</f>
        <v>2356.8546746536513</v>
      </c>
      <c r="C16" s="24">
        <f aca="true" t="shared" si="32" ref="C16:H16">SUM(C6:C15)</f>
        <v>2335.6080884086778</v>
      </c>
      <c r="D16" s="24">
        <f t="shared" si="32"/>
        <v>2162.034</v>
      </c>
      <c r="E16" s="24">
        <f t="shared" si="32"/>
        <v>2145.049794999997</v>
      </c>
      <c r="F16" s="24">
        <f t="shared" si="32"/>
        <v>2050.786052</v>
      </c>
      <c r="G16" s="24">
        <f t="shared" si="32"/>
        <v>1822.3344975400005</v>
      </c>
      <c r="H16" s="24">
        <f t="shared" si="32"/>
        <v>6569.67472665365</v>
      </c>
      <c r="I16" s="24">
        <f>SUM(I6:I15)</f>
        <v>6302.9923809486745</v>
      </c>
      <c r="J16" s="24">
        <f>SUM(J6:J15)</f>
        <v>657.7314594613204</v>
      </c>
      <c r="K16" s="24">
        <f>SUM(K6:K15)</f>
        <v>1120.0568860000024</v>
      </c>
      <c r="L16" s="24">
        <f>SUM(L6:L15)</f>
        <v>54.608000000000004</v>
      </c>
      <c r="M16" s="75">
        <f>AVERAGE(M6:M15)</f>
        <v>47.29542688257847</v>
      </c>
      <c r="N16" s="70">
        <f>SUM(N6:N15)</f>
        <v>8402.071072114974</v>
      </c>
      <c r="O16" s="24">
        <f>SUM(O6:O15)</f>
        <v>11718369.696115723</v>
      </c>
      <c r="P16" s="77">
        <f>ROUNDDOWN(SUM(P6:P15),0)</f>
        <v>154648</v>
      </c>
      <c r="Q16" s="77">
        <f>SUM(Q6:Q15)</f>
        <v>28250.339583099987</v>
      </c>
      <c r="R16" s="77">
        <f>SUM(R6:R15)</f>
        <v>110.48515914465276</v>
      </c>
      <c r="S16" s="77">
        <f>SUM(S6:S15)</f>
        <v>22933.55830741336</v>
      </c>
      <c r="T16" s="77">
        <f>ROUNDDOWN(SUM(T6:T15),0)</f>
        <v>3337</v>
      </c>
      <c r="U16" s="77">
        <f>SUM(U6:U15)</f>
        <v>1868.7795091944763</v>
      </c>
      <c r="V16" s="24">
        <f>SUM(V6:V15)</f>
        <v>22347.123547877403</v>
      </c>
      <c r="W16" s="24">
        <f>SUM(W6:W15)</f>
        <v>5792.73087607794</v>
      </c>
      <c r="X16" s="77">
        <f>SUM(X6:X15)</f>
        <v>103.93712055000259</v>
      </c>
      <c r="Y16" s="24"/>
      <c r="Z16" s="24">
        <f>SUM(Z6:Z15)</f>
        <v>6302.9923809486745</v>
      </c>
      <c r="AA16" s="24">
        <f>SUM(AA6:AA15)</f>
        <v>6569.67472665365</v>
      </c>
      <c r="AB16" s="24"/>
      <c r="AC16" s="62">
        <f>SUM(AC6:AC15)</f>
        <v>654.4428021640138</v>
      </c>
      <c r="AD16" s="62">
        <f>SUM(AD6:AD15)</f>
        <v>657.7314594613204</v>
      </c>
      <c r="AE16" s="62"/>
      <c r="AF16" s="24">
        <f>SUM(AF6:AF15)</f>
        <v>1168.7915615700022</v>
      </c>
      <c r="AG16" s="62">
        <f>SUM(AG6:AG15)</f>
        <v>1174.6648860000023</v>
      </c>
      <c r="AH16" s="24"/>
      <c r="AI16" s="24"/>
      <c r="AJ16" s="24">
        <f>SUM(AJ6:AJ15)</f>
        <v>0</v>
      </c>
      <c r="AK16" s="24"/>
      <c r="AL16" s="24">
        <f>SUM(AL6:AL15)</f>
        <v>0</v>
      </c>
      <c r="AM16" s="24">
        <f>SUM(AM6:AM15)</f>
        <v>0</v>
      </c>
      <c r="AN16" s="24"/>
      <c r="AO16" s="77">
        <f>SUM(AO6:AO15)</f>
        <v>182898.85055579973</v>
      </c>
      <c r="AP16" s="24">
        <f aca="true" t="shared" si="33" ref="AP16:AV16">SUM(AP6:AP15)</f>
        <v>176443.49251441445</v>
      </c>
      <c r="AQ16" s="77">
        <f t="shared" si="33"/>
        <v>137963.16925972668</v>
      </c>
      <c r="AR16" s="77">
        <f t="shared" si="33"/>
        <v>13812.360648687727</v>
      </c>
      <c r="AS16" s="77">
        <f t="shared" si="33"/>
        <v>24667.962606000045</v>
      </c>
      <c r="AT16" s="24">
        <f t="shared" si="33"/>
        <v>6455.3580413852615</v>
      </c>
      <c r="AU16" s="77">
        <f t="shared" si="33"/>
        <v>3373.62290464061</v>
      </c>
      <c r="AV16" s="77">
        <f t="shared" si="33"/>
        <v>3081.7351367446504</v>
      </c>
      <c r="AW16" s="24">
        <f>SUM(AW6:AW15)</f>
        <v>8402.071072114974</v>
      </c>
      <c r="AX16" s="24"/>
      <c r="AY16" s="24"/>
      <c r="AZ16" s="77">
        <f>SUM(AZ6:AZ15)</f>
        <v>2899.092320550001</v>
      </c>
      <c r="BA16" s="24">
        <f>SUM(BA6:BA15)</f>
        <v>8989.741854239986</v>
      </c>
      <c r="BB16" s="77">
        <f>SUM(BB6:BB15)</f>
        <v>8242.183999999987</v>
      </c>
      <c r="BC16" s="77">
        <f>SUM(BC6:BC15)</f>
        <v>747.55785424</v>
      </c>
      <c r="BD16" s="24"/>
      <c r="BE16" s="24"/>
      <c r="BF16" s="24"/>
      <c r="BG16" s="24"/>
    </row>
    <row r="17" spans="1:59" ht="12.75">
      <c r="A17" s="92">
        <v>40909</v>
      </c>
      <c r="B17" s="100">
        <v>264.19982071559974</v>
      </c>
      <c r="C17" s="100">
        <v>262.5029704854677</v>
      </c>
      <c r="D17" s="100">
        <v>308.813</v>
      </c>
      <c r="E17" s="100">
        <v>306.66544</v>
      </c>
      <c r="F17" s="100">
        <v>0</v>
      </c>
      <c r="G17" s="100">
        <v>0</v>
      </c>
      <c r="H17" s="100">
        <f aca="true" t="shared" si="34" ref="H17:I20">B17+D17+F17</f>
        <v>573.0128207155997</v>
      </c>
      <c r="I17" s="100">
        <f t="shared" si="34"/>
        <v>569.1684104854677</v>
      </c>
      <c r="J17" s="100">
        <v>0</v>
      </c>
      <c r="K17" s="100">
        <v>212.20695600000164</v>
      </c>
      <c r="L17" s="100">
        <v>66.577</v>
      </c>
      <c r="M17" s="64">
        <v>47.11216690042102</v>
      </c>
      <c r="N17" s="69">
        <f t="shared" si="15"/>
        <v>851.7967767156013</v>
      </c>
      <c r="O17" s="25">
        <f t="shared" si="16"/>
        <v>1188001.0832853576</v>
      </c>
      <c r="P17" s="41">
        <f>AO17-Q17</f>
        <v>16423.22890891725</v>
      </c>
      <c r="Q17" s="41">
        <f>R17+V17+W17</f>
        <v>2438.0406586528125</v>
      </c>
      <c r="R17" s="44">
        <f>X17*Y17</f>
        <v>0</v>
      </c>
      <c r="S17" s="41">
        <f>(Z17)*(AI$6+AJ17*AM17)+(AN$6*(AA17-Z17))</f>
        <v>1645.9457436678076</v>
      </c>
      <c r="T17" s="41">
        <f>(AF17)*(AI$6+AJ17*AM17)+(AN$6*AG17*(1-AH$6))</f>
        <v>792.0949149850046</v>
      </c>
      <c r="U17" s="41">
        <f>(AC17)*(AI$6+AJ17*AM17)+(AN$6*AD17*(1-AE$6))</f>
        <v>0</v>
      </c>
      <c r="V17" s="41">
        <f>(Z17+AC17+AF17)*(AI$6+AJ17*AM17)</f>
        <v>2328.0357284400407</v>
      </c>
      <c r="W17" s="7">
        <f>AN$6*((AA17-Z17)+AD17*(1-AE$6)+AG17*(1-AH$6))</f>
        <v>110.00493021277188</v>
      </c>
      <c r="X17" s="101">
        <v>0</v>
      </c>
      <c r="Y17" s="97">
        <v>1.063</v>
      </c>
      <c r="Z17" s="25">
        <f>I17</f>
        <v>569.1684104854677</v>
      </c>
      <c r="AA17" s="25">
        <f>H17</f>
        <v>573.0128207155997</v>
      </c>
      <c r="AB17" s="36">
        <f>Z17/AA17</f>
        <v>0.9932908826972999</v>
      </c>
      <c r="AC17" s="34">
        <f t="shared" si="22"/>
        <v>0</v>
      </c>
      <c r="AD17" s="25">
        <f>J17</f>
        <v>0</v>
      </c>
      <c r="AE17" s="36"/>
      <c r="AF17" s="34">
        <f>AG17*AH$6</f>
        <v>277.3900362200016</v>
      </c>
      <c r="AG17" s="25">
        <f t="shared" si="24"/>
        <v>278.78395600000164</v>
      </c>
      <c r="AH17" s="17"/>
      <c r="AI17" s="16"/>
      <c r="AJ17">
        <v>0</v>
      </c>
      <c r="AK17" s="37">
        <f>M17/100</f>
        <v>0.4711216690042102</v>
      </c>
      <c r="AL17" s="15">
        <v>0</v>
      </c>
      <c r="AM17">
        <f>IF(AK17,AL17/AK17,0)</f>
        <v>0</v>
      </c>
      <c r="AN17" s="16"/>
      <c r="AO17" s="41">
        <f>AP17+AT17</f>
        <v>18861.26956757006</v>
      </c>
      <c r="AP17" s="41">
        <f>AW17*$AX$6</f>
        <v>17887.732311027627</v>
      </c>
      <c r="AQ17" s="41">
        <f>AA17*$AX$6</f>
        <v>12033.269235027594</v>
      </c>
      <c r="AR17" s="41">
        <f t="shared" si="26"/>
        <v>0</v>
      </c>
      <c r="AS17" s="41">
        <f>AG17*$AX$6</f>
        <v>5854.463076000035</v>
      </c>
      <c r="AT17" s="34">
        <f>AZ17*BD$17+BA17*BE$6/BF$6</f>
        <v>973.5372565424333</v>
      </c>
      <c r="AU17" s="41">
        <f>BA17*BE$6/BF$6</f>
        <v>973.5372565424333</v>
      </c>
      <c r="AV17" s="41">
        <f>AZ17*BD$17</f>
        <v>0</v>
      </c>
      <c r="AW17" s="41">
        <f>(AA17+AD17+AG17)</f>
        <v>851.7967767156013</v>
      </c>
      <c r="AX17" s="40"/>
      <c r="AY17" s="40"/>
      <c r="AZ17" s="56">
        <v>0</v>
      </c>
      <c r="BA17" s="72">
        <f t="shared" si="30"/>
        <v>2594.198838809998</v>
      </c>
      <c r="BB17" s="54">
        <v>1682.790999999998</v>
      </c>
      <c r="BC17" s="25">
        <f>L17*13.898*$BG$6</f>
        <v>911.40783881</v>
      </c>
      <c r="BD17" s="99">
        <v>1.063</v>
      </c>
      <c r="BE17" s="38"/>
      <c r="BF17" s="45"/>
      <c r="BG17" s="45"/>
    </row>
    <row r="18" spans="1:59" ht="12.75">
      <c r="A18" s="92">
        <v>40940</v>
      </c>
      <c r="B18" s="100">
        <v>269.10757827314995</v>
      </c>
      <c r="C18" s="100">
        <v>266.34653992204</v>
      </c>
      <c r="D18" s="100">
        <v>208.863</v>
      </c>
      <c r="E18" s="100">
        <v>206.5109900000006</v>
      </c>
      <c r="F18" s="100">
        <v>0</v>
      </c>
      <c r="G18" s="100">
        <v>0</v>
      </c>
      <c r="H18" s="100">
        <f t="shared" si="34"/>
        <v>477.97057827314995</v>
      </c>
      <c r="I18" s="100">
        <f t="shared" si="34"/>
        <v>472.8575299220406</v>
      </c>
      <c r="J18" s="100">
        <v>19.289741601544062</v>
      </c>
      <c r="K18" s="100">
        <v>204.04890220000033</v>
      </c>
      <c r="L18" s="100">
        <v>79.405</v>
      </c>
      <c r="M18" s="64">
        <v>46.86803487104975</v>
      </c>
      <c r="N18" s="69">
        <f>SUM(J18:L18)+H18</f>
        <v>780.7142220746944</v>
      </c>
      <c r="O18" s="25">
        <f>N18/0.717*1000</f>
        <v>1088862.2344137998</v>
      </c>
      <c r="P18" s="41">
        <f>AO18-Q18</f>
        <v>15266.055821006314</v>
      </c>
      <c r="Q18" s="41">
        <f>R18+V18+W18</f>
        <v>2265.475390258794</v>
      </c>
      <c r="R18" s="44">
        <f>X18*Y18</f>
        <v>-2.427210351251954</v>
      </c>
      <c r="S18" s="41">
        <f>(Z18)*(AI$6+AJ18*AM18)+(AN$6*(AA18-Z18))</f>
        <v>1407.7322226589076</v>
      </c>
      <c r="T18" s="41">
        <f>(AF18)*(AI$6+AJ18*AM18)+(AN$6*AG18*(1-AH$6))</f>
        <v>805.363399625751</v>
      </c>
      <c r="U18" s="41">
        <f>(AC18)*(AI$6+AJ18*AM18)+(AN$6*AD18*(1-AE$6))</f>
        <v>54.80697832538707</v>
      </c>
      <c r="V18" s="41">
        <f>(Z18+AC18+AF18)*(AI$6+AJ18*AM18)</f>
        <v>2128.7405026375877</v>
      </c>
      <c r="W18" s="7">
        <f>AN$6*((AA18-Z18)+AD18*(1-AE$6)+AG18*(1-AH$6))</f>
        <v>139.16209797245838</v>
      </c>
      <c r="X18" s="101">
        <v>-2.283358750001838</v>
      </c>
      <c r="Y18" s="97">
        <v>1.063</v>
      </c>
      <c r="Z18" s="25">
        <f>I18</f>
        <v>472.8575299220406</v>
      </c>
      <c r="AA18" s="25">
        <f>H18</f>
        <v>477.97057827314995</v>
      </c>
      <c r="AB18" s="36">
        <f>Z18/AA18</f>
        <v>0.9893025876831537</v>
      </c>
      <c r="AC18" s="34">
        <f>AD18*$AE$6</f>
        <v>19.19329289353634</v>
      </c>
      <c r="AD18" s="25">
        <f>J18</f>
        <v>19.289741601544062</v>
      </c>
      <c r="AE18" s="36"/>
      <c r="AF18" s="34">
        <f>AG18*AH$6</f>
        <v>282.0366326890003</v>
      </c>
      <c r="AG18" s="25">
        <f>K18+L18</f>
        <v>283.45390220000036</v>
      </c>
      <c r="AH18" s="17"/>
      <c r="AI18" s="16"/>
      <c r="AJ18">
        <v>0</v>
      </c>
      <c r="AK18" s="37">
        <f>M18/100</f>
        <v>0.4686803487104975</v>
      </c>
      <c r="AL18" s="15">
        <v>0</v>
      </c>
      <c r="AM18">
        <f>IF(AK18,AL18/AK18,0)</f>
        <v>0</v>
      </c>
      <c r="AN18" s="16"/>
      <c r="AO18" s="41">
        <f>AP18+AT18</f>
        <v>17531.531211265108</v>
      </c>
      <c r="AP18" s="41">
        <f>AW18*$AX$6</f>
        <v>16394.998663568582</v>
      </c>
      <c r="AQ18" s="41">
        <f>AA18*$AX$6</f>
        <v>10037.38214373615</v>
      </c>
      <c r="AR18" s="41">
        <f t="shared" si="26"/>
        <v>405.0845736324253</v>
      </c>
      <c r="AS18" s="41">
        <f>AG18*$AX$6</f>
        <v>5952.531946200008</v>
      </c>
      <c r="AT18" s="34">
        <f>AZ18*BD$17+BA18*BE$6/BF$6</f>
        <v>1136.5325476965245</v>
      </c>
      <c r="AU18" s="41">
        <f>BA18*BE$6/BF$6</f>
        <v>1021.8112052477745</v>
      </c>
      <c r="AV18" s="41">
        <f>AZ18*BD$17</f>
        <v>114.72134244875002</v>
      </c>
      <c r="AW18" s="41">
        <f>(AA18+AD18+AG18)</f>
        <v>780.7142220746944</v>
      </c>
      <c r="AX18" s="40"/>
      <c r="AY18" s="40"/>
      <c r="AZ18" s="56">
        <v>107.92224125000003</v>
      </c>
      <c r="BA18" s="72">
        <f>SUM(BB18:BC18)</f>
        <v>2722.8351296499995</v>
      </c>
      <c r="BB18" s="78">
        <v>1635.8179999999998</v>
      </c>
      <c r="BC18" s="25">
        <f>L18*13.898*$BG$6</f>
        <v>1087.01712965</v>
      </c>
      <c r="BD18" s="99">
        <v>1.063</v>
      </c>
      <c r="BE18" s="38"/>
      <c r="BF18" s="45"/>
      <c r="BG18" s="45"/>
    </row>
    <row r="19" spans="1:59" ht="12.75">
      <c r="A19" s="92">
        <v>40969</v>
      </c>
      <c r="B19" s="100">
        <v>280.503286372125</v>
      </c>
      <c r="C19" s="100">
        <v>274.2384062290936</v>
      </c>
      <c r="D19" s="100">
        <v>238.965</v>
      </c>
      <c r="E19" s="100">
        <v>236.835</v>
      </c>
      <c r="F19" s="100">
        <v>430.22540000000004</v>
      </c>
      <c r="G19" s="100">
        <v>276.24552827999986</v>
      </c>
      <c r="H19" s="100">
        <f t="shared" si="34"/>
        <v>949.6936863721251</v>
      </c>
      <c r="I19" s="100">
        <f t="shared" si="34"/>
        <v>787.3189345090934</v>
      </c>
      <c r="J19" s="100">
        <v>138.61306434479874</v>
      </c>
      <c r="K19" s="100">
        <v>233.21315940000108</v>
      </c>
      <c r="L19" s="100">
        <v>84.69</v>
      </c>
      <c r="M19" s="64">
        <v>47.59145183175044</v>
      </c>
      <c r="N19" s="69">
        <f>SUM(J19:L19)+H19</f>
        <v>1406.209910116925</v>
      </c>
      <c r="O19" s="25">
        <f t="shared" si="16"/>
        <v>1961241.157764191</v>
      </c>
      <c r="P19" s="41">
        <f>AO19-Q19</f>
        <v>24478.193101610846</v>
      </c>
      <c r="Q19" s="41">
        <f>R19+V19+W19</f>
        <v>6889.556508791983</v>
      </c>
      <c r="R19" s="44">
        <f>X19*Y19</f>
        <v>17.482929053398728</v>
      </c>
      <c r="S19" s="41">
        <f>(Z19)*(AI$6+AJ19*AM19)+(AN$6*(AA19-Z19))</f>
        <v>5574.996859023671</v>
      </c>
      <c r="T19" s="41">
        <f>(AF19)*(AI$6+AJ19*AM19)+(AN$6*AG19*(1-AH$6))</f>
        <v>903.2423516452532</v>
      </c>
      <c r="U19" s="41">
        <f>(AC19)*(AI$6+AJ19*AM19)+(AN$6*AD19*(1-AE$6))</f>
        <v>393.83436906965943</v>
      </c>
      <c r="V19" s="41">
        <f>(Z19+AC19+AF19)*(AI$6+AJ19*AM19)</f>
        <v>3414.2695871217156</v>
      </c>
      <c r="W19" s="7">
        <f>AN$6*((AA19-Z19)+AD19*(1-AE$6)+AG19*(1-AH$6))</f>
        <v>3457.8039926168685</v>
      </c>
      <c r="X19" s="101">
        <v>16.446781799998803</v>
      </c>
      <c r="Y19" s="97">
        <v>1.063</v>
      </c>
      <c r="Z19" s="25">
        <f>I19</f>
        <v>787.3189345090934</v>
      </c>
      <c r="AA19" s="25">
        <f>H19</f>
        <v>949.6936863721251</v>
      </c>
      <c r="AB19" s="36">
        <f>Z19/AA19</f>
        <v>0.8290240798764169</v>
      </c>
      <c r="AC19" s="34">
        <f>AD19*$AE$6</f>
        <v>137.91999902307475</v>
      </c>
      <c r="AD19" s="25">
        <f>J19</f>
        <v>138.61306434479874</v>
      </c>
      <c r="AE19" s="36"/>
      <c r="AF19" s="34">
        <f>AG19*AH$6</f>
        <v>316.3136436030011</v>
      </c>
      <c r="AG19" s="25">
        <f>K19+L19</f>
        <v>317.9031594000011</v>
      </c>
      <c r="AH19" s="17"/>
      <c r="AI19" s="16"/>
      <c r="AJ19">
        <v>0</v>
      </c>
      <c r="AK19" s="37">
        <f>M19/100</f>
        <v>0.4759145183175044</v>
      </c>
      <c r="AL19" s="15">
        <v>0</v>
      </c>
      <c r="AM19">
        <f>IF(AK19,AL19/AK19,0)</f>
        <v>0</v>
      </c>
      <c r="AN19" s="16"/>
      <c r="AO19" s="41">
        <f>AP19+AT19</f>
        <v>31367.74961040283</v>
      </c>
      <c r="AP19" s="41">
        <f>AW19*$AX$6</f>
        <v>29530.408112455418</v>
      </c>
      <c r="AQ19" s="41">
        <f>AA19*$AX$6</f>
        <v>19943.567413814628</v>
      </c>
      <c r="AR19" s="41">
        <f t="shared" si="26"/>
        <v>2910.8743512407736</v>
      </c>
      <c r="AS19" s="41">
        <f>AG19*$AX$6</f>
        <v>6675.966347400023</v>
      </c>
      <c r="AT19" s="34">
        <f>AZ19*BD$17+BA19*BE$6/BF$6</f>
        <v>1837.34149794741</v>
      </c>
      <c r="AU19" s="41">
        <f>BA19*BE$6/BF$6</f>
        <v>1109.7039856940116</v>
      </c>
      <c r="AV19" s="41">
        <f>AZ19*BD$17</f>
        <v>727.6375122533984</v>
      </c>
      <c r="AW19" s="41">
        <f>(AA19+AD19+AG19)</f>
        <v>1406.2099101169247</v>
      </c>
      <c r="AX19" s="40"/>
      <c r="AY19" s="40"/>
      <c r="AZ19" s="56">
        <v>684.5131817999985</v>
      </c>
      <c r="BA19" s="72">
        <f>SUM(BB19:BC19)</f>
        <v>2957.044295700002</v>
      </c>
      <c r="BB19" s="54">
        <v>1797.678000000002</v>
      </c>
      <c r="BC19" s="25">
        <f>L19*13.898*$BG$6</f>
        <v>1159.3662957</v>
      </c>
      <c r="BD19" s="99">
        <v>1.063</v>
      </c>
      <c r="BE19" s="38"/>
      <c r="BF19" s="45"/>
      <c r="BG19" s="45"/>
    </row>
    <row r="20" spans="1:59" ht="13.5" thickBot="1">
      <c r="A20" s="92">
        <v>41000</v>
      </c>
      <c r="B20" s="100">
        <v>303.05812646624946</v>
      </c>
      <c r="C20" s="100">
        <v>296.9660907001577</v>
      </c>
      <c r="D20" s="100">
        <v>257.778</v>
      </c>
      <c r="E20" s="100">
        <v>256.23647000000244</v>
      </c>
      <c r="F20" s="100">
        <v>465.8672080000014</v>
      </c>
      <c r="G20" s="100">
        <v>461.83013330000165</v>
      </c>
      <c r="H20" s="100">
        <f t="shared" si="34"/>
        <v>1026.703334466251</v>
      </c>
      <c r="I20" s="100">
        <f t="shared" si="34"/>
        <v>1015.0326940001618</v>
      </c>
      <c r="J20" s="100">
        <v>157.1119327482968</v>
      </c>
      <c r="K20" s="100">
        <v>97.94275139999999</v>
      </c>
      <c r="L20" s="100">
        <v>18.825</v>
      </c>
      <c r="M20" s="64">
        <v>50.32853562477641</v>
      </c>
      <c r="N20" s="69">
        <f>SUM(J20:L20)+H20</f>
        <v>1300.5830186145477</v>
      </c>
      <c r="O20" s="25">
        <f t="shared" si="16"/>
        <v>1813923.3174540414</v>
      </c>
      <c r="P20" s="41">
        <f>AO20-Q20</f>
        <v>24581.187795802678</v>
      </c>
      <c r="Q20" s="41">
        <f>R20+V20+W20</f>
        <v>3844.4586878568857</v>
      </c>
      <c r="R20" s="44">
        <f>X20*Y20</f>
        <v>29.874676982221043</v>
      </c>
      <c r="S20" s="41">
        <f>(Z20)*(AI$6+AJ20*AM20)+(AN$6*(AA20-Z20))</f>
        <v>3036.4233582883166</v>
      </c>
      <c r="T20" s="41">
        <f>(AF20)*(AI$6+AJ20*AM20)+(AN$6*AG20*(1-AH$6))</f>
        <v>331.76637366525</v>
      </c>
      <c r="U20" s="41">
        <f>(AC20)*(AI$6+AJ20*AM20)+(AN$6*AD20*(1-AE$6))</f>
        <v>446.39427892109825</v>
      </c>
      <c r="V20" s="41">
        <f>(Z20+AC20+AF20)*(AI$6+AJ20*AM20)</f>
        <v>3540.7431942512217</v>
      </c>
      <c r="W20" s="7">
        <f>AN$6*((AA20-Z20)+AD20*(1-AE$6)+AG20*(1-AH$6))</f>
        <v>273.8408166234431</v>
      </c>
      <c r="X20" s="101">
        <v>28.10411757499628</v>
      </c>
      <c r="Y20" s="97">
        <v>1.063</v>
      </c>
      <c r="Z20" s="25">
        <f>I20</f>
        <v>1015.0326940001618</v>
      </c>
      <c r="AA20" s="25">
        <f>H20</f>
        <v>1026.703334466251</v>
      </c>
      <c r="AB20" s="36">
        <f>Z20/AA20</f>
        <v>0.9886328990329457</v>
      </c>
      <c r="AC20" s="34">
        <f>AD20*$AE$6</f>
        <v>156.3263730845553</v>
      </c>
      <c r="AD20" s="25">
        <f>J20</f>
        <v>157.1119327482968</v>
      </c>
      <c r="AE20" s="36"/>
      <c r="AF20" s="34">
        <f>AG20*AH$6</f>
        <v>116.183912643</v>
      </c>
      <c r="AG20" s="25">
        <f>K20+L20</f>
        <v>116.7677514</v>
      </c>
      <c r="AH20" s="17"/>
      <c r="AI20" s="16"/>
      <c r="AJ20">
        <v>0</v>
      </c>
      <c r="AK20" s="37">
        <f>M20/100</f>
        <v>0.503285356247764</v>
      </c>
      <c r="AL20" s="15">
        <v>0</v>
      </c>
      <c r="AM20">
        <f>IF(AK20,AL20/AK20,0)</f>
        <v>0</v>
      </c>
      <c r="AN20" s="16"/>
      <c r="AO20" s="41">
        <f>AP20+AT20</f>
        <v>28425.646483659562</v>
      </c>
      <c r="AP20" s="41">
        <f>AW20*$AX$6</f>
        <v>27312.2433909055</v>
      </c>
      <c r="AQ20" s="41">
        <f>AA20*$AX$6</f>
        <v>21560.77002379127</v>
      </c>
      <c r="AR20" s="41">
        <f t="shared" si="26"/>
        <v>3299.3505877142325</v>
      </c>
      <c r="AS20" s="41">
        <f>AG20*$AX$6</f>
        <v>2452.1227793999997</v>
      </c>
      <c r="AT20" s="34">
        <f>AZ20*BD$17+BA20*BE$6/BF$6</f>
        <v>1113.4030927540616</v>
      </c>
      <c r="AU20" s="41">
        <f>BA20*BE$6/BF$6</f>
        <v>352.5407333718404</v>
      </c>
      <c r="AV20" s="41">
        <f>AZ20*BD$17</f>
        <v>760.8623593822211</v>
      </c>
      <c r="AW20" s="41">
        <f>(AA20+AD20+AG20)</f>
        <v>1300.5830186145477</v>
      </c>
      <c r="AX20" s="40"/>
      <c r="AY20" s="40"/>
      <c r="AZ20" s="56">
        <v>715.7689175749964</v>
      </c>
      <c r="BA20" s="72">
        <f>SUM(BB20:BC20)</f>
        <v>939.4204022499994</v>
      </c>
      <c r="BB20" s="78">
        <v>681.7149999999995</v>
      </c>
      <c r="BC20" s="25">
        <f>L20*13.898*$BG$6</f>
        <v>257.70540224999996</v>
      </c>
      <c r="BD20" s="99">
        <v>1.063</v>
      </c>
      <c r="BE20" s="38"/>
      <c r="BF20" s="45"/>
      <c r="BG20" s="45"/>
    </row>
    <row r="21" spans="1:59" ht="13.5" thickBot="1">
      <c r="A21" s="23" t="s">
        <v>140</v>
      </c>
      <c r="B21" s="24">
        <f aca="true" t="shared" si="35" ref="B21:L21">SUM(B17:B20)</f>
        <v>1116.868811827124</v>
      </c>
      <c r="C21" s="24">
        <f t="shared" si="35"/>
        <v>1100.054007336759</v>
      </c>
      <c r="D21" s="24">
        <f t="shared" si="35"/>
        <v>1014.419</v>
      </c>
      <c r="E21" s="24">
        <f t="shared" si="35"/>
        <v>1006.247900000003</v>
      </c>
      <c r="F21" s="24">
        <f t="shared" si="35"/>
        <v>896.0926080000015</v>
      </c>
      <c r="G21" s="24">
        <f t="shared" si="35"/>
        <v>738.0756615800015</v>
      </c>
      <c r="H21" s="24">
        <f t="shared" si="35"/>
        <v>3027.3804198271255</v>
      </c>
      <c r="I21" s="24">
        <f t="shared" si="35"/>
        <v>2844.3775689167633</v>
      </c>
      <c r="J21" s="24">
        <f t="shared" si="35"/>
        <v>315.0147386946396</v>
      </c>
      <c r="K21" s="24">
        <f t="shared" si="35"/>
        <v>747.4117690000031</v>
      </c>
      <c r="L21" s="24">
        <f t="shared" si="35"/>
        <v>249.49699999999999</v>
      </c>
      <c r="M21" s="75">
        <f>AVERAGE(M17:M20)</f>
        <v>47.97504730699941</v>
      </c>
      <c r="N21" s="70">
        <f aca="true" t="shared" si="36" ref="N21:X21">SUM(N17:N20)</f>
        <v>4339.303927521768</v>
      </c>
      <c r="O21" s="24">
        <f t="shared" si="36"/>
        <v>6052027.792917389</v>
      </c>
      <c r="P21" s="77">
        <f t="shared" si="36"/>
        <v>80748.66562733709</v>
      </c>
      <c r="Q21" s="77">
        <f t="shared" si="36"/>
        <v>15437.531245560474</v>
      </c>
      <c r="R21" s="77">
        <f t="shared" si="36"/>
        <v>44.93039568436782</v>
      </c>
      <c r="S21" s="77">
        <f>SUM(S17:S20)</f>
        <v>11665.098183638704</v>
      </c>
      <c r="T21" s="77">
        <f>ROUNDUP(SUM(T17:T20),0)</f>
        <v>2833</v>
      </c>
      <c r="U21" s="77">
        <f>SUM(U17:U20)</f>
        <v>895.0356263161448</v>
      </c>
      <c r="V21" s="24">
        <f t="shared" si="36"/>
        <v>11411.789012450567</v>
      </c>
      <c r="W21" s="24">
        <f t="shared" si="36"/>
        <v>3980.811837425542</v>
      </c>
      <c r="X21" s="77">
        <f t="shared" si="36"/>
        <v>42.267540624993245</v>
      </c>
      <c r="Y21" s="24"/>
      <c r="Z21" s="24">
        <f>SUM(Z17:Z20)</f>
        <v>2844.3775689167633</v>
      </c>
      <c r="AA21" s="24">
        <f>SUM(AA17:AA20)</f>
        <v>3027.3804198271255</v>
      </c>
      <c r="AB21" s="24"/>
      <c r="AC21" s="24">
        <f>SUM(AC17:AC18)</f>
        <v>19.19329289353634</v>
      </c>
      <c r="AD21" s="24">
        <f>SUM(AD17:AD18)</f>
        <v>19.289741601544062</v>
      </c>
      <c r="AE21" s="24"/>
      <c r="AF21" s="24">
        <f>SUM(AF17:AF18)</f>
        <v>559.4266689090019</v>
      </c>
      <c r="AG21" s="24">
        <f>SUM(AG17:AG20)</f>
        <v>996.908769000003</v>
      </c>
      <c r="AH21" s="24">
        <f>SUM(AH17:AH20)</f>
        <v>0</v>
      </c>
      <c r="AI21" s="24">
        <f>SUM(AI17:AI20)</f>
        <v>0</v>
      </c>
      <c r="AJ21" s="24">
        <f>SUM(AJ17:AJ20)</f>
        <v>0</v>
      </c>
      <c r="AK21" s="24"/>
      <c r="AL21" s="24">
        <f aca="true" t="shared" si="37" ref="AL21:AW21">SUM(AL17:AL20)</f>
        <v>0</v>
      </c>
      <c r="AM21" s="24">
        <f t="shared" si="37"/>
        <v>0</v>
      </c>
      <c r="AN21" s="24">
        <f t="shared" si="37"/>
        <v>0</v>
      </c>
      <c r="AO21" s="77">
        <f t="shared" si="37"/>
        <v>96186.19687289756</v>
      </c>
      <c r="AP21" s="24">
        <f t="shared" si="37"/>
        <v>91125.38247795713</v>
      </c>
      <c r="AQ21" s="77">
        <f t="shared" si="37"/>
        <v>63574.988816369645</v>
      </c>
      <c r="AR21" s="77">
        <f t="shared" si="37"/>
        <v>6615.3095125874315</v>
      </c>
      <c r="AS21" s="77">
        <f t="shared" si="37"/>
        <v>20935.084149000068</v>
      </c>
      <c r="AT21" s="24">
        <f t="shared" si="37"/>
        <v>5060.814394940429</v>
      </c>
      <c r="AU21" s="77">
        <f t="shared" si="37"/>
        <v>3457.59318085606</v>
      </c>
      <c r="AV21" s="77">
        <f t="shared" si="37"/>
        <v>1603.2212140843694</v>
      </c>
      <c r="AW21" s="24">
        <f t="shared" si="37"/>
        <v>4339.303927521768</v>
      </c>
      <c r="AX21" s="24"/>
      <c r="AY21" s="24"/>
      <c r="AZ21" s="77">
        <f>SUM(AZ17:AZ20)</f>
        <v>1508.204340624995</v>
      </c>
      <c r="BA21" s="24">
        <f>SUM(BA17:BA20)</f>
        <v>9213.49866641</v>
      </c>
      <c r="BB21" s="77">
        <f>SUM(BB17:BB20)</f>
        <v>5798.001999999999</v>
      </c>
      <c r="BC21" s="77">
        <f>SUM(BC17:BC20)</f>
        <v>3415.4966664099998</v>
      </c>
      <c r="BD21" s="24"/>
      <c r="BE21" s="24"/>
      <c r="BF21" s="24"/>
      <c r="BG21" s="24"/>
    </row>
    <row r="22" spans="1:59" s="26" customFormat="1" ht="26.25" thickBot="1">
      <c r="A22" s="27" t="s">
        <v>88</v>
      </c>
      <c r="B22" s="63">
        <f aca="true" t="shared" si="38" ref="B22:L22">B16+B21</f>
        <v>3473.723486480775</v>
      </c>
      <c r="C22" s="63">
        <f t="shared" si="38"/>
        <v>3435.662095745437</v>
      </c>
      <c r="D22" s="63">
        <f t="shared" si="38"/>
        <v>3176.453</v>
      </c>
      <c r="E22" s="63">
        <f t="shared" si="38"/>
        <v>3151.297695</v>
      </c>
      <c r="F22" s="63">
        <f t="shared" si="38"/>
        <v>2946.878660000001</v>
      </c>
      <c r="G22" s="63">
        <f t="shared" si="38"/>
        <v>2560.410159120002</v>
      </c>
      <c r="H22" s="55">
        <f t="shared" si="38"/>
        <v>9597.055146480776</v>
      </c>
      <c r="I22" s="63">
        <f t="shared" si="38"/>
        <v>9147.369949865439</v>
      </c>
      <c r="J22" s="55">
        <f t="shared" si="38"/>
        <v>972.74619815596</v>
      </c>
      <c r="K22" s="55">
        <f t="shared" si="38"/>
        <v>1867.4686550000056</v>
      </c>
      <c r="L22" s="55">
        <f t="shared" si="38"/>
        <v>304.105</v>
      </c>
      <c r="M22" s="81">
        <f>AVERAGE(M17:M20,M6:M15)</f>
        <v>47.48960414669873</v>
      </c>
      <c r="N22" s="71">
        <f aca="true" t="shared" si="39" ref="N22:X22">N16+N21</f>
        <v>12741.37499963674</v>
      </c>
      <c r="O22" s="63">
        <f t="shared" si="39"/>
        <v>17770397.48903311</v>
      </c>
      <c r="P22" s="55">
        <f t="shared" si="39"/>
        <v>235396.6656273371</v>
      </c>
      <c r="Q22" s="55">
        <f t="shared" si="39"/>
        <v>43687.87082866046</v>
      </c>
      <c r="R22" s="55">
        <f t="shared" si="39"/>
        <v>155.41555482902058</v>
      </c>
      <c r="S22" s="55">
        <f t="shared" si="39"/>
        <v>34598.65649105207</v>
      </c>
      <c r="T22" s="55">
        <f t="shared" si="39"/>
        <v>6170</v>
      </c>
      <c r="U22" s="55">
        <f t="shared" si="39"/>
        <v>2763.815135510621</v>
      </c>
      <c r="V22" s="28">
        <f t="shared" si="39"/>
        <v>33758.91256032797</v>
      </c>
      <c r="W22" s="28">
        <f t="shared" si="39"/>
        <v>9773.54271350348</v>
      </c>
      <c r="X22" s="55">
        <f t="shared" si="39"/>
        <v>146.20466117499583</v>
      </c>
      <c r="Y22" s="28"/>
      <c r="Z22" s="28">
        <f>Z16+Z21</f>
        <v>9147.369949865439</v>
      </c>
      <c r="AA22" s="28">
        <f>AA16+AA21</f>
        <v>9597.055146480776</v>
      </c>
      <c r="AB22" s="28"/>
      <c r="AC22" s="28">
        <f>AC16+AC21</f>
        <v>673.63609505755</v>
      </c>
      <c r="AD22" s="28">
        <f>AD16+AD21</f>
        <v>677.0212010628644</v>
      </c>
      <c r="AE22" s="28"/>
      <c r="AF22" s="28">
        <f>AF16+AF21</f>
        <v>1728.218230479004</v>
      </c>
      <c r="AG22" s="63">
        <f>AG16+AG21</f>
        <v>2171.573655000005</v>
      </c>
      <c r="AH22" s="28"/>
      <c r="AI22" s="28"/>
      <c r="AJ22" s="28">
        <f>AJ16+AJ21</f>
        <v>0</v>
      </c>
      <c r="AK22" s="28"/>
      <c r="AL22" s="28">
        <f>AL16+AL21</f>
        <v>0</v>
      </c>
      <c r="AM22" s="28">
        <f>AM16+AM21</f>
        <v>0</v>
      </c>
      <c r="AN22" s="28"/>
      <c r="AO22" s="55">
        <f>AO16+AO21</f>
        <v>279085.0474286973</v>
      </c>
      <c r="AP22" s="28">
        <f>AP16+AP21</f>
        <v>267568.8749923716</v>
      </c>
      <c r="AQ22" s="55">
        <f>AQ16+AQ21</f>
        <v>201538.15807609633</v>
      </c>
      <c r="AR22" s="55">
        <f>ROUNDUP(AR16+AR21,0)</f>
        <v>20428</v>
      </c>
      <c r="AS22" s="55">
        <f>AS16+AS21</f>
        <v>45603.04675500011</v>
      </c>
      <c r="AT22" s="28">
        <f>AT16+AT21</f>
        <v>11516.17243632569</v>
      </c>
      <c r="AU22" s="55">
        <f>ROUNDDOWN(AU16+AU21,0)</f>
        <v>6831</v>
      </c>
      <c r="AV22" s="55">
        <f>AV16+AV21</f>
        <v>4684.956350829019</v>
      </c>
      <c r="AW22" s="28">
        <f>AW16+AW21</f>
        <v>12741.37499963674</v>
      </c>
      <c r="AX22" s="28"/>
      <c r="AY22" s="28"/>
      <c r="AZ22" s="55">
        <f>AZ16+AZ21</f>
        <v>4407.296661174996</v>
      </c>
      <c r="BA22" s="63">
        <f>BA16+BA21</f>
        <v>18203.240520649986</v>
      </c>
      <c r="BB22" s="55">
        <f>BB16+BB21</f>
        <v>14040.185999999985</v>
      </c>
      <c r="BC22" s="55">
        <f>BC16+BC21</f>
        <v>4163.05452065</v>
      </c>
      <c r="BD22" s="28"/>
      <c r="BE22" s="28"/>
      <c r="BF22" s="28"/>
      <c r="BG22" s="28"/>
    </row>
    <row r="23" spans="10:55" ht="12.75">
      <c r="J23" s="76"/>
      <c r="K23" s="76"/>
      <c r="L23" s="76"/>
      <c r="M23" s="85"/>
      <c r="P23" s="7"/>
      <c r="Q23" s="7"/>
      <c r="V23" s="7"/>
      <c r="W23" s="13"/>
      <c r="X23" s="76"/>
      <c r="Y23" s="18"/>
      <c r="Z23" s="15"/>
      <c r="AB23" s="19"/>
      <c r="AC23" s="15"/>
      <c r="AD23" s="15"/>
      <c r="AE23" s="19"/>
      <c r="AF23" s="7"/>
      <c r="AG23" s="7"/>
      <c r="AH23" s="17"/>
      <c r="AI23" s="16"/>
      <c r="AK23" s="14"/>
      <c r="AL23" s="15"/>
      <c r="AN23" s="16"/>
      <c r="AO23" s="7"/>
      <c r="AP23" s="7"/>
      <c r="AQ23" s="7"/>
      <c r="AR23" s="7"/>
      <c r="AS23" s="7"/>
      <c r="AT23" s="7"/>
      <c r="AU23" s="13"/>
      <c r="AV23" s="7"/>
      <c r="AW23" s="7"/>
      <c r="AZ23" s="76"/>
      <c r="BA23" s="7"/>
      <c r="BB23" s="76"/>
      <c r="BC23" s="7"/>
    </row>
    <row r="24" spans="1:54" ht="12.75" customHeight="1">
      <c r="A24" s="102" t="s">
        <v>156</v>
      </c>
      <c r="B24" s="102"/>
      <c r="C24" s="102"/>
      <c r="D24" s="102"/>
      <c r="E24" s="102"/>
      <c r="F24" s="102"/>
      <c r="G24" s="102"/>
      <c r="I24" s="85"/>
      <c r="J24" s="85"/>
      <c r="L24" s="8"/>
      <c r="M24" s="85"/>
      <c r="N24" s="8"/>
      <c r="O24" s="8"/>
      <c r="P24" s="50"/>
      <c r="Q24" s="51"/>
      <c r="R24" s="29"/>
      <c r="S24" s="29"/>
      <c r="T24" s="29"/>
      <c r="U24" s="29"/>
      <c r="V24" s="29"/>
      <c r="W24" s="29"/>
      <c r="AB24" s="19"/>
      <c r="AC24" s="15"/>
      <c r="AD24" s="15"/>
      <c r="AE24" s="19"/>
      <c r="AF24" s="7"/>
      <c r="AG24" s="7"/>
      <c r="AH24" s="17"/>
      <c r="AI24" s="16"/>
      <c r="AK24" s="14"/>
      <c r="AL24" s="15"/>
      <c r="AN24" s="16"/>
      <c r="AO24" s="7"/>
      <c r="AP24" s="7"/>
      <c r="AQ24" s="7"/>
      <c r="AR24" s="7"/>
      <c r="AS24" s="7"/>
      <c r="AT24" s="7"/>
      <c r="AU24" s="7"/>
      <c r="AV24" s="7"/>
      <c r="AW24" s="7"/>
      <c r="AZ24" s="86"/>
      <c r="BA24" s="85"/>
      <c r="BB24" s="91"/>
    </row>
    <row r="25" spans="1:54" ht="12.75">
      <c r="A25" s="102"/>
      <c r="B25" s="102"/>
      <c r="C25" s="102"/>
      <c r="D25" s="102"/>
      <c r="E25" s="102"/>
      <c r="F25" s="102"/>
      <c r="G25" s="102"/>
      <c r="H25" s="82"/>
      <c r="I25" s="85"/>
      <c r="J25" s="85"/>
      <c r="M25" s="85"/>
      <c r="P25" s="29"/>
      <c r="Q25" s="51"/>
      <c r="AC25" s="15"/>
      <c r="AD25" s="15"/>
      <c r="AE25" s="19"/>
      <c r="AF25" s="7"/>
      <c r="AG25" s="7"/>
      <c r="AH25" s="17"/>
      <c r="AI25" s="16"/>
      <c r="AK25" s="14"/>
      <c r="AL25" s="15"/>
      <c r="AN25" s="16"/>
      <c r="AO25" s="7"/>
      <c r="AP25" s="7"/>
      <c r="AQ25" s="7"/>
      <c r="AR25" s="7"/>
      <c r="AS25" s="7"/>
      <c r="AT25" s="7"/>
      <c r="AU25" s="7"/>
      <c r="AV25" s="7"/>
      <c r="AW25" s="7"/>
      <c r="AZ25" s="94"/>
      <c r="BA25" s="85"/>
      <c r="BB25" s="85"/>
    </row>
    <row r="26" spans="1:55" ht="12.75">
      <c r="A26" s="102"/>
      <c r="B26" s="102"/>
      <c r="C26" s="102"/>
      <c r="D26" s="102"/>
      <c r="E26" s="102"/>
      <c r="F26" s="102"/>
      <c r="G26" s="102"/>
      <c r="H26" s="82"/>
      <c r="M26" s="85"/>
      <c r="P26" s="29"/>
      <c r="Q26" s="51"/>
      <c r="AC26" s="15"/>
      <c r="AD26" s="15"/>
      <c r="AE26" s="19"/>
      <c r="AF26" s="7"/>
      <c r="AG26" s="7"/>
      <c r="AH26" s="17"/>
      <c r="AI26" s="16"/>
      <c r="AK26" s="14"/>
      <c r="AL26" s="15"/>
      <c r="AN26" s="16"/>
      <c r="AO26" s="7"/>
      <c r="AP26" s="7"/>
      <c r="AQ26" s="7"/>
      <c r="AR26" s="7"/>
      <c r="AS26" s="7"/>
      <c r="AT26" s="7"/>
      <c r="AU26" s="13"/>
      <c r="AV26" s="7"/>
      <c r="AW26" s="7"/>
      <c r="AX26" s="8"/>
      <c r="AY26" s="85"/>
      <c r="AZ26" s="85"/>
      <c r="BA26" s="85"/>
      <c r="BB26" s="48"/>
      <c r="BC26" s="48"/>
    </row>
    <row r="27" spans="1:55" ht="12.75">
      <c r="A27" s="43" t="s">
        <v>94</v>
      </c>
      <c r="B27" s="3"/>
      <c r="C27" s="3"/>
      <c r="D27" s="3"/>
      <c r="E27" s="3"/>
      <c r="F27" s="3"/>
      <c r="G27" s="3"/>
      <c r="H27" s="82"/>
      <c r="M27" s="85"/>
      <c r="P27" s="29"/>
      <c r="Q27" s="51"/>
      <c r="AC27" s="29"/>
      <c r="AD27" s="29"/>
      <c r="AE27" s="19"/>
      <c r="AF27" s="7"/>
      <c r="AG27" s="7"/>
      <c r="AH27" s="17"/>
      <c r="AI27" s="16"/>
      <c r="AK27" s="14"/>
      <c r="AL27" s="15"/>
      <c r="AN27" s="16"/>
      <c r="AO27" s="7"/>
      <c r="AP27" s="7"/>
      <c r="AQ27" s="7"/>
      <c r="AR27" s="7"/>
      <c r="AS27" s="7"/>
      <c r="AT27" s="7"/>
      <c r="AU27" s="13"/>
      <c r="AV27" s="7"/>
      <c r="AW27" s="7"/>
      <c r="AY27" s="85"/>
      <c r="AZ27" s="85"/>
      <c r="BA27" s="85"/>
      <c r="BB27" s="48"/>
      <c r="BC27" s="48"/>
    </row>
    <row r="28" spans="1:55" ht="12.75">
      <c r="A28" s="42" t="s">
        <v>95</v>
      </c>
      <c r="B28" t="s">
        <v>96</v>
      </c>
      <c r="D28" s="15"/>
      <c r="E28" s="15"/>
      <c r="F28" s="15"/>
      <c r="G28" s="15"/>
      <c r="H28" s="82"/>
      <c r="M28" s="85"/>
      <c r="P28" s="29"/>
      <c r="Q28" s="7"/>
      <c r="AC28" s="15"/>
      <c r="AD28" s="15"/>
      <c r="AE28" s="19"/>
      <c r="AF28" s="7"/>
      <c r="AG28" s="7"/>
      <c r="AH28" s="17"/>
      <c r="AI28" s="16"/>
      <c r="AK28" s="14"/>
      <c r="AL28" s="15"/>
      <c r="AN28" s="16"/>
      <c r="AO28" s="7"/>
      <c r="AP28" s="7"/>
      <c r="AQ28" s="7"/>
      <c r="AR28" s="7"/>
      <c r="AS28" s="7"/>
      <c r="AT28" s="7"/>
      <c r="AU28" s="13"/>
      <c r="AV28" s="7"/>
      <c r="AW28" s="7"/>
      <c r="AY28" s="85"/>
      <c r="AZ28" s="85"/>
      <c r="BA28" s="85"/>
      <c r="BB28" s="48"/>
      <c r="BC28" s="48"/>
    </row>
    <row r="29" spans="1:55" ht="12.75">
      <c r="A29" t="s">
        <v>97</v>
      </c>
      <c r="B29" t="s">
        <v>98</v>
      </c>
      <c r="H29" s="82"/>
      <c r="M29" s="85"/>
      <c r="P29" s="52"/>
      <c r="Q29" s="7"/>
      <c r="AC29" s="15"/>
      <c r="AD29" s="15"/>
      <c r="AE29" s="19"/>
      <c r="AF29" s="7"/>
      <c r="AG29" s="7"/>
      <c r="AH29" s="17"/>
      <c r="AI29" s="16"/>
      <c r="AK29" s="14"/>
      <c r="AL29" s="15"/>
      <c r="AN29" s="16"/>
      <c r="AO29" s="7"/>
      <c r="AP29" s="7"/>
      <c r="AT29" s="7"/>
      <c r="AU29" s="13"/>
      <c r="AW29" s="7"/>
      <c r="AY29" s="85"/>
      <c r="AZ29" s="85"/>
      <c r="BA29" s="85"/>
      <c r="BB29" s="48"/>
      <c r="BC29" s="48"/>
    </row>
    <row r="30" spans="1:55" ht="12.75">
      <c r="A30" s="49" t="s">
        <v>113</v>
      </c>
      <c r="B30" t="s">
        <v>112</v>
      </c>
      <c r="H30" s="82"/>
      <c r="M30" s="85"/>
      <c r="P30" s="29"/>
      <c r="AQ30" s="7"/>
      <c r="AR30" s="7"/>
      <c r="AS30" s="7"/>
      <c r="AU30" s="13"/>
      <c r="AV30" s="7"/>
      <c r="AX30" s="29"/>
      <c r="AY30" s="85"/>
      <c r="AZ30" s="85"/>
      <c r="BA30" s="85"/>
      <c r="BB30" s="48"/>
      <c r="BC30" s="48"/>
    </row>
    <row r="31" spans="1:55" ht="12.75">
      <c r="A31" s="46" t="s">
        <v>111</v>
      </c>
      <c r="B31" s="3"/>
      <c r="C31" s="3"/>
      <c r="D31" s="3"/>
      <c r="E31" s="3"/>
      <c r="F31" s="3"/>
      <c r="G31" s="3"/>
      <c r="H31" s="82"/>
      <c r="M31" s="85"/>
      <c r="P31" s="29"/>
      <c r="Q31" s="7"/>
      <c r="AC31" s="15"/>
      <c r="AD31" s="15"/>
      <c r="AE31" s="19"/>
      <c r="AF31" s="7"/>
      <c r="AG31" s="7"/>
      <c r="AH31" s="17"/>
      <c r="AI31" s="16"/>
      <c r="AK31" s="14"/>
      <c r="AL31" s="15"/>
      <c r="AN31" s="16"/>
      <c r="AO31" s="7"/>
      <c r="AP31" s="7"/>
      <c r="AQ31" s="7"/>
      <c r="AR31" s="7"/>
      <c r="AS31" s="7"/>
      <c r="AT31" s="7"/>
      <c r="AU31" s="13"/>
      <c r="AV31" s="7"/>
      <c r="AW31" s="7"/>
      <c r="AY31" s="85"/>
      <c r="AZ31" s="85"/>
      <c r="BA31" s="85"/>
      <c r="BB31" s="48"/>
      <c r="BC31" s="48"/>
    </row>
    <row r="32" spans="1:55" ht="12.75">
      <c r="A32" s="83" t="s">
        <v>153</v>
      </c>
      <c r="B32" s="48"/>
      <c r="C32" s="48"/>
      <c r="D32" s="48"/>
      <c r="E32" s="48"/>
      <c r="F32" s="48"/>
      <c r="G32" s="48"/>
      <c r="H32" s="82"/>
      <c r="M32" s="85"/>
      <c r="P32" s="29"/>
      <c r="Q32" s="7"/>
      <c r="AC32" s="15"/>
      <c r="AD32" s="15"/>
      <c r="AE32" s="19"/>
      <c r="AF32" s="7"/>
      <c r="AG32" s="7"/>
      <c r="AH32" s="17"/>
      <c r="AI32" s="16"/>
      <c r="AK32" s="14"/>
      <c r="AL32" s="15"/>
      <c r="AN32" s="16"/>
      <c r="AO32" s="7"/>
      <c r="AP32" s="7"/>
      <c r="AQ32" s="7"/>
      <c r="AR32" s="7"/>
      <c r="AS32" s="7"/>
      <c r="AT32" s="7"/>
      <c r="AU32" s="13"/>
      <c r="AV32" s="7"/>
      <c r="AW32" s="7"/>
      <c r="AY32" s="85"/>
      <c r="AZ32" s="85"/>
      <c r="BA32" s="85"/>
      <c r="BB32" s="48"/>
      <c r="BC32" s="48"/>
    </row>
    <row r="33" spans="1:55" ht="12.75">
      <c r="A33" s="47" t="s">
        <v>154</v>
      </c>
      <c r="B33" s="48"/>
      <c r="C33" s="48"/>
      <c r="D33" s="48"/>
      <c r="E33" s="48"/>
      <c r="F33" s="48"/>
      <c r="G33" s="48"/>
      <c r="H33" s="82"/>
      <c r="M33" s="85"/>
      <c r="Q33" s="7"/>
      <c r="AC33" s="15"/>
      <c r="AD33" s="15"/>
      <c r="AE33" s="19"/>
      <c r="AF33" s="7"/>
      <c r="AG33" s="7"/>
      <c r="AH33" s="17"/>
      <c r="AI33" s="16"/>
      <c r="AK33" s="14"/>
      <c r="AL33" s="15"/>
      <c r="AN33" s="16"/>
      <c r="AO33" s="7"/>
      <c r="AP33" s="7"/>
      <c r="AQ33" s="7"/>
      <c r="AR33" s="7"/>
      <c r="AS33" s="7"/>
      <c r="AT33" s="7"/>
      <c r="AU33" s="13"/>
      <c r="AV33" s="7"/>
      <c r="AW33" s="7"/>
      <c r="AX33" s="29"/>
      <c r="AY33" s="85"/>
      <c r="AZ33" s="85"/>
      <c r="BA33" s="85"/>
      <c r="BB33" s="48"/>
      <c r="BC33" s="48"/>
    </row>
    <row r="34" spans="1:55" ht="12.75">
      <c r="A34" s="47" t="s">
        <v>155</v>
      </c>
      <c r="B34" s="48"/>
      <c r="C34" s="48"/>
      <c r="D34" s="48"/>
      <c r="E34" s="48"/>
      <c r="F34" s="48"/>
      <c r="G34" s="48"/>
      <c r="H34" s="82"/>
      <c r="M34" s="85"/>
      <c r="P34" s="52"/>
      <c r="Q34" s="7"/>
      <c r="AC34" s="15"/>
      <c r="AD34" s="15"/>
      <c r="AE34" s="19"/>
      <c r="AF34" s="7"/>
      <c r="AG34" s="7"/>
      <c r="AH34" s="17"/>
      <c r="AI34" s="16"/>
      <c r="AK34" s="14"/>
      <c r="AL34" s="15"/>
      <c r="AN34" s="16"/>
      <c r="AO34" s="7"/>
      <c r="AP34" s="7"/>
      <c r="AQ34" s="7"/>
      <c r="AR34" s="7"/>
      <c r="AS34" s="7"/>
      <c r="AT34" s="7"/>
      <c r="AU34" s="13"/>
      <c r="AV34" s="7"/>
      <c r="AW34" s="7"/>
      <c r="AX34" s="29"/>
      <c r="AY34" s="85"/>
      <c r="AZ34" s="85"/>
      <c r="BA34" s="85"/>
      <c r="BB34" s="48"/>
      <c r="BC34" s="48"/>
    </row>
    <row r="35" spans="1:55" ht="12.75">
      <c r="A35" s="47" t="s">
        <v>150</v>
      </c>
      <c r="B35" s="48"/>
      <c r="C35" s="48"/>
      <c r="D35" s="48"/>
      <c r="E35" s="48"/>
      <c r="F35" s="48"/>
      <c r="G35" s="48"/>
      <c r="H35" s="82"/>
      <c r="M35" s="85"/>
      <c r="P35" s="53"/>
      <c r="Q35" s="7"/>
      <c r="V35" s="7"/>
      <c r="W35" s="13"/>
      <c r="X35" s="15"/>
      <c r="AE35" s="19"/>
      <c r="AF35" s="7"/>
      <c r="AG35" s="7"/>
      <c r="AH35" s="17"/>
      <c r="AI35" s="16"/>
      <c r="AK35" s="14"/>
      <c r="AL35" s="15"/>
      <c r="AN35" s="16"/>
      <c r="AO35" s="7"/>
      <c r="AP35" s="7"/>
      <c r="AQ35" s="7"/>
      <c r="AR35" s="7"/>
      <c r="AS35" s="7"/>
      <c r="AT35" s="7"/>
      <c r="AU35" s="13"/>
      <c r="AV35" s="7"/>
      <c r="AW35" s="7"/>
      <c r="AX35" s="29"/>
      <c r="AY35" s="85"/>
      <c r="AZ35" s="85"/>
      <c r="BA35" s="85"/>
      <c r="BB35" s="48"/>
      <c r="BC35" s="48"/>
    </row>
    <row r="36" spans="1:55" ht="12.75">
      <c r="A36" s="83" t="s">
        <v>151</v>
      </c>
      <c r="B36" s="48"/>
      <c r="C36" s="48"/>
      <c r="D36" s="48"/>
      <c r="E36" s="48"/>
      <c r="F36" s="48"/>
      <c r="G36" s="48"/>
      <c r="H36" s="82"/>
      <c r="M36" s="85"/>
      <c r="P36" s="29"/>
      <c r="AQ36" s="7"/>
      <c r="AR36" s="7"/>
      <c r="AS36" s="7"/>
      <c r="AU36" s="7"/>
      <c r="AV36" s="7"/>
      <c r="AX36" s="29"/>
      <c r="AY36" s="85"/>
      <c r="AZ36" s="85"/>
      <c r="BA36" s="85"/>
      <c r="BB36" s="48"/>
      <c r="BC36" s="48"/>
    </row>
    <row r="37" spans="1:55" ht="12.75">
      <c r="A37" s="83" t="s">
        <v>152</v>
      </c>
      <c r="B37" s="48"/>
      <c r="C37" s="48"/>
      <c r="D37" s="48"/>
      <c r="E37" s="48"/>
      <c r="F37" s="48"/>
      <c r="G37" s="48"/>
      <c r="H37" s="82"/>
      <c r="M37" s="85"/>
      <c r="AQ37" s="7"/>
      <c r="AR37" s="7"/>
      <c r="AS37" s="7"/>
      <c r="AU37" s="7"/>
      <c r="AV37" s="7"/>
      <c r="AY37" s="85"/>
      <c r="AZ37" s="85"/>
      <c r="BA37" s="85"/>
      <c r="BB37" s="48"/>
      <c r="BC37" s="48"/>
    </row>
    <row r="38" spans="1:54" ht="12.75">
      <c r="A38" s="88"/>
      <c r="C38" s="52"/>
      <c r="D38" s="79"/>
      <c r="E38" s="87"/>
      <c r="F38" s="74"/>
      <c r="G38" s="74"/>
      <c r="H38" s="82"/>
      <c r="M38" s="85"/>
      <c r="AQ38" s="7"/>
      <c r="AR38" s="7"/>
      <c r="AS38" s="7"/>
      <c r="AU38" s="7"/>
      <c r="AV38" s="7"/>
      <c r="AY38" s="85"/>
      <c r="AZ38" s="85"/>
      <c r="BA38" s="85"/>
      <c r="BB38" s="48"/>
    </row>
    <row r="39" spans="1:54" ht="12.75">
      <c r="A39" s="88"/>
      <c r="C39" s="52"/>
      <c r="D39" s="79"/>
      <c r="E39" s="87"/>
      <c r="F39" s="74"/>
      <c r="G39" s="74"/>
      <c r="H39" s="82"/>
      <c r="M39" s="85"/>
      <c r="AQ39" s="7"/>
      <c r="AR39" s="7"/>
      <c r="AS39" s="7"/>
      <c r="AU39" s="7"/>
      <c r="AV39" s="7"/>
      <c r="AY39" s="85"/>
      <c r="AZ39" s="85"/>
      <c r="BA39" s="85"/>
      <c r="BB39" s="48"/>
    </row>
    <row r="40" spans="1:54" ht="12.75">
      <c r="A40" s="88"/>
      <c r="C40" s="52"/>
      <c r="D40" s="79"/>
      <c r="E40" s="87"/>
      <c r="F40" s="74"/>
      <c r="G40" s="74"/>
      <c r="H40" s="82"/>
      <c r="M40" s="85"/>
      <c r="AY40" s="85"/>
      <c r="AZ40" s="85"/>
      <c r="BA40" s="48"/>
      <c r="BB40" s="48"/>
    </row>
    <row r="41" spans="1:54" ht="12.75">
      <c r="A41" s="89"/>
      <c r="D41" s="52"/>
      <c r="E41" s="87"/>
      <c r="F41" s="74"/>
      <c r="G41" s="74"/>
      <c r="H41" s="82"/>
      <c r="M41" s="85"/>
      <c r="AY41" s="85"/>
      <c r="AZ41" s="85"/>
      <c r="BB41" s="48"/>
    </row>
    <row r="42" spans="1:54" ht="12.75">
      <c r="A42" s="90"/>
      <c r="D42" s="74"/>
      <c r="E42" s="87"/>
      <c r="F42" s="74"/>
      <c r="G42" s="74"/>
      <c r="I42" s="48"/>
      <c r="M42" s="85"/>
      <c r="BB42" s="48"/>
    </row>
    <row r="43" spans="1:54" ht="12.75">
      <c r="A43" s="88"/>
      <c r="F43" s="87"/>
      <c r="G43" s="87"/>
      <c r="I43" s="48"/>
      <c r="M43" s="85"/>
      <c r="BB43" s="48"/>
    </row>
    <row r="44" spans="1:13" ht="12.75">
      <c r="A44" s="88"/>
      <c r="D44" s="52"/>
      <c r="E44" s="74"/>
      <c r="F44" s="74"/>
      <c r="G44" s="74"/>
      <c r="I44" s="48"/>
      <c r="M44" s="85"/>
    </row>
    <row r="45" spans="4:7" ht="12.75">
      <c r="D45" s="52"/>
      <c r="E45" s="74"/>
      <c r="F45" s="74"/>
      <c r="G45" s="74"/>
    </row>
  </sheetData>
  <sheetProtection/>
  <mergeCells count="1">
    <mergeCell ref="A24:G26"/>
  </mergeCells>
  <printOptions horizontalCentered="1"/>
  <pageMargins left="0.27" right="0.17" top="0.87" bottom="0.73" header="0.5118110236220472" footer="0.49"/>
  <pageSetup fitToHeight="1" fitToWidth="1" horizontalDpi="600" verticalDpi="600" orientation="landscape" paperSize="9" scale="24" r:id="rId3"/>
  <headerFooter alignWithMargins="0">
    <oddFooter>&amp;C&amp;F,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1</cp:lastModifiedBy>
  <cp:lastPrinted>2012-06-14T10:06:23Z</cp:lastPrinted>
  <dcterms:created xsi:type="dcterms:W3CDTF">2008-12-06T07:55:45Z</dcterms:created>
  <dcterms:modified xsi:type="dcterms:W3CDTF">2012-09-10T12:43:12Z</dcterms:modified>
  <cp:category/>
  <cp:version/>
  <cp:contentType/>
  <cp:contentStatus/>
</cp:coreProperties>
</file>