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8960" windowHeight="8070" tabRatio="816" activeTab="6"/>
  </bookViews>
  <sheets>
    <sheet name="Title" sheetId="1" r:id="rId1"/>
    <sheet name="Default Data" sheetId="2" r:id="rId2"/>
    <sheet name="Furnaces (SP1)" sheetId="3" r:id="rId3"/>
    <sheet name="Vacuumator  (SP2)" sheetId="4" r:id="rId4"/>
    <sheet name="Ladle Furnace (SP3)" sheetId="5" r:id="rId5"/>
    <sheet name="Press (SP4) " sheetId="6" r:id="rId6"/>
    <sheet name="ER 2Q2010" sheetId="7" r:id="rId7"/>
  </sheets>
  <definedNames>
    <definedName name="OLE_LINK1" localSheetId="2">'Furnaces (SP1)'!#REF!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B5" authorId="0">
      <text>
        <r>
          <rPr>
            <b/>
            <sz val="10"/>
            <rFont val="Tahoma"/>
            <family val="0"/>
          </rPr>
          <t>Your User Name:</t>
        </r>
        <r>
          <rPr>
            <sz val="10"/>
            <rFont val="Tahoma"/>
            <family val="0"/>
          </rPr>
          <t xml:space="preserve">
data from "spravka"</t>
        </r>
      </text>
    </comment>
    <comment ref="E51" authorId="0">
      <text>
        <r>
          <rPr>
            <b/>
            <sz val="10"/>
            <rFont val="Tahoma"/>
            <family val="0"/>
          </rPr>
          <t>Your User Name:</t>
        </r>
        <r>
          <rPr>
            <sz val="10"/>
            <rFont val="Tahoma"/>
            <family val="0"/>
          </rPr>
          <t xml:space="preserve">
data from spravka
</t>
        </r>
      </text>
    </comment>
  </commentList>
</comments>
</file>

<file path=xl/sharedStrings.xml><?xml version="1.0" encoding="utf-8"?>
<sst xmlns="http://schemas.openxmlformats.org/spreadsheetml/2006/main" count="299" uniqueCount="108">
  <si>
    <t xml:space="preserve"> </t>
  </si>
  <si>
    <t>tCO2/GJ</t>
  </si>
  <si>
    <t>tCO2/MWh</t>
  </si>
  <si>
    <t>Natural gas LCV (GJ/1000Nm3)</t>
  </si>
  <si>
    <t>Transformers conversion factors</t>
  </si>
  <si>
    <t>EAF 50</t>
  </si>
  <si>
    <t>current transformer factor</t>
  </si>
  <si>
    <t>voltage transformer factor</t>
  </si>
  <si>
    <t>overall conversion factor</t>
  </si>
  <si>
    <t>EAF 100 #3</t>
  </si>
  <si>
    <t>EAF 100 #5</t>
  </si>
  <si>
    <t>LF</t>
  </si>
  <si>
    <t>Emission factors</t>
  </si>
  <si>
    <t>Natural gas</t>
  </si>
  <si>
    <t>electricity</t>
  </si>
  <si>
    <t>thermal #9,TS</t>
  </si>
  <si>
    <t>thermal #10, TS</t>
  </si>
  <si>
    <t>thermal #1, TS</t>
  </si>
  <si>
    <t>thermal #2, TS</t>
  </si>
  <si>
    <t>heating #10, FPS</t>
  </si>
  <si>
    <t>heating #9, FPS</t>
  </si>
  <si>
    <t>heating #8, FPS</t>
  </si>
  <si>
    <t>heating #7, FPS</t>
  </si>
  <si>
    <t>thermal #30, FPS</t>
  </si>
  <si>
    <t>thermal #18, FPS</t>
  </si>
  <si>
    <t>tonnes</t>
  </si>
  <si>
    <t>Nm3</t>
  </si>
  <si>
    <t>Project emissions</t>
  </si>
  <si>
    <t>tCO2</t>
  </si>
  <si>
    <t>Natural Gas consumpton and semi-products production</t>
  </si>
  <si>
    <t>Grand Total</t>
  </si>
  <si>
    <t>Furnace</t>
  </si>
  <si>
    <t>m3/t</t>
  </si>
  <si>
    <t>Baseline emissions</t>
  </si>
  <si>
    <t>Emission reductions</t>
  </si>
  <si>
    <t>Emission Reductions</t>
  </si>
  <si>
    <t>Month</t>
  </si>
  <si>
    <t xml:space="preserve">Vacuumed steel </t>
  </si>
  <si>
    <t>Baseline heat</t>
  </si>
  <si>
    <t>Baseline electricity</t>
  </si>
  <si>
    <t>Project Electricity consumption</t>
  </si>
  <si>
    <t>[t]</t>
  </si>
  <si>
    <t>MWh</t>
  </si>
  <si>
    <t>Total</t>
  </si>
  <si>
    <t>[tCO2]</t>
  </si>
  <si>
    <t>Baseline specific NG consumption for the SP1, [m3/t ]steel]</t>
  </si>
  <si>
    <t>Baseline factors for the SP2</t>
  </si>
  <si>
    <t>efficiency of the coal boilers</t>
  </si>
  <si>
    <t>%</t>
  </si>
  <si>
    <t>coal</t>
  </si>
  <si>
    <t>GJ/t</t>
  </si>
  <si>
    <t>specific electricity consumption</t>
  </si>
  <si>
    <t>specific heat consumption</t>
  </si>
  <si>
    <t>MWh/t</t>
  </si>
  <si>
    <t>Baseline factors for the SP3</t>
  </si>
  <si>
    <t>conversion factor kcal to MJ</t>
  </si>
  <si>
    <t>Baseline emissions, [tCO2]</t>
  </si>
  <si>
    <t>Project emissions, [tCO2]</t>
  </si>
  <si>
    <t>ER, [tCO2]</t>
  </si>
  <si>
    <t>working hours, [h]</t>
  </si>
  <si>
    <t>Electricity consumption, [MWh]</t>
  </si>
  <si>
    <t>installed capacity of the press’ serving motors before reconstruction</t>
  </si>
  <si>
    <t>MW</t>
  </si>
  <si>
    <t>Baseline factors for the SP4</t>
  </si>
  <si>
    <t>SP1</t>
  </si>
  <si>
    <t>SP2</t>
  </si>
  <si>
    <t>SP3</t>
  </si>
  <si>
    <t>SP4</t>
  </si>
  <si>
    <t xml:space="preserve">Project emissions </t>
  </si>
  <si>
    <t>thermal #19, FPS</t>
  </si>
  <si>
    <t>thermal #20, FPS</t>
  </si>
  <si>
    <t>Electricity consumption at EAFs, [MWh]</t>
  </si>
  <si>
    <t>Electricity consumption at LF,     [MWh]</t>
  </si>
  <si>
    <t>Baseline emissions,       [tCO2]</t>
  </si>
  <si>
    <t>Project emissions,       [tCO2]</t>
  </si>
  <si>
    <t>Electrosteel,       [tonnes]</t>
  </si>
  <si>
    <t>#</t>
  </si>
  <si>
    <t>thermal    #19, FPS</t>
  </si>
  <si>
    <t>thermal    #20, FPS</t>
  </si>
  <si>
    <t>thermal #32, FPS</t>
  </si>
  <si>
    <t>thermal #31, FPS</t>
  </si>
  <si>
    <t>thermal #37, FPS</t>
  </si>
  <si>
    <t>heating  #33, FPS</t>
  </si>
  <si>
    <t>thermal  #30, FPS</t>
  </si>
  <si>
    <t>thermal  #18, FPS</t>
  </si>
  <si>
    <t>thermal  #19, FPS</t>
  </si>
  <si>
    <t>thermal  #20, FPS</t>
  </si>
  <si>
    <t>thermal  #32, FPS</t>
  </si>
  <si>
    <t>thermal  #37, FPS</t>
  </si>
  <si>
    <t>heating    #33, FPS</t>
  </si>
  <si>
    <t>heating #33, FPS</t>
  </si>
  <si>
    <t>thermal    #32, FPS</t>
  </si>
  <si>
    <t>thermal    #37, FPS</t>
  </si>
  <si>
    <t>thermal    #21, FPS</t>
  </si>
  <si>
    <t>thermal #21, FPS</t>
  </si>
  <si>
    <t>thermal #4, TS</t>
  </si>
  <si>
    <t>heating #34, FPS</t>
  </si>
  <si>
    <t>heating #35, FPS</t>
  </si>
  <si>
    <t xml:space="preserve">Total           </t>
  </si>
  <si>
    <t>heating #36, FPS</t>
  </si>
  <si>
    <t>Apr</t>
  </si>
  <si>
    <t>May</t>
  </si>
  <si>
    <t>Jun</t>
  </si>
  <si>
    <t>thermal #38, FPS</t>
  </si>
  <si>
    <t>Total 2Q2010           (3months)</t>
  </si>
  <si>
    <t>Total 2Q2010</t>
  </si>
  <si>
    <t>heating #38, FPS</t>
  </si>
  <si>
    <t>thermal  #21(31), FPS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</si>
</sst>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0.0"/>
    <numFmt numFmtId="166" formatCode="#,##0.000"/>
    <numFmt numFmtId="167" formatCode="0.000"/>
    <numFmt numFmtId="168" formatCode="0.0000"/>
    <numFmt numFmtId="169" formatCode="0.0000000"/>
    <numFmt numFmtId="170" formatCode="[$-FC19]d\ mmmm\ yyyy\ &quot;г.&quot;"/>
    <numFmt numFmtId="17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2"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2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64" fontId="2" fillId="0" borderId="21" xfId="0" applyFont="1" applyBorder="1" applyAlignment="1">
      <alignment horizontal="justify" vertical="justify" wrapText="1"/>
    </xf>
    <xf numFmtId="164" fontId="2" fillId="0" borderId="21" xfId="0" applyFont="1" applyFill="1" applyBorder="1" applyAlignment="1">
      <alignment horizontal="justify" vertical="justify" wrapText="1"/>
    </xf>
    <xf numFmtId="3" fontId="0" fillId="0" borderId="23" xfId="0" applyNumberFormat="1" applyBorder="1" applyAlignment="1">
      <alignment/>
    </xf>
    <xf numFmtId="164" fontId="2" fillId="33" borderId="24" xfId="0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4" fontId="0" fillId="0" borderId="0" xfId="0" applyFill="1" applyAlignment="1">
      <alignment/>
    </xf>
    <xf numFmtId="164" fontId="2" fillId="0" borderId="11" xfId="0" applyFont="1" applyBorder="1" applyAlignment="1">
      <alignment horizontal="center"/>
    </xf>
    <xf numFmtId="164" fontId="4" fillId="0" borderId="0" xfId="55" applyFill="1">
      <alignment/>
      <protection/>
    </xf>
    <xf numFmtId="164" fontId="5" fillId="0" borderId="0" xfId="55" applyFont="1" applyFill="1">
      <alignment/>
      <protection/>
    </xf>
    <xf numFmtId="164" fontId="6" fillId="0" borderId="0" xfId="55" applyFont="1" applyFill="1" applyBorder="1">
      <alignment/>
      <protection/>
    </xf>
    <xf numFmtId="164" fontId="6" fillId="0" borderId="27" xfId="55" applyFont="1" applyFill="1" applyBorder="1">
      <alignment/>
      <protection/>
    </xf>
    <xf numFmtId="1" fontId="6" fillId="0" borderId="0" xfId="55" applyNumberFormat="1" applyFont="1" applyFill="1" applyBorder="1">
      <alignment/>
      <protection/>
    </xf>
    <xf numFmtId="1" fontId="7" fillId="0" borderId="0" xfId="55" applyNumberFormat="1" applyFont="1" applyFill="1" applyBorder="1">
      <alignment/>
      <protection/>
    </xf>
    <xf numFmtId="1" fontId="7" fillId="0" borderId="0" xfId="55" applyNumberFormat="1" applyFont="1" applyFill="1">
      <alignment/>
      <protection/>
    </xf>
    <xf numFmtId="164" fontId="0" fillId="0" borderId="28" xfId="0" applyBorder="1" applyAlignment="1">
      <alignment/>
    </xf>
    <xf numFmtId="10" fontId="0" fillId="0" borderId="13" xfId="0" applyNumberFormat="1" applyBorder="1" applyAlignment="1">
      <alignment/>
    </xf>
    <xf numFmtId="164" fontId="0" fillId="0" borderId="29" xfId="0" applyBorder="1" applyAlignment="1">
      <alignment/>
    </xf>
    <xf numFmtId="164" fontId="6" fillId="0" borderId="10" xfId="55" applyFont="1" applyFill="1" applyBorder="1">
      <alignment/>
      <protection/>
    </xf>
    <xf numFmtId="164" fontId="7" fillId="0" borderId="19" xfId="55" applyFont="1" applyFill="1" applyBorder="1" applyAlignment="1">
      <alignment horizontal="right"/>
      <protection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 horizontal="center"/>
    </xf>
    <xf numFmtId="164" fontId="2" fillId="0" borderId="32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/>
    </xf>
    <xf numFmtId="164" fontId="0" fillId="0" borderId="0" xfId="0" applyAlignment="1">
      <alignment horizontal="right" vertical="center"/>
    </xf>
    <xf numFmtId="164" fontId="0" fillId="0" borderId="33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27" xfId="0" applyNumberFormat="1" applyBorder="1" applyAlignment="1">
      <alignment/>
    </xf>
    <xf numFmtId="164" fontId="2" fillId="0" borderId="33" xfId="0" applyFont="1" applyBorder="1" applyAlignment="1">
      <alignment/>
    </xf>
    <xf numFmtId="3" fontId="0" fillId="0" borderId="12" xfId="0" applyNumberFormat="1" applyBorder="1" applyAlignment="1">
      <alignment/>
    </xf>
    <xf numFmtId="164" fontId="2" fillId="0" borderId="34" xfId="0" applyFont="1" applyBorder="1" applyAlignment="1">
      <alignment horizontal="justify" vertical="justify" wrapText="1"/>
    </xf>
    <xf numFmtId="3" fontId="41" fillId="33" borderId="35" xfId="0" applyNumberFormat="1" applyFont="1" applyFill="1" applyBorder="1" applyAlignment="1">
      <alignment/>
    </xf>
    <xf numFmtId="3" fontId="41" fillId="33" borderId="36" xfId="0" applyNumberFormat="1" applyFont="1" applyFill="1" applyBorder="1" applyAlignment="1">
      <alignment/>
    </xf>
    <xf numFmtId="164" fontId="2" fillId="0" borderId="34" xfId="0" applyFont="1" applyBorder="1" applyAlignment="1">
      <alignment horizontal="center" vertical="center"/>
    </xf>
    <xf numFmtId="164" fontId="0" fillId="34" borderId="13" xfId="0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justify" vertical="justify" wrapText="1"/>
    </xf>
    <xf numFmtId="164" fontId="2" fillId="0" borderId="17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0" fillId="0" borderId="15" xfId="0" applyBorder="1" applyAlignment="1">
      <alignment horizontal="left" vertical="center"/>
    </xf>
    <xf numFmtId="164" fontId="0" fillId="0" borderId="33" xfId="0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12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2" fillId="0" borderId="38" xfId="0" applyFont="1" applyBorder="1" applyAlignment="1">
      <alignment horizontal="justify" vertical="justify" wrapText="1"/>
    </xf>
    <xf numFmtId="2" fontId="0" fillId="0" borderId="0" xfId="0" applyNumberFormat="1" applyAlignment="1">
      <alignment/>
    </xf>
    <xf numFmtId="2" fontId="0" fillId="0" borderId="39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164" fontId="0" fillId="0" borderId="14" xfId="0" applyFill="1" applyBorder="1" applyAlignment="1">
      <alignment vertical="justify" wrapText="1"/>
    </xf>
    <xf numFmtId="164" fontId="0" fillId="0" borderId="15" xfId="0" applyFill="1" applyBorder="1" applyAlignment="1">
      <alignment vertical="justify" wrapText="1"/>
    </xf>
    <xf numFmtId="164" fontId="0" fillId="0" borderId="42" xfId="0" applyFill="1" applyBorder="1" applyAlignment="1">
      <alignment/>
    </xf>
    <xf numFmtId="164" fontId="0" fillId="0" borderId="43" xfId="0" applyFill="1" applyBorder="1" applyAlignment="1">
      <alignment/>
    </xf>
    <xf numFmtId="164" fontId="0" fillId="0" borderId="15" xfId="0" applyFill="1" applyBorder="1" applyAlignment="1">
      <alignment horizontal="center" vertical="center"/>
    </xf>
    <xf numFmtId="164" fontId="0" fillId="0" borderId="44" xfId="0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0" fillId="0" borderId="45" xfId="0" applyFill="1" applyBorder="1" applyAlignment="1">
      <alignment horizontal="center" vertical="center"/>
    </xf>
    <xf numFmtId="164" fontId="0" fillId="0" borderId="16" xfId="0" applyFill="1" applyBorder="1" applyAlignment="1">
      <alignment horizontal="center" vertical="center"/>
    </xf>
    <xf numFmtId="164" fontId="0" fillId="0" borderId="37" xfId="0" applyFill="1" applyBorder="1" applyAlignment="1">
      <alignment horizontal="center" vertical="center"/>
    </xf>
    <xf numFmtId="164" fontId="0" fillId="0" borderId="46" xfId="0" applyFill="1" applyBorder="1" applyAlignment="1">
      <alignment/>
    </xf>
    <xf numFmtId="164" fontId="0" fillId="0" borderId="47" xfId="0" applyFill="1" applyBorder="1" applyAlignment="1">
      <alignment/>
    </xf>
    <xf numFmtId="164" fontId="2" fillId="0" borderId="24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68" fontId="0" fillId="0" borderId="26" xfId="0" applyNumberFormat="1" applyBorder="1" applyAlignment="1">
      <alignment/>
    </xf>
    <xf numFmtId="167" fontId="0" fillId="0" borderId="26" xfId="0" applyNumberFormat="1" applyBorder="1" applyAlignment="1">
      <alignment/>
    </xf>
    <xf numFmtId="169" fontId="0" fillId="0" borderId="26" xfId="0" applyNumberFormat="1" applyBorder="1" applyAlignment="1">
      <alignment/>
    </xf>
    <xf numFmtId="0" fontId="0" fillId="0" borderId="0" xfId="0" applyNumberFormat="1" applyAlignment="1">
      <alignment horizontal="right" vertical="center"/>
    </xf>
    <xf numFmtId="164" fontId="0" fillId="0" borderId="0" xfId="0" applyFill="1" applyBorder="1" applyAlignment="1">
      <alignment vertical="justify" wrapText="1"/>
    </xf>
    <xf numFmtId="165" fontId="0" fillId="0" borderId="0" xfId="0" applyNumberFormat="1" applyBorder="1" applyAlignment="1">
      <alignment/>
    </xf>
    <xf numFmtId="164" fontId="0" fillId="0" borderId="50" xfId="0" applyFill="1" applyBorder="1" applyAlignment="1">
      <alignment vertical="justify" wrapText="1"/>
    </xf>
    <xf numFmtId="164" fontId="2" fillId="0" borderId="18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164" fontId="2" fillId="0" borderId="18" xfId="0" applyFont="1" applyBorder="1" applyAlignment="1">
      <alignment horizontal="justify" vertical="justify" wrapText="1"/>
    </xf>
    <xf numFmtId="164" fontId="2" fillId="0" borderId="19" xfId="0" applyFont="1" applyFill="1" applyBorder="1" applyAlignment="1">
      <alignment horizontal="justify" vertical="justify" wrapText="1"/>
    </xf>
    <xf numFmtId="164" fontId="2" fillId="0" borderId="26" xfId="0" applyFont="1" applyFill="1" applyBorder="1" applyAlignment="1">
      <alignment horizontal="justify" vertical="justify" wrapText="1"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26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164" fontId="2" fillId="0" borderId="45" xfId="0" applyFont="1" applyBorder="1" applyAlignment="1">
      <alignment/>
    </xf>
    <xf numFmtId="164" fontId="2" fillId="0" borderId="52" xfId="0" applyFont="1" applyBorder="1" applyAlignment="1">
      <alignment horizontal="center" vertical="center"/>
    </xf>
    <xf numFmtId="164" fontId="2" fillId="0" borderId="53" xfId="0" applyFont="1" applyBorder="1" applyAlignment="1">
      <alignment horizontal="center" vertical="center"/>
    </xf>
    <xf numFmtId="164" fontId="0" fillId="0" borderId="15" xfId="0" applyFill="1" applyBorder="1" applyAlignment="1">
      <alignment/>
    </xf>
    <xf numFmtId="164" fontId="0" fillId="0" borderId="20" xfId="0" applyFill="1" applyBorder="1" applyAlignment="1">
      <alignment horizontal="center" vertical="center"/>
    </xf>
    <xf numFmtId="164" fontId="0" fillId="0" borderId="30" xfId="0" applyFill="1" applyBorder="1" applyAlignment="1">
      <alignment/>
    </xf>
    <xf numFmtId="164" fontId="0" fillId="0" borderId="40" xfId="0" applyFill="1" applyBorder="1" applyAlignment="1">
      <alignment/>
    </xf>
    <xf numFmtId="164" fontId="0" fillId="0" borderId="41" xfId="0" applyFill="1" applyBorder="1" applyAlignment="1">
      <alignment/>
    </xf>
    <xf numFmtId="2" fontId="2" fillId="0" borderId="54" xfId="0" applyNumberFormat="1" applyFont="1" applyFill="1" applyBorder="1" applyAlignment="1">
      <alignment horizontal="center" vertical="center"/>
    </xf>
    <xf numFmtId="166" fontId="0" fillId="0" borderId="27" xfId="0" applyNumberFormat="1" applyFont="1" applyBorder="1" applyAlignment="1">
      <alignment/>
    </xf>
    <xf numFmtId="3" fontId="41" fillId="33" borderId="51" xfId="0" applyNumberFormat="1" applyFont="1" applyFill="1" applyBorder="1" applyAlignment="1">
      <alignment/>
    </xf>
    <xf numFmtId="3" fontId="41" fillId="33" borderId="23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41" xfId="0" applyNumberFormat="1" applyBorder="1" applyAlignment="1">
      <alignment/>
    </xf>
    <xf numFmtId="164" fontId="41" fillId="0" borderId="24" xfId="0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1" fillId="33" borderId="35" xfId="0" applyNumberFormat="1" applyFont="1" applyFill="1" applyBorder="1" applyAlignment="1">
      <alignment/>
    </xf>
    <xf numFmtId="3" fontId="41" fillId="33" borderId="36" xfId="0" applyNumberFormat="1" applyFont="1" applyFill="1" applyBorder="1" applyAlignment="1">
      <alignment/>
    </xf>
    <xf numFmtId="3" fontId="41" fillId="0" borderId="34" xfId="0" applyNumberFormat="1" applyFont="1" applyBorder="1" applyAlignment="1">
      <alignment/>
    </xf>
    <xf numFmtId="3" fontId="41" fillId="33" borderId="57" xfId="0" applyNumberFormat="1" applyFont="1" applyFill="1" applyBorder="1" applyAlignment="1">
      <alignment/>
    </xf>
    <xf numFmtId="164" fontId="41" fillId="0" borderId="24" xfId="0" applyFont="1" applyBorder="1" applyAlignment="1">
      <alignment/>
    </xf>
    <xf numFmtId="3" fontId="41" fillId="0" borderId="34" xfId="0" applyNumberFormat="1" applyFont="1" applyBorder="1" applyAlignment="1">
      <alignment/>
    </xf>
    <xf numFmtId="3" fontId="41" fillId="33" borderId="57" xfId="0" applyNumberFormat="1" applyFont="1" applyFill="1" applyBorder="1" applyAlignment="1">
      <alignment/>
    </xf>
    <xf numFmtId="164" fontId="7" fillId="0" borderId="25" xfId="55" applyFont="1" applyFill="1" applyBorder="1">
      <alignment/>
      <protection/>
    </xf>
    <xf numFmtId="3" fontId="2" fillId="0" borderId="34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3" fontId="2" fillId="33" borderId="57" xfId="0" applyNumberFormat="1" applyFont="1" applyFill="1" applyBorder="1" applyAlignment="1">
      <alignment/>
    </xf>
    <xf numFmtId="165" fontId="0" fillId="16" borderId="58" xfId="0" applyNumberFormat="1" applyFill="1" applyBorder="1" applyAlignment="1">
      <alignment/>
    </xf>
    <xf numFmtId="165" fontId="0" fillId="18" borderId="13" xfId="0" applyNumberFormat="1" applyFill="1" applyBorder="1" applyAlignment="1">
      <alignment/>
    </xf>
    <xf numFmtId="165" fontId="0" fillId="18" borderId="23" xfId="0" applyNumberFormat="1" applyFill="1" applyBorder="1" applyAlignment="1">
      <alignment/>
    </xf>
    <xf numFmtId="164" fontId="2" fillId="0" borderId="59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left" vertical="center" wrapText="1"/>
    </xf>
    <xf numFmtId="164" fontId="0" fillId="0" borderId="18" xfId="0" applyBorder="1" applyAlignment="1">
      <alignment horizontal="left" vertical="center"/>
    </xf>
    <xf numFmtId="164" fontId="0" fillId="0" borderId="19" xfId="0" applyBorder="1" applyAlignment="1">
      <alignment horizontal="left" vertical="center"/>
    </xf>
    <xf numFmtId="164" fontId="0" fillId="0" borderId="11" xfId="0" applyBorder="1" applyAlignment="1">
      <alignment horizontal="left" vertical="center" wrapText="1"/>
    </xf>
    <xf numFmtId="164" fontId="0" fillId="0" borderId="12" xfId="0" applyBorder="1" applyAlignment="1">
      <alignment horizontal="left" vertical="center" wrapText="1"/>
    </xf>
    <xf numFmtId="164" fontId="0" fillId="0" borderId="15" xfId="0" applyBorder="1" applyAlignment="1">
      <alignment horizontal="left" vertical="center" wrapText="1"/>
    </xf>
    <xf numFmtId="164" fontId="0" fillId="0" borderId="33" xfId="0" applyBorder="1" applyAlignment="1">
      <alignment horizontal="left" vertical="center" wrapText="1"/>
    </xf>
    <xf numFmtId="164" fontId="0" fillId="0" borderId="60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2" fontId="0" fillId="0" borderId="61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164" fontId="0" fillId="0" borderId="11" xfId="0" applyBorder="1" applyAlignment="1">
      <alignment horizontal="left" vertical="center"/>
    </xf>
    <xf numFmtId="164" fontId="0" fillId="0" borderId="12" xfId="0" applyBorder="1" applyAlignment="1">
      <alignment horizontal="left" vertical="center"/>
    </xf>
    <xf numFmtId="164" fontId="0" fillId="0" borderId="14" xfId="0" applyBorder="1" applyAlignment="1">
      <alignment horizontal="left" vertical="center"/>
    </xf>
    <xf numFmtId="164" fontId="0" fillId="0" borderId="10" xfId="0" applyBorder="1" applyAlignment="1">
      <alignment horizontal="left" vertical="center"/>
    </xf>
    <xf numFmtId="164" fontId="41" fillId="0" borderId="11" xfId="0" applyFont="1" applyFill="1" applyBorder="1" applyAlignment="1">
      <alignment horizontal="center"/>
    </xf>
    <xf numFmtId="164" fontId="41" fillId="0" borderId="13" xfId="0" applyFont="1" applyFill="1" applyBorder="1" applyAlignment="1">
      <alignment horizontal="center"/>
    </xf>
    <xf numFmtId="164" fontId="41" fillId="0" borderId="42" xfId="0" applyFont="1" applyFill="1" applyBorder="1" applyAlignment="1">
      <alignment horizontal="center"/>
    </xf>
    <xf numFmtId="164" fontId="41" fillId="0" borderId="55" xfId="0" applyFont="1" applyFill="1" applyBorder="1" applyAlignment="1">
      <alignment horizontal="center"/>
    </xf>
    <xf numFmtId="164" fontId="41" fillId="0" borderId="62" xfId="0" applyFont="1" applyFill="1" applyBorder="1" applyAlignment="1">
      <alignment horizontal="center"/>
    </xf>
    <xf numFmtId="164" fontId="41" fillId="0" borderId="42" xfId="0" applyFont="1" applyFill="1" applyBorder="1" applyAlignment="1">
      <alignment horizontal="center" vertical="justify"/>
    </xf>
    <xf numFmtId="164" fontId="41" fillId="0" borderId="55" xfId="0" applyFont="1" applyFill="1" applyBorder="1" applyAlignment="1">
      <alignment horizontal="center" vertical="justify"/>
    </xf>
    <xf numFmtId="164" fontId="3" fillId="0" borderId="59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33" borderId="24" xfId="0" applyFont="1" applyFill="1" applyBorder="1" applyAlignment="1">
      <alignment horizontal="center"/>
    </xf>
    <xf numFmtId="164" fontId="2" fillId="33" borderId="57" xfId="0" applyFont="1" applyFill="1" applyBorder="1" applyAlignment="1">
      <alignment horizontal="center"/>
    </xf>
    <xf numFmtId="165" fontId="0" fillId="0" borderId="51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44" xfId="0" applyNumberFormat="1" applyFill="1" applyBorder="1" applyAlignment="1">
      <alignment/>
    </xf>
    <xf numFmtId="3" fontId="2" fillId="33" borderId="24" xfId="0" applyNumberFormat="1" applyFont="1" applyFill="1" applyBorder="1" applyAlignment="1">
      <alignment horizontal="right"/>
    </xf>
    <xf numFmtId="3" fontId="2" fillId="33" borderId="63" xfId="0" applyNumberFormat="1" applyFont="1" applyFill="1" applyBorder="1" applyAlignment="1">
      <alignment horizontal="right"/>
    </xf>
    <xf numFmtId="3" fontId="2" fillId="33" borderId="57" xfId="0" applyNumberFormat="1" applyFont="1" applyFill="1" applyBorder="1" applyAlignment="1">
      <alignment horizontal="right"/>
    </xf>
    <xf numFmtId="167" fontId="26" fillId="0" borderId="30" xfId="0" applyNumberFormat="1" applyFont="1" applyFill="1" applyBorder="1" applyAlignment="1">
      <alignment/>
    </xf>
    <xf numFmtId="2" fontId="26" fillId="0" borderId="39" xfId="0" applyNumberFormat="1" applyFont="1" applyFill="1" applyBorder="1" applyAlignment="1">
      <alignment/>
    </xf>
    <xf numFmtId="167" fontId="26" fillId="0" borderId="27" xfId="0" applyNumberFormat="1" applyFont="1" applyFill="1" applyBorder="1" applyAlignment="1">
      <alignment/>
    </xf>
    <xf numFmtId="166" fontId="2" fillId="0" borderId="34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55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41" fillId="0" borderId="34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41" fillId="0" borderId="34" xfId="0" applyNumberFormat="1" applyFont="1" applyFill="1" applyBorder="1" applyAlignment="1">
      <alignment/>
    </xf>
    <xf numFmtId="2" fontId="41" fillId="0" borderId="34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A1">
      <selection activeCell="R16" sqref="R16"/>
    </sheetView>
  </sheetViews>
  <sheetFormatPr defaultColWidth="9.140625" defaultRowHeight="15"/>
  <sheetData>
    <row r="6" spans="3:12" ht="15"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3:12" ht="15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ht="15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ht="15"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3:12" ht="15"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3:12" ht="15"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3:12" ht="15"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3:12" ht="15"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3:12" ht="15"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3:12" ht="15"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3:12" ht="15"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3:12" ht="15"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3:12" ht="15"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3:12" ht="15"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3:12" ht="15"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3:12" ht="15"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3:12" ht="15"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3:12" ht="15">
      <c r="C23" s="40"/>
      <c r="D23" s="40"/>
      <c r="E23" s="40"/>
      <c r="F23" s="40"/>
      <c r="G23" s="40"/>
      <c r="H23" s="40"/>
      <c r="I23" s="40"/>
      <c r="J23" s="40"/>
      <c r="K23" s="40"/>
      <c r="L23" s="4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93344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G63"/>
  <sheetViews>
    <sheetView zoomScalePageLayoutView="0" workbookViewId="0" topLeftCell="A52">
      <selection activeCell="D30" sqref="D30"/>
    </sheetView>
  </sheetViews>
  <sheetFormatPr defaultColWidth="9.140625" defaultRowHeight="15"/>
  <cols>
    <col min="2" max="2" width="16.28125" style="0" customWidth="1"/>
    <col min="3" max="3" width="24.421875" style="0" bestFit="1" customWidth="1"/>
    <col min="4" max="4" width="24.7109375" style="0" bestFit="1" customWidth="1"/>
    <col min="5" max="5" width="23.28125" style="0" bestFit="1" customWidth="1"/>
    <col min="9" max="9" width="13.57421875" style="0" customWidth="1"/>
    <col min="10" max="11" width="12.00390625" style="0" bestFit="1" customWidth="1"/>
  </cols>
  <sheetData>
    <row r="3" spans="2:5" ht="15.75" thickBot="1">
      <c r="B3" s="158"/>
      <c r="C3" s="159"/>
      <c r="D3" s="159"/>
      <c r="E3" s="159"/>
    </row>
    <row r="4" spans="2:5" ht="60.75" thickBot="1">
      <c r="B4" s="53" t="s">
        <v>3</v>
      </c>
      <c r="C4" s="61"/>
      <c r="D4" s="61"/>
      <c r="E4" s="61"/>
    </row>
    <row r="5" spans="1:7" ht="15.75" thickBot="1">
      <c r="A5" s="1" t="s">
        <v>100</v>
      </c>
      <c r="B5" s="73">
        <f>(8094+8069+8070)/3/G5</f>
        <v>33.81956016289436</v>
      </c>
      <c r="D5" s="41" t="s">
        <v>55</v>
      </c>
      <c r="E5" s="42"/>
      <c r="F5" s="42"/>
      <c r="G5" s="96">
        <v>238.846</v>
      </c>
    </row>
    <row r="6" spans="1:2" ht="15">
      <c r="A6" s="1" t="s">
        <v>101</v>
      </c>
      <c r="B6" s="74">
        <f>(8047+8090)/2/G5</f>
        <v>33.781181179504784</v>
      </c>
    </row>
    <row r="7" spans="1:2" ht="15.75" thickBot="1">
      <c r="A7" s="1" t="s">
        <v>102</v>
      </c>
      <c r="B7" s="75">
        <f>(8109+8078+8115+8130)/4/G5</f>
        <v>33.946559707928955</v>
      </c>
    </row>
    <row r="8" ht="15">
      <c r="A8" s="1"/>
    </row>
    <row r="9" spans="2:5" ht="15.75" thickBot="1">
      <c r="B9" s="160" t="s">
        <v>4</v>
      </c>
      <c r="C9" s="160"/>
      <c r="D9" s="160"/>
      <c r="E9" s="160"/>
    </row>
    <row r="10" spans="2:5" ht="15.75" thickBot="1">
      <c r="B10" s="3"/>
      <c r="C10" s="4" t="s">
        <v>6</v>
      </c>
      <c r="D10" s="4" t="s">
        <v>7</v>
      </c>
      <c r="E10" s="5" t="s">
        <v>8</v>
      </c>
    </row>
    <row r="11" spans="2:5" ht="15.75" thickBot="1">
      <c r="B11" s="6" t="s">
        <v>5</v>
      </c>
      <c r="C11" s="97">
        <f>600/5</f>
        <v>120</v>
      </c>
      <c r="D11" s="97">
        <f>35000/100</f>
        <v>350</v>
      </c>
      <c r="E11" s="97">
        <f>C11*D11</f>
        <v>42000</v>
      </c>
    </row>
    <row r="12" spans="2:5" ht="15.75" thickBot="1">
      <c r="B12" s="6" t="s">
        <v>9</v>
      </c>
      <c r="C12" s="97">
        <f>600/5</f>
        <v>120</v>
      </c>
      <c r="D12" s="97">
        <f>35000/100</f>
        <v>350</v>
      </c>
      <c r="E12" s="97">
        <f>C12*D12</f>
        <v>42000</v>
      </c>
    </row>
    <row r="13" spans="2:5" ht="15.75" thickBot="1">
      <c r="B13" s="6" t="s">
        <v>10</v>
      </c>
      <c r="C13" s="97">
        <f>1000/5</f>
        <v>200</v>
      </c>
      <c r="D13" s="97">
        <f>35000/100</f>
        <v>350</v>
      </c>
      <c r="E13" s="97">
        <f>C13*D13</f>
        <v>70000</v>
      </c>
    </row>
    <row r="14" spans="2:5" ht="15.75" thickBot="1">
      <c r="B14" s="7" t="s">
        <v>11</v>
      </c>
      <c r="C14" s="97">
        <f>500/5</f>
        <v>100</v>
      </c>
      <c r="D14" s="97">
        <f>35000/100</f>
        <v>350</v>
      </c>
      <c r="E14" s="97">
        <f>C14*D14</f>
        <v>35000</v>
      </c>
    </row>
    <row r="16" spans="2:4" ht="15">
      <c r="B16" s="160" t="s">
        <v>12</v>
      </c>
      <c r="C16" s="160"/>
      <c r="D16" s="160"/>
    </row>
    <row r="17" ht="15.75" thickBot="1"/>
    <row r="18" spans="2:4" ht="15.75" thickBot="1">
      <c r="B18" s="3" t="s">
        <v>13</v>
      </c>
      <c r="C18" s="4" t="s">
        <v>1</v>
      </c>
      <c r="D18" s="98">
        <v>0.0561</v>
      </c>
    </row>
    <row r="19" spans="2:4" ht="15.75" thickBot="1">
      <c r="B19" s="32" t="s">
        <v>49</v>
      </c>
      <c r="C19" s="2" t="s">
        <v>1</v>
      </c>
      <c r="D19" s="98">
        <v>0.0983</v>
      </c>
    </row>
    <row r="20" spans="2:4" ht="15.75" thickBot="1">
      <c r="B20" s="7" t="s">
        <v>14</v>
      </c>
      <c r="C20" s="34" t="s">
        <v>2</v>
      </c>
      <c r="D20" s="98">
        <v>0.896</v>
      </c>
    </row>
    <row r="23" spans="2:4" ht="15">
      <c r="B23" s="161" t="s">
        <v>45</v>
      </c>
      <c r="C23" s="161"/>
      <c r="D23" s="161"/>
    </row>
    <row r="24" ht="15.75" thickBot="1"/>
    <row r="25" spans="1:3" ht="15.75" thickBot="1">
      <c r="A25" s="47" t="s">
        <v>76</v>
      </c>
      <c r="B25" s="105" t="s">
        <v>31</v>
      </c>
      <c r="C25" s="106" t="s">
        <v>32</v>
      </c>
    </row>
    <row r="26" spans="1:3" ht="30">
      <c r="A26" s="101">
        <v>1</v>
      </c>
      <c r="B26" s="104" t="s">
        <v>15</v>
      </c>
      <c r="C26" s="187">
        <v>388.7</v>
      </c>
    </row>
    <row r="27" spans="1:3" ht="30">
      <c r="A27" s="101">
        <v>2</v>
      </c>
      <c r="B27" s="76" t="s">
        <v>16</v>
      </c>
      <c r="C27" s="188">
        <v>388.7</v>
      </c>
    </row>
    <row r="28" spans="1:3" ht="30">
      <c r="A28" s="101">
        <v>3</v>
      </c>
      <c r="B28" s="76" t="s">
        <v>17</v>
      </c>
      <c r="C28" s="188">
        <v>373</v>
      </c>
    </row>
    <row r="29" spans="1:3" ht="30">
      <c r="A29" s="101">
        <v>4</v>
      </c>
      <c r="B29" s="76" t="s">
        <v>18</v>
      </c>
      <c r="C29" s="188">
        <v>373</v>
      </c>
    </row>
    <row r="30" spans="1:3" ht="15.75" customHeight="1">
      <c r="A30" s="101">
        <v>5</v>
      </c>
      <c r="B30" s="76" t="s">
        <v>19</v>
      </c>
      <c r="C30" s="188">
        <v>931.4</v>
      </c>
    </row>
    <row r="31" spans="1:3" ht="30">
      <c r="A31" s="101">
        <v>6</v>
      </c>
      <c r="B31" s="76" t="s">
        <v>20</v>
      </c>
      <c r="C31" s="188">
        <v>861.5</v>
      </c>
    </row>
    <row r="32" spans="1:3" ht="30">
      <c r="A32" s="101">
        <v>7</v>
      </c>
      <c r="B32" s="76" t="s">
        <v>21</v>
      </c>
      <c r="C32" s="188">
        <v>861.5</v>
      </c>
    </row>
    <row r="33" spans="1:3" ht="30">
      <c r="A33" s="101">
        <v>8</v>
      </c>
      <c r="B33" s="76" t="s">
        <v>22</v>
      </c>
      <c r="C33" s="188">
        <v>1005.3</v>
      </c>
    </row>
    <row r="34" spans="1:3" ht="30">
      <c r="A34" s="101">
        <v>9</v>
      </c>
      <c r="B34" s="76" t="s">
        <v>23</v>
      </c>
      <c r="C34" s="188">
        <v>694.4</v>
      </c>
    </row>
    <row r="35" spans="1:3" ht="30">
      <c r="A35" s="101">
        <v>10</v>
      </c>
      <c r="B35" s="76" t="s">
        <v>24</v>
      </c>
      <c r="C35" s="188">
        <v>381.4</v>
      </c>
    </row>
    <row r="36" spans="1:3" ht="30">
      <c r="A36" s="101">
        <v>11</v>
      </c>
      <c r="B36" s="76" t="s">
        <v>69</v>
      </c>
      <c r="C36" s="188">
        <v>381.4</v>
      </c>
    </row>
    <row r="37" spans="1:3" ht="30">
      <c r="A37" s="101">
        <v>12</v>
      </c>
      <c r="B37" s="76" t="s">
        <v>70</v>
      </c>
      <c r="C37" s="188">
        <v>381.4</v>
      </c>
    </row>
    <row r="38" spans="1:3" ht="30">
      <c r="A38" s="101">
        <v>13</v>
      </c>
      <c r="B38" s="76" t="s">
        <v>94</v>
      </c>
      <c r="C38" s="188">
        <v>694.4</v>
      </c>
    </row>
    <row r="39" spans="1:3" ht="30">
      <c r="A39" s="101">
        <v>14</v>
      </c>
      <c r="B39" s="76" t="s">
        <v>79</v>
      </c>
      <c r="C39" s="188">
        <v>381.4</v>
      </c>
    </row>
    <row r="40" spans="1:3" ht="30">
      <c r="A40" s="101">
        <v>15</v>
      </c>
      <c r="B40" s="76" t="s">
        <v>90</v>
      </c>
      <c r="C40" s="188">
        <v>682</v>
      </c>
    </row>
    <row r="41" spans="1:3" ht="30">
      <c r="A41" s="101">
        <v>16</v>
      </c>
      <c r="B41" s="76" t="s">
        <v>81</v>
      </c>
      <c r="C41" s="188">
        <v>240</v>
      </c>
    </row>
    <row r="42" spans="1:3" ht="30">
      <c r="A42" s="101">
        <v>17</v>
      </c>
      <c r="B42" s="76" t="s">
        <v>95</v>
      </c>
      <c r="C42" s="188">
        <v>373</v>
      </c>
    </row>
    <row r="43" spans="1:3" ht="30">
      <c r="A43" s="101">
        <v>18</v>
      </c>
      <c r="B43" s="76" t="s">
        <v>96</v>
      </c>
      <c r="C43" s="188">
        <v>682</v>
      </c>
    </row>
    <row r="44" spans="1:3" ht="30.75" thickBot="1">
      <c r="A44" s="101">
        <v>19</v>
      </c>
      <c r="B44" s="77" t="s">
        <v>97</v>
      </c>
      <c r="C44" s="189">
        <v>682</v>
      </c>
    </row>
    <row r="45" spans="1:3" ht="30.75" thickBot="1">
      <c r="A45" s="101">
        <v>20</v>
      </c>
      <c r="B45" s="77" t="s">
        <v>99</v>
      </c>
      <c r="C45" s="189">
        <v>682</v>
      </c>
    </row>
    <row r="46" spans="1:3" ht="30">
      <c r="A46" s="101">
        <v>21</v>
      </c>
      <c r="B46" s="76" t="s">
        <v>103</v>
      </c>
      <c r="C46" s="188">
        <v>240</v>
      </c>
    </row>
    <row r="47" spans="1:3" ht="15">
      <c r="A47" s="101"/>
      <c r="B47" s="102"/>
      <c r="C47" s="103"/>
    </row>
    <row r="49" spans="2:4" ht="15">
      <c r="B49" s="161" t="s">
        <v>46</v>
      </c>
      <c r="C49" s="161"/>
      <c r="D49" s="161"/>
    </row>
    <row r="50" ht="15.75" thickBot="1"/>
    <row r="51" spans="2:5" ht="15.75" thickBot="1">
      <c r="B51" s="172" t="s">
        <v>47</v>
      </c>
      <c r="C51" s="173"/>
      <c r="D51" s="68" t="s">
        <v>48</v>
      </c>
      <c r="E51" s="33">
        <v>0.816</v>
      </c>
    </row>
    <row r="52" spans="2:5" ht="15.75" thickBot="1">
      <c r="B52" s="174" t="s">
        <v>52</v>
      </c>
      <c r="C52" s="175"/>
      <c r="D52" s="69" t="s">
        <v>50</v>
      </c>
      <c r="E52" s="99">
        <v>4.176</v>
      </c>
    </row>
    <row r="53" spans="2:5" ht="15.75" thickBot="1">
      <c r="B53" s="65" t="s">
        <v>51</v>
      </c>
      <c r="C53" s="66"/>
      <c r="D53" s="48" t="s">
        <v>53</v>
      </c>
      <c r="E53" s="100">
        <v>2.8E-05</v>
      </c>
    </row>
    <row r="54" spans="2:4" ht="15">
      <c r="B54" s="67"/>
      <c r="C54" s="67"/>
      <c r="D54" s="67"/>
    </row>
    <row r="55" spans="2:4" ht="15">
      <c r="B55" s="67"/>
      <c r="C55" s="67"/>
      <c r="D55" s="67"/>
    </row>
    <row r="56" spans="2:5" ht="15" customHeight="1">
      <c r="B56" s="161" t="s">
        <v>54</v>
      </c>
      <c r="C56" s="161"/>
      <c r="D56" s="161"/>
      <c r="E56" s="23"/>
    </row>
    <row r="57" spans="2:4" ht="15.75" thickBot="1">
      <c r="B57" s="67"/>
      <c r="C57" s="67"/>
      <c r="D57" s="67"/>
    </row>
    <row r="58" spans="2:5" ht="15.75" thickBot="1">
      <c r="B58" s="162" t="s">
        <v>51</v>
      </c>
      <c r="C58" s="163"/>
      <c r="D58" s="70" t="s">
        <v>53</v>
      </c>
      <c r="E58" s="99">
        <v>1.0286666666666668</v>
      </c>
    </row>
    <row r="59" spans="2:4" ht="15">
      <c r="B59" s="67"/>
      <c r="C59" s="67"/>
      <c r="D59" s="67"/>
    </row>
    <row r="60" spans="2:4" ht="15">
      <c r="B60" s="161" t="s">
        <v>63</v>
      </c>
      <c r="C60" s="161"/>
      <c r="D60" s="161"/>
    </row>
    <row r="61" spans="2:4" ht="15.75" thickBot="1">
      <c r="B61" s="67"/>
      <c r="C61" s="67"/>
      <c r="D61" s="67"/>
    </row>
    <row r="62" spans="2:5" ht="15">
      <c r="B62" s="164" t="s">
        <v>61</v>
      </c>
      <c r="C62" s="165"/>
      <c r="D62" s="168" t="s">
        <v>62</v>
      </c>
      <c r="E62" s="170">
        <v>12</v>
      </c>
    </row>
    <row r="63" spans="2:5" ht="15" customHeight="1" thickBot="1">
      <c r="B63" s="166"/>
      <c r="C63" s="167"/>
      <c r="D63" s="169"/>
      <c r="E63" s="171"/>
    </row>
    <row r="67" ht="15" customHeight="1"/>
  </sheetData>
  <sheetProtection/>
  <mergeCells count="13">
    <mergeCell ref="B60:D60"/>
    <mergeCell ref="B56:D56"/>
    <mergeCell ref="B49:D49"/>
    <mergeCell ref="B3:E3"/>
    <mergeCell ref="B16:D16"/>
    <mergeCell ref="B23:D23"/>
    <mergeCell ref="B58:C58"/>
    <mergeCell ref="B62:C63"/>
    <mergeCell ref="D62:D63"/>
    <mergeCell ref="E62:E63"/>
    <mergeCell ref="B9:E9"/>
    <mergeCell ref="B51:C51"/>
    <mergeCell ref="B52:C5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zoomScale="110" zoomScaleNormal="110" zoomScalePageLayoutView="0" workbookViewId="0" topLeftCell="H1">
      <selection activeCell="G34" sqref="G34"/>
    </sheetView>
  </sheetViews>
  <sheetFormatPr defaultColWidth="9.140625" defaultRowHeight="15"/>
  <cols>
    <col min="1" max="1" width="14.7109375" style="0" customWidth="1"/>
    <col min="2" max="2" width="12.140625" style="0" customWidth="1"/>
    <col min="3" max="3" width="9.00390625" style="0" customWidth="1"/>
    <col min="4" max="5" width="9.57421875" style="0" bestFit="1" customWidth="1"/>
    <col min="6" max="6" width="9.421875" style="0" bestFit="1" customWidth="1"/>
    <col min="7" max="8" width="9.57421875" style="0" bestFit="1" customWidth="1"/>
    <col min="9" max="9" width="9.28125" style="0" customWidth="1"/>
    <col min="10" max="11" width="9.57421875" style="0" bestFit="1" customWidth="1"/>
    <col min="12" max="12" width="9.421875" style="0" bestFit="1" customWidth="1"/>
    <col min="13" max="13" width="9.57421875" style="0" bestFit="1" customWidth="1"/>
    <col min="14" max="14" width="10.57421875" style="0" bestFit="1" customWidth="1"/>
    <col min="15" max="15" width="9.421875" style="0" bestFit="1" customWidth="1"/>
    <col min="16" max="17" width="10.57421875" style="0" bestFit="1" customWidth="1"/>
    <col min="18" max="18" width="9.421875" style="0" bestFit="1" customWidth="1"/>
    <col min="19" max="20" width="10.57421875" style="0" bestFit="1" customWidth="1"/>
    <col min="21" max="21" width="9.421875" style="0" bestFit="1" customWidth="1"/>
    <col min="22" max="23" width="10.57421875" style="0" bestFit="1" customWidth="1"/>
    <col min="24" max="24" width="9.421875" style="0" bestFit="1" customWidth="1"/>
    <col min="25" max="26" width="10.57421875" style="0" bestFit="1" customWidth="1"/>
    <col min="27" max="27" width="9.421875" style="0" bestFit="1" customWidth="1"/>
    <col min="28" max="29" width="9.57421875" style="0" bestFit="1" customWidth="1"/>
    <col min="30" max="30" width="9.421875" style="0" bestFit="1" customWidth="1"/>
    <col min="31" max="32" width="9.57421875" style="0" bestFit="1" customWidth="1"/>
    <col min="33" max="33" width="9.421875" style="0" bestFit="1" customWidth="1"/>
    <col min="34" max="35" width="9.57421875" style="0" bestFit="1" customWidth="1"/>
    <col min="36" max="36" width="9.421875" style="0" bestFit="1" customWidth="1"/>
    <col min="37" max="38" width="9.57421875" style="0" bestFit="1" customWidth="1"/>
    <col min="39" max="39" width="8.57421875" style="0" customWidth="1"/>
    <col min="40" max="41" width="9.57421875" style="0" bestFit="1" customWidth="1"/>
    <col min="42" max="50" width="9.421875" style="0" bestFit="1" customWidth="1"/>
  </cols>
  <sheetData>
    <row r="1" ht="15">
      <c r="A1" t="s">
        <v>0</v>
      </c>
    </row>
    <row r="2" spans="2:7" s="23" customFormat="1" ht="15.75" thickBot="1">
      <c r="B2" s="183" t="s">
        <v>29</v>
      </c>
      <c r="C2" s="183"/>
      <c r="D2" s="183"/>
      <c r="E2" s="183"/>
      <c r="F2" s="183"/>
      <c r="G2" s="183"/>
    </row>
    <row r="3" spans="2:44" s="23" customFormat="1" ht="15" customHeight="1">
      <c r="B3" s="78"/>
      <c r="C3" s="178" t="s">
        <v>15</v>
      </c>
      <c r="D3" s="179"/>
      <c r="E3" s="178" t="s">
        <v>16</v>
      </c>
      <c r="F3" s="179"/>
      <c r="G3" s="178" t="s">
        <v>17</v>
      </c>
      <c r="H3" s="179"/>
      <c r="I3" s="178" t="s">
        <v>18</v>
      </c>
      <c r="J3" s="179"/>
      <c r="K3" s="178" t="s">
        <v>19</v>
      </c>
      <c r="L3" s="179"/>
      <c r="M3" s="178" t="s">
        <v>20</v>
      </c>
      <c r="N3" s="179"/>
      <c r="O3" s="181" t="s">
        <v>21</v>
      </c>
      <c r="P3" s="182"/>
      <c r="Q3" s="178" t="s">
        <v>22</v>
      </c>
      <c r="R3" s="179"/>
      <c r="S3" s="178" t="s">
        <v>83</v>
      </c>
      <c r="T3" s="179"/>
      <c r="U3" s="178" t="s">
        <v>84</v>
      </c>
      <c r="V3" s="179"/>
      <c r="W3" s="178" t="s">
        <v>85</v>
      </c>
      <c r="X3" s="179"/>
      <c r="Y3" s="178" t="s">
        <v>86</v>
      </c>
      <c r="Z3" s="179"/>
      <c r="AA3" s="178" t="s">
        <v>87</v>
      </c>
      <c r="AB3" s="179"/>
      <c r="AC3" s="178" t="s">
        <v>107</v>
      </c>
      <c r="AD3" s="179"/>
      <c r="AE3" s="178" t="s">
        <v>82</v>
      </c>
      <c r="AF3" s="180"/>
      <c r="AG3" s="178" t="s">
        <v>88</v>
      </c>
      <c r="AH3" s="180"/>
      <c r="AI3" s="176" t="s">
        <v>95</v>
      </c>
      <c r="AJ3" s="177"/>
      <c r="AK3" s="176" t="s">
        <v>96</v>
      </c>
      <c r="AL3" s="177"/>
      <c r="AM3" s="176" t="s">
        <v>97</v>
      </c>
      <c r="AN3" s="177"/>
      <c r="AO3" s="176" t="s">
        <v>99</v>
      </c>
      <c r="AP3" s="177"/>
      <c r="AQ3" s="176" t="s">
        <v>106</v>
      </c>
      <c r="AR3" s="177"/>
    </row>
    <row r="4" spans="2:44" s="23" customFormat="1" ht="15.75" thickBot="1">
      <c r="B4" s="79"/>
      <c r="C4" s="80" t="s">
        <v>25</v>
      </c>
      <c r="D4" s="81" t="s">
        <v>26</v>
      </c>
      <c r="E4" s="80" t="s">
        <v>25</v>
      </c>
      <c r="F4" s="81" t="s">
        <v>26</v>
      </c>
      <c r="G4" s="80" t="s">
        <v>25</v>
      </c>
      <c r="H4" s="81" t="s">
        <v>26</v>
      </c>
      <c r="I4" s="80" t="s">
        <v>25</v>
      </c>
      <c r="J4" s="81" t="s">
        <v>26</v>
      </c>
      <c r="K4" s="80" t="s">
        <v>25</v>
      </c>
      <c r="L4" s="81" t="s">
        <v>26</v>
      </c>
      <c r="M4" s="80" t="s">
        <v>25</v>
      </c>
      <c r="N4" s="81" t="s">
        <v>26</v>
      </c>
      <c r="O4" s="80" t="s">
        <v>25</v>
      </c>
      <c r="P4" s="81" t="s">
        <v>26</v>
      </c>
      <c r="Q4" s="80" t="s">
        <v>25</v>
      </c>
      <c r="R4" s="81" t="s">
        <v>26</v>
      </c>
      <c r="S4" s="80" t="s">
        <v>25</v>
      </c>
      <c r="T4" s="81" t="s">
        <v>26</v>
      </c>
      <c r="U4" s="80" t="s">
        <v>25</v>
      </c>
      <c r="V4" s="81" t="s">
        <v>26</v>
      </c>
      <c r="W4" s="82" t="s">
        <v>25</v>
      </c>
      <c r="X4" s="83" t="s">
        <v>26</v>
      </c>
      <c r="Y4" s="84" t="s">
        <v>25</v>
      </c>
      <c r="Z4" s="85" t="s">
        <v>26</v>
      </c>
      <c r="AA4" s="84" t="s">
        <v>25</v>
      </c>
      <c r="AB4" s="85" t="s">
        <v>26</v>
      </c>
      <c r="AC4" s="84" t="s">
        <v>25</v>
      </c>
      <c r="AD4" s="85" t="s">
        <v>26</v>
      </c>
      <c r="AE4" s="80" t="s">
        <v>25</v>
      </c>
      <c r="AF4" s="124" t="s">
        <v>26</v>
      </c>
      <c r="AG4" s="84" t="s">
        <v>25</v>
      </c>
      <c r="AH4" s="83" t="s">
        <v>26</v>
      </c>
      <c r="AI4" s="123" t="s">
        <v>25</v>
      </c>
      <c r="AJ4" s="81" t="s">
        <v>26</v>
      </c>
      <c r="AK4" s="80" t="s">
        <v>25</v>
      </c>
      <c r="AL4" s="81" t="s">
        <v>26</v>
      </c>
      <c r="AM4" s="80" t="s">
        <v>25</v>
      </c>
      <c r="AN4" s="81" t="s">
        <v>26</v>
      </c>
      <c r="AO4" s="80" t="s">
        <v>25</v>
      </c>
      <c r="AP4" s="81" t="s">
        <v>26</v>
      </c>
      <c r="AQ4" s="80" t="s">
        <v>25</v>
      </c>
      <c r="AR4" s="81" t="s">
        <v>26</v>
      </c>
    </row>
    <row r="5" spans="2:44" s="23" customFormat="1" ht="15">
      <c r="B5" s="125" t="s">
        <v>100</v>
      </c>
      <c r="C5" s="155">
        <v>128</v>
      </c>
      <c r="D5" s="156">
        <v>34999</v>
      </c>
      <c r="E5" s="155">
        <v>169.61</v>
      </c>
      <c r="F5" s="156">
        <v>24024</v>
      </c>
      <c r="G5" s="155">
        <v>690</v>
      </c>
      <c r="H5" s="156">
        <v>89057</v>
      </c>
      <c r="I5" s="155">
        <v>859.6</v>
      </c>
      <c r="J5" s="156">
        <v>54705</v>
      </c>
      <c r="K5" s="155">
        <v>2010.97</v>
      </c>
      <c r="L5" s="156">
        <v>128416</v>
      </c>
      <c r="M5" s="155">
        <v>2220.5</v>
      </c>
      <c r="N5" s="156">
        <v>136754</v>
      </c>
      <c r="O5" s="155">
        <v>1951.5</v>
      </c>
      <c r="P5" s="156">
        <v>171961</v>
      </c>
      <c r="Q5" s="155">
        <v>1967.2</v>
      </c>
      <c r="R5" s="156">
        <v>217522</v>
      </c>
      <c r="S5" s="155">
        <v>531.2</v>
      </c>
      <c r="T5" s="156">
        <v>104643</v>
      </c>
      <c r="U5" s="155">
        <v>556.9</v>
      </c>
      <c r="V5" s="156">
        <v>69748</v>
      </c>
      <c r="W5" s="155">
        <v>204.2</v>
      </c>
      <c r="X5" s="156">
        <v>75907</v>
      </c>
      <c r="Y5" s="155">
        <v>278.7</v>
      </c>
      <c r="Z5" s="156">
        <v>84011</v>
      </c>
      <c r="AA5" s="155">
        <v>527.9</v>
      </c>
      <c r="AB5" s="156">
        <v>69285</v>
      </c>
      <c r="AC5" s="155">
        <v>657.09</v>
      </c>
      <c r="AD5" s="156">
        <v>62733</v>
      </c>
      <c r="AE5" s="155">
        <v>445.45</v>
      </c>
      <c r="AF5" s="156">
        <v>47067</v>
      </c>
      <c r="AG5" s="155">
        <v>137.76</v>
      </c>
      <c r="AH5" s="156">
        <v>22241</v>
      </c>
      <c r="AI5" s="155">
        <v>419.3</v>
      </c>
      <c r="AJ5" s="156">
        <v>67683</v>
      </c>
      <c r="AK5" s="155">
        <v>751.78</v>
      </c>
      <c r="AL5" s="156">
        <v>67649</v>
      </c>
      <c r="AM5" s="155">
        <v>836.16</v>
      </c>
      <c r="AN5" s="156">
        <v>77174</v>
      </c>
      <c r="AO5" s="155">
        <v>637.93</v>
      </c>
      <c r="AP5" s="156">
        <v>69538</v>
      </c>
      <c r="AQ5" s="155"/>
      <c r="AR5" s="156"/>
    </row>
    <row r="6" spans="2:44" s="23" customFormat="1" ht="15">
      <c r="B6" s="126" t="s">
        <v>101</v>
      </c>
      <c r="C6" s="155">
        <v>339.36</v>
      </c>
      <c r="D6" s="157">
        <v>39936</v>
      </c>
      <c r="E6" s="155">
        <v>196.02</v>
      </c>
      <c r="F6" s="157">
        <v>42898</v>
      </c>
      <c r="G6" s="155">
        <v>406.85</v>
      </c>
      <c r="H6" s="157">
        <v>103876</v>
      </c>
      <c r="I6" s="155">
        <v>761.82</v>
      </c>
      <c r="J6" s="157">
        <v>65268</v>
      </c>
      <c r="K6" s="155">
        <v>2086.4</v>
      </c>
      <c r="L6" s="157">
        <v>163681</v>
      </c>
      <c r="M6" s="155">
        <v>2266.2</v>
      </c>
      <c r="N6" s="157">
        <v>158078</v>
      </c>
      <c r="O6" s="155">
        <v>997.4</v>
      </c>
      <c r="P6" s="157">
        <v>146101</v>
      </c>
      <c r="Q6" s="155">
        <v>2028.7</v>
      </c>
      <c r="R6" s="157">
        <v>205864</v>
      </c>
      <c r="S6" s="155">
        <v>363.6</v>
      </c>
      <c r="T6" s="157">
        <v>87204</v>
      </c>
      <c r="U6" s="155">
        <v>518.55</v>
      </c>
      <c r="V6" s="157">
        <v>58355</v>
      </c>
      <c r="W6" s="155">
        <v>461.34</v>
      </c>
      <c r="X6" s="157">
        <v>65154</v>
      </c>
      <c r="Y6" s="155">
        <v>584.5</v>
      </c>
      <c r="Z6" s="157">
        <v>93455</v>
      </c>
      <c r="AA6" s="155">
        <v>384.6</v>
      </c>
      <c r="AB6" s="157">
        <v>64908</v>
      </c>
      <c r="AC6" s="155">
        <v>384.67</v>
      </c>
      <c r="AD6" s="157">
        <v>64082</v>
      </c>
      <c r="AE6" s="155">
        <v>301.1</v>
      </c>
      <c r="AF6" s="157">
        <v>38009</v>
      </c>
      <c r="AG6" s="155">
        <v>171.74</v>
      </c>
      <c r="AH6" s="157">
        <v>15407</v>
      </c>
      <c r="AI6" s="155">
        <v>672.75</v>
      </c>
      <c r="AJ6" s="157">
        <v>79452</v>
      </c>
      <c r="AK6" s="155">
        <v>953.07</v>
      </c>
      <c r="AL6" s="157">
        <v>75510</v>
      </c>
      <c r="AM6" s="155">
        <v>949.84</v>
      </c>
      <c r="AN6" s="157">
        <v>94920</v>
      </c>
      <c r="AO6" s="155">
        <v>802.14</v>
      </c>
      <c r="AP6" s="157">
        <v>80494</v>
      </c>
      <c r="AQ6" s="155">
        <v>86.85</v>
      </c>
      <c r="AR6" s="157">
        <v>7672</v>
      </c>
    </row>
    <row r="7" spans="2:44" s="23" customFormat="1" ht="15.75" thickBot="1">
      <c r="B7" s="127" t="s">
        <v>102</v>
      </c>
      <c r="C7" s="155">
        <v>308</v>
      </c>
      <c r="D7" s="157">
        <v>41044</v>
      </c>
      <c r="E7" s="155">
        <v>265.5</v>
      </c>
      <c r="F7" s="157">
        <v>49658</v>
      </c>
      <c r="G7" s="155">
        <v>455.88</v>
      </c>
      <c r="H7" s="157">
        <v>64008</v>
      </c>
      <c r="I7" s="155">
        <v>637</v>
      </c>
      <c r="J7" s="157">
        <v>65504</v>
      </c>
      <c r="K7" s="155">
        <v>1875.4</v>
      </c>
      <c r="L7" s="157">
        <v>151481</v>
      </c>
      <c r="M7" s="155">
        <v>1760.6</v>
      </c>
      <c r="N7" s="157">
        <v>114583</v>
      </c>
      <c r="O7" s="155">
        <v>869.3</v>
      </c>
      <c r="P7" s="157">
        <v>90619</v>
      </c>
      <c r="Q7" s="155">
        <v>1909.7</v>
      </c>
      <c r="R7" s="157">
        <v>238966</v>
      </c>
      <c r="S7" s="155">
        <v>273.1</v>
      </c>
      <c r="T7" s="157">
        <v>93154</v>
      </c>
      <c r="U7" s="155">
        <v>323.8</v>
      </c>
      <c r="V7" s="157">
        <v>43022</v>
      </c>
      <c r="W7" s="155">
        <v>657.25</v>
      </c>
      <c r="X7" s="157">
        <v>74922</v>
      </c>
      <c r="Y7" s="155">
        <v>265.8</v>
      </c>
      <c r="Z7" s="157">
        <v>90816</v>
      </c>
      <c r="AA7" s="155">
        <v>443.9</v>
      </c>
      <c r="AB7" s="157">
        <v>55376</v>
      </c>
      <c r="AC7" s="155">
        <v>217.08</v>
      </c>
      <c r="AD7" s="157">
        <v>43816</v>
      </c>
      <c r="AE7" s="155">
        <v>475.7</v>
      </c>
      <c r="AF7" s="157">
        <v>15502</v>
      </c>
      <c r="AG7" s="155">
        <v>126.65</v>
      </c>
      <c r="AH7" s="157">
        <v>15581</v>
      </c>
      <c r="AI7" s="155">
        <v>195.9</v>
      </c>
      <c r="AJ7" s="157">
        <v>39241</v>
      </c>
      <c r="AK7" s="155">
        <v>514.8</v>
      </c>
      <c r="AL7" s="157">
        <v>14889</v>
      </c>
      <c r="AM7" s="155">
        <v>359</v>
      </c>
      <c r="AN7" s="157">
        <v>15681</v>
      </c>
      <c r="AO7" s="155">
        <v>210.3</v>
      </c>
      <c r="AP7" s="157">
        <v>15648</v>
      </c>
      <c r="AQ7" s="155">
        <v>231.9</v>
      </c>
      <c r="AR7" s="157">
        <v>16245</v>
      </c>
    </row>
    <row r="8" spans="2:44" s="95" customFormat="1" ht="45.75" thickBot="1">
      <c r="B8" s="88" t="s">
        <v>104</v>
      </c>
      <c r="C8" s="89">
        <f aca="true" t="shared" si="0" ref="C8:AN8">SUM(C5:C7)</f>
        <v>775.36</v>
      </c>
      <c r="D8" s="90">
        <f t="shared" si="0"/>
        <v>115979</v>
      </c>
      <c r="E8" s="89">
        <f t="shared" si="0"/>
        <v>631.13</v>
      </c>
      <c r="F8" s="90">
        <f t="shared" si="0"/>
        <v>116580</v>
      </c>
      <c r="G8" s="89">
        <f t="shared" si="0"/>
        <v>1552.73</v>
      </c>
      <c r="H8" s="90">
        <f t="shared" si="0"/>
        <v>256941</v>
      </c>
      <c r="I8" s="89">
        <f t="shared" si="0"/>
        <v>2258.42</v>
      </c>
      <c r="J8" s="90">
        <f t="shared" si="0"/>
        <v>185477</v>
      </c>
      <c r="K8" s="89">
        <f t="shared" si="0"/>
        <v>5972.77</v>
      </c>
      <c r="L8" s="90">
        <f t="shared" si="0"/>
        <v>443578</v>
      </c>
      <c r="M8" s="89">
        <f t="shared" si="0"/>
        <v>6247.299999999999</v>
      </c>
      <c r="N8" s="90">
        <f t="shared" si="0"/>
        <v>409415</v>
      </c>
      <c r="O8" s="89">
        <f t="shared" si="0"/>
        <v>3818.2</v>
      </c>
      <c r="P8" s="90">
        <f t="shared" si="0"/>
        <v>408681</v>
      </c>
      <c r="Q8" s="89">
        <f t="shared" si="0"/>
        <v>5905.6</v>
      </c>
      <c r="R8" s="90">
        <f t="shared" si="0"/>
        <v>662352</v>
      </c>
      <c r="S8" s="89">
        <f t="shared" si="0"/>
        <v>1167.9</v>
      </c>
      <c r="T8" s="90">
        <f t="shared" si="0"/>
        <v>285001</v>
      </c>
      <c r="U8" s="89">
        <f t="shared" si="0"/>
        <v>1399.2499999999998</v>
      </c>
      <c r="V8" s="90">
        <f t="shared" si="0"/>
        <v>171125</v>
      </c>
      <c r="W8" s="91">
        <f t="shared" si="0"/>
        <v>1322.79</v>
      </c>
      <c r="X8" s="92">
        <f t="shared" si="0"/>
        <v>215983</v>
      </c>
      <c r="Y8" s="93">
        <f t="shared" si="0"/>
        <v>1129</v>
      </c>
      <c r="Z8" s="94">
        <f t="shared" si="0"/>
        <v>268282</v>
      </c>
      <c r="AA8" s="93">
        <f t="shared" si="0"/>
        <v>1356.4</v>
      </c>
      <c r="AB8" s="94">
        <f t="shared" si="0"/>
        <v>189569</v>
      </c>
      <c r="AC8" s="93">
        <f t="shared" si="0"/>
        <v>1258.84</v>
      </c>
      <c r="AD8" s="94">
        <f t="shared" si="0"/>
        <v>170631</v>
      </c>
      <c r="AE8" s="93">
        <f t="shared" si="0"/>
        <v>1222.25</v>
      </c>
      <c r="AF8" s="92">
        <f t="shared" si="0"/>
        <v>100578</v>
      </c>
      <c r="AG8" s="93">
        <f t="shared" si="0"/>
        <v>436.15</v>
      </c>
      <c r="AH8" s="92">
        <f t="shared" si="0"/>
        <v>53229</v>
      </c>
      <c r="AI8" s="93">
        <f t="shared" si="0"/>
        <v>1287.95</v>
      </c>
      <c r="AJ8" s="94">
        <f t="shared" si="0"/>
        <v>186376</v>
      </c>
      <c r="AK8" s="93">
        <f t="shared" si="0"/>
        <v>2219.6499999999996</v>
      </c>
      <c r="AL8" s="94">
        <f t="shared" si="0"/>
        <v>158048</v>
      </c>
      <c r="AM8" s="93">
        <f t="shared" si="0"/>
        <v>2145</v>
      </c>
      <c r="AN8" s="94">
        <f t="shared" si="0"/>
        <v>187775</v>
      </c>
      <c r="AO8" s="128">
        <f>SUM(AO5:AO7)</f>
        <v>1650.37</v>
      </c>
      <c r="AP8" s="94">
        <f>SUM(AP5:AP7)</f>
        <v>165680</v>
      </c>
      <c r="AQ8" s="128">
        <f>SUM(AQ5:AQ7)</f>
        <v>318.75</v>
      </c>
      <c r="AR8" s="94">
        <f>SUM(AR5:AR7)</f>
        <v>23917</v>
      </c>
    </row>
    <row r="10" spans="2:7" ht="15" customHeight="1">
      <c r="B10" s="23"/>
      <c r="C10" s="23"/>
      <c r="D10" s="23"/>
      <c r="E10" s="23"/>
      <c r="F10" s="23"/>
      <c r="G10" s="23"/>
    </row>
    <row r="11" spans="2:51" ht="15.75" thickBot="1">
      <c r="B11" s="184" t="s">
        <v>68</v>
      </c>
      <c r="C11" s="184"/>
      <c r="D11" s="184"/>
      <c r="E11" s="184"/>
      <c r="F11" s="184"/>
      <c r="G11" s="184"/>
      <c r="AG11" s="43"/>
      <c r="AY11" s="72"/>
    </row>
    <row r="12" spans="2:23" ht="30.75" thickBot="1">
      <c r="B12" s="13"/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8" t="s">
        <v>21</v>
      </c>
      <c r="J12" s="17" t="s">
        <v>22</v>
      </c>
      <c r="K12" s="17" t="s">
        <v>23</v>
      </c>
      <c r="L12" s="17" t="s">
        <v>24</v>
      </c>
      <c r="M12" s="17" t="s">
        <v>77</v>
      </c>
      <c r="N12" s="17" t="s">
        <v>78</v>
      </c>
      <c r="O12" s="62" t="s">
        <v>93</v>
      </c>
      <c r="P12" s="62" t="s">
        <v>91</v>
      </c>
      <c r="Q12" s="62" t="s">
        <v>89</v>
      </c>
      <c r="R12" s="17" t="s">
        <v>92</v>
      </c>
      <c r="S12" s="108" t="s">
        <v>95</v>
      </c>
      <c r="T12" s="109" t="s">
        <v>96</v>
      </c>
      <c r="U12" s="110" t="s">
        <v>97</v>
      </c>
      <c r="V12" s="110" t="s">
        <v>99</v>
      </c>
      <c r="W12" s="110" t="s">
        <v>106</v>
      </c>
    </row>
    <row r="13" spans="2:23" ht="15.75" thickBot="1">
      <c r="B13" s="8"/>
      <c r="C13" s="14" t="s">
        <v>28</v>
      </c>
      <c r="D13" s="14" t="s">
        <v>28</v>
      </c>
      <c r="E13" s="14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4" t="s">
        <v>28</v>
      </c>
      <c r="K13" s="14" t="s">
        <v>28</v>
      </c>
      <c r="L13" s="14" t="s">
        <v>28</v>
      </c>
      <c r="M13" s="51" t="s">
        <v>28</v>
      </c>
      <c r="N13" s="14" t="s">
        <v>28</v>
      </c>
      <c r="O13" s="63" t="s">
        <v>28</v>
      </c>
      <c r="P13" s="63" t="s">
        <v>28</v>
      </c>
      <c r="Q13" s="63" t="s">
        <v>28</v>
      </c>
      <c r="R13" s="120" t="s">
        <v>28</v>
      </c>
      <c r="S13" s="113" t="s">
        <v>28</v>
      </c>
      <c r="T13" s="114" t="s">
        <v>28</v>
      </c>
      <c r="U13" s="115" t="s">
        <v>28</v>
      </c>
      <c r="V13" s="115" t="s">
        <v>28</v>
      </c>
      <c r="W13" s="115" t="s">
        <v>28</v>
      </c>
    </row>
    <row r="14" spans="2:23" ht="15">
      <c r="B14" s="125" t="s">
        <v>100</v>
      </c>
      <c r="C14" s="15">
        <f>D5*'Default Data'!$B5*'Default Data'!$D$18/1000</f>
        <v>66.40280910251794</v>
      </c>
      <c r="D14" s="15">
        <f>F5*'Default Data'!$B5*'Default Data'!$D$18/1000</f>
        <v>45.580190459124296</v>
      </c>
      <c r="E14" s="15">
        <f>H5*'Default Data'!$B5*'Default Data'!$D$18/1000</f>
        <v>168.96582674484813</v>
      </c>
      <c r="F14" s="15">
        <f>J5*'Default Data'!$B5*'Default Data'!$D$18/1000</f>
        <v>103.79055607169472</v>
      </c>
      <c r="G14" s="15">
        <f>L5*'Default Data'!$B5*'Default Data'!$D$18/1000</f>
        <v>243.64076498496937</v>
      </c>
      <c r="H14" s="15">
        <f>N5*'Default Data'!$B5*'Default Data'!$D$18/1000</f>
        <v>259.4602633219732</v>
      </c>
      <c r="I14" s="15">
        <f>P5*'Default Data'!$B5*'Default Data'!$D$18/1000</f>
        <v>326.25770610811986</v>
      </c>
      <c r="J14" s="15">
        <f>R5*'Default Data'!$B5*'Default Data'!$D$18/1000</f>
        <v>412.6995583187493</v>
      </c>
      <c r="K14" s="15">
        <f>T5*'Default Data'!$B5*'Default Data'!$D$18/1000</f>
        <v>198.53679113445483</v>
      </c>
      <c r="L14" s="15">
        <f>V5*'Default Data'!$B5*'Default Data'!$D$18/1000</f>
        <v>132.33129887375128</v>
      </c>
      <c r="M14" s="50">
        <f>X5*'Default Data'!$B5*'Default Data'!$D$18/1000</f>
        <v>144.01662991927853</v>
      </c>
      <c r="N14" s="16">
        <f>Z5*'Default Data'!$B5*'Default Data'!$D$18/1000</f>
        <v>159.3921653621999</v>
      </c>
      <c r="O14" s="52">
        <f>AD5*'Default Data'!$B5*'Default Data'!$D$18/1000</f>
        <v>119.02189843790559</v>
      </c>
      <c r="P14" s="52">
        <f>AB5*'Default Data'!$B5*'Default Data'!$D$18/1000</f>
        <v>131.4528594722122</v>
      </c>
      <c r="Q14" s="15">
        <f>AF5*'Default Data'!$B5*'Default Data'!$D$18/1000</f>
        <v>89.29915186228783</v>
      </c>
      <c r="R14" s="15">
        <f>AH5*'Default Data'!$B5*'Default Data'!$D$18/1000</f>
        <v>42.19734498840257</v>
      </c>
      <c r="S14" s="111">
        <f>AJ5*'Default Data'!$B5*'Default Data'!$D$18/1000</f>
        <v>128.41342119734054</v>
      </c>
      <c r="T14" s="50">
        <f>AL5*'Default Data'!$B5*'Default Data'!$D$18/1000</f>
        <v>128.34891376828583</v>
      </c>
      <c r="U14" s="112">
        <f>AN5*'Default Data'!$B5*'Default Data'!$D$18/1000</f>
        <v>146.42048029022885</v>
      </c>
      <c r="V14" s="112">
        <f>AP5*'Default Data'!$B5*'Default Data'!$D$18/1000</f>
        <v>131.9328706354722</v>
      </c>
      <c r="W14" s="112">
        <f>AR5*'Default Data'!$B5*'Default Data'!$D$18/1000</f>
        <v>0</v>
      </c>
    </row>
    <row r="15" spans="2:23" ht="15">
      <c r="B15" s="126" t="s">
        <v>101</v>
      </c>
      <c r="C15" s="16">
        <f>D6*'Default Data'!$B6*'Default Data'!$D$18/1000</f>
        <v>75.68368261390184</v>
      </c>
      <c r="D15" s="16">
        <f>F6*'Default Data'!$B6*'Default Data'!$D$18/1000</f>
        <v>81.29704068437404</v>
      </c>
      <c r="E15" s="16">
        <f>H6*'Default Data'!$B6*'Default Data'!$D$18/1000</f>
        <v>196.85792806494558</v>
      </c>
      <c r="F15" s="16">
        <f>J6*'Default Data'!$B6*'Default Data'!$D$18/1000</f>
        <v>123.6909704738618</v>
      </c>
      <c r="G15" s="16">
        <f>L6*'Default Data'!$B6*'Default Data'!$D$18/1000</f>
        <v>310.1958346836455</v>
      </c>
      <c r="H15" s="16">
        <f>N6*'Default Data'!$B6*'Default Data'!$D$18/1000</f>
        <v>299.57745343149975</v>
      </c>
      <c r="I15" s="16">
        <f>P6*'Default Data'!$B6*'Default Data'!$D$18/1000</f>
        <v>276.879550119533</v>
      </c>
      <c r="J15" s="16">
        <f>R6*'Default Data'!$B6*'Default Data'!$D$18/1000</f>
        <v>390.13786151913786</v>
      </c>
      <c r="K15" s="16">
        <f>T6*'Default Data'!$B6*'Default Data'!$D$18/1000</f>
        <v>165.2624163326997</v>
      </c>
      <c r="L15" s="16">
        <f>V6*'Default Data'!$B6*'Default Data'!$D$18/1000</f>
        <v>110.58997643565309</v>
      </c>
      <c r="M15" s="50">
        <f>X6*'Default Data'!$B6*'Default Data'!$D$18/1000</f>
        <v>123.4749263077464</v>
      </c>
      <c r="N15" s="16">
        <f>Z6*'Default Data'!$B6*'Default Data'!$D$18/1000</f>
        <v>177.10883810802775</v>
      </c>
      <c r="O15" s="49">
        <f>AD6*'Default Data'!$B6*'Default Data'!$D$18/1000</f>
        <v>121.44335309655592</v>
      </c>
      <c r="P15" s="49">
        <f>AB6*'Default Data'!$B6*'Default Data'!$D$18/1000</f>
        <v>123.00872573876053</v>
      </c>
      <c r="Q15" s="16">
        <f>AF6*'Default Data'!$B6*'Default Data'!$D$18/1000</f>
        <v>72.03177815684583</v>
      </c>
      <c r="R15" s="16">
        <f>AH6*'Default Data'!$B6*'Default Data'!$D$18/1000</f>
        <v>29.198179538070555</v>
      </c>
      <c r="S15" s="107">
        <f>AJ6*'Default Data'!$B6*'Default Data'!$D$18/1000</f>
        <v>150.5714130368522</v>
      </c>
      <c r="T15" s="49">
        <f>AL6*'Default Data'!$B6*'Default Data'!$D$18/1000</f>
        <v>143.10083318749318</v>
      </c>
      <c r="U15" s="19">
        <f>AN6*'Default Data'!$B6*'Default Data'!$D$18/1000</f>
        <v>179.8851951550371</v>
      </c>
      <c r="V15" s="112">
        <f>AP6*'Default Data'!$B6*'Default Data'!$D$18/1000</f>
        <v>152.54613252011754</v>
      </c>
      <c r="W15" s="112">
        <f>AR6*'Default Data'!$B6*'Default Data'!$D$18/1000</f>
        <v>14.539393354713916</v>
      </c>
    </row>
    <row r="16" spans="2:23" ht="15.75" thickBot="1">
      <c r="B16" s="127" t="s">
        <v>102</v>
      </c>
      <c r="C16" s="16">
        <f>D7*'Default Data'!$B7*'Default Data'!$D$18/1000</f>
        <v>78.16427567219044</v>
      </c>
      <c r="D16" s="16">
        <f>F7*'Default Data'!$B7*'Default Data'!$D$18/1000</f>
        <v>94.56879449687244</v>
      </c>
      <c r="E16" s="16">
        <f>H7*'Default Data'!$B7*'Default Data'!$D$18/1000</f>
        <v>121.89696319134504</v>
      </c>
      <c r="F16" s="16">
        <f>J7*'Default Data'!$B7*'Default Data'!$D$18/1000</f>
        <v>124.7459485827688</v>
      </c>
      <c r="G16" s="16">
        <f>L7*'Default Data'!$B7*'Default Data'!$D$18/1000</f>
        <v>288.48071930365165</v>
      </c>
      <c r="H16" s="16">
        <f>N7*'Default Data'!$B7*'Default Data'!$D$18/1000</f>
        <v>218.21209432186427</v>
      </c>
      <c r="I16" s="16">
        <f>P7*'Default Data'!$B7*'Default Data'!$D$18/1000</f>
        <v>172.57500480309486</v>
      </c>
      <c r="J16" s="16">
        <f>R7*'Default Data'!$B7*'Default Data'!$D$18/1000</f>
        <v>455.0873282399537</v>
      </c>
      <c r="K16" s="16">
        <f>T7*'Default Data'!$B7*'Default Data'!$D$18/1000</f>
        <v>177.40266387211844</v>
      </c>
      <c r="L16" s="16">
        <f>V7*'Default Data'!$B7*'Default Data'!$D$18/1000</f>
        <v>81.93118282742854</v>
      </c>
      <c r="M16" s="50">
        <f>X7*'Default Data'!$B7*'Default Data'!$D$18/1000</f>
        <v>142.68160661514113</v>
      </c>
      <c r="N16" s="16">
        <f>Z7*'Default Data'!$B7*'Default Data'!$D$18/1000</f>
        <v>172.95017199701897</v>
      </c>
      <c r="O16" s="49">
        <f>AD7*'Default Data'!$B7*'Default Data'!$D$18/1000</f>
        <v>83.4432780151227</v>
      </c>
      <c r="P16" s="49">
        <f>AB7*'Default Data'!$B7*'Default Data'!$D$18/1000</f>
        <v>105.45816513066997</v>
      </c>
      <c r="Q16" s="16">
        <f>AF7*'Default Data'!$B7*'Default Data'!$D$18/1000</f>
        <v>29.522039798028846</v>
      </c>
      <c r="R16" s="16">
        <f>AH7*'Default Data'!$B7*'Default Data'!$D$18/1000</f>
        <v>29.672487555998426</v>
      </c>
      <c r="S16" s="116">
        <f>AJ7*'Default Data'!$B7*'Default Data'!$D$18/1000</f>
        <v>74.73063886688493</v>
      </c>
      <c r="T16" s="117">
        <f>AL7*'Default Data'!$B7*'Default Data'!$D$18/1000</f>
        <v>28.35464137226497</v>
      </c>
      <c r="U16" s="118">
        <f>AN7*'Default Data'!$B7*'Default Data'!$D$18/1000</f>
        <v>29.862927755959902</v>
      </c>
      <c r="V16" s="112">
        <f>AP7*'Default Data'!$B7*'Default Data'!$D$18/1000</f>
        <v>29.800082489972613</v>
      </c>
      <c r="W16" s="112">
        <f>AR7*'Default Data'!$B7*'Default Data'!$D$18/1000</f>
        <v>30.937010483742657</v>
      </c>
    </row>
    <row r="17" spans="2:23" ht="15.75" thickBot="1">
      <c r="B17" s="11" t="s">
        <v>105</v>
      </c>
      <c r="C17" s="21">
        <f aca="true" t="shared" si="1" ref="C17:R17">SUM(C14:C16)</f>
        <v>220.2507673886102</v>
      </c>
      <c r="D17" s="21">
        <f t="shared" si="1"/>
        <v>221.44602564037078</v>
      </c>
      <c r="E17" s="21">
        <f t="shared" si="1"/>
        <v>487.7207180011388</v>
      </c>
      <c r="F17" s="21">
        <f t="shared" si="1"/>
        <v>352.2274751283253</v>
      </c>
      <c r="G17" s="21">
        <f t="shared" si="1"/>
        <v>842.3173189722665</v>
      </c>
      <c r="H17" s="21">
        <f t="shared" si="1"/>
        <v>777.2498110753372</v>
      </c>
      <c r="I17" s="21">
        <f t="shared" si="1"/>
        <v>775.7122610307478</v>
      </c>
      <c r="J17" s="21">
        <f t="shared" si="1"/>
        <v>1257.9247480778408</v>
      </c>
      <c r="K17" s="21">
        <f t="shared" si="1"/>
        <v>541.201871339273</v>
      </c>
      <c r="L17" s="21">
        <f t="shared" si="1"/>
        <v>324.8524581368329</v>
      </c>
      <c r="M17" s="21">
        <f t="shared" si="1"/>
        <v>410.1731628421661</v>
      </c>
      <c r="N17" s="21">
        <f t="shared" si="1"/>
        <v>509.4511754672466</v>
      </c>
      <c r="O17" s="64">
        <f t="shared" si="1"/>
        <v>323.9085295495842</v>
      </c>
      <c r="P17" s="64">
        <f t="shared" si="1"/>
        <v>359.91975034164267</v>
      </c>
      <c r="Q17" s="64">
        <f t="shared" si="1"/>
        <v>190.85296981716252</v>
      </c>
      <c r="R17" s="21">
        <f t="shared" si="1"/>
        <v>101.06801208247155</v>
      </c>
      <c r="S17" s="119">
        <f>SUM(S14:S16)</f>
        <v>353.71547310107763</v>
      </c>
      <c r="T17" s="64">
        <f>SUM(T14:T16)</f>
        <v>299.80438832804396</v>
      </c>
      <c r="U17" s="22">
        <f>SUM(U14:U16)</f>
        <v>356.16860320122584</v>
      </c>
      <c r="V17" s="22">
        <f>SUM(V14:V16)</f>
        <v>314.27908564556236</v>
      </c>
      <c r="W17" s="22">
        <f>SUM(W14:W16)</f>
        <v>45.47640383845658</v>
      </c>
    </row>
    <row r="18" spans="2:23" ht="15.75" thickBot="1">
      <c r="B18" s="20" t="s">
        <v>30</v>
      </c>
      <c r="C18" s="190">
        <f>SUM(C17:W17)</f>
        <v>9065.721009005383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2"/>
    </row>
    <row r="21" spans="2:7" ht="15.75" thickBot="1">
      <c r="B21" s="184" t="s">
        <v>33</v>
      </c>
      <c r="C21" s="184"/>
      <c r="D21" s="184"/>
      <c r="E21" s="184"/>
      <c r="F21" s="184"/>
      <c r="G21" s="184"/>
    </row>
    <row r="22" spans="2:23" ht="45.75" thickBot="1">
      <c r="B22" s="13"/>
      <c r="C22" s="17" t="s">
        <v>15</v>
      </c>
      <c r="D22" s="17" t="s">
        <v>16</v>
      </c>
      <c r="E22" s="17" t="s">
        <v>17</v>
      </c>
      <c r="F22" s="17" t="s">
        <v>18</v>
      </c>
      <c r="G22" s="17" t="s">
        <v>19</v>
      </c>
      <c r="H22" s="17" t="s">
        <v>20</v>
      </c>
      <c r="I22" s="18" t="s">
        <v>21</v>
      </c>
      <c r="J22" s="17" t="s">
        <v>22</v>
      </c>
      <c r="K22" s="17" t="s">
        <v>23</v>
      </c>
      <c r="L22" s="17" t="s">
        <v>24</v>
      </c>
      <c r="M22" s="62" t="s">
        <v>69</v>
      </c>
      <c r="N22" s="17" t="s">
        <v>70</v>
      </c>
      <c r="O22" s="17" t="s">
        <v>80</v>
      </c>
      <c r="P22" s="17" t="s">
        <v>79</v>
      </c>
      <c r="Q22" s="17" t="s">
        <v>90</v>
      </c>
      <c r="R22" s="17" t="s">
        <v>81</v>
      </c>
      <c r="S22" s="108" t="s">
        <v>95</v>
      </c>
      <c r="T22" s="109" t="s">
        <v>96</v>
      </c>
      <c r="U22" s="110" t="s">
        <v>97</v>
      </c>
      <c r="V22" s="110" t="s">
        <v>99</v>
      </c>
      <c r="W22" s="110" t="s">
        <v>99</v>
      </c>
    </row>
    <row r="23" spans="2:23" ht="15.75" thickBot="1">
      <c r="B23" s="8"/>
      <c r="C23" s="14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4" t="s">
        <v>28</v>
      </c>
      <c r="I23" s="14" t="s">
        <v>28</v>
      </c>
      <c r="J23" s="14" t="s">
        <v>28</v>
      </c>
      <c r="K23" s="14" t="s">
        <v>28</v>
      </c>
      <c r="L23" s="14" t="s">
        <v>28</v>
      </c>
      <c r="M23" s="51" t="s">
        <v>28</v>
      </c>
      <c r="N23" s="14" t="s">
        <v>28</v>
      </c>
      <c r="O23" s="14" t="s">
        <v>28</v>
      </c>
      <c r="P23" s="14" t="s">
        <v>28</v>
      </c>
      <c r="Q23" s="14" t="s">
        <v>28</v>
      </c>
      <c r="R23" s="14" t="s">
        <v>28</v>
      </c>
      <c r="S23" s="113" t="s">
        <v>28</v>
      </c>
      <c r="T23" s="114" t="s">
        <v>28</v>
      </c>
      <c r="U23" s="115" t="s">
        <v>28</v>
      </c>
      <c r="V23" s="115" t="s">
        <v>28</v>
      </c>
      <c r="W23" s="115" t="s">
        <v>28</v>
      </c>
    </row>
    <row r="24" spans="2:23" ht="15">
      <c r="B24" s="125" t="s">
        <v>100</v>
      </c>
      <c r="C24" s="52">
        <f>C5*'Default Data'!$C$26*'Default Data'!$B5*'Default Data'!$D$18/1000</f>
        <v>94.39637712400459</v>
      </c>
      <c r="D24" s="52">
        <f>E5*'Default Data'!$C$27*'Default Data'!$B5*'Default Data'!$D$18/1000</f>
        <v>125.08257440626889</v>
      </c>
      <c r="E24" s="52">
        <f>G5*'Default Data'!$C$28*'Default Data'!$B5*'Default Data'!$D$18/1000</f>
        <v>488.3022651708632</v>
      </c>
      <c r="F24" s="52">
        <f>I5*'Default Data'!$C$29*'Default Data'!$B5*'Default Data'!$D$18/1000</f>
        <v>608.3255465809768</v>
      </c>
      <c r="G24" s="52">
        <f>K5*'Default Data'!$C$30*'Default Data'!$B5*'Default Data'!$D$18/1000</f>
        <v>3553.633552651716</v>
      </c>
      <c r="H24" s="52">
        <f>M5*'Default Data'!$C$31*'Default Data'!$B5*'Default Data'!$D$18/1000</f>
        <v>3629.4170548546967</v>
      </c>
      <c r="I24" s="52">
        <f>O5*'Default Data'!$C$32*'Default Data'!$B5*'Default Data'!$D$18/1000</f>
        <v>3189.735367056492</v>
      </c>
      <c r="J24" s="52">
        <f>Q5*'Default Data'!$C$33*'Default Data'!$B5*'Default Data'!$D$18/1000</f>
        <v>3752.105270968473</v>
      </c>
      <c r="K24" s="52">
        <f>S5*'Default Data'!$C$34*'Default Data'!$B5*'Default Data'!$D$18/1000</f>
        <v>699.8397317748172</v>
      </c>
      <c r="L24" s="52">
        <f>U5*'Default Data'!$C$35*'Default Data'!$B5*'Default Data'!$D$18/1000</f>
        <v>402.98485333975026</v>
      </c>
      <c r="M24" s="52">
        <f>W5*'Default Data'!$C$36*'Default Data'!$B5*'Default Data'!$D$18/1000</f>
        <v>147.7635249631478</v>
      </c>
      <c r="N24" s="52">
        <f>Y5*'Default Data'!$C$37*'Default Data'!$B5*'Default Data'!$D$18/1000</f>
        <v>201.6733320628271</v>
      </c>
      <c r="O24" s="52">
        <f>AC5*'Default Data'!$C$38*'Default Data'!$B5*'Default Data'!$D$18/1000</f>
        <v>865.6959513402008</v>
      </c>
      <c r="P24" s="52">
        <f>AA5*'Default Data'!$C$39*'Default Data'!$B5*'Default Data'!$D$18/1000</f>
        <v>381.99982775732474</v>
      </c>
      <c r="Q24" s="52">
        <f>AE5*'Default Data'!$C$40*'Default Data'!$B5*'Default Data'!$D$18/1000</f>
        <v>576.3869698173299</v>
      </c>
      <c r="R24" s="15">
        <f>AG5*'Default Data'!$C$41*'Default Data'!$B5*'Default Data'!$D$18/1000</f>
        <v>62.72854183465495</v>
      </c>
      <c r="S24" s="111">
        <f>AI5*'Default Data'!$C$42*'Default Data'!$B5*'Default Data'!$D$18/1000</f>
        <v>296.732086646584</v>
      </c>
      <c r="T24" s="50">
        <f>AK5*'Default Data'!$C$43*'Default Data'!$B5*'Default Data'!$D$18/1000</f>
        <v>972.760570589903</v>
      </c>
      <c r="U24" s="112">
        <f>AM5*'Default Data'!$C$44*'Default Data'!$B5*'Default Data'!$D$18/1000</f>
        <v>1081.943492384013</v>
      </c>
      <c r="V24" s="118">
        <f>AO5*'Default Data'!$C$45*'Default Data'!$B5*'Default Data'!$D$18/1000</f>
        <v>825.4451445854064</v>
      </c>
      <c r="W24" s="118">
        <f>AQ5*'Default Data'!$C$46*'Default Data'!$B5*'Default Data'!$D$18/1000</f>
        <v>0</v>
      </c>
    </row>
    <row r="25" spans="2:23" ht="15">
      <c r="B25" s="126" t="s">
        <v>101</v>
      </c>
      <c r="C25" s="49">
        <f>C6*'Default Data'!$C$26*'Default Data'!$B6*'Default Data'!$D$18/1000</f>
        <v>249.98438623125858</v>
      </c>
      <c r="D25" s="49">
        <f>E6*'Default Data'!$C$27*'Default Data'!$B6*'Default Data'!$D$18/1000</f>
        <v>144.39515378669054</v>
      </c>
      <c r="E25" s="49">
        <f>G6*'Default Data'!$C$28*'Default Data'!$B6*'Default Data'!$D$18/1000</f>
        <v>287.5946774653647</v>
      </c>
      <c r="F25" s="49">
        <f>I6*'Default Data'!$C$29*'Default Data'!$B6*'Default Data'!$D$18/1000</f>
        <v>538.5163504649482</v>
      </c>
      <c r="G25" s="49">
        <f>K6*'Default Data'!$C$30*'Default Data'!$B6*'Default Data'!$D$18/1000</f>
        <v>3682.7437384018817</v>
      </c>
      <c r="H25" s="49">
        <f>M6*'Default Data'!$C$31*'Default Data'!$B6*'Default Data'!$D$18/1000</f>
        <v>3699.910418328985</v>
      </c>
      <c r="I25" s="49">
        <f>O6*'Default Data'!$C$32*'Default Data'!$B6*'Default Data'!$D$18/1000</f>
        <v>1628.4046647433283</v>
      </c>
      <c r="J25" s="49">
        <f>Q6*'Default Data'!$C$33*'Default Data'!$B6*'Default Data'!$D$18/1000</f>
        <v>3865.015179274149</v>
      </c>
      <c r="K25" s="49">
        <f>S6*'Default Data'!$C$34*'Default Data'!$B6*'Default Data'!$D$18/1000</f>
        <v>478.4882514948711</v>
      </c>
      <c r="L25" s="49">
        <f>U6*'Default Data'!$C$35*'Default Data'!$B6*'Default Data'!$D$18/1000</f>
        <v>374.80814449253694</v>
      </c>
      <c r="M25" s="49">
        <f>W6*'Default Data'!$C$36*'Default Data'!$B6*'Default Data'!$D$18/1000</f>
        <v>333.4567339315148</v>
      </c>
      <c r="N25" s="49">
        <f>Y6*'Default Data'!$C$37*'Default Data'!$B6*'Default Data'!$D$18/1000</f>
        <v>422.47683050021766</v>
      </c>
      <c r="O25" s="49">
        <f>AC6*'Default Data'!$C$38*'Default Data'!$B6*'Default Data'!$D$18/1000</f>
        <v>506.21582976493966</v>
      </c>
      <c r="P25" s="49">
        <f>AA6*'Default Data'!$C$39*'Default Data'!$B6*'Default Data'!$D$18/1000</f>
        <v>277.9890316687489</v>
      </c>
      <c r="Q25" s="49">
        <f>AE6*'Default Data'!$C$40*'Default Data'!$B6*'Default Data'!$D$18/1000</f>
        <v>389.1641466722072</v>
      </c>
      <c r="R25" s="16">
        <f>AG6*'Default Data'!$C$41*'Default Data'!$B6*'Default Data'!$D$18/1000</f>
        <v>78.1124738708624</v>
      </c>
      <c r="S25" s="107">
        <f>AI6*'Default Data'!$C$42*'Default Data'!$B6*'Default Data'!$D$18/1000</f>
        <v>475.5544285727518</v>
      </c>
      <c r="T25" s="49">
        <f>AK6*'Default Data'!$C$43*'Default Data'!$B6*'Default Data'!$D$18/1000</f>
        <v>1231.8189082327483</v>
      </c>
      <c r="U25" s="19">
        <f>AM6*'Default Data'!$C$44*'Default Data'!$B6*'Default Data'!$D$18/1000</f>
        <v>1227.6442147961782</v>
      </c>
      <c r="V25" s="118">
        <f>AO6*'Default Data'!$C$45*'Default Data'!$B6*'Default Data'!$D$18/1000</f>
        <v>1036.7456944923422</v>
      </c>
      <c r="W25" s="118">
        <f>AQ6*'Default Data'!$C$46*'Default Data'!$B6*'Default Data'!$D$18/1000</f>
        <v>39.50197016236403</v>
      </c>
    </row>
    <row r="26" spans="2:23" ht="15.75" thickBot="1">
      <c r="B26" s="127" t="s">
        <v>102</v>
      </c>
      <c r="C26" s="49">
        <f>C7*'Default Data'!$C$26*'Default Data'!$B7*'Default Data'!$D$18/1000</f>
        <v>227.99424563308568</v>
      </c>
      <c r="D26" s="49">
        <f>E7*'Default Data'!$C$27*'Default Data'!$B7*'Default Data'!$D$18/1000</f>
        <v>196.53400069994888</v>
      </c>
      <c r="E26" s="49">
        <f>G7*'Default Data'!$C$28*'Default Data'!$B7*'Default Data'!$D$18/1000</f>
        <v>323.83068627698174</v>
      </c>
      <c r="F26" s="49">
        <f>I7*'Default Data'!$C$29*'Default Data'!$B7*'Default Data'!$D$18/1000</f>
        <v>452.4878195104795</v>
      </c>
      <c r="G26" s="49">
        <f>K7*'Default Data'!$C$30*'Default Data'!$B7*'Default Data'!$D$18/1000</f>
        <v>3326.5095460862976</v>
      </c>
      <c r="H26" s="49">
        <f>M7*'Default Data'!$C$31*'Default Data'!$B7*'Default Data'!$D$18/1000</f>
        <v>2888.514873289567</v>
      </c>
      <c r="I26" s="49">
        <f>O7*'Default Data'!$C$32*'Default Data'!$B7*'Default Data'!$D$18/1000</f>
        <v>1426.2103710954336</v>
      </c>
      <c r="J26" s="49">
        <f>Q7*'Default Data'!$C$33*'Default Data'!$B7*'Default Data'!$D$18/1000</f>
        <v>3656.111732107332</v>
      </c>
      <c r="K26" s="49">
        <f>S7*'Default Data'!$C$34*'Default Data'!$B7*'Default Data'!$D$18/1000</f>
        <v>361.15201402423315</v>
      </c>
      <c r="L26" s="49">
        <f>U7*'Default Data'!$C$35*'Default Data'!$B7*'Default Data'!$D$18/1000</f>
        <v>235.18854315507056</v>
      </c>
      <c r="M26" s="49">
        <f>W7*'Default Data'!$C$36*'Default Data'!$B7*'Default Data'!$D$18/1000</f>
        <v>477.3862569137436</v>
      </c>
      <c r="N26" s="49">
        <f>Y7*'Default Data'!$C$37*'Default Data'!$B7*'Default Data'!$D$18/1000</f>
        <v>193.06088564119136</v>
      </c>
      <c r="O26" s="49">
        <f>AC7*'Default Data'!$C$38*'Default Data'!$B7*'Default Data'!$D$18/1000</f>
        <v>287.070227771441</v>
      </c>
      <c r="P26" s="49">
        <f>AA7*'Default Data'!$C$39*'Default Data'!$B7*'Default Data'!$D$18/1000</f>
        <v>322.42184776570673</v>
      </c>
      <c r="Q26" s="49">
        <f>AE7*'Default Data'!$C$40*'Default Data'!$B7*'Default Data'!$D$18/1000</f>
        <v>617.840189289835</v>
      </c>
      <c r="R26" s="16">
        <f>AG7*'Default Data'!$C$41*'Default Data'!$B7*'Default Data'!$D$18/1000</f>
        <v>57.88620318029189</v>
      </c>
      <c r="S26" s="116">
        <f>AI7*'Default Data'!$C$42*'Default Data'!$B7*'Default Data'!$D$18/1000</f>
        <v>139.15598719325422</v>
      </c>
      <c r="T26" s="117">
        <f>AK7*'Default Data'!$C$43*'Default Data'!$B7*'Default Data'!$D$18/1000</f>
        <v>668.6233538919637</v>
      </c>
      <c r="U26" s="118">
        <f>AM7*'Default Data'!$C$44*'Default Data'!$B7*'Default Data'!$D$18/1000</f>
        <v>466.26997678169187</v>
      </c>
      <c r="V26" s="118">
        <f>AO7*'Default Data'!$C$45*'Default Data'!$B7*'Default Data'!$D$18/1000</f>
        <v>273.1380950339549</v>
      </c>
      <c r="W26" s="118">
        <f>AQ7*'Default Data'!$C$46*'Default Data'!$B7*'Default Data'!$D$18/1000</f>
        <v>105.9913976905621</v>
      </c>
    </row>
    <row r="27" spans="2:23" ht="15.75" thickBot="1">
      <c r="B27" s="11" t="s">
        <v>105</v>
      </c>
      <c r="C27" s="64">
        <f aca="true" t="shared" si="2" ref="C27:U27">SUM(C24:C26)</f>
        <v>572.3750089883489</v>
      </c>
      <c r="D27" s="64">
        <f t="shared" si="2"/>
        <v>466.0117288929083</v>
      </c>
      <c r="E27" s="64">
        <f t="shared" si="2"/>
        <v>1099.7276289132096</v>
      </c>
      <c r="F27" s="64">
        <f t="shared" si="2"/>
        <v>1599.3297165564047</v>
      </c>
      <c r="G27" s="64">
        <f t="shared" si="2"/>
        <v>10562.886837139895</v>
      </c>
      <c r="H27" s="64">
        <f t="shared" si="2"/>
        <v>10217.842346473248</v>
      </c>
      <c r="I27" s="64">
        <f t="shared" si="2"/>
        <v>6244.350402895254</v>
      </c>
      <c r="J27" s="64">
        <f t="shared" si="2"/>
        <v>11273.232182349955</v>
      </c>
      <c r="K27" s="64">
        <f t="shared" si="2"/>
        <v>1539.4799972939213</v>
      </c>
      <c r="L27" s="64">
        <f t="shared" si="2"/>
        <v>1012.9815409873578</v>
      </c>
      <c r="M27" s="64">
        <f t="shared" si="2"/>
        <v>958.6065158084061</v>
      </c>
      <c r="N27" s="64">
        <f t="shared" si="2"/>
        <v>817.2110482042361</v>
      </c>
      <c r="O27" s="64">
        <f t="shared" si="2"/>
        <v>1658.9820088765816</v>
      </c>
      <c r="P27" s="64">
        <f t="shared" si="2"/>
        <v>982.4107071917804</v>
      </c>
      <c r="Q27" s="64">
        <f t="shared" si="2"/>
        <v>1583.3913057793723</v>
      </c>
      <c r="R27" s="21">
        <f t="shared" si="2"/>
        <v>198.72721888580924</v>
      </c>
      <c r="S27" s="119">
        <f t="shared" si="2"/>
        <v>911.44250241259</v>
      </c>
      <c r="T27" s="64">
        <f t="shared" si="2"/>
        <v>2873.202832714615</v>
      </c>
      <c r="U27" s="22">
        <f t="shared" si="2"/>
        <v>2775.8576839618836</v>
      </c>
      <c r="V27" s="22">
        <f>SUM(V24:V26)</f>
        <v>2135.3289341117033</v>
      </c>
      <c r="W27" s="22">
        <f>SUM(W24:W26)</f>
        <v>145.49336785292613</v>
      </c>
    </row>
    <row r="28" spans="2:23" ht="15.75" thickBot="1">
      <c r="B28" s="20" t="s">
        <v>30</v>
      </c>
      <c r="C28" s="190">
        <f>SUM(C27:W27)</f>
        <v>59628.87151629042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2"/>
    </row>
    <row r="29" ht="15.75" thickBot="1"/>
    <row r="30" spans="2:23" ht="15.75" thickBot="1">
      <c r="B30" s="185" t="s">
        <v>35</v>
      </c>
      <c r="C30" s="186"/>
      <c r="D30" s="190">
        <f>C28-C18</f>
        <v>50563.150507285034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2"/>
    </row>
  </sheetData>
  <sheetProtection/>
  <mergeCells count="28">
    <mergeCell ref="B30:C30"/>
    <mergeCell ref="B21:G21"/>
    <mergeCell ref="I3:J3"/>
    <mergeCell ref="K3:L3"/>
    <mergeCell ref="B2:G2"/>
    <mergeCell ref="B11:G11"/>
    <mergeCell ref="C3:D3"/>
    <mergeCell ref="E3:F3"/>
    <mergeCell ref="G3:H3"/>
    <mergeCell ref="AI3:AJ3"/>
    <mergeCell ref="AA3:AB3"/>
    <mergeCell ref="AC3:AD3"/>
    <mergeCell ref="AO3:AP3"/>
    <mergeCell ref="M3:N3"/>
    <mergeCell ref="O3:P3"/>
    <mergeCell ref="Q3:R3"/>
    <mergeCell ref="AK3:AL3"/>
    <mergeCell ref="AM3:AN3"/>
    <mergeCell ref="C18:W18"/>
    <mergeCell ref="C28:W28"/>
    <mergeCell ref="D30:W30"/>
    <mergeCell ref="AQ3:AR3"/>
    <mergeCell ref="S3:T3"/>
    <mergeCell ref="AE3:AF3"/>
    <mergeCell ref="AG3:AH3"/>
    <mergeCell ref="U3:V3"/>
    <mergeCell ref="W3:X3"/>
    <mergeCell ref="Y3:Z3"/>
  </mergeCell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Equation.3" shapeId="9334466" r:id="rId1"/>
    <oleObject progId="Equation.3" shapeId="9334465" r:id="rId2"/>
    <oleObject progId="Word.Document.8" shapeId="9334464" r:id="rId3"/>
    <oleObject progId="Word.Document.8" shapeId="933446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3:S32"/>
  <sheetViews>
    <sheetView zoomScalePageLayoutView="0" workbookViewId="0" topLeftCell="A16">
      <selection activeCell="H28" sqref="H28:H31"/>
    </sheetView>
  </sheetViews>
  <sheetFormatPr defaultColWidth="9.140625" defaultRowHeight="15"/>
  <cols>
    <col min="1" max="1" width="3.00390625" style="25" customWidth="1"/>
    <col min="2" max="2" width="7.28125" style="25" bestFit="1" customWidth="1"/>
    <col min="3" max="3" width="7.7109375" style="25" hidden="1" customWidth="1"/>
    <col min="4" max="4" width="19.7109375" style="25" hidden="1" customWidth="1"/>
    <col min="5" max="5" width="16.00390625" style="25" bestFit="1" customWidth="1"/>
    <col min="6" max="6" width="13.8515625" style="25" bestFit="1" customWidth="1"/>
    <col min="7" max="7" width="19.28125" style="25" bestFit="1" customWidth="1"/>
    <col min="8" max="8" width="29.00390625" style="25" bestFit="1" customWidth="1"/>
    <col min="9" max="9" width="19.28125" style="25" bestFit="1" customWidth="1"/>
    <col min="10" max="10" width="17.8515625" style="25" bestFit="1" customWidth="1"/>
    <col min="11" max="11" width="21.00390625" style="25" bestFit="1" customWidth="1"/>
    <col min="12" max="16384" width="9.140625" style="25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2:17" ht="14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14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5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9" ht="15">
      <c r="B26" s="24" t="s">
        <v>36</v>
      </c>
      <c r="C26" s="24" t="s">
        <v>36</v>
      </c>
      <c r="D26" s="24"/>
      <c r="E26" s="24" t="s">
        <v>37</v>
      </c>
      <c r="F26" s="24" t="s">
        <v>38</v>
      </c>
      <c r="G26" s="24" t="s">
        <v>39</v>
      </c>
      <c r="H26" s="24" t="s">
        <v>40</v>
      </c>
      <c r="I26" s="24" t="s">
        <v>33</v>
      </c>
      <c r="J26" s="24" t="s">
        <v>27</v>
      </c>
      <c r="K26" s="37" t="s">
        <v>35</v>
      </c>
      <c r="L26" s="27"/>
      <c r="M26" s="27"/>
      <c r="N26" s="26"/>
      <c r="O26" s="26"/>
      <c r="P26" s="26"/>
      <c r="Q26" s="26"/>
      <c r="R26" s="26"/>
      <c r="S26" s="26"/>
    </row>
    <row r="27" spans="2:19" ht="15.75" thickBot="1">
      <c r="B27" s="38"/>
      <c r="C27" s="38"/>
      <c r="D27" s="38"/>
      <c r="E27" s="38" t="s">
        <v>41</v>
      </c>
      <c r="F27" s="38" t="s">
        <v>44</v>
      </c>
      <c r="G27" s="38" t="s">
        <v>44</v>
      </c>
      <c r="H27" s="38" t="s">
        <v>42</v>
      </c>
      <c r="I27" s="38" t="s">
        <v>44</v>
      </c>
      <c r="J27" s="38" t="s">
        <v>44</v>
      </c>
      <c r="K27" s="39" t="s">
        <v>44</v>
      </c>
      <c r="L27" s="27"/>
      <c r="M27" s="27"/>
      <c r="N27" s="26"/>
      <c r="O27" s="26"/>
      <c r="P27" s="26"/>
      <c r="Q27" s="26"/>
      <c r="R27" s="26"/>
      <c r="S27" s="26"/>
    </row>
    <row r="28" spans="2:19" ht="15">
      <c r="B28" s="86" t="s">
        <v>100</v>
      </c>
      <c r="C28" s="28">
        <v>1</v>
      </c>
      <c r="D28" s="28"/>
      <c r="E28" s="193">
        <v>9459.34</v>
      </c>
      <c r="F28" s="132">
        <f>E28*'Default Data'!$E$52/'Default Data'!$E$51*'Default Data'!$D$19</f>
        <v>4758.660094941177</v>
      </c>
      <c r="G28" s="129">
        <f>E28*'Default Data'!$E$53*0.896</f>
        <v>0.23731592192000003</v>
      </c>
      <c r="H28" s="195">
        <v>21.166</v>
      </c>
      <c r="I28" s="132">
        <f>F28+G28</f>
        <v>4758.897410863096</v>
      </c>
      <c r="J28" s="132">
        <f>H28*'Default Data'!$D$20</f>
        <v>18.964736000000002</v>
      </c>
      <c r="K28" s="130">
        <f>I28-J28</f>
        <v>4739.9326748630965</v>
      </c>
      <c r="L28" s="29"/>
      <c r="M28" s="29"/>
      <c r="N28" s="26"/>
      <c r="O28" s="26"/>
      <c r="P28" s="26"/>
      <c r="Q28" s="26"/>
      <c r="R28" s="26"/>
      <c r="S28" s="26"/>
    </row>
    <row r="29" spans="2:19" ht="15">
      <c r="B29" s="87" t="s">
        <v>101</v>
      </c>
      <c r="C29" s="35">
        <v>8</v>
      </c>
      <c r="D29" s="35"/>
      <c r="E29" s="194">
        <v>10322.37</v>
      </c>
      <c r="F29" s="133">
        <f>E29*'Default Data'!$E$52/'Default Data'!$E$51*'Default Data'!$D$19</f>
        <v>5192.820028058825</v>
      </c>
      <c r="G29" s="129">
        <f>E29*'Default Data'!$E$53*0.896</f>
        <v>0.25896761856000006</v>
      </c>
      <c r="H29" s="195">
        <v>20.181</v>
      </c>
      <c r="I29" s="133">
        <f>F29+G29</f>
        <v>5193.078995677385</v>
      </c>
      <c r="J29" s="133">
        <f>H29*'Default Data'!$D$20</f>
        <v>18.082176</v>
      </c>
      <c r="K29" s="131">
        <f>I29-J29</f>
        <v>5174.996819677385</v>
      </c>
      <c r="L29" s="29"/>
      <c r="M29" s="29"/>
      <c r="N29" s="26"/>
      <c r="O29" s="26"/>
      <c r="P29" s="26"/>
      <c r="Q29" s="26"/>
      <c r="R29" s="26"/>
      <c r="S29" s="26"/>
    </row>
    <row r="30" spans="2:19" ht="15.75" thickBot="1">
      <c r="B30" s="87" t="s">
        <v>102</v>
      </c>
      <c r="C30" s="35">
        <v>9</v>
      </c>
      <c r="D30" s="35"/>
      <c r="E30" s="194">
        <v>7077.36</v>
      </c>
      <c r="F30" s="133">
        <f>E30*'Default Data'!$E$52/'Default Data'!$E$51*'Default Data'!$D$19</f>
        <v>3560.3700268235293</v>
      </c>
      <c r="G30" s="129">
        <f>E30*'Default Data'!$E$53*0.896</f>
        <v>0.17755680768</v>
      </c>
      <c r="H30" s="195">
        <v>14.122</v>
      </c>
      <c r="I30" s="133">
        <f>F30+G30</f>
        <v>3560.5475836312094</v>
      </c>
      <c r="J30" s="133">
        <f>H30*'Default Data'!$D$20</f>
        <v>12.653312</v>
      </c>
      <c r="K30" s="131">
        <f>I30-J30</f>
        <v>3547.8942716312094</v>
      </c>
      <c r="L30" s="29"/>
      <c r="M30" s="29"/>
      <c r="N30" s="26"/>
      <c r="O30" s="26"/>
      <c r="P30" s="26"/>
      <c r="Q30" s="26"/>
      <c r="R30" s="26"/>
      <c r="S30" s="26"/>
    </row>
    <row r="31" spans="2:19" ht="15.75" thickBot="1">
      <c r="B31" s="11" t="s">
        <v>43</v>
      </c>
      <c r="C31" s="36" t="s">
        <v>43</v>
      </c>
      <c r="D31" s="151"/>
      <c r="E31" s="152">
        <f aca="true" t="shared" si="0" ref="E31:J31">SUM(E28:E30)</f>
        <v>26859.07</v>
      </c>
      <c r="F31" s="152">
        <f t="shared" si="0"/>
        <v>13511.850149823531</v>
      </c>
      <c r="G31" s="153">
        <f t="shared" si="0"/>
        <v>0.6738403481600002</v>
      </c>
      <c r="H31" s="196">
        <f t="shared" si="0"/>
        <v>55.469</v>
      </c>
      <c r="I31" s="152">
        <f t="shared" si="0"/>
        <v>13512.52399017169</v>
      </c>
      <c r="J31" s="152">
        <f t="shared" si="0"/>
        <v>49.700224000000006</v>
      </c>
      <c r="K31" s="154">
        <f>I31-J31</f>
        <v>13462.82376617169</v>
      </c>
      <c r="L31" s="30"/>
      <c r="M31" s="30"/>
      <c r="N31" s="26"/>
      <c r="O31" s="26"/>
      <c r="P31" s="26"/>
      <c r="Q31" s="26"/>
      <c r="R31" s="26"/>
      <c r="S31" s="26"/>
    </row>
    <row r="32" spans="2:17" ht="14.25">
      <c r="B32" s="26"/>
      <c r="C32" s="26"/>
      <c r="D32" s="26"/>
      <c r="E32" s="26"/>
      <c r="F32" s="3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</sheetData>
  <sheetProtection/>
  <printOptions/>
  <pageMargins left="0.75" right="0.75" top="1" bottom="1" header="0.5" footer="0.5"/>
  <pageSetup horizontalDpi="600" verticalDpi="600" orientation="landscape" paperSize="9" r:id="rId6"/>
  <legacyDrawing r:id="rId5"/>
  <oleObjects>
    <oleObject progId="Equation.3" shapeId="9334462" r:id="rId1"/>
    <oleObject progId="Word.Document.8" shapeId="9334461" r:id="rId2"/>
    <oleObject progId="Equation.3" shapeId="9334460" r:id="rId3"/>
    <oleObject progId="Word.Document.8" shapeId="9334459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9:H23"/>
  <sheetViews>
    <sheetView zoomScalePageLayoutView="0" workbookViewId="0" topLeftCell="A9">
      <selection activeCell="C20" sqref="C20:E23"/>
    </sheetView>
  </sheetViews>
  <sheetFormatPr defaultColWidth="9.140625" defaultRowHeight="15"/>
  <cols>
    <col min="2" max="2" width="11.421875" style="0" customWidth="1"/>
    <col min="3" max="3" width="15.28125" style="0" customWidth="1"/>
    <col min="4" max="4" width="29.7109375" style="0" bestFit="1" customWidth="1"/>
    <col min="5" max="5" width="27.28125" style="0" bestFit="1" customWidth="1"/>
    <col min="6" max="6" width="18.7109375" style="0" bestFit="1" customWidth="1"/>
    <col min="7" max="7" width="17.421875" style="0" bestFit="1" customWidth="1"/>
    <col min="8" max="8" width="10.421875" style="0" customWidth="1"/>
  </cols>
  <sheetData>
    <row r="18" ht="15.75" thickBot="1"/>
    <row r="19" spans="2:8" ht="30.75" thickBot="1">
      <c r="B19" s="56" t="s">
        <v>36</v>
      </c>
      <c r="C19" s="71" t="s">
        <v>75</v>
      </c>
      <c r="D19" s="71" t="s">
        <v>71</v>
      </c>
      <c r="E19" s="71" t="s">
        <v>72</v>
      </c>
      <c r="F19" s="53" t="s">
        <v>73</v>
      </c>
      <c r="G19" s="53" t="s">
        <v>74</v>
      </c>
      <c r="H19" s="53" t="s">
        <v>58</v>
      </c>
    </row>
    <row r="20" spans="2:8" ht="15">
      <c r="B20" s="86" t="s">
        <v>100</v>
      </c>
      <c r="C20" s="197">
        <v>10141.03</v>
      </c>
      <c r="D20" s="198">
        <v>7524.652</v>
      </c>
      <c r="E20" s="199">
        <v>1380.504</v>
      </c>
      <c r="F20" s="134">
        <f>C20*'Default Data'!$E$58*'Default Data'!$D$20</f>
        <v>9346.838615893337</v>
      </c>
      <c r="G20" s="135">
        <f>(D20+E20)*'Default Data'!$D$20</f>
        <v>7979.019775999999</v>
      </c>
      <c r="H20" s="54">
        <f>F20-G20</f>
        <v>1367.818839893338</v>
      </c>
    </row>
    <row r="21" spans="2:8" ht="15">
      <c r="B21" s="87" t="s">
        <v>101</v>
      </c>
      <c r="C21" s="200">
        <v>11009.313</v>
      </c>
      <c r="D21" s="201">
        <v>8307.33</v>
      </c>
      <c r="E21" s="202">
        <v>1543.992</v>
      </c>
      <c r="F21" s="136">
        <f>C21*'Default Data'!$E$58*'Default Data'!$D$20</f>
        <v>10147.122322176003</v>
      </c>
      <c r="G21" s="137">
        <f>(D21+E21)*'Default Data'!$D$20</f>
        <v>8826.784512</v>
      </c>
      <c r="H21" s="55">
        <f>F21-G21</f>
        <v>1320.3378101760027</v>
      </c>
    </row>
    <row r="22" spans="2:8" ht="15.75" thickBot="1">
      <c r="B22" s="87" t="s">
        <v>102</v>
      </c>
      <c r="C22" s="203">
        <v>7898.56</v>
      </c>
      <c r="D22" s="204">
        <v>5773.669</v>
      </c>
      <c r="E22" s="205">
        <v>1056.656</v>
      </c>
      <c r="F22" s="138">
        <f>C22*'Default Data'!$E$58*'Default Data'!$D$20</f>
        <v>7279.986906453335</v>
      </c>
      <c r="G22" s="139">
        <f>(D22+E22)*'Default Data'!$D$20</f>
        <v>6119.9712</v>
      </c>
      <c r="H22" s="55">
        <f>F22-G22</f>
        <v>1160.015706453335</v>
      </c>
    </row>
    <row r="23" spans="2:8" ht="15.75" thickBot="1">
      <c r="B23" s="148" t="s">
        <v>43</v>
      </c>
      <c r="C23" s="206">
        <f aca="true" t="shared" si="0" ref="C23:H23">SUM(C20:C22)</f>
        <v>29048.903000000002</v>
      </c>
      <c r="D23" s="206">
        <f t="shared" si="0"/>
        <v>21605.650999999998</v>
      </c>
      <c r="E23" s="206">
        <f t="shared" si="0"/>
        <v>3981.152</v>
      </c>
      <c r="F23" s="149">
        <f t="shared" si="0"/>
        <v>26773.947844522674</v>
      </c>
      <c r="G23" s="149">
        <f t="shared" si="0"/>
        <v>22925.775488</v>
      </c>
      <c r="H23" s="150">
        <f t="shared" si="0"/>
        <v>3848.1723565226757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9334458" r:id="rId1"/>
    <oleObject progId="Word.Document.8" shapeId="9334457" r:id="rId2"/>
    <oleObject progId="Equation.3" shapeId="9334456" r:id="rId3"/>
    <oleObject progId="Word.Document.8" shapeId="933445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9:G23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12.57421875" style="0" customWidth="1"/>
    <col min="3" max="3" width="17.421875" style="0" bestFit="1" customWidth="1"/>
    <col min="4" max="4" width="29.421875" style="0" bestFit="1" customWidth="1"/>
    <col min="5" max="5" width="25.00390625" style="0" bestFit="1" customWidth="1"/>
    <col min="6" max="6" width="23.7109375" style="0" bestFit="1" customWidth="1"/>
    <col min="7" max="7" width="11.7109375" style="0" customWidth="1"/>
  </cols>
  <sheetData>
    <row r="18" ht="15.75" thickBot="1"/>
    <row r="19" spans="2:7" ht="15.75" thickBot="1">
      <c r="B19" s="44" t="s">
        <v>36</v>
      </c>
      <c r="C19" s="121" t="s">
        <v>59</v>
      </c>
      <c r="D19" s="56" t="s">
        <v>60</v>
      </c>
      <c r="E19" s="122" t="s">
        <v>56</v>
      </c>
      <c r="F19" s="45" t="s">
        <v>57</v>
      </c>
      <c r="G19" s="46" t="s">
        <v>58</v>
      </c>
    </row>
    <row r="20" spans="2:7" ht="15">
      <c r="B20" s="86" t="s">
        <v>100</v>
      </c>
      <c r="C20" s="207">
        <v>396.59</v>
      </c>
      <c r="D20" s="207">
        <v>215.459</v>
      </c>
      <c r="E20" s="141">
        <f>C20*'Default Data'!$E$62*'Default Data'!$D$20</f>
        <v>4264.13568</v>
      </c>
      <c r="F20" s="141">
        <f>D20*'Default Data'!$D$20</f>
        <v>193.051264</v>
      </c>
      <c r="G20" s="144">
        <f>E20-F20</f>
        <v>4071.084416</v>
      </c>
    </row>
    <row r="21" spans="2:7" ht="15">
      <c r="B21" s="87" t="s">
        <v>101</v>
      </c>
      <c r="C21" s="208">
        <v>477.01</v>
      </c>
      <c r="D21" s="208">
        <v>224.24</v>
      </c>
      <c r="E21" s="142">
        <f>C21*'Default Data'!$E$62*'Default Data'!$D$20</f>
        <v>5128.81152</v>
      </c>
      <c r="F21" s="142">
        <f>D21*'Default Data'!$D$20</f>
        <v>200.91904000000002</v>
      </c>
      <c r="G21" s="145">
        <f>E21-F21</f>
        <v>4927.89248</v>
      </c>
    </row>
    <row r="22" spans="2:7" ht="15.75" thickBot="1">
      <c r="B22" s="87" t="s">
        <v>102</v>
      </c>
      <c r="C22" s="209">
        <v>432</v>
      </c>
      <c r="D22" s="209">
        <v>183.303</v>
      </c>
      <c r="E22" s="143">
        <f>C22*'Default Data'!$E$62*'Default Data'!$D$20</f>
        <v>4644.8640000000005</v>
      </c>
      <c r="F22" s="143">
        <f>D22*'Default Data'!$D$20</f>
        <v>164.239488</v>
      </c>
      <c r="G22" s="145">
        <f>E22-F22</f>
        <v>4480.624512</v>
      </c>
    </row>
    <row r="23" spans="2:7" ht="15.75" thickBot="1">
      <c r="B23" s="140" t="s">
        <v>98</v>
      </c>
      <c r="C23" s="210">
        <f>SUM(C20:C22)</f>
        <v>1305.6</v>
      </c>
      <c r="D23" s="211">
        <f>SUM(D20:D22)</f>
        <v>623.002</v>
      </c>
      <c r="E23" s="146">
        <f>SUM(E20:E22)</f>
        <v>14037.8112</v>
      </c>
      <c r="F23" s="146">
        <f>SUM(F20:F22)</f>
        <v>558.2097920000001</v>
      </c>
      <c r="G23" s="147">
        <f>SUM(G20:G22)</f>
        <v>13479.601408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9334454" r:id="rId1"/>
    <oleObject progId="Word.Document.8" shapeId="9334453" r:id="rId2"/>
    <oleObject progId="Equation.3" shapeId="9334452" r:id="rId3"/>
    <oleObject progId="Word.Document.8" shapeId="9334451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3:D22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2" max="2" width="18.140625" style="0" bestFit="1" customWidth="1"/>
  </cols>
  <sheetData>
    <row r="2" ht="15.75" thickBot="1"/>
    <row r="3" spans="2:4" ht="15">
      <c r="B3" s="13" t="s">
        <v>33</v>
      </c>
      <c r="C3" s="4"/>
      <c r="D3" s="57"/>
    </row>
    <row r="4" spans="2:4" ht="15">
      <c r="B4" s="6" t="s">
        <v>64</v>
      </c>
      <c r="C4" s="2" t="s">
        <v>28</v>
      </c>
      <c r="D4" s="58">
        <f>'Furnaces (SP1)'!C28</f>
        <v>59628.87151629042</v>
      </c>
    </row>
    <row r="5" spans="2:4" ht="15">
      <c r="B5" s="6" t="s">
        <v>65</v>
      </c>
      <c r="C5" s="2" t="s">
        <v>28</v>
      </c>
      <c r="D5" s="58">
        <f>'Vacuumator  (SP2)'!I31</f>
        <v>13512.52399017169</v>
      </c>
    </row>
    <row r="6" spans="2:4" ht="15">
      <c r="B6" s="6" t="s">
        <v>66</v>
      </c>
      <c r="C6" s="2" t="s">
        <v>28</v>
      </c>
      <c r="D6" s="58">
        <f>'Ladle Furnace (SP3)'!F23</f>
        <v>26773.947844522674</v>
      </c>
    </row>
    <row r="7" spans="2:4" ht="15.75" thickBot="1">
      <c r="B7" s="9" t="s">
        <v>67</v>
      </c>
      <c r="C7" s="10" t="s">
        <v>28</v>
      </c>
      <c r="D7" s="59">
        <f>'Press (SP4) '!E23</f>
        <v>14037.8112</v>
      </c>
    </row>
    <row r="8" spans="2:4" ht="15.75" thickBot="1">
      <c r="B8" s="11" t="s">
        <v>43</v>
      </c>
      <c r="C8" s="12" t="s">
        <v>28</v>
      </c>
      <c r="D8" s="60">
        <f>SUM(D4:D7)</f>
        <v>113953.15455098478</v>
      </c>
    </row>
    <row r="9" ht="15.75" thickBot="1"/>
    <row r="10" spans="2:4" ht="15">
      <c r="B10" s="13" t="s">
        <v>27</v>
      </c>
      <c r="C10" s="4"/>
      <c r="D10" s="57"/>
    </row>
    <row r="11" spans="2:4" ht="15">
      <c r="B11" s="6" t="s">
        <v>64</v>
      </c>
      <c r="C11" s="2" t="s">
        <v>28</v>
      </c>
      <c r="D11" s="58">
        <f>'Furnaces (SP1)'!C18</f>
        <v>9065.721009005383</v>
      </c>
    </row>
    <row r="12" spans="2:4" ht="15">
      <c r="B12" s="6" t="s">
        <v>65</v>
      </c>
      <c r="C12" s="2" t="s">
        <v>28</v>
      </c>
      <c r="D12" s="58">
        <f>'Vacuumator  (SP2)'!J31</f>
        <v>49.700224000000006</v>
      </c>
    </row>
    <row r="13" spans="2:4" ht="15">
      <c r="B13" s="6" t="s">
        <v>66</v>
      </c>
      <c r="C13" s="2" t="s">
        <v>28</v>
      </c>
      <c r="D13" s="58">
        <f>'Ladle Furnace (SP3)'!G23</f>
        <v>22925.775488</v>
      </c>
    </row>
    <row r="14" spans="2:4" ht="15.75" thickBot="1">
      <c r="B14" s="9" t="s">
        <v>67</v>
      </c>
      <c r="C14" s="10" t="s">
        <v>28</v>
      </c>
      <c r="D14" s="59">
        <f>'Press (SP4) '!F23</f>
        <v>558.2097920000001</v>
      </c>
    </row>
    <row r="15" spans="2:4" ht="15.75" thickBot="1">
      <c r="B15" s="11" t="s">
        <v>43</v>
      </c>
      <c r="C15" s="12" t="s">
        <v>28</v>
      </c>
      <c r="D15" s="60">
        <f>SUM(D11:D14)</f>
        <v>32599.406513005386</v>
      </c>
    </row>
    <row r="16" ht="15.75" thickBot="1"/>
    <row r="17" spans="2:4" ht="15">
      <c r="B17" s="13" t="s">
        <v>34</v>
      </c>
      <c r="C17" s="4"/>
      <c r="D17" s="57"/>
    </row>
    <row r="18" spans="2:4" ht="15">
      <c r="B18" s="6" t="s">
        <v>64</v>
      </c>
      <c r="C18" s="2" t="s">
        <v>28</v>
      </c>
      <c r="D18" s="58">
        <f>D4-D11</f>
        <v>50563.150507285034</v>
      </c>
    </row>
    <row r="19" spans="2:4" ht="15">
      <c r="B19" s="6" t="s">
        <v>65</v>
      </c>
      <c r="C19" s="2" t="s">
        <v>28</v>
      </c>
      <c r="D19" s="58">
        <f>D5-D12</f>
        <v>13462.82376617169</v>
      </c>
    </row>
    <row r="20" spans="2:4" ht="15">
      <c r="B20" s="6" t="s">
        <v>66</v>
      </c>
      <c r="C20" s="2" t="s">
        <v>28</v>
      </c>
      <c r="D20" s="58">
        <f>D6-D13</f>
        <v>3848.172356522675</v>
      </c>
    </row>
    <row r="21" spans="2:4" ht="15.75" thickBot="1">
      <c r="B21" s="9" t="s">
        <v>67</v>
      </c>
      <c r="C21" s="10" t="s">
        <v>28</v>
      </c>
      <c r="D21" s="58">
        <f>D7-D14</f>
        <v>13479.601408</v>
      </c>
    </row>
    <row r="22" spans="2:4" ht="15.75" thickBot="1">
      <c r="B22" s="11" t="s">
        <v>43</v>
      </c>
      <c r="C22" s="12" t="s">
        <v>28</v>
      </c>
      <c r="D22" s="60">
        <f>SUM(D18:D21)</f>
        <v>81353.7480379794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2009-12-22T12:12:40Z</cp:lastPrinted>
  <dcterms:created xsi:type="dcterms:W3CDTF">2009-04-14T07:18:06Z</dcterms:created>
  <dcterms:modified xsi:type="dcterms:W3CDTF">2010-07-29T13:06:54Z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