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55" yWindow="65521" windowWidth="12600" windowHeight="12675" tabRatio="717" activeTab="0"/>
  </bookViews>
  <sheets>
    <sheet name="SG-ERU2 ER table V5" sheetId="1" r:id="rId1"/>
  </sheets>
  <definedNames>
    <definedName name="_xlnm.Print_Area" localSheetId="0">'SG-ERU2 ER table V5'!$A$1:$BI$31</definedName>
    <definedName name="OLE_LINK10" localSheetId="0">'SG-ERU2 ER table V5'!$AJ$3</definedName>
    <definedName name="OLE_LINK11" localSheetId="0">'SG-ERU2 ER table V5'!$AJ$4</definedName>
    <definedName name="OLE_LINK12" localSheetId="0">'SG-ERU2 ER table V5'!$AN$4</definedName>
    <definedName name="OLE_LINK3" localSheetId="0">'SG-ERU2 ER table V5'!$T$4</definedName>
    <definedName name="OLE_LINK4" localSheetId="0">'SG-ERU2 ER table V5'!$AC$3</definedName>
    <definedName name="OLE_LINK5" localSheetId="0">'SG-ERU2 ER table V5'!$AC$4</definedName>
    <definedName name="OLE_LINK7" localSheetId="0">'SG-ERU2 ER table V5'!$AI$3</definedName>
    <definedName name="OLE_LINK8" localSheetId="0">'SG-ERU2 ER table V5'!$AI$4</definedName>
  </definedNames>
  <calcPr fullCalcOnLoad="1"/>
</workbook>
</file>

<file path=xl/comments1.xml><?xml version="1.0" encoding="utf-8"?>
<comments xmlns="http://schemas.openxmlformats.org/spreadsheetml/2006/main">
  <authors>
    <author>Adam Hadulla</author>
    <author>A-TEC</author>
    <author>A-TEC5</author>
  </authors>
  <commentList>
    <comment ref="V6" authorId="0">
      <text>
        <r>
          <rPr>
            <b/>
            <sz val="8"/>
            <rFont val="Tahoma"/>
            <family val="0"/>
          </rPr>
          <t>Adam Hadulla:</t>
        </r>
        <r>
          <rPr>
            <sz val="8"/>
            <rFont val="Tahoma"/>
            <family val="0"/>
          </rPr>
          <t xml:space="preserve">
The methane amount destroyed by flaring has been calculated using the complete monitored data (15 min. intervall  storage).
The data are calculated using three different combustion efficiencies, depending on the flame temperature:
0% below 500°C
90% 500°C to 1000°C
99.5% above 1000°C
This calculation can't be done with monthly sums.
See xls-file (data sources) for details</t>
        </r>
      </text>
    </comment>
    <comment ref="AH6" authorId="0">
      <text>
        <r>
          <rPr>
            <b/>
            <sz val="8"/>
            <rFont val="Tahoma"/>
            <family val="0"/>
          </rPr>
          <t>Adam Hadulla:</t>
        </r>
        <r>
          <rPr>
            <sz val="8"/>
            <rFont val="Tahoma"/>
            <family val="0"/>
          </rPr>
          <t xml:space="preserve">
ex-ante value
constant</t>
        </r>
      </text>
    </comment>
    <comment ref="AI6" authorId="0">
      <text>
        <r>
          <rPr>
            <b/>
            <sz val="8"/>
            <rFont val="Tahoma"/>
            <family val="0"/>
          </rPr>
          <t>Adam Hadulla:</t>
        </r>
        <r>
          <rPr>
            <sz val="8"/>
            <rFont val="Tahoma"/>
            <family val="0"/>
          </rPr>
          <t xml:space="preserve">
ex-ante value
constant</t>
        </r>
      </text>
    </comment>
    <comment ref="AN6" authorId="0">
      <text>
        <r>
          <rPr>
            <b/>
            <sz val="8"/>
            <rFont val="Tahoma"/>
            <family val="0"/>
          </rPr>
          <t>Adam Hadulla:</t>
        </r>
        <r>
          <rPr>
            <sz val="8"/>
            <rFont val="Tahoma"/>
            <family val="0"/>
          </rPr>
          <t xml:space="preserve">
ex-ante value
constant</t>
        </r>
      </text>
    </comment>
    <comment ref="AX6" authorId="0">
      <text>
        <r>
          <rPr>
            <b/>
            <sz val="8"/>
            <rFont val="Tahoma"/>
            <family val="0"/>
          </rPr>
          <t>Adam Hadulla:</t>
        </r>
        <r>
          <rPr>
            <sz val="8"/>
            <rFont val="Tahoma"/>
            <family val="0"/>
          </rPr>
          <t xml:space="preserve">
ex-ante value
constant</t>
        </r>
      </text>
    </comment>
    <comment ref="BG6" authorId="0">
      <text>
        <r>
          <rPr>
            <b/>
            <sz val="8"/>
            <rFont val="Tahoma"/>
            <family val="0"/>
          </rPr>
          <t>Adam Hadulla:</t>
        </r>
        <r>
          <rPr>
            <sz val="8"/>
            <rFont val="Tahoma"/>
            <family val="0"/>
          </rPr>
          <t xml:space="preserve">
ex-ante value 
constant
IPCC 2006</t>
        </r>
      </text>
    </comment>
    <comment ref="AY6" authorId="0">
      <text>
        <r>
          <rPr>
            <b/>
            <sz val="8"/>
            <rFont val="Tahoma"/>
            <family val="0"/>
          </rPr>
          <t>Adam Hadulla:</t>
        </r>
        <r>
          <rPr>
            <sz val="8"/>
            <rFont val="Tahoma"/>
            <family val="0"/>
          </rPr>
          <t xml:space="preserve">
ex-ante value
constant</t>
        </r>
      </text>
    </comment>
    <comment ref="X4" authorId="1">
      <text>
        <r>
          <rPr>
            <b/>
            <sz val="8"/>
            <rFont val="Tahoma"/>
            <family val="0"/>
          </rPr>
          <t xml:space="preserve">Adam Hadulla:
</t>
        </r>
        <r>
          <rPr>
            <sz val="8"/>
            <rFont val="Tahoma"/>
            <family val="2"/>
          </rPr>
          <t xml:space="preserve">The monthly values of EffFL represents monthly average values for information only - MDFL has been calculated using the excat values in 15 min cycles within the Data sheets. </t>
        </r>
      </text>
    </comment>
    <comment ref="BD8" authorId="2">
      <text>
        <r>
          <rPr>
            <b/>
            <sz val="9"/>
            <rFont val="Tahoma"/>
            <family val="0"/>
          </rPr>
          <t>A-TEC5:</t>
        </r>
        <r>
          <rPr>
            <sz val="9"/>
            <rFont val="Tahoma"/>
            <family val="0"/>
          </rPr>
          <t xml:space="preserve">
no steam data from 5.6.10 to 24.6.10, because of disabling equipment for heat measurement</t>
        </r>
      </text>
    </comment>
    <comment ref="BH6" authorId="0">
      <text>
        <r>
          <rPr>
            <b/>
            <sz val="8"/>
            <rFont val="Tahoma"/>
            <family val="0"/>
          </rPr>
          <t>Adam Hadulla:</t>
        </r>
        <r>
          <rPr>
            <sz val="8"/>
            <rFont val="Tahoma"/>
            <family val="0"/>
          </rPr>
          <t xml:space="preserve">
ex-ante values,  
constants:
manufacturer data from boiler pass (90% for upgraded winter boilers, 89% for upgraded summer boilers)</t>
        </r>
      </text>
    </comment>
    <comment ref="S6" authorId="1">
      <text>
        <r>
          <rPr>
            <b/>
            <sz val="8"/>
            <rFont val="Tahoma"/>
            <family val="0"/>
          </rPr>
          <t>A-TEC:</t>
        </r>
        <r>
          <rPr>
            <sz val="8"/>
            <rFont val="Tahoma"/>
            <family val="0"/>
          </rPr>
          <t xml:space="preserve">
The own consumption of the cogeneration unit has been set to 3.5%, see PDD, Annex 2, pg. 61</t>
        </r>
      </text>
    </comment>
    <comment ref="BF6" authorId="0">
      <text>
        <r>
          <rPr>
            <b/>
            <sz val="8"/>
            <rFont val="Tahoma"/>
            <family val="0"/>
          </rPr>
          <t>Adam Hadulla:</t>
        </r>
        <r>
          <rPr>
            <sz val="8"/>
            <rFont val="Tahoma"/>
            <family val="0"/>
          </rPr>
          <t xml:space="preserve">
NEIA
2010 := 1.067
2011 := 1.063</t>
        </r>
      </text>
    </comment>
    <comment ref="O20" authorId="2">
      <text>
        <r>
          <rPr>
            <b/>
            <sz val="9"/>
            <rFont val="Tahoma"/>
            <family val="0"/>
          </rPr>
          <t>A-TEC5:</t>
        </r>
        <r>
          <rPr>
            <sz val="9"/>
            <rFont val="Tahoma"/>
            <family val="0"/>
          </rPr>
          <t xml:space="preserve">
rounded down</t>
        </r>
      </text>
    </comment>
    <comment ref="K19" authorId="2">
      <text>
        <r>
          <rPr>
            <b/>
            <sz val="9"/>
            <rFont val="Tahoma"/>
            <family val="0"/>
          </rPr>
          <t>A-TEC5:</t>
        </r>
        <r>
          <rPr>
            <sz val="9"/>
            <rFont val="Tahoma"/>
            <family val="0"/>
          </rPr>
          <t xml:space="preserve">
rounded up</t>
        </r>
      </text>
    </comment>
    <comment ref="BF16" authorId="0">
      <text>
        <r>
          <rPr>
            <b/>
            <sz val="8"/>
            <rFont val="Tahoma"/>
            <family val="0"/>
          </rPr>
          <t>Adam Hadulla:</t>
        </r>
        <r>
          <rPr>
            <sz val="8"/>
            <rFont val="Tahoma"/>
            <family val="0"/>
          </rPr>
          <t xml:space="preserve">
NEIA
2010 := 1.067
2011 := 1.063</t>
        </r>
      </text>
    </comment>
    <comment ref="T6" authorId="0">
      <text>
        <r>
          <rPr>
            <b/>
            <sz val="8"/>
            <rFont val="Tahoma"/>
            <family val="0"/>
          </rPr>
          <t>Adam Hadulla:</t>
        </r>
        <r>
          <rPr>
            <sz val="8"/>
            <rFont val="Tahoma"/>
            <family val="0"/>
          </rPr>
          <t xml:space="preserve">
NEIA
2010 := 1.067
2011 := 1.063</t>
        </r>
      </text>
    </comment>
    <comment ref="T16" authorId="0">
      <text>
        <r>
          <rPr>
            <b/>
            <sz val="8"/>
            <rFont val="Tahoma"/>
            <family val="0"/>
          </rPr>
          <t>Adam Hadulla:</t>
        </r>
        <r>
          <rPr>
            <sz val="8"/>
            <rFont val="Tahoma"/>
            <family val="0"/>
          </rPr>
          <t xml:space="preserve">
NEIA
2010 := 1.067
2011 := 1.063</t>
        </r>
      </text>
    </comment>
    <comment ref="AS19" authorId="2">
      <text>
        <r>
          <rPr>
            <b/>
            <sz val="9"/>
            <rFont val="Tahoma"/>
            <family val="0"/>
          </rPr>
          <t>A-TEC5:</t>
        </r>
        <r>
          <rPr>
            <sz val="9"/>
            <rFont val="Tahoma"/>
            <family val="0"/>
          </rPr>
          <t xml:space="preserve">
rounded up
</t>
        </r>
      </text>
    </comment>
    <comment ref="AA6" authorId="2">
      <text>
        <r>
          <rPr>
            <b/>
            <sz val="9"/>
            <rFont val="Tahoma"/>
            <family val="0"/>
          </rPr>
          <t>A-TEC5:</t>
        </r>
        <r>
          <rPr>
            <sz val="9"/>
            <rFont val="Tahoma"/>
            <family val="0"/>
          </rPr>
          <t xml:space="preserve">
Value of April-10 calculated in data file: SG-M1_Measuring_Data_2010-04-01 to 2011-03-15.V3.xls</t>
        </r>
      </text>
    </comment>
  </commentList>
</comments>
</file>

<file path=xl/sharedStrings.xml><?xml version="1.0" encoding="utf-8"?>
<sst xmlns="http://schemas.openxmlformats.org/spreadsheetml/2006/main" count="235" uniqueCount="175">
  <si>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</si>
  <si>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</si>
  <si>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</si>
  <si>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</si>
  <si>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</si>
  <si>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</si>
  <si>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</si>
  <si>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</si>
  <si>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</si>
  <si>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</si>
  <si>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</si>
  <si>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</si>
  <si>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</si>
  <si>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</si>
  <si>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</si>
  <si>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</si>
  <si>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</si>
  <si>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</si>
  <si>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</si>
  <si>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</si>
  <si>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</si>
  <si>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</si>
  <si>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</si>
  <si>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</si>
  <si>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</si>
  <si>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</si>
  <si>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</si>
  <si>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</si>
  <si>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</si>
  <si>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</si>
  <si>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Heat generation by project</t>
  </si>
  <si>
    <t>CO2 emission factor of the grid</t>
  </si>
  <si>
    <t>CO2 emission factor of fuel used for captive power or heat</t>
  </si>
  <si>
    <t>P1</t>
  </si>
  <si>
    <t>P11</t>
  </si>
  <si>
    <t>P12</t>
  </si>
  <si>
    <t>P13</t>
  </si>
  <si>
    <t>P14</t>
  </si>
  <si>
    <t>P15</t>
  </si>
  <si>
    <t>P16</t>
  </si>
  <si>
    <t>Project emissions from energy use to capture and use methane</t>
  </si>
  <si>
    <t>Additional electricity consumption by project</t>
  </si>
  <si>
    <t>Methane destroyed by flare</t>
  </si>
  <si>
    <t>Methane sent to flare</t>
  </si>
  <si>
    <t>Methane destroyed by power generation</t>
  </si>
  <si>
    <t>Efficiency of methane destruction / oxidation in power plant</t>
  </si>
  <si>
    <t>Methane destroyed by heat generation</t>
  </si>
  <si>
    <t>Efficiency of methane destruction / oxidation in heat plant</t>
  </si>
  <si>
    <t>Carbon emission factor for combusted non methane hydrocarbons (various)</t>
  </si>
  <si>
    <t>Concentration of methane in extracted gas</t>
  </si>
  <si>
    <t>Relative proportion of NMHC compared to methane</t>
  </si>
  <si>
    <t>NMHC concentration in coal mine gas</t>
  </si>
  <si>
    <t>t CO2eq</t>
  </si>
  <si>
    <t>MWh</t>
  </si>
  <si>
    <t>t CH4</t>
  </si>
  <si>
    <t>-</t>
  </si>
  <si>
    <t>t CO2 / MWh</t>
  </si>
  <si>
    <t>t CO2eq / 
t CH4</t>
  </si>
  <si>
    <t>ER</t>
  </si>
  <si>
    <t>Emission reductions</t>
  </si>
  <si>
    <t>colour codes</t>
  </si>
  <si>
    <t>green</t>
  </si>
  <si>
    <t>input data</t>
  </si>
  <si>
    <t>white</t>
  </si>
  <si>
    <t>calculated data</t>
  </si>
  <si>
    <t xml:space="preserve">Project emissions </t>
  </si>
  <si>
    <t xml:space="preserve">Baseline emissions </t>
  </si>
  <si>
    <t>CMM captured in the project activity</t>
  </si>
  <si>
    <t>HEAT</t>
  </si>
  <si>
    <t>GEN</t>
  </si>
  <si>
    <t>BE</t>
  </si>
  <si>
    <t>PE</t>
  </si>
  <si>
    <t>data sources:</t>
  </si>
  <si>
    <t>Total 2010</t>
  </si>
  <si>
    <t>Values put into MR</t>
  </si>
  <si>
    <t>blue</t>
  </si>
  <si>
    <t>Total 2011</t>
  </si>
  <si>
    <t>total methane amount utilised (sent to)</t>
  </si>
  <si>
    <t>methane amount sent to
boiler</t>
  </si>
  <si>
    <t>m³ CH4</t>
  </si>
  <si>
    <t>methane amount destroyed by flare</t>
  </si>
  <si>
    <t>methane amount sent to flare</t>
  </si>
  <si>
    <t>methane concen-tration (boiler)</t>
  </si>
  <si>
    <t xml:space="preserve">Flare combustion efficiency, determined by the flame temperature and operation hours </t>
  </si>
  <si>
    <t>Baseline emissions from release of methane into the atmosphere that is avoided by the project activity (flare)</t>
  </si>
  <si>
    <t>Baseline emissions from the production of power, heat or supply to gas grid replaced by the project activity (heat)</t>
  </si>
  <si>
    <t>Project emissions from methane destroyed and uncombusted methane (flare)</t>
  </si>
  <si>
    <t>Baseline emissions from the production of power, heat or supply to gas grid replaced by the project activity (power)</t>
  </si>
  <si>
    <t>Project emissions from methane destroyed (Total)</t>
  </si>
  <si>
    <t>Project emissions from uncombusted methane (Total)</t>
  </si>
  <si>
    <r>
      <t>Carbon emission factor of CONS</t>
    </r>
    <r>
      <rPr>
        <sz val="8"/>
        <rFont val="Arial"/>
        <family val="2"/>
      </rPr>
      <t>ELEC,PJ</t>
    </r>
  </si>
  <si>
    <r>
      <t>t CO</t>
    </r>
    <r>
      <rPr>
        <sz val="8"/>
        <rFont val="Arial"/>
        <family val="2"/>
      </rPr>
      <t>2eq</t>
    </r>
  </si>
  <si>
    <r>
      <t>t CH</t>
    </r>
    <r>
      <rPr>
        <sz val="8"/>
        <rFont val="Arial"/>
        <family val="2"/>
      </rPr>
      <t>4</t>
    </r>
  </si>
  <si>
    <r>
      <t>t CH</t>
    </r>
    <r>
      <rPr>
        <sz val="8"/>
        <rFont val="Arial"/>
        <family val="2"/>
      </rPr>
      <t>4</t>
    </r>
  </si>
  <si>
    <r>
      <t>t CO</t>
    </r>
    <r>
      <rPr>
        <sz val="8"/>
        <rFont val="Arial"/>
        <family val="2"/>
      </rPr>
      <t>2eq</t>
    </r>
    <r>
      <rPr>
        <sz val="10"/>
        <rFont val="Arial"/>
        <family val="2"/>
      </rPr>
      <t xml:space="preserve"> / 
t CH</t>
    </r>
    <r>
      <rPr>
        <sz val="8"/>
        <rFont val="Arial"/>
        <family val="2"/>
      </rPr>
      <t>4</t>
    </r>
  </si>
  <si>
    <r>
      <t>t CO</t>
    </r>
    <r>
      <rPr>
        <sz val="8"/>
        <rFont val="Arial"/>
        <family val="2"/>
      </rPr>
      <t>2eq</t>
    </r>
    <r>
      <rPr>
        <sz val="10"/>
        <rFont val="Arial"/>
        <family val="2"/>
      </rPr>
      <t xml:space="preserve"> / 
t NMHC</t>
    </r>
  </si>
  <si>
    <r>
      <t>PE</t>
    </r>
    <r>
      <rPr>
        <vertAlign val="subscript"/>
        <sz val="11"/>
        <rFont val="Times New Roman"/>
        <family val="1"/>
      </rPr>
      <t>ME</t>
    </r>
  </si>
  <si>
    <r>
      <t>PE</t>
    </r>
    <r>
      <rPr>
        <vertAlign val="subscript"/>
        <sz val="11"/>
        <rFont val="Times New Roman"/>
        <family val="1"/>
      </rPr>
      <t>MD</t>
    </r>
  </si>
  <si>
    <r>
      <t>PE</t>
    </r>
    <r>
      <rPr>
        <vertAlign val="subscript"/>
        <sz val="11"/>
        <rFont val="Times New Roman"/>
        <family val="1"/>
      </rPr>
      <t>UM</t>
    </r>
  </si>
  <si>
    <r>
      <t>CONS</t>
    </r>
    <r>
      <rPr>
        <vertAlign val="subscript"/>
        <sz val="11"/>
        <rFont val="Times New Roman"/>
        <family val="1"/>
      </rPr>
      <t>ELEC,PJ</t>
    </r>
  </si>
  <si>
    <r>
      <t>CEF</t>
    </r>
    <r>
      <rPr>
        <vertAlign val="subscript"/>
        <sz val="11"/>
        <color indexed="8"/>
        <rFont val="Times New Roman"/>
        <family val="1"/>
      </rPr>
      <t>E</t>
    </r>
    <r>
      <rPr>
        <vertAlign val="subscript"/>
        <sz val="11"/>
        <rFont val="Times New Roman"/>
        <family val="1"/>
      </rPr>
      <t>LEC,PJ</t>
    </r>
  </si>
  <si>
    <r>
      <t>MD</t>
    </r>
    <r>
      <rPr>
        <vertAlign val="subscript"/>
        <sz val="11"/>
        <rFont val="Times New Roman"/>
        <family val="1"/>
      </rPr>
      <t>FL</t>
    </r>
  </si>
  <si>
    <r>
      <t>MM</t>
    </r>
    <r>
      <rPr>
        <vertAlign val="subscript"/>
        <sz val="11"/>
        <rFont val="Times New Roman"/>
        <family val="1"/>
      </rPr>
      <t>FL</t>
    </r>
  </si>
  <si>
    <r>
      <t>Eff</t>
    </r>
    <r>
      <rPr>
        <vertAlign val="subscript"/>
        <sz val="11"/>
        <rFont val="Times New Roman"/>
        <family val="1"/>
      </rPr>
      <t>FL</t>
    </r>
  </si>
  <si>
    <r>
      <t>MD</t>
    </r>
    <r>
      <rPr>
        <vertAlign val="subscript"/>
        <sz val="11"/>
        <rFont val="Times New Roman"/>
        <family val="1"/>
      </rPr>
      <t>ELEC</t>
    </r>
  </si>
  <si>
    <r>
      <t>MM</t>
    </r>
    <r>
      <rPr>
        <vertAlign val="subscript"/>
        <sz val="11"/>
        <rFont val="Times New Roman"/>
        <family val="1"/>
      </rPr>
      <t>ELEC</t>
    </r>
  </si>
  <si>
    <r>
      <t>Eff</t>
    </r>
    <r>
      <rPr>
        <vertAlign val="subscript"/>
        <sz val="11"/>
        <rFont val="Times New Roman"/>
        <family val="1"/>
      </rPr>
      <t>ELEC</t>
    </r>
  </si>
  <si>
    <r>
      <t>MD</t>
    </r>
    <r>
      <rPr>
        <vertAlign val="subscript"/>
        <sz val="11"/>
        <rFont val="Times New Roman"/>
        <family val="1"/>
      </rPr>
      <t>HEAT</t>
    </r>
  </si>
  <si>
    <r>
      <t>MM</t>
    </r>
    <r>
      <rPr>
        <vertAlign val="subscript"/>
        <sz val="11"/>
        <rFont val="Times New Roman"/>
        <family val="1"/>
      </rPr>
      <t>HEAT</t>
    </r>
  </si>
  <si>
    <r>
      <t>Eff</t>
    </r>
    <r>
      <rPr>
        <vertAlign val="subscript"/>
        <sz val="11"/>
        <rFont val="Times New Roman"/>
        <family val="1"/>
      </rPr>
      <t>HEAT</t>
    </r>
  </si>
  <si>
    <r>
      <t>CEF</t>
    </r>
    <r>
      <rPr>
        <vertAlign val="subscript"/>
        <sz val="11"/>
        <rFont val="Times New Roman"/>
        <family val="1"/>
      </rPr>
      <t>CH4</t>
    </r>
  </si>
  <si>
    <r>
      <t>CEF</t>
    </r>
    <r>
      <rPr>
        <vertAlign val="subscript"/>
        <sz val="11"/>
        <rFont val="Times New Roman"/>
        <family val="1"/>
      </rPr>
      <t>NMHC</t>
    </r>
  </si>
  <si>
    <r>
      <t>PC</t>
    </r>
    <r>
      <rPr>
        <vertAlign val="subscript"/>
        <sz val="10"/>
        <rFont val="Times New Roman"/>
        <family val="1"/>
      </rPr>
      <t>CH4</t>
    </r>
  </si>
  <si>
    <r>
      <t>PC</t>
    </r>
    <r>
      <rPr>
        <vertAlign val="subscript"/>
        <sz val="10"/>
        <rFont val="Times New Roman"/>
        <family val="1"/>
      </rPr>
      <t>NMHC</t>
    </r>
  </si>
  <si>
    <r>
      <t>GWP</t>
    </r>
    <r>
      <rPr>
        <vertAlign val="subscript"/>
        <sz val="11"/>
        <rFont val="Times New Roman"/>
        <family val="1"/>
      </rPr>
      <t>CH4</t>
    </r>
  </si>
  <si>
    <r>
      <t>BE</t>
    </r>
    <r>
      <rPr>
        <vertAlign val="subscript"/>
        <sz val="11"/>
        <rFont val="Times New Roman"/>
        <family val="1"/>
      </rPr>
      <t>MR</t>
    </r>
  </si>
  <si>
    <r>
      <t>BE</t>
    </r>
    <r>
      <rPr>
        <vertAlign val="subscript"/>
        <sz val="11"/>
        <rFont val="Times New Roman"/>
        <family val="1"/>
      </rPr>
      <t>Use</t>
    </r>
  </si>
  <si>
    <r>
      <t>CMM</t>
    </r>
    <r>
      <rPr>
        <vertAlign val="subscript"/>
        <sz val="11"/>
        <color indexed="8"/>
        <rFont val="Times New Roman"/>
        <family val="1"/>
      </rPr>
      <t>PJ</t>
    </r>
  </si>
  <si>
    <t>turquoise</t>
  </si>
  <si>
    <t>Extension since Version 3a</t>
  </si>
  <si>
    <t>P3/4</t>
  </si>
  <si>
    <t>Emission Reductions - SG from 2010-04-01 to 2011-03-15</t>
  </si>
  <si>
    <t>SG-B1+VAH_Measuring_Data_2010-04-01 to 2011-03-15.V2.xls</t>
  </si>
  <si>
    <t>SG-F1_Measuring_Data_2010-04-01 to 2010-10-05.V2.xls</t>
  </si>
  <si>
    <t>Heat generation by ventilation air heater</t>
  </si>
  <si>
    <t>Energy efficiency of VAH</t>
  </si>
  <si>
    <t>methane amount sent to
ventilation air heater</t>
  </si>
  <si>
    <t>methane amount sent to power plant</t>
  </si>
  <si>
    <t>methane amount sent to emergency generator</t>
  </si>
  <si>
    <t>Baseline emissions from release of methane into the atmosphere that is avoided by the project activity (heat plant)</t>
  </si>
  <si>
    <t>Baseline emissions from release of methane into the atmosphere that is avoided by the project activity (power plant)</t>
  </si>
  <si>
    <t>Project emissions from methane destroyed and uncombusted methane (heat plant)</t>
  </si>
  <si>
    <t>Project emissions from methane destroyed and uncombusted methane (power plant)</t>
  </si>
  <si>
    <t>yellow</t>
  </si>
  <si>
    <t>data no used, project parts not active yet</t>
  </si>
  <si>
    <t>SG-M1_Measuring_Data_2010-04-01 to 2011-03-15.V3.xls</t>
  </si>
  <si>
    <r>
      <t>PE</t>
    </r>
    <r>
      <rPr>
        <vertAlign val="subscript"/>
        <sz val="11"/>
        <rFont val="Times New Roman"/>
        <family val="1"/>
      </rPr>
      <t>MD+UM,flare</t>
    </r>
  </si>
  <si>
    <r>
      <t>PE</t>
    </r>
    <r>
      <rPr>
        <vertAlign val="subscript"/>
        <sz val="11"/>
        <rFont val="Times New Roman"/>
        <family val="1"/>
      </rPr>
      <t>MD+UM,power</t>
    </r>
  </si>
  <si>
    <r>
      <t>PE</t>
    </r>
    <r>
      <rPr>
        <vertAlign val="subscript"/>
        <sz val="11"/>
        <rFont val="Times New Roman"/>
        <family val="1"/>
      </rPr>
      <t>MD+UM,heat plant</t>
    </r>
  </si>
  <si>
    <t>P9</t>
  </si>
  <si>
    <r>
      <t>PE</t>
    </r>
    <r>
      <rPr>
        <vertAlign val="subscript"/>
        <sz val="11"/>
        <color indexed="8"/>
        <rFont val="Times New Roman"/>
        <family val="1"/>
      </rPr>
      <t>Flare</t>
    </r>
  </si>
  <si>
    <t>Project emissions (flare) from uncombusted methane</t>
  </si>
  <si>
    <r>
      <t>MM</t>
    </r>
    <r>
      <rPr>
        <vertAlign val="subscript"/>
        <sz val="11"/>
        <rFont val="Times New Roman"/>
        <family val="1"/>
      </rPr>
      <t>CHP</t>
    </r>
  </si>
  <si>
    <r>
      <t>MM</t>
    </r>
    <r>
      <rPr>
        <vertAlign val="subscript"/>
        <sz val="11"/>
        <rFont val="Times New Roman"/>
        <family val="1"/>
      </rPr>
      <t>EPG</t>
    </r>
  </si>
  <si>
    <t>Methane sent to emergency power generator</t>
  </si>
  <si>
    <t>Methane sent to cogeneration unit</t>
  </si>
  <si>
    <t>Methane sent to heat generation</t>
  </si>
  <si>
    <t>Methane sent to power generation</t>
  </si>
  <si>
    <r>
      <t>MM</t>
    </r>
    <r>
      <rPr>
        <vertAlign val="subscript"/>
        <sz val="11"/>
        <rFont val="Times New Roman"/>
        <family val="1"/>
      </rPr>
      <t>VAH</t>
    </r>
  </si>
  <si>
    <t>Methane sent to ventilation air heater</t>
  </si>
  <si>
    <t>Methane sent to winter boilers and summer boilers</t>
  </si>
  <si>
    <r>
      <t>BE</t>
    </r>
    <r>
      <rPr>
        <vertAlign val="subscript"/>
        <sz val="11"/>
        <rFont val="Times New Roman"/>
        <family val="1"/>
      </rPr>
      <t>MR,flare</t>
    </r>
  </si>
  <si>
    <r>
      <t>BE</t>
    </r>
    <r>
      <rPr>
        <vertAlign val="subscript"/>
        <sz val="11"/>
        <rFont val="Times New Roman"/>
        <family val="1"/>
      </rPr>
      <t>MR,power</t>
    </r>
  </si>
  <si>
    <r>
      <t>BE</t>
    </r>
    <r>
      <rPr>
        <vertAlign val="subscript"/>
        <sz val="11"/>
        <rFont val="Times New Roman"/>
        <family val="1"/>
      </rPr>
      <t>MR,heat</t>
    </r>
  </si>
  <si>
    <t>Baseline emissions from release of methane into the atmosphere that is avoided by the project activity</t>
  </si>
  <si>
    <t>Baseline emissions from the production of power, heat or supply to gas grid replaced by the project activity</t>
  </si>
  <si>
    <r>
      <t>Eff</t>
    </r>
    <r>
      <rPr>
        <vertAlign val="subscript"/>
        <sz val="11"/>
        <color indexed="8"/>
        <rFont val="Times New Roman"/>
        <family val="1"/>
      </rPr>
      <t>COAL</t>
    </r>
  </si>
  <si>
    <t>Energy efficiency of previously coal fired heat plant</t>
  </si>
  <si>
    <r>
      <t>EF</t>
    </r>
    <r>
      <rPr>
        <vertAlign val="subscript"/>
        <sz val="11"/>
        <rFont val="Times New Roman"/>
        <family val="1"/>
      </rPr>
      <t>ELEC</t>
    </r>
  </si>
  <si>
    <r>
      <t>EF</t>
    </r>
    <r>
      <rPr>
        <vertAlign val="subscript"/>
        <sz val="11"/>
        <rFont val="Times New Roman"/>
        <family val="1"/>
      </rPr>
      <t>HEAT</t>
    </r>
  </si>
  <si>
    <r>
      <t>MM</t>
    </r>
    <r>
      <rPr>
        <vertAlign val="subscript"/>
        <sz val="11"/>
        <color indexed="8"/>
        <rFont val="Times New Roman"/>
        <family val="1"/>
      </rPr>
      <t>WBoil+SBoil</t>
    </r>
  </si>
  <si>
    <r>
      <t>t CH</t>
    </r>
    <r>
      <rPr>
        <sz val="8"/>
        <color indexed="8"/>
        <rFont val="Arial"/>
        <family val="2"/>
      </rPr>
      <t>4</t>
    </r>
  </si>
  <si>
    <r>
      <t>HEAT</t>
    </r>
    <r>
      <rPr>
        <vertAlign val="subscript"/>
        <sz val="11"/>
        <color indexed="8"/>
        <rFont val="Times New Roman"/>
        <family val="1"/>
      </rPr>
      <t>VAH</t>
    </r>
  </si>
  <si>
    <t>Heat generation by winter boilers and by summer boilers</t>
  </si>
  <si>
    <r>
      <t>Eff</t>
    </r>
    <r>
      <rPr>
        <vertAlign val="subscript"/>
        <sz val="10"/>
        <rFont val="Times New Roman"/>
        <family val="1"/>
      </rPr>
      <t>VAH</t>
    </r>
  </si>
  <si>
    <r>
      <t>GEN</t>
    </r>
    <r>
      <rPr>
        <vertAlign val="subscript"/>
        <sz val="11"/>
        <color indexed="8"/>
        <rFont val="Times New Roman"/>
        <family val="1"/>
      </rPr>
      <t>CHP</t>
    </r>
  </si>
  <si>
    <r>
      <t>GEN</t>
    </r>
    <r>
      <rPr>
        <vertAlign val="subscript"/>
        <sz val="11"/>
        <color indexed="8"/>
        <rFont val="Times New Roman"/>
        <family val="1"/>
      </rPr>
      <t>EPG</t>
    </r>
  </si>
  <si>
    <t>Electricity generated by project activity</t>
  </si>
  <si>
    <t>Electricity generated by cogeneration unit (NZR Counter)</t>
  </si>
  <si>
    <t>Electricity generated by emergency power unit</t>
  </si>
  <si>
    <r>
      <t>BE</t>
    </r>
    <r>
      <rPr>
        <vertAlign val="subscript"/>
        <sz val="11"/>
        <rFont val="Times New Roman"/>
        <family val="1"/>
      </rPr>
      <t>Use,heat</t>
    </r>
  </si>
  <si>
    <r>
      <t>BE</t>
    </r>
    <r>
      <rPr>
        <vertAlign val="subscript"/>
        <sz val="11"/>
        <rFont val="Times New Roman"/>
        <family val="1"/>
      </rPr>
      <t>Use,power</t>
    </r>
  </si>
  <si>
    <t>1.to15.March-11</t>
  </si>
  <si>
    <t>Total Monito-ring Period</t>
  </si>
  <si>
    <r>
      <t>HEAT</t>
    </r>
    <r>
      <rPr>
        <vertAlign val="subscript"/>
        <sz val="11"/>
        <color indexed="8"/>
        <rFont val="Times New Roman"/>
        <family val="1"/>
      </rPr>
      <t>WBoil+SBoil</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</si>
</sst>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mmm\-yyyy"/>
    <numFmt numFmtId="177" formatCode="[$-809]dd\ mmmm\ yyyy"/>
    <numFmt numFmtId="178" formatCode="d\.m\.yy\ h:mm;@"/>
    <numFmt numFmtId="179" formatCode="0.00000"/>
    <numFmt numFmtId="180" formatCode="0.0000"/>
    <numFmt numFmtId="181" formatCode="0.000"/>
    <numFmt numFmtId="182" formatCode="0.0"/>
    <numFmt numFmtId="183" formatCode="d/m/yy\ h:mm;@"/>
    <numFmt numFmtId="184" formatCode="yyyy\-mm\-dd;@"/>
    <numFmt numFmtId="185" formatCode="0.0%"/>
    <numFmt numFmtId="186" formatCode="0.000%"/>
    <numFmt numFmtId="187" formatCode="0.0000000"/>
    <numFmt numFmtId="188" formatCode="0.000000"/>
    <numFmt numFmtId="189" formatCode="mmmm\-yyyy"/>
    <numFmt numFmtId="190" formatCode="#,##0.0"/>
    <numFmt numFmtId="191" formatCode="#,##0.000"/>
    <numFmt numFmtId="192" formatCode="mmm\ yyyy"/>
    <numFmt numFmtId="193" formatCode="[$-409]mmmm\-yy;@"/>
    <numFmt numFmtId="194" formatCode="#,##0.0000"/>
  </numFmts>
  <fonts count="21">
    <font>
      <sz val="10"/>
      <name val="Arial"/>
      <family val="0"/>
    </font>
    <font>
      <b/>
      <sz val="14"/>
      <name val="Arial"/>
      <family val="2"/>
    </font>
    <font>
      <b/>
      <sz val="10"/>
      <name val="Arial"/>
      <family val="2"/>
    </font>
    <font>
      <b/>
      <sz val="11"/>
      <color indexed="8"/>
      <name val="Times New Roman"/>
      <family val="1"/>
    </font>
    <font>
      <sz val="8"/>
      <name val="Tahoma"/>
      <family val="0"/>
    </font>
    <font>
      <b/>
      <sz val="8"/>
      <name val="Tahoma"/>
      <family val="0"/>
    </font>
    <font>
      <u val="single"/>
      <sz val="10"/>
      <color indexed="12"/>
      <name val="Arial"/>
      <family val="0"/>
    </font>
    <font>
      <u val="single"/>
      <sz val="10"/>
      <color indexed="36"/>
      <name val="Arial"/>
      <family val="0"/>
    </font>
    <font>
      <sz val="10"/>
      <color indexed="8"/>
      <name val="Arial"/>
      <family val="0"/>
    </font>
    <font>
      <sz val="9"/>
      <name val="Tahoma"/>
      <family val="0"/>
    </font>
    <font>
      <b/>
      <sz val="9"/>
      <name val="Tahoma"/>
      <family val="0"/>
    </font>
    <font>
      <b/>
      <sz val="11"/>
      <name val="Times New Roman"/>
      <family val="1"/>
    </font>
    <font>
      <sz val="8"/>
      <name val="Arial"/>
      <family val="2"/>
    </font>
    <font>
      <sz val="11"/>
      <color indexed="8"/>
      <name val="Times New Roman"/>
      <family val="1"/>
    </font>
    <font>
      <vertAlign val="subscript"/>
      <sz val="11"/>
      <name val="Times New Roman"/>
      <family val="1"/>
    </font>
    <font>
      <sz val="11"/>
      <name val="Times New Roman"/>
      <family val="1"/>
    </font>
    <font>
      <vertAlign val="subscript"/>
      <sz val="11"/>
      <color indexed="8"/>
      <name val="Times New Roman"/>
      <family val="1"/>
    </font>
    <font>
      <vertAlign val="subscript"/>
      <sz val="10"/>
      <name val="Times New Roman"/>
      <family val="1"/>
    </font>
    <font>
      <sz val="8"/>
      <color indexed="8"/>
      <name val="Arial"/>
      <family val="2"/>
    </font>
    <font>
      <b/>
      <sz val="10"/>
      <color indexed="8"/>
      <name val="Arial"/>
      <family val="2"/>
    </font>
    <font>
      <b/>
      <sz val="8"/>
      <name val="Arial"/>
      <family val="2"/>
    </font>
  </fonts>
  <fills count="7">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xf>
    <xf numFmtId="0" fontId="0" fillId="0" borderId="1" xfId="0" applyBorder="1" applyAlignment="1">
      <alignment/>
    </xf>
    <xf numFmtId="184"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9" fontId="0" fillId="0" borderId="0" xfId="19" applyAlignment="1">
      <alignment/>
    </xf>
    <xf numFmtId="0" fontId="0" fillId="0" borderId="0" xfId="0" applyFill="1" applyAlignment="1">
      <alignment/>
    </xf>
    <xf numFmtId="0" fontId="0" fillId="0" borderId="0" xfId="0" applyNumberFormat="1" applyFill="1" applyAlignment="1">
      <alignment/>
    </xf>
    <xf numFmtId="185" fontId="0" fillId="0" borderId="0" xfId="0" applyNumberFormat="1" applyFill="1" applyAlignment="1">
      <alignment/>
    </xf>
    <xf numFmtId="0" fontId="0" fillId="0" borderId="0" xfId="0" applyFill="1" applyAlignment="1" quotePrefix="1">
      <alignment horizontal="center"/>
    </xf>
    <xf numFmtId="185" fontId="0" fillId="0" borderId="0" xfId="0" applyNumberFormat="1" applyFill="1" applyAlignment="1" quotePrefix="1">
      <alignment horizontal="center"/>
    </xf>
    <xf numFmtId="189" fontId="2" fillId="0" borderId="2" xfId="0" applyNumberFormat="1" applyFont="1" applyBorder="1" applyAlignment="1">
      <alignment horizontal="right"/>
    </xf>
    <xf numFmtId="3" fontId="2" fillId="0" borderId="2" xfId="0" applyNumberFormat="1" applyFont="1" applyBorder="1" applyAlignment="1">
      <alignment/>
    </xf>
    <xf numFmtId="3" fontId="0" fillId="0" borderId="0" xfId="0" applyNumberFormat="1" applyFill="1" applyAlignment="1">
      <alignment/>
    </xf>
    <xf numFmtId="0" fontId="0" fillId="0" borderId="0" xfId="0" applyAlignment="1">
      <alignment horizontal="right" vertical="center"/>
    </xf>
    <xf numFmtId="184" fontId="2" fillId="0" borderId="2" xfId="0" applyNumberFormat="1" applyFont="1" applyBorder="1" applyAlignment="1">
      <alignment horizontal="right" vertical="center" wrapText="1"/>
    </xf>
    <xf numFmtId="3" fontId="2" fillId="0" borderId="2" xfId="0" applyNumberFormat="1" applyFont="1" applyBorder="1" applyAlignment="1">
      <alignment horizontal="right" vertical="center"/>
    </xf>
    <xf numFmtId="0" fontId="0" fillId="0" borderId="0" xfId="0" applyFill="1" applyBorder="1" applyAlignment="1">
      <alignment/>
    </xf>
    <xf numFmtId="0" fontId="3" fillId="0" borderId="0" xfId="0" applyFont="1" applyFill="1" applyBorder="1" applyAlignment="1">
      <alignment/>
    </xf>
    <xf numFmtId="1" fontId="0" fillId="0" borderId="0" xfId="0" applyNumberFormat="1" applyFill="1" applyAlignment="1">
      <alignment/>
    </xf>
    <xf numFmtId="185" fontId="0" fillId="0" borderId="0" xfId="0" applyNumberFormat="1" applyFill="1" applyAlignment="1" quotePrefix="1">
      <alignment horizontal="right"/>
    </xf>
    <xf numFmtId="185" fontId="0" fillId="0" borderId="0" xfId="19" applyNumberFormat="1" applyAlignment="1">
      <alignment/>
    </xf>
    <xf numFmtId="0" fontId="0" fillId="0" borderId="0" xfId="0"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xf>
    <xf numFmtId="3" fontId="0" fillId="0" borderId="0" xfId="0" applyNumberFormat="1" applyFont="1" applyAlignment="1">
      <alignment/>
    </xf>
    <xf numFmtId="0" fontId="0" fillId="2" borderId="0" xfId="0" applyFill="1" applyAlignment="1">
      <alignment/>
    </xf>
    <xf numFmtId="0" fontId="2" fillId="0" borderId="1" xfId="0" applyFont="1" applyBorder="1" applyAlignment="1">
      <alignment/>
    </xf>
    <xf numFmtId="3" fontId="0" fillId="0" borderId="0" xfId="0" applyNumberFormat="1" applyFont="1" applyFill="1" applyAlignment="1">
      <alignment/>
    </xf>
    <xf numFmtId="9" fontId="0" fillId="0" borderId="0" xfId="0" applyNumberFormat="1" applyFill="1" applyAlignment="1">
      <alignment/>
    </xf>
    <xf numFmtId="1" fontId="2" fillId="3" borderId="1" xfId="0" applyNumberFormat="1" applyFont="1" applyFill="1" applyBorder="1" applyAlignment="1">
      <alignment/>
    </xf>
    <xf numFmtId="1" fontId="0" fillId="3" borderId="0" xfId="0" applyNumberFormat="1" applyFill="1" applyAlignment="1">
      <alignment/>
    </xf>
    <xf numFmtId="3" fontId="0" fillId="0" borderId="0" xfId="0" applyNumberFormat="1" applyAlignment="1">
      <alignment/>
    </xf>
    <xf numFmtId="0" fontId="0" fillId="4" borderId="0" xfId="0" applyFill="1" applyAlignment="1">
      <alignment/>
    </xf>
    <xf numFmtId="3" fontId="0" fillId="0" borderId="0" xfId="0" applyNumberFormat="1" applyFill="1" applyBorder="1" applyAlignment="1">
      <alignment/>
    </xf>
    <xf numFmtId="1" fontId="0" fillId="0" borderId="0" xfId="0" applyNumberFormat="1" applyFill="1" applyBorder="1" applyAlignment="1">
      <alignment/>
    </xf>
    <xf numFmtId="190" fontId="0" fillId="0" borderId="0" xfId="0" applyNumberFormat="1" applyFill="1" applyBorder="1" applyAlignment="1">
      <alignment/>
    </xf>
    <xf numFmtId="190" fontId="8" fillId="0" borderId="0" xfId="0" applyNumberFormat="1" applyFont="1" applyFill="1" applyBorder="1" applyAlignment="1">
      <alignment/>
    </xf>
    <xf numFmtId="182" fontId="0" fillId="0" borderId="0" xfId="0" applyNumberFormat="1" applyFill="1" applyBorder="1" applyAlignment="1">
      <alignment/>
    </xf>
    <xf numFmtId="3" fontId="0" fillId="2" borderId="0" xfId="0" applyNumberFormat="1" applyFill="1" applyAlignment="1">
      <alignment/>
    </xf>
    <xf numFmtId="3" fontId="2" fillId="4" borderId="2" xfId="0" applyNumberFormat="1" applyFont="1" applyFill="1" applyBorder="1" applyAlignment="1">
      <alignment horizontal="right" vertical="center"/>
    </xf>
    <xf numFmtId="3" fontId="2" fillId="0" borderId="2" xfId="0" applyNumberFormat="1" applyFont="1" applyFill="1" applyBorder="1" applyAlignment="1">
      <alignment/>
    </xf>
    <xf numFmtId="3" fontId="2" fillId="0" borderId="2" xfId="0" applyNumberFormat="1" applyFont="1" applyFill="1" applyBorder="1" applyAlignment="1">
      <alignment horizontal="right" vertical="center"/>
    </xf>
    <xf numFmtId="190" fontId="0" fillId="2" borderId="0" xfId="0" applyNumberFormat="1" applyFont="1" applyFill="1" applyBorder="1" applyAlignment="1">
      <alignment/>
    </xf>
    <xf numFmtId="0" fontId="0" fillId="0" borderId="3" xfId="0" applyBorder="1" applyAlignment="1">
      <alignment/>
    </xf>
    <xf numFmtId="3" fontId="0" fillId="0" borderId="3" xfId="0" applyNumberFormat="1" applyFill="1" applyBorder="1" applyAlignment="1">
      <alignment/>
    </xf>
    <xf numFmtId="3" fontId="2" fillId="0" borderId="4" xfId="0" applyNumberFormat="1" applyFont="1" applyBorder="1" applyAlignment="1">
      <alignment/>
    </xf>
    <xf numFmtId="182" fontId="0" fillId="0" borderId="0" xfId="0" applyNumberFormat="1" applyBorder="1" applyAlignment="1">
      <alignment/>
    </xf>
    <xf numFmtId="190" fontId="0" fillId="0" borderId="0" xfId="0" applyNumberFormat="1" applyAlignment="1">
      <alignment/>
    </xf>
    <xf numFmtId="3" fontId="0" fillId="0" borderId="0" xfId="0" applyNumberFormat="1" applyAlignment="1">
      <alignment/>
    </xf>
    <xf numFmtId="190" fontId="0" fillId="0" borderId="0" xfId="0" applyNumberFormat="1" applyBorder="1" applyAlignment="1">
      <alignment/>
    </xf>
    <xf numFmtId="185" fontId="0" fillId="0" borderId="0" xfId="0" applyNumberFormat="1" applyFont="1" applyFill="1" applyBorder="1" applyAlignment="1">
      <alignment horizontal="center"/>
    </xf>
    <xf numFmtId="189" fontId="0" fillId="0" borderId="0" xfId="0" applyNumberFormat="1" applyBorder="1" applyAlignment="1">
      <alignment/>
    </xf>
    <xf numFmtId="190" fontId="0" fillId="0" borderId="0" xfId="0" applyNumberFormat="1" applyBorder="1" applyAlignment="1">
      <alignment/>
    </xf>
    <xf numFmtId="189" fontId="2" fillId="0" borderId="0" xfId="0" applyNumberFormat="1" applyFont="1" applyBorder="1" applyAlignment="1">
      <alignment horizontal="right"/>
    </xf>
    <xf numFmtId="185" fontId="0" fillId="0" borderId="0" xfId="0" applyNumberFormat="1" applyFill="1" applyBorder="1" applyAlignment="1" quotePrefix="1">
      <alignment horizontal="center"/>
    </xf>
    <xf numFmtId="3" fontId="2" fillId="4" borderId="2" xfId="0" applyNumberFormat="1" applyFont="1" applyFill="1" applyBorder="1" applyAlignment="1">
      <alignment/>
    </xf>
    <xf numFmtId="193" fontId="0" fillId="0" borderId="0" xfId="0" applyNumberFormat="1" applyAlignment="1">
      <alignment/>
    </xf>
    <xf numFmtId="190" fontId="0" fillId="2" borderId="0" xfId="0" applyNumberFormat="1" applyFill="1" applyAlignment="1">
      <alignment/>
    </xf>
    <xf numFmtId="190" fontId="0" fillId="5" borderId="0" xfId="0" applyNumberFormat="1" applyFill="1" applyAlignment="1">
      <alignment/>
    </xf>
    <xf numFmtId="190" fontId="2" fillId="0" borderId="2" xfId="0" applyNumberFormat="1" applyFont="1" applyBorder="1" applyAlignment="1">
      <alignment/>
    </xf>
    <xf numFmtId="190" fontId="2" fillId="0" borderId="2" xfId="0" applyNumberFormat="1" applyFont="1" applyBorder="1" applyAlignment="1">
      <alignment horizontal="right" vertical="center"/>
    </xf>
    <xf numFmtId="190" fontId="2" fillId="0" borderId="2" xfId="0" applyNumberFormat="1" applyFont="1" applyFill="1" applyBorder="1" applyAlignment="1">
      <alignment horizontal="right" vertical="center"/>
    </xf>
    <xf numFmtId="0" fontId="3" fillId="0" borderId="0" xfId="0" applyFont="1" applyFill="1" applyAlignment="1">
      <alignment/>
    </xf>
    <xf numFmtId="0" fontId="0" fillId="0" borderId="0" xfId="0" applyFont="1" applyAlignment="1">
      <alignment/>
    </xf>
    <xf numFmtId="0" fontId="11" fillId="0" borderId="0" xfId="0" applyFont="1" applyAlignment="1">
      <alignment/>
    </xf>
    <xf numFmtId="2" fontId="0" fillId="0" borderId="0" xfId="0" applyNumberFormat="1" applyFont="1" applyAlignment="1">
      <alignment/>
    </xf>
    <xf numFmtId="0" fontId="0" fillId="0" borderId="0" xfId="0" applyFont="1" applyFill="1" applyBorder="1" applyAlignment="1">
      <alignment/>
    </xf>
    <xf numFmtId="1" fontId="0" fillId="0" borderId="0" xfId="0"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Fill="1" applyAlignment="1">
      <alignment horizontal="left" wrapText="1"/>
    </xf>
    <xf numFmtId="0" fontId="0" fillId="0" borderId="0" xfId="0" applyFont="1" applyBorder="1" applyAlignment="1">
      <alignment wrapText="1"/>
    </xf>
    <xf numFmtId="0" fontId="0" fillId="0" borderId="3" xfId="0" applyFont="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xf>
    <xf numFmtId="0" fontId="0" fillId="0" borderId="5" xfId="0" applyFont="1" applyBorder="1" applyAlignment="1">
      <alignment horizontal="right"/>
    </xf>
    <xf numFmtId="190" fontId="0" fillId="0" borderId="5" xfId="0" applyNumberFormat="1" applyFont="1" applyFill="1" applyBorder="1" applyAlignment="1">
      <alignment horizontal="right" wrapText="1"/>
    </xf>
    <xf numFmtId="190" fontId="0" fillId="0" borderId="6" xfId="0" applyNumberFormat="1" applyFont="1" applyFill="1" applyBorder="1" applyAlignment="1">
      <alignment horizontal="right" wrapText="1"/>
    </xf>
    <xf numFmtId="0" fontId="0" fillId="0" borderId="5" xfId="0" applyFont="1" applyFill="1" applyBorder="1" applyAlignment="1">
      <alignment horizontal="right"/>
    </xf>
    <xf numFmtId="0" fontId="0" fillId="0" borderId="5" xfId="0" applyFont="1" applyBorder="1" applyAlignment="1">
      <alignment horizontal="right" wrapText="1"/>
    </xf>
    <xf numFmtId="0" fontId="0" fillId="0" borderId="5" xfId="0" applyFont="1" applyFill="1" applyBorder="1" applyAlignment="1">
      <alignment horizontal="right" wrapText="1"/>
    </xf>
    <xf numFmtId="0" fontId="0" fillId="0" borderId="0" xfId="0" applyFont="1" applyAlignment="1">
      <alignment horizontal="right"/>
    </xf>
    <xf numFmtId="0" fontId="0" fillId="0" borderId="1" xfId="0" applyFont="1" applyBorder="1" applyAlignment="1">
      <alignment wrapText="1"/>
    </xf>
    <xf numFmtId="0" fontId="0" fillId="0" borderId="7" xfId="0" applyFont="1" applyBorder="1" applyAlignment="1">
      <alignment wrapText="1"/>
    </xf>
    <xf numFmtId="0" fontId="13" fillId="0" borderId="1" xfId="0" applyFont="1" applyBorder="1" applyAlignment="1">
      <alignment wrapText="1"/>
    </xf>
    <xf numFmtId="0" fontId="15" fillId="0" borderId="1" xfId="0" applyFont="1" applyBorder="1" applyAlignment="1">
      <alignment wrapText="1"/>
    </xf>
    <xf numFmtId="0" fontId="13" fillId="0" borderId="1" xfId="0" applyFont="1" applyFill="1" applyBorder="1" applyAlignment="1">
      <alignment wrapText="1"/>
    </xf>
    <xf numFmtId="0" fontId="0" fillId="0" borderId="0" xfId="0" applyFont="1" applyAlignment="1">
      <alignment wrapText="1"/>
    </xf>
    <xf numFmtId="0" fontId="0" fillId="6" borderId="0" xfId="0" applyFill="1" applyAlignment="1">
      <alignment/>
    </xf>
    <xf numFmtId="0" fontId="3" fillId="6" borderId="0" xfId="0" applyFont="1" applyFill="1" applyAlignment="1">
      <alignment/>
    </xf>
    <xf numFmtId="0" fontId="13" fillId="6" borderId="1" xfId="0" applyFont="1" applyFill="1" applyBorder="1" applyAlignment="1">
      <alignment wrapText="1"/>
    </xf>
    <xf numFmtId="1" fontId="8" fillId="3" borderId="0" xfId="0" applyNumberFormat="1" applyFont="1" applyFill="1" applyAlignment="1">
      <alignment/>
    </xf>
    <xf numFmtId="1" fontId="0" fillId="3" borderId="0" xfId="0" applyNumberFormat="1" applyFont="1" applyFill="1" applyAlignment="1">
      <alignment/>
    </xf>
    <xf numFmtId="3" fontId="0" fillId="0" borderId="0" xfId="0" applyNumberFormat="1" applyFill="1" applyAlignment="1">
      <alignment/>
    </xf>
    <xf numFmtId="0" fontId="2" fillId="0" borderId="5" xfId="0" applyFont="1" applyBorder="1" applyAlignment="1">
      <alignment horizontal="right" wrapText="1"/>
    </xf>
    <xf numFmtId="3" fontId="8" fillId="2" borderId="0" xfId="0" applyNumberFormat="1" applyFont="1" applyFill="1" applyAlignment="1">
      <alignment/>
    </xf>
    <xf numFmtId="189" fontId="0" fillId="0" borderId="0" xfId="0" applyNumberFormat="1" applyAlignment="1">
      <alignment horizontal="right"/>
    </xf>
    <xf numFmtId="0" fontId="0" fillId="0" borderId="5" xfId="0" applyBorder="1" applyAlignment="1">
      <alignment horizontal="right"/>
    </xf>
    <xf numFmtId="190" fontId="2" fillId="4" borderId="2" xfId="0" applyNumberFormat="1" applyFont="1" applyFill="1" applyBorder="1" applyAlignment="1">
      <alignment horizontal="right" vertical="center"/>
    </xf>
    <xf numFmtId="1" fontId="0" fillId="2" borderId="0" xfId="0" applyNumberFormat="1" applyFill="1" applyAlignment="1">
      <alignment/>
    </xf>
    <xf numFmtId="190" fontId="0" fillId="2" borderId="0" xfId="0" applyNumberFormat="1" applyFont="1" applyFill="1" applyAlignment="1">
      <alignment/>
    </xf>
    <xf numFmtId="3" fontId="2" fillId="4" borderId="4" xfId="0" applyNumberFormat="1" applyFont="1" applyFill="1" applyBorder="1" applyAlignment="1">
      <alignment horizontal="right" vertical="center"/>
    </xf>
    <xf numFmtId="185" fontId="0" fillId="0" borderId="0" xfId="0" applyNumberFormat="1" applyFill="1" applyAlignment="1">
      <alignment horizontal="center"/>
    </xf>
    <xf numFmtId="0" fontId="8" fillId="0" borderId="0" xfId="0" applyFont="1" applyAlignment="1">
      <alignment wrapText="1"/>
    </xf>
    <xf numFmtId="2" fontId="0" fillId="0" borderId="0" xfId="0" applyNumberFormat="1" applyAlignment="1">
      <alignment/>
    </xf>
    <xf numFmtId="0" fontId="0" fillId="5" borderId="0" xfId="0" applyFill="1" applyAlignment="1">
      <alignment/>
    </xf>
    <xf numFmtId="181" fontId="8" fillId="0" borderId="0" xfId="0" applyNumberFormat="1" applyFont="1" applyFill="1" applyAlignment="1" quotePrefix="1">
      <alignment horizontal="right"/>
    </xf>
    <xf numFmtId="1" fontId="8" fillId="0" borderId="0" xfId="0" applyNumberFormat="1" applyFont="1" applyAlignment="1">
      <alignment/>
    </xf>
    <xf numFmtId="0" fontId="8" fillId="0" borderId="0" xfId="0" applyFont="1" applyAlignment="1">
      <alignment/>
    </xf>
    <xf numFmtId="0" fontId="8" fillId="0" borderId="5" xfId="0" applyFont="1" applyBorder="1" applyAlignment="1">
      <alignment horizontal="right" wrapText="1"/>
    </xf>
    <xf numFmtId="3" fontId="8" fillId="0" borderId="0" xfId="0" applyNumberFormat="1" applyFont="1" applyFill="1" applyAlignment="1">
      <alignment/>
    </xf>
    <xf numFmtId="3" fontId="19" fillId="0" borderId="2" xfId="0" applyNumberFormat="1" applyFont="1" applyFill="1" applyBorder="1" applyAlignment="1">
      <alignment/>
    </xf>
    <xf numFmtId="3" fontId="19" fillId="0" borderId="2" xfId="0" applyNumberFormat="1" applyFont="1" applyBorder="1" applyAlignment="1">
      <alignment/>
    </xf>
    <xf numFmtId="3" fontId="19" fillId="0" borderId="2" xfId="0" applyNumberFormat="1" applyFont="1" applyFill="1" applyBorder="1" applyAlignment="1">
      <alignment horizontal="right" vertical="center"/>
    </xf>
    <xf numFmtId="1" fontId="0" fillId="5" borderId="0" xfId="0" applyNumberFormat="1" applyFill="1" applyAlignment="1">
      <alignment/>
    </xf>
    <xf numFmtId="10" fontId="0" fillId="0" borderId="0" xfId="0" applyNumberFormat="1"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I39"/>
  <sheetViews>
    <sheetView tabSelected="1" workbookViewId="0" topLeftCell="A1">
      <pane xSplit="1" ySplit="5" topLeftCell="B6" activePane="bottomRight" state="frozen"/>
      <selection pane="topLeft" activeCell="K6" sqref="K6"/>
      <selection pane="topRight" activeCell="A1" sqref="A1"/>
      <selection pane="bottomLeft" activeCell="A7" sqref="A7"/>
      <selection pane="bottomRight" activeCell="B23" sqref="B23:B27"/>
    </sheetView>
  </sheetViews>
  <sheetFormatPr defaultColWidth="11.421875" defaultRowHeight="12.75"/>
  <cols>
    <col min="1" max="1" width="14.28125" style="3" customWidth="1"/>
    <col min="2" max="2" width="6.28125" style="0" customWidth="1"/>
    <col min="3" max="4" width="6.140625" style="0" bestFit="1" customWidth="1"/>
    <col min="5" max="5" width="6.140625" style="0" customWidth="1"/>
    <col min="6" max="6" width="7.140625" style="0" bestFit="1" customWidth="1"/>
    <col min="7" max="7" width="6.140625" style="0" bestFit="1" customWidth="1"/>
    <col min="8" max="8" width="5.57421875" style="0" customWidth="1"/>
    <col min="9" max="9" width="6.57421875" style="0" customWidth="1"/>
    <col min="10" max="10" width="10.8515625" style="0" customWidth="1"/>
    <col min="11" max="11" width="8.7109375" style="0" customWidth="1"/>
    <col min="12" max="12" width="7.8515625" style="0" customWidth="1"/>
    <col min="13" max="13" width="7.57421875" style="0" bestFit="1" customWidth="1"/>
    <col min="14" max="14" width="7.421875" style="0" bestFit="1" customWidth="1"/>
    <col min="15" max="15" width="9.140625" style="0" customWidth="1"/>
    <col min="16" max="16" width="9.140625" style="0" bestFit="1" customWidth="1"/>
    <col min="17" max="18" width="6.8515625" style="72" customWidth="1"/>
    <col min="19" max="19" width="7.421875" style="0" customWidth="1"/>
    <col min="20" max="20" width="7.140625" style="0" customWidth="1"/>
    <col min="21" max="21" width="6.8515625" style="72" customWidth="1"/>
    <col min="22" max="22" width="7.00390625" style="0" customWidth="1"/>
    <col min="23" max="23" width="7.140625" style="9" customWidth="1"/>
    <col min="24" max="24" width="9.28125" style="9" customWidth="1"/>
    <col min="25" max="25" width="6.57421875" style="0" customWidth="1"/>
    <col min="26" max="28" width="6.140625" style="0" customWidth="1"/>
    <col min="29" max="29" width="6.28125" style="0" customWidth="1"/>
    <col min="30" max="31" width="6.57421875" style="0" customWidth="1"/>
    <col min="32" max="32" width="7.140625" style="115" customWidth="1"/>
    <col min="33" max="33" width="5.8515625" style="0" customWidth="1"/>
    <col min="34" max="34" width="6.57421875" style="0" customWidth="1"/>
    <col min="35" max="36" width="8.57421875" style="0" customWidth="1"/>
    <col min="37" max="37" width="7.8515625" style="0" customWidth="1"/>
    <col min="38" max="38" width="8.00390625" style="0" customWidth="1"/>
    <col min="39" max="39" width="7.28125" style="0" customWidth="1"/>
    <col min="40" max="40" width="9.57421875" style="9" customWidth="1"/>
    <col min="41" max="41" width="7.8515625" style="0" customWidth="1"/>
    <col min="42" max="42" width="11.140625" style="0" bestFit="1" customWidth="1"/>
    <col min="43" max="43" width="11.57421875" style="0" bestFit="1" customWidth="1"/>
    <col min="44" max="44" width="11.140625" style="0" bestFit="1" customWidth="1"/>
    <col min="45" max="46" width="11.57421875" style="0" bestFit="1" customWidth="1"/>
    <col min="47" max="47" width="10.7109375" style="0" customWidth="1"/>
    <col min="48" max="48" width="10.57421875" style="0" customWidth="1"/>
    <col min="49" max="49" width="7.140625" style="0" customWidth="1"/>
    <col min="50" max="51" width="9.00390625" style="0" customWidth="1"/>
    <col min="52" max="52" width="5.57421875" style="0" bestFit="1" customWidth="1"/>
    <col min="53" max="53" width="7.7109375" style="0" customWidth="1"/>
    <col min="54" max="54" width="5.28125" style="0" customWidth="1"/>
    <col min="55" max="55" width="7.140625" style="0" customWidth="1"/>
    <col min="56" max="56" width="8.140625" style="0" bestFit="1" customWidth="1"/>
    <col min="57" max="57" width="6.57421875" style="0" customWidth="1"/>
    <col min="58" max="58" width="7.140625" style="0" customWidth="1"/>
    <col min="59" max="59" width="7.00390625" style="0" bestFit="1" customWidth="1"/>
    <col min="60" max="60" width="5.7109375" style="0" customWidth="1"/>
    <col min="61" max="61" width="7.7109375" style="0" bestFit="1" customWidth="1"/>
  </cols>
  <sheetData>
    <row r="1" spans="1:21" ht="18">
      <c r="A1" s="1" t="s">
        <v>121</v>
      </c>
      <c r="Q1" s="67"/>
      <c r="R1" s="67"/>
      <c r="U1" s="67"/>
    </row>
    <row r="2" spans="1:60" ht="18">
      <c r="A2" s="1"/>
      <c r="H2" s="5"/>
      <c r="I2" s="47"/>
      <c r="L2" s="6" t="s">
        <v>33</v>
      </c>
      <c r="M2" s="6" t="s">
        <v>2</v>
      </c>
      <c r="N2" s="96" t="s">
        <v>120</v>
      </c>
      <c r="O2" s="96" t="s">
        <v>120</v>
      </c>
      <c r="P2" s="96" t="s">
        <v>120</v>
      </c>
      <c r="Q2" s="6" t="s">
        <v>3</v>
      </c>
      <c r="R2" s="68" t="s">
        <v>4</v>
      </c>
      <c r="S2" s="6" t="s">
        <v>5</v>
      </c>
      <c r="T2" s="6" t="s">
        <v>6</v>
      </c>
      <c r="U2" s="6" t="s">
        <v>139</v>
      </c>
      <c r="V2" s="6" t="s">
        <v>34</v>
      </c>
      <c r="W2" s="21" t="s">
        <v>35</v>
      </c>
      <c r="X2" s="6" t="s">
        <v>36</v>
      </c>
      <c r="Y2" s="7" t="s">
        <v>37</v>
      </c>
      <c r="Z2" s="7" t="s">
        <v>38</v>
      </c>
      <c r="AA2" s="7"/>
      <c r="AB2" s="7"/>
      <c r="AC2" s="7" t="s">
        <v>39</v>
      </c>
      <c r="AD2" s="6" t="s">
        <v>7</v>
      </c>
      <c r="AE2" s="6" t="s">
        <v>8</v>
      </c>
      <c r="AF2" s="6"/>
      <c r="AG2" s="6"/>
      <c r="AH2" s="6" t="s">
        <v>9</v>
      </c>
      <c r="AI2" s="6" t="s">
        <v>10</v>
      </c>
      <c r="AJ2" s="6" t="s">
        <v>11</v>
      </c>
      <c r="AK2" s="6" t="s">
        <v>12</v>
      </c>
      <c r="AL2" s="6" t="s">
        <v>13</v>
      </c>
      <c r="AM2" s="6" t="s">
        <v>14</v>
      </c>
      <c r="AN2" s="66" t="s">
        <v>16</v>
      </c>
      <c r="AO2" s="6" t="s">
        <v>17</v>
      </c>
      <c r="AP2" s="96" t="s">
        <v>18</v>
      </c>
      <c r="AQ2" s="96" t="s">
        <v>18</v>
      </c>
      <c r="AR2" s="96" t="s">
        <v>18</v>
      </c>
      <c r="AS2" s="96" t="s">
        <v>19</v>
      </c>
      <c r="AT2" s="96" t="s">
        <v>19</v>
      </c>
      <c r="AU2" s="66" t="s">
        <v>18</v>
      </c>
      <c r="AV2" s="66" t="s">
        <v>19</v>
      </c>
      <c r="AW2" s="6" t="s">
        <v>20</v>
      </c>
      <c r="AX2" s="6" t="s">
        <v>21</v>
      </c>
      <c r="AY2" s="6" t="s">
        <v>22</v>
      </c>
      <c r="AZ2" s="6" t="s">
        <v>23</v>
      </c>
      <c r="BA2" s="6"/>
      <c r="BB2" s="6"/>
      <c r="BC2" s="6" t="s">
        <v>24</v>
      </c>
      <c r="BD2" s="96" t="s">
        <v>24</v>
      </c>
      <c r="BE2" s="96" t="s">
        <v>24</v>
      </c>
      <c r="BF2" s="6" t="s">
        <v>25</v>
      </c>
      <c r="BG2" s="6" t="s">
        <v>26</v>
      </c>
      <c r="BH2" s="6" t="s">
        <v>27</v>
      </c>
    </row>
    <row r="3" spans="1:61" s="94" customFormat="1" ht="66">
      <c r="A3" s="89"/>
      <c r="B3" s="89"/>
      <c r="C3" s="89"/>
      <c r="D3" s="89"/>
      <c r="E3" s="89"/>
      <c r="F3" s="89"/>
      <c r="G3" s="89"/>
      <c r="H3" s="89"/>
      <c r="I3" s="90"/>
      <c r="J3" s="89"/>
      <c r="K3" s="91" t="s">
        <v>58</v>
      </c>
      <c r="L3" s="91" t="s">
        <v>71</v>
      </c>
      <c r="M3" s="91" t="s">
        <v>96</v>
      </c>
      <c r="N3" s="97" t="s">
        <v>136</v>
      </c>
      <c r="O3" s="97" t="s">
        <v>138</v>
      </c>
      <c r="P3" s="97" t="s">
        <v>137</v>
      </c>
      <c r="Q3" s="91" t="s">
        <v>97</v>
      </c>
      <c r="R3" s="92" t="s">
        <v>98</v>
      </c>
      <c r="S3" s="91" t="s">
        <v>99</v>
      </c>
      <c r="T3" s="91" t="s">
        <v>100</v>
      </c>
      <c r="U3" s="91" t="s">
        <v>140</v>
      </c>
      <c r="V3" s="91" t="s">
        <v>101</v>
      </c>
      <c r="W3" s="91" t="s">
        <v>102</v>
      </c>
      <c r="X3" s="91" t="s">
        <v>103</v>
      </c>
      <c r="Y3" s="91" t="s">
        <v>104</v>
      </c>
      <c r="Z3" s="91" t="s">
        <v>105</v>
      </c>
      <c r="AA3" s="91" t="s">
        <v>142</v>
      </c>
      <c r="AB3" s="91" t="s">
        <v>143</v>
      </c>
      <c r="AC3" s="91" t="s">
        <v>106</v>
      </c>
      <c r="AD3" s="91" t="s">
        <v>107</v>
      </c>
      <c r="AE3" s="91" t="s">
        <v>108</v>
      </c>
      <c r="AF3" s="91" t="s">
        <v>160</v>
      </c>
      <c r="AG3" s="91" t="s">
        <v>148</v>
      </c>
      <c r="AH3" s="91" t="s">
        <v>109</v>
      </c>
      <c r="AI3" s="91" t="s">
        <v>110</v>
      </c>
      <c r="AJ3" s="91" t="s">
        <v>111</v>
      </c>
      <c r="AK3" s="91" t="s">
        <v>112</v>
      </c>
      <c r="AL3" s="91" t="s">
        <v>113</v>
      </c>
      <c r="AM3" s="91" t="s">
        <v>15</v>
      </c>
      <c r="AN3" s="93" t="s">
        <v>114</v>
      </c>
      <c r="AO3" s="91" t="s">
        <v>70</v>
      </c>
      <c r="AP3" s="97" t="s">
        <v>151</v>
      </c>
      <c r="AQ3" s="97" t="s">
        <v>152</v>
      </c>
      <c r="AR3" s="97" t="s">
        <v>153</v>
      </c>
      <c r="AS3" s="97" t="s">
        <v>170</v>
      </c>
      <c r="AT3" s="97" t="s">
        <v>171</v>
      </c>
      <c r="AU3" s="93" t="s">
        <v>115</v>
      </c>
      <c r="AV3" s="93" t="s">
        <v>116</v>
      </c>
      <c r="AW3" s="91" t="s">
        <v>117</v>
      </c>
      <c r="AX3" s="91" t="s">
        <v>114</v>
      </c>
      <c r="AY3" s="91" t="s">
        <v>110</v>
      </c>
      <c r="AZ3" s="91" t="s">
        <v>69</v>
      </c>
      <c r="BA3" s="91" t="s">
        <v>165</v>
      </c>
      <c r="BB3" s="91" t="s">
        <v>166</v>
      </c>
      <c r="BC3" s="91" t="s">
        <v>68</v>
      </c>
      <c r="BD3" s="97" t="s">
        <v>174</v>
      </c>
      <c r="BE3" s="97" t="s">
        <v>162</v>
      </c>
      <c r="BF3" s="91" t="s">
        <v>158</v>
      </c>
      <c r="BG3" s="91" t="s">
        <v>159</v>
      </c>
      <c r="BH3" s="91" t="s">
        <v>156</v>
      </c>
      <c r="BI3" s="91" t="s">
        <v>164</v>
      </c>
    </row>
    <row r="4" spans="1:61" s="81" customFormat="1" ht="178.5">
      <c r="A4" s="73" t="s">
        <v>0</v>
      </c>
      <c r="B4" s="74" t="s">
        <v>80</v>
      </c>
      <c r="C4" s="74" t="s">
        <v>81</v>
      </c>
      <c r="D4" s="75" t="s">
        <v>127</v>
      </c>
      <c r="E4" s="75" t="s">
        <v>128</v>
      </c>
      <c r="F4" s="75" t="s">
        <v>78</v>
      </c>
      <c r="G4" s="75" t="s">
        <v>126</v>
      </c>
      <c r="H4" s="76" t="s">
        <v>82</v>
      </c>
      <c r="I4" s="77" t="s">
        <v>77</v>
      </c>
      <c r="J4" s="78" t="s">
        <v>77</v>
      </c>
      <c r="K4" s="79" t="s">
        <v>59</v>
      </c>
      <c r="L4" s="79" t="s">
        <v>65</v>
      </c>
      <c r="M4" s="79" t="s">
        <v>40</v>
      </c>
      <c r="N4" s="79" t="s">
        <v>86</v>
      </c>
      <c r="O4" s="79" t="s">
        <v>131</v>
      </c>
      <c r="P4" s="79" t="s">
        <v>132</v>
      </c>
      <c r="Q4" s="79" t="s">
        <v>88</v>
      </c>
      <c r="R4" s="79" t="s">
        <v>89</v>
      </c>
      <c r="S4" s="80" t="s">
        <v>41</v>
      </c>
      <c r="T4" s="79" t="s">
        <v>90</v>
      </c>
      <c r="U4" s="79" t="s">
        <v>141</v>
      </c>
      <c r="V4" s="79" t="s">
        <v>42</v>
      </c>
      <c r="W4" s="80" t="s">
        <v>43</v>
      </c>
      <c r="X4" s="80" t="s">
        <v>83</v>
      </c>
      <c r="Y4" s="79" t="s">
        <v>44</v>
      </c>
      <c r="Z4" s="79" t="s">
        <v>147</v>
      </c>
      <c r="AA4" s="79" t="s">
        <v>145</v>
      </c>
      <c r="AB4" s="79" t="s">
        <v>144</v>
      </c>
      <c r="AC4" s="79" t="s">
        <v>45</v>
      </c>
      <c r="AD4" s="110" t="s">
        <v>46</v>
      </c>
      <c r="AE4" s="110" t="s">
        <v>146</v>
      </c>
      <c r="AF4" s="110" t="s">
        <v>150</v>
      </c>
      <c r="AG4" s="110" t="s">
        <v>149</v>
      </c>
      <c r="AH4" s="79" t="s">
        <v>47</v>
      </c>
      <c r="AI4" s="79" t="s">
        <v>29</v>
      </c>
      <c r="AJ4" s="79" t="s">
        <v>48</v>
      </c>
      <c r="AK4" s="79" t="s">
        <v>49</v>
      </c>
      <c r="AL4" s="79" t="s">
        <v>51</v>
      </c>
      <c r="AM4" s="79" t="s">
        <v>50</v>
      </c>
      <c r="AN4" s="80" t="s">
        <v>28</v>
      </c>
      <c r="AO4" s="79" t="s">
        <v>66</v>
      </c>
      <c r="AP4" s="79" t="s">
        <v>84</v>
      </c>
      <c r="AQ4" s="79" t="s">
        <v>130</v>
      </c>
      <c r="AR4" s="79" t="s">
        <v>129</v>
      </c>
      <c r="AS4" s="79" t="s">
        <v>85</v>
      </c>
      <c r="AT4" s="79" t="s">
        <v>87</v>
      </c>
      <c r="AU4" s="79" t="s">
        <v>154</v>
      </c>
      <c r="AV4" s="79" t="s">
        <v>155</v>
      </c>
      <c r="AW4" s="79" t="s">
        <v>67</v>
      </c>
      <c r="AX4" s="79" t="s">
        <v>28</v>
      </c>
      <c r="AY4" s="79" t="s">
        <v>29</v>
      </c>
      <c r="AZ4" s="79" t="s">
        <v>167</v>
      </c>
      <c r="BA4" s="79" t="s">
        <v>168</v>
      </c>
      <c r="BB4" s="79" t="s">
        <v>169</v>
      </c>
      <c r="BC4" s="79" t="s">
        <v>30</v>
      </c>
      <c r="BD4" s="79" t="s">
        <v>163</v>
      </c>
      <c r="BE4" s="79" t="s">
        <v>124</v>
      </c>
      <c r="BF4" s="79" t="s">
        <v>31</v>
      </c>
      <c r="BG4" s="79" t="s">
        <v>32</v>
      </c>
      <c r="BH4" s="94" t="s">
        <v>157</v>
      </c>
      <c r="BI4" s="94" t="s">
        <v>125</v>
      </c>
    </row>
    <row r="5" spans="1:61" s="88" customFormat="1" ht="39" thickBot="1">
      <c r="A5" s="82"/>
      <c r="B5" s="83" t="s">
        <v>54</v>
      </c>
      <c r="C5" s="83" t="s">
        <v>54</v>
      </c>
      <c r="D5" s="83" t="s">
        <v>54</v>
      </c>
      <c r="E5" s="83" t="s">
        <v>54</v>
      </c>
      <c r="F5" s="83" t="s">
        <v>54</v>
      </c>
      <c r="G5" s="83" t="s">
        <v>54</v>
      </c>
      <c r="H5" s="82" t="s">
        <v>1</v>
      </c>
      <c r="I5" s="84" t="s">
        <v>54</v>
      </c>
      <c r="J5" s="85" t="s">
        <v>79</v>
      </c>
      <c r="K5" s="86" t="s">
        <v>91</v>
      </c>
      <c r="L5" s="86" t="s">
        <v>91</v>
      </c>
      <c r="M5" s="86" t="s">
        <v>91</v>
      </c>
      <c r="N5" s="86" t="s">
        <v>91</v>
      </c>
      <c r="O5" s="86" t="s">
        <v>91</v>
      </c>
      <c r="P5" s="86" t="s">
        <v>91</v>
      </c>
      <c r="Q5" s="86" t="s">
        <v>91</v>
      </c>
      <c r="R5" s="86" t="s">
        <v>91</v>
      </c>
      <c r="S5" s="86" t="s">
        <v>53</v>
      </c>
      <c r="T5" s="86" t="s">
        <v>56</v>
      </c>
      <c r="U5" s="86" t="s">
        <v>91</v>
      </c>
      <c r="V5" s="86" t="s">
        <v>92</v>
      </c>
      <c r="W5" s="86" t="s">
        <v>93</v>
      </c>
      <c r="X5" s="87" t="s">
        <v>1</v>
      </c>
      <c r="Y5" s="86" t="s">
        <v>93</v>
      </c>
      <c r="Z5" s="86" t="s">
        <v>93</v>
      </c>
      <c r="AA5" s="86" t="s">
        <v>93</v>
      </c>
      <c r="AB5" s="86" t="s">
        <v>93</v>
      </c>
      <c r="AC5" s="86" t="s">
        <v>1</v>
      </c>
      <c r="AD5" s="86" t="s">
        <v>93</v>
      </c>
      <c r="AE5" s="86" t="s">
        <v>93</v>
      </c>
      <c r="AF5" s="116" t="s">
        <v>161</v>
      </c>
      <c r="AG5" s="86" t="s">
        <v>93</v>
      </c>
      <c r="AH5" s="86" t="s">
        <v>1</v>
      </c>
      <c r="AI5" s="86" t="s">
        <v>94</v>
      </c>
      <c r="AJ5" s="86" t="s">
        <v>95</v>
      </c>
      <c r="AK5" s="86" t="s">
        <v>1</v>
      </c>
      <c r="AL5" s="86" t="s">
        <v>1</v>
      </c>
      <c r="AM5" s="86" t="s">
        <v>55</v>
      </c>
      <c r="AN5" s="87" t="s">
        <v>57</v>
      </c>
      <c r="AO5" s="86" t="s">
        <v>52</v>
      </c>
      <c r="AP5" s="86" t="s">
        <v>52</v>
      </c>
      <c r="AQ5" s="86" t="s">
        <v>52</v>
      </c>
      <c r="AR5" s="86" t="s">
        <v>52</v>
      </c>
      <c r="AS5" s="86" t="s">
        <v>52</v>
      </c>
      <c r="AT5" s="86" t="s">
        <v>52</v>
      </c>
      <c r="AU5" s="86" t="s">
        <v>52</v>
      </c>
      <c r="AV5" s="86" t="s">
        <v>52</v>
      </c>
      <c r="AW5" s="86" t="s">
        <v>54</v>
      </c>
      <c r="AX5" s="86" t="s">
        <v>57</v>
      </c>
      <c r="AY5" s="86" t="s">
        <v>57</v>
      </c>
      <c r="AZ5" s="86" t="s">
        <v>53</v>
      </c>
      <c r="BA5" s="86" t="s">
        <v>53</v>
      </c>
      <c r="BB5" s="86" t="s">
        <v>53</v>
      </c>
      <c r="BC5" s="86" t="s">
        <v>53</v>
      </c>
      <c r="BD5" s="86" t="s">
        <v>53</v>
      </c>
      <c r="BE5" s="86" t="s">
        <v>53</v>
      </c>
      <c r="BF5" s="86" t="s">
        <v>56</v>
      </c>
      <c r="BG5" s="86" t="s">
        <v>56</v>
      </c>
      <c r="BH5" s="101" t="s">
        <v>1</v>
      </c>
      <c r="BI5" s="104" t="s">
        <v>1</v>
      </c>
    </row>
    <row r="6" spans="1:61" ht="12.75">
      <c r="A6" s="60">
        <v>40269</v>
      </c>
      <c r="B6" s="61">
        <v>76.8380216595805</v>
      </c>
      <c r="C6" s="61">
        <v>77.8466543152377</v>
      </c>
      <c r="D6" s="61">
        <v>103.99474785500979</v>
      </c>
      <c r="E6" s="62">
        <v>0</v>
      </c>
      <c r="F6" s="61">
        <v>173.65649340000058</v>
      </c>
      <c r="G6" s="61">
        <v>33.36122139999957</v>
      </c>
      <c r="H6" s="46">
        <v>37.838903587443845</v>
      </c>
      <c r="I6" s="48">
        <f>SUM(C6:G6)</f>
        <v>388.8591169702476</v>
      </c>
      <c r="J6" s="16">
        <f>I6/0.717*1000</f>
        <v>542341.8646725909</v>
      </c>
      <c r="K6" s="28">
        <f>AO6-L6</f>
        <v>8019.220331038941</v>
      </c>
      <c r="L6" s="28">
        <f>M6+Q6+R6</f>
        <v>1133.4015276011944</v>
      </c>
      <c r="M6" s="31">
        <f>S6*T6</f>
        <v>17.25152275</v>
      </c>
      <c r="N6" s="28">
        <f aca="true" t="shared" si="0" ref="N6:N14">(AI$6+AJ6*AM6)*V6+(AN$6*(W6-V6))</f>
        <v>232.4858453326475</v>
      </c>
      <c r="O6" s="28">
        <f aca="true" t="shared" si="1" ref="O6:O14">(AI$6+AJ6*AL6)*AD6+(AN$6*(AE6-AD6))</f>
        <v>588.1890821755007</v>
      </c>
      <c r="P6" s="28">
        <f aca="true" t="shared" si="2" ref="P6:P14">(AI$6+AJ6*AL6)*Y6+(AN$6*(AA6-Y6))</f>
        <v>295.4750773430465</v>
      </c>
      <c r="Q6" s="28">
        <f aca="true" t="shared" si="3" ref="Q6:Q14">(V6+Y6+AD6)*(AI$6+AJ6*AM6)</f>
        <v>1062.3124105036172</v>
      </c>
      <c r="R6" s="114">
        <f aca="true" t="shared" si="4" ref="R6:R14">AN$6*(AA6*(1-AC$6)+AE6*(1-AH$6))+U6</f>
        <v>53.837594347577166</v>
      </c>
      <c r="S6" s="38">
        <f>BA6*0.035</f>
        <v>16.16825</v>
      </c>
      <c r="T6" s="113">
        <v>1.067</v>
      </c>
      <c r="U6" s="28">
        <f aca="true" t="shared" si="5" ref="U6:U14">AN$6*(W6-V6)</f>
        <v>21.18128576880109</v>
      </c>
      <c r="V6" s="16">
        <f>B6</f>
        <v>76.8380216595805</v>
      </c>
      <c r="W6" s="16">
        <f aca="true" t="shared" si="6" ref="V6:W14">C6</f>
        <v>77.8466543152377</v>
      </c>
      <c r="X6" s="23">
        <f aca="true" t="shared" si="7" ref="X6:X12">V6/W6</f>
        <v>0.9870433396973907</v>
      </c>
      <c r="Y6" s="22">
        <f aca="true" t="shared" si="8" ref="Y6:Y14">AA6*$AC$6</f>
        <v>103.47477411573475</v>
      </c>
      <c r="Z6" s="35">
        <f>SUM(AA6:AB6)</f>
        <v>103.99474785500979</v>
      </c>
      <c r="AA6" s="16">
        <f>D6</f>
        <v>103.99474785500979</v>
      </c>
      <c r="AB6" s="16">
        <f>E6</f>
        <v>0</v>
      </c>
      <c r="AC6" s="23">
        <v>0.995</v>
      </c>
      <c r="AD6" s="22">
        <f aca="true" t="shared" si="9" ref="AD6:AD14">AE6*AH$6</f>
        <v>205.98262622600015</v>
      </c>
      <c r="AE6" s="16">
        <f>AF6+AG6</f>
        <v>207.01771480000016</v>
      </c>
      <c r="AF6" s="117">
        <f>F6</f>
        <v>173.65649340000058</v>
      </c>
      <c r="AG6" s="16">
        <f>G6</f>
        <v>33.36122139999957</v>
      </c>
      <c r="AH6" s="11">
        <v>0.995</v>
      </c>
      <c r="AI6" s="10">
        <v>2.75</v>
      </c>
      <c r="AJ6">
        <v>0</v>
      </c>
      <c r="AK6" s="24">
        <f aca="true" t="shared" si="10" ref="AK6:AK14">H6/100</f>
        <v>0.37838903587443845</v>
      </c>
      <c r="AL6" s="9">
        <v>0</v>
      </c>
      <c r="AM6">
        <f aca="true" t="shared" si="11" ref="AM6:AM11">IF(AK6,AL6/AK6,0)</f>
        <v>0</v>
      </c>
      <c r="AN6" s="10">
        <v>21</v>
      </c>
      <c r="AO6" s="35">
        <f>AU6+AV6</f>
        <v>9152.621858640136</v>
      </c>
      <c r="AP6" s="28">
        <f>W6*$AX$6</f>
        <v>1634.7797406199918</v>
      </c>
      <c r="AQ6" s="28">
        <f aca="true" t="shared" si="12" ref="AQ6:AQ14">AA6*$AX$6</f>
        <v>2183.8897049552056</v>
      </c>
      <c r="AR6" s="28">
        <f>AE6*$AX$6</f>
        <v>4347.372010800003</v>
      </c>
      <c r="AS6" s="28">
        <f>BC6*BG$6/BH6</f>
        <v>493.679752264935</v>
      </c>
      <c r="AT6" s="28">
        <f>AZ6*BF6</f>
        <v>492.90065</v>
      </c>
      <c r="AU6" s="28">
        <f>AW6*$AN$6</f>
        <v>8166.041456375201</v>
      </c>
      <c r="AV6" s="28">
        <f>AZ6*BF6+BC6/BH6*$BG$6</f>
        <v>986.580402264935</v>
      </c>
      <c r="AW6" s="28">
        <f>W6+Z6+AE6</f>
        <v>388.85911697024767</v>
      </c>
      <c r="AX6" s="26">
        <v>21</v>
      </c>
      <c r="AY6" s="26">
        <v>2.75</v>
      </c>
      <c r="AZ6" s="22">
        <f>BA6+BB6</f>
        <v>461.95</v>
      </c>
      <c r="BA6" s="106">
        <v>461.95</v>
      </c>
      <c r="BB6" s="121">
        <f>AB6*$AC$6*0.36*13.898</f>
        <v>0</v>
      </c>
      <c r="BC6" s="100">
        <f>SUM(BD6:BE6)</f>
        <v>1304.4972901892</v>
      </c>
      <c r="BD6" s="42">
        <v>855.8480459999998</v>
      </c>
      <c r="BE6" s="16">
        <f>AG6*$AH$6*13.898*$BI$6</f>
        <v>448.6492441892001</v>
      </c>
      <c r="BF6" s="113">
        <v>1.067</v>
      </c>
      <c r="BG6" s="25">
        <v>0.3406</v>
      </c>
      <c r="BH6" s="32">
        <v>0.9</v>
      </c>
      <c r="BI6" s="122">
        <v>0.9725</v>
      </c>
    </row>
    <row r="7" spans="1:61" ht="12.75">
      <c r="A7" s="60">
        <v>40299</v>
      </c>
      <c r="B7" s="61">
        <v>205.03337882205633</v>
      </c>
      <c r="C7" s="61">
        <v>206.63018799835874</v>
      </c>
      <c r="D7" s="61">
        <v>116.6309497063024</v>
      </c>
      <c r="E7" s="62">
        <v>0</v>
      </c>
      <c r="F7" s="61">
        <v>0</v>
      </c>
      <c r="G7" s="61">
        <v>0</v>
      </c>
      <c r="H7" s="46">
        <v>35.2</v>
      </c>
      <c r="I7" s="48">
        <f aca="true" t="shared" si="13" ref="I7:I18">SUM(C7:G7)</f>
        <v>323.2611377046611</v>
      </c>
      <c r="J7" s="16">
        <f aca="true" t="shared" si="14" ref="J7:J16">I7/0.717*1000</f>
        <v>450852.3538419262</v>
      </c>
      <c r="K7" s="28">
        <f aca="true" t="shared" si="15" ref="K7:K18">AO7-L7</f>
        <v>6399.064710481845</v>
      </c>
      <c r="L7" s="28">
        <f aca="true" t="shared" si="16" ref="L7:L18">M7+Q7+R7</f>
        <v>948.3137813160371</v>
      </c>
      <c r="M7" s="31">
        <f aca="true" t="shared" si="17" ref="M7:M14">S7*T7</f>
        <v>19.561310999999996</v>
      </c>
      <c r="N7" s="28">
        <f t="shared" si="0"/>
        <v>597.3747844630053</v>
      </c>
      <c r="O7" s="28">
        <f t="shared" si="1"/>
        <v>0</v>
      </c>
      <c r="P7" s="28">
        <f t="shared" si="2"/>
        <v>331.3776858530317</v>
      </c>
      <c r="Q7" s="28">
        <f t="shared" si="3"/>
        <v>882.9732278945248</v>
      </c>
      <c r="R7" s="114">
        <f t="shared" si="4"/>
        <v>45.77924242151217</v>
      </c>
      <c r="S7" s="38">
        <f aca="true" t="shared" si="18" ref="S7:S18">BA7*0.035</f>
        <v>18.333</v>
      </c>
      <c r="T7" s="113">
        <v>1.067</v>
      </c>
      <c r="U7" s="28">
        <f t="shared" si="5"/>
        <v>33.53299270235041</v>
      </c>
      <c r="V7" s="16">
        <f t="shared" si="6"/>
        <v>205.03337882205633</v>
      </c>
      <c r="W7" s="16">
        <f t="shared" si="6"/>
        <v>206.63018799835874</v>
      </c>
      <c r="X7" s="23">
        <f t="shared" si="7"/>
        <v>0.9922721399434865</v>
      </c>
      <c r="Y7" s="22">
        <f t="shared" si="8"/>
        <v>116.04779495777089</v>
      </c>
      <c r="Z7" s="35">
        <f aca="true" t="shared" si="19" ref="Z7:Z18">SUM(AA7:AB7)</f>
        <v>116.6309497063024</v>
      </c>
      <c r="AA7" s="16">
        <f aca="true" t="shared" si="20" ref="AA7:AA14">D7</f>
        <v>116.6309497063024</v>
      </c>
      <c r="AB7" s="16">
        <f aca="true" t="shared" si="21" ref="AB7:AB18">E7</f>
        <v>0</v>
      </c>
      <c r="AC7" s="23"/>
      <c r="AD7" s="22">
        <f t="shared" si="9"/>
        <v>0</v>
      </c>
      <c r="AE7" s="16">
        <f aca="true" t="shared" si="22" ref="AE7:AE18">AF7+AG7</f>
        <v>0</v>
      </c>
      <c r="AF7" s="117">
        <f aca="true" t="shared" si="23" ref="AF7:AF14">F7</f>
        <v>0</v>
      </c>
      <c r="AG7" s="16">
        <f aca="true" t="shared" si="24" ref="AG7:AG14">G7</f>
        <v>0</v>
      </c>
      <c r="AH7" s="11"/>
      <c r="AI7" s="10"/>
      <c r="AJ7">
        <v>0</v>
      </c>
      <c r="AK7" s="24">
        <f t="shared" si="10"/>
        <v>0.35200000000000004</v>
      </c>
      <c r="AL7" s="9">
        <v>0</v>
      </c>
      <c r="AM7">
        <f t="shared" si="11"/>
        <v>0</v>
      </c>
      <c r="AN7" s="10"/>
      <c r="AO7" s="35">
        <f aca="true" t="shared" si="25" ref="AO7:AO18">AU7+AV7</f>
        <v>7347.378491797883</v>
      </c>
      <c r="AP7" s="28">
        <f aca="true" t="shared" si="26" ref="AP7:AP14">W7*$AX$6</f>
        <v>4339.233947965534</v>
      </c>
      <c r="AQ7" s="28">
        <f t="shared" si="12"/>
        <v>2449.2499438323503</v>
      </c>
      <c r="AR7" s="28">
        <f aca="true" t="shared" si="27" ref="AR7:AR14">AE7*$AX$6</f>
        <v>0</v>
      </c>
      <c r="AS7" s="28">
        <f aca="true" t="shared" si="28" ref="AS7:AS18">BC7*BG$6/BH7</f>
        <v>0</v>
      </c>
      <c r="AT7" s="28">
        <f aca="true" t="shared" si="29" ref="AT7:AT18">AZ7*BF7</f>
        <v>558.8946</v>
      </c>
      <c r="AU7" s="28">
        <f aca="true" t="shared" si="30" ref="AU7:AU17">AW7*$AN$6</f>
        <v>6788.483891797883</v>
      </c>
      <c r="AV7" s="28">
        <f aca="true" t="shared" si="31" ref="AV7:AV18">AZ7*BF7+BC7/BH7*$BG$6</f>
        <v>558.8946</v>
      </c>
      <c r="AW7" s="28">
        <f aca="true" t="shared" si="32" ref="AW7:AW18">W7+Z7+AE7</f>
        <v>323.2611377046611</v>
      </c>
      <c r="AX7" s="27"/>
      <c r="AY7" s="27"/>
      <c r="AZ7" s="22">
        <f aca="true" t="shared" si="33" ref="AZ7:AZ18">BA7+BB7</f>
        <v>523.8</v>
      </c>
      <c r="BA7" s="106">
        <v>523.8</v>
      </c>
      <c r="BB7" s="121">
        <f aca="true" t="shared" si="34" ref="BB7:BB18">AB7*$AC$6*0.36*13.898</f>
        <v>0</v>
      </c>
      <c r="BC7" s="100">
        <f aca="true" t="shared" si="35" ref="BC7:BC18">SUM(BD7:BE7)</f>
        <v>0</v>
      </c>
      <c r="BD7" s="42">
        <v>0</v>
      </c>
      <c r="BE7" s="16">
        <f aca="true" t="shared" si="36" ref="BE7:BE18">AG7*$AH$6*13.898*$BI$6</f>
        <v>0</v>
      </c>
      <c r="BF7" s="113">
        <v>1.067</v>
      </c>
      <c r="BG7" s="25"/>
      <c r="BH7" s="32">
        <v>0.9</v>
      </c>
      <c r="BI7" s="32"/>
    </row>
    <row r="8" spans="1:61" ht="12.75">
      <c r="A8" s="60">
        <v>40330</v>
      </c>
      <c r="B8" s="61">
        <v>125.19469167007453</v>
      </c>
      <c r="C8" s="61">
        <v>129.8907632398017</v>
      </c>
      <c r="D8" s="61">
        <v>117.61531897237386</v>
      </c>
      <c r="E8" s="62">
        <v>0</v>
      </c>
      <c r="F8" s="61">
        <v>11.630020999999944</v>
      </c>
      <c r="G8" s="61">
        <v>0</v>
      </c>
      <c r="H8" s="46">
        <v>33.8273078703703</v>
      </c>
      <c r="I8" s="48">
        <f t="shared" si="13"/>
        <v>259.1361032121755</v>
      </c>
      <c r="J8" s="16">
        <f t="shared" si="14"/>
        <v>361417.15929173713</v>
      </c>
      <c r="K8" s="28">
        <f t="shared" si="15"/>
        <v>5051.407850494338</v>
      </c>
      <c r="L8" s="28">
        <f t="shared" si="16"/>
        <v>825.0405547534822</v>
      </c>
      <c r="M8" s="31">
        <f t="shared" si="17"/>
        <v>14.919327500000001</v>
      </c>
      <c r="N8" s="28">
        <f t="shared" si="0"/>
        <v>442.90290505697516</v>
      </c>
      <c r="O8" s="28">
        <f t="shared" si="1"/>
        <v>33.04379716624983</v>
      </c>
      <c r="P8" s="28">
        <f t="shared" si="2"/>
        <v>334.1745250302573</v>
      </c>
      <c r="Q8" s="28">
        <f t="shared" si="3"/>
        <v>697.9329635921127</v>
      </c>
      <c r="R8" s="114">
        <f t="shared" si="4"/>
        <v>112.18826366136946</v>
      </c>
      <c r="S8" s="38">
        <f t="shared" si="18"/>
        <v>13.982500000000002</v>
      </c>
      <c r="T8" s="113">
        <v>1.067</v>
      </c>
      <c r="U8" s="28">
        <f t="shared" si="5"/>
        <v>98.6175029642702</v>
      </c>
      <c r="V8" s="16">
        <f t="shared" si="6"/>
        <v>125.19469167007453</v>
      </c>
      <c r="W8" s="16">
        <f t="shared" si="6"/>
        <v>129.8907632398017</v>
      </c>
      <c r="X8" s="23">
        <f t="shared" si="7"/>
        <v>0.9638459929513435</v>
      </c>
      <c r="Y8" s="22">
        <f t="shared" si="8"/>
        <v>117.02724237751198</v>
      </c>
      <c r="Z8" s="35">
        <f t="shared" si="19"/>
        <v>117.61531897237386</v>
      </c>
      <c r="AA8" s="16">
        <f t="shared" si="20"/>
        <v>117.61531897237386</v>
      </c>
      <c r="AB8" s="16">
        <f t="shared" si="21"/>
        <v>0</v>
      </c>
      <c r="AC8" s="23"/>
      <c r="AD8" s="22">
        <f t="shared" si="9"/>
        <v>11.571870894999945</v>
      </c>
      <c r="AE8" s="16">
        <f t="shared" si="22"/>
        <v>11.630020999999944</v>
      </c>
      <c r="AF8" s="117">
        <f t="shared" si="23"/>
        <v>11.630020999999944</v>
      </c>
      <c r="AG8" s="16">
        <f t="shared" si="24"/>
        <v>0</v>
      </c>
      <c r="AH8" s="11"/>
      <c r="AI8" s="10"/>
      <c r="AJ8">
        <v>0</v>
      </c>
      <c r="AK8" s="24">
        <f t="shared" si="10"/>
        <v>0.338273078703703</v>
      </c>
      <c r="AL8" s="9">
        <v>0</v>
      </c>
      <c r="AM8">
        <f t="shared" si="11"/>
        <v>0</v>
      </c>
      <c r="AN8" s="10"/>
      <c r="AO8" s="35">
        <f t="shared" si="25"/>
        <v>5876.44840524782</v>
      </c>
      <c r="AP8" s="28">
        <f t="shared" si="26"/>
        <v>2727.7060280358355</v>
      </c>
      <c r="AQ8" s="28">
        <f t="shared" si="12"/>
        <v>2469.921698419851</v>
      </c>
      <c r="AR8" s="28">
        <f t="shared" si="27"/>
        <v>244.23044099999882</v>
      </c>
      <c r="AS8" s="28">
        <f t="shared" si="28"/>
        <v>8.323737792134839</v>
      </c>
      <c r="AT8" s="28">
        <f t="shared" si="29"/>
        <v>426.2665</v>
      </c>
      <c r="AU8" s="28">
        <f t="shared" si="30"/>
        <v>5441.858167455685</v>
      </c>
      <c r="AV8" s="28">
        <f t="shared" si="31"/>
        <v>434.5902377921349</v>
      </c>
      <c r="AW8" s="28">
        <f t="shared" si="32"/>
        <v>259.1361032121755</v>
      </c>
      <c r="AX8" s="27"/>
      <c r="AY8" s="27"/>
      <c r="AZ8" s="22">
        <f t="shared" si="33"/>
        <v>399.5</v>
      </c>
      <c r="BA8" s="106">
        <v>399.5</v>
      </c>
      <c r="BB8" s="121">
        <f t="shared" si="34"/>
        <v>0</v>
      </c>
      <c r="BC8" s="100">
        <f t="shared" si="35"/>
        <v>21.750225000000018</v>
      </c>
      <c r="BD8" s="42">
        <v>21.750225000000018</v>
      </c>
      <c r="BE8" s="16">
        <f t="shared" si="36"/>
        <v>0</v>
      </c>
      <c r="BF8" s="113">
        <v>1.067</v>
      </c>
      <c r="BG8" s="25"/>
      <c r="BH8" s="32">
        <v>0.89</v>
      </c>
      <c r="BI8" s="32"/>
    </row>
    <row r="9" spans="1:61" ht="12.75">
      <c r="A9" s="60">
        <v>40360</v>
      </c>
      <c r="B9" s="61">
        <v>30.375087310088187</v>
      </c>
      <c r="C9" s="61">
        <v>31.946739943459697</v>
      </c>
      <c r="D9" s="61">
        <v>114.19340752949654</v>
      </c>
      <c r="E9" s="62">
        <v>0</v>
      </c>
      <c r="F9" s="61">
        <v>31.6205604</v>
      </c>
      <c r="G9" s="61">
        <v>0</v>
      </c>
      <c r="H9" s="46">
        <v>35.7839318715741</v>
      </c>
      <c r="I9" s="48">
        <f t="shared" si="13"/>
        <v>177.76070787295623</v>
      </c>
      <c r="J9" s="16">
        <f t="shared" si="14"/>
        <v>247922.88406270047</v>
      </c>
      <c r="K9" s="28">
        <f t="shared" si="15"/>
        <v>3727.3144160291913</v>
      </c>
      <c r="L9" s="28">
        <f t="shared" si="16"/>
        <v>548.2795830332262</v>
      </c>
      <c r="M9" s="31">
        <f t="shared" si="17"/>
        <v>17.44945125</v>
      </c>
      <c r="N9" s="28">
        <f t="shared" si="0"/>
        <v>116.53619540354423</v>
      </c>
      <c r="O9" s="28">
        <f t="shared" si="1"/>
        <v>89.84191723649997</v>
      </c>
      <c r="P9" s="28">
        <f t="shared" si="2"/>
        <v>324.45201914318193</v>
      </c>
      <c r="Q9" s="28">
        <f t="shared" si="3"/>
        <v>482.5149598498274</v>
      </c>
      <c r="R9" s="114">
        <f t="shared" si="4"/>
        <v>48.31517193339887</v>
      </c>
      <c r="S9" s="38">
        <f t="shared" si="18"/>
        <v>16.35375</v>
      </c>
      <c r="T9" s="113">
        <v>1.067</v>
      </c>
      <c r="U9" s="28">
        <f t="shared" si="5"/>
        <v>33.00470530080172</v>
      </c>
      <c r="V9" s="16">
        <f t="shared" si="6"/>
        <v>30.375087310088187</v>
      </c>
      <c r="W9" s="16">
        <f t="shared" si="6"/>
        <v>31.946739943459697</v>
      </c>
      <c r="X9" s="23">
        <f t="shared" si="7"/>
        <v>0.9508039744852504</v>
      </c>
      <c r="Y9" s="22">
        <f t="shared" si="8"/>
        <v>113.62244049184906</v>
      </c>
      <c r="Z9" s="35">
        <f t="shared" si="19"/>
        <v>114.19340752949654</v>
      </c>
      <c r="AA9" s="16">
        <f t="shared" si="20"/>
        <v>114.19340752949654</v>
      </c>
      <c r="AB9" s="16">
        <f t="shared" si="21"/>
        <v>0</v>
      </c>
      <c r="AC9" s="23"/>
      <c r="AD9" s="22">
        <f t="shared" si="9"/>
        <v>31.462457598</v>
      </c>
      <c r="AE9" s="16">
        <f t="shared" si="22"/>
        <v>31.6205604</v>
      </c>
      <c r="AF9" s="117">
        <f t="shared" si="23"/>
        <v>31.6205604</v>
      </c>
      <c r="AG9" s="16">
        <f t="shared" si="24"/>
        <v>0</v>
      </c>
      <c r="AH9" s="11"/>
      <c r="AI9" s="10"/>
      <c r="AJ9">
        <v>0</v>
      </c>
      <c r="AK9" s="24">
        <f t="shared" si="10"/>
        <v>0.357839318715741</v>
      </c>
      <c r="AL9" s="9">
        <v>0</v>
      </c>
      <c r="AM9">
        <f t="shared" si="11"/>
        <v>0</v>
      </c>
      <c r="AN9" s="10"/>
      <c r="AO9" s="35">
        <f t="shared" si="25"/>
        <v>4275.593999062417</v>
      </c>
      <c r="AP9" s="28">
        <f t="shared" si="26"/>
        <v>670.8815388126536</v>
      </c>
      <c r="AQ9" s="28">
        <f t="shared" si="12"/>
        <v>2398.0615581194274</v>
      </c>
      <c r="AR9" s="28">
        <f t="shared" si="27"/>
        <v>664.0317683999999</v>
      </c>
      <c r="AS9" s="28">
        <f t="shared" si="28"/>
        <v>44.063383730337144</v>
      </c>
      <c r="AT9" s="28">
        <f t="shared" si="29"/>
        <v>498.55575</v>
      </c>
      <c r="AU9" s="28">
        <f t="shared" si="30"/>
        <v>3732.9748653320808</v>
      </c>
      <c r="AV9" s="28">
        <f t="shared" si="31"/>
        <v>542.6191337303371</v>
      </c>
      <c r="AW9" s="28">
        <f t="shared" si="32"/>
        <v>177.76070787295623</v>
      </c>
      <c r="AX9" s="27"/>
      <c r="AY9" s="27"/>
      <c r="AZ9" s="22">
        <f t="shared" si="33"/>
        <v>467.25</v>
      </c>
      <c r="BA9" s="106">
        <v>467.25</v>
      </c>
      <c r="BB9" s="121">
        <f t="shared" si="34"/>
        <v>0</v>
      </c>
      <c r="BC9" s="100">
        <f t="shared" si="35"/>
        <v>115.13920000000017</v>
      </c>
      <c r="BD9" s="42">
        <v>115.13920000000017</v>
      </c>
      <c r="BE9" s="16">
        <f t="shared" si="36"/>
        <v>0</v>
      </c>
      <c r="BF9" s="113">
        <v>1.067</v>
      </c>
      <c r="BG9" s="25"/>
      <c r="BH9" s="32">
        <v>0.89</v>
      </c>
      <c r="BI9" s="32"/>
    </row>
    <row r="10" spans="1:61" ht="12.75">
      <c r="A10" s="60">
        <v>40391</v>
      </c>
      <c r="B10" s="61">
        <v>6.711122194469759</v>
      </c>
      <c r="C10" s="61">
        <v>6.789797447590747</v>
      </c>
      <c r="D10" s="61">
        <v>145.90206771458844</v>
      </c>
      <c r="E10" s="62">
        <v>0</v>
      </c>
      <c r="F10" s="61">
        <v>48.46855520000137</v>
      </c>
      <c r="G10" s="61">
        <v>0</v>
      </c>
      <c r="H10" s="46">
        <v>37.646892051371</v>
      </c>
      <c r="I10" s="48">
        <f t="shared" si="13"/>
        <v>201.16042036218056</v>
      </c>
      <c r="J10" s="16">
        <f t="shared" si="14"/>
        <v>280558.46633497986</v>
      </c>
      <c r="K10" s="28">
        <f t="shared" si="15"/>
        <v>4347.11354131792</v>
      </c>
      <c r="L10" s="28">
        <f t="shared" si="16"/>
        <v>596.2360899564109</v>
      </c>
      <c r="M10" s="31">
        <f t="shared" si="17"/>
        <v>23.87279125</v>
      </c>
      <c r="N10" s="28">
        <f t="shared" si="0"/>
        <v>20.10776635033258</v>
      </c>
      <c r="O10" s="28">
        <f t="shared" si="1"/>
        <v>137.7112824620039</v>
      </c>
      <c r="P10" s="28">
        <f t="shared" si="2"/>
        <v>414.5442498940743</v>
      </c>
      <c r="Q10" s="28">
        <f t="shared" si="3"/>
        <v>550.3022029848382</v>
      </c>
      <c r="R10" s="114">
        <f t="shared" si="4"/>
        <v>22.06109572157269</v>
      </c>
      <c r="S10" s="38">
        <f t="shared" si="18"/>
        <v>22.37375</v>
      </c>
      <c r="T10" s="113">
        <v>1.067</v>
      </c>
      <c r="U10" s="28">
        <f t="shared" si="5"/>
        <v>1.6521803155407433</v>
      </c>
      <c r="V10" s="16">
        <f t="shared" si="6"/>
        <v>6.711122194469759</v>
      </c>
      <c r="W10" s="16">
        <f t="shared" si="6"/>
        <v>6.789797447590747</v>
      </c>
      <c r="X10" s="23">
        <f>V10/W10</f>
        <v>0.9884127245726742</v>
      </c>
      <c r="Y10" s="22">
        <f t="shared" si="8"/>
        <v>145.1725573760155</v>
      </c>
      <c r="Z10" s="35">
        <f t="shared" si="19"/>
        <v>145.90206771458844</v>
      </c>
      <c r="AA10" s="16">
        <f t="shared" si="20"/>
        <v>145.90206771458844</v>
      </c>
      <c r="AB10" s="16">
        <f t="shared" si="21"/>
        <v>0</v>
      </c>
      <c r="AC10" s="23"/>
      <c r="AD10" s="22">
        <f t="shared" si="9"/>
        <v>48.22621242400136</v>
      </c>
      <c r="AE10" s="16">
        <f t="shared" si="22"/>
        <v>48.46855520000137</v>
      </c>
      <c r="AF10" s="117">
        <f t="shared" si="23"/>
        <v>48.46855520000137</v>
      </c>
      <c r="AG10" s="16">
        <f t="shared" si="24"/>
        <v>0</v>
      </c>
      <c r="AH10" s="11"/>
      <c r="AI10" s="10"/>
      <c r="AJ10">
        <v>0</v>
      </c>
      <c r="AK10" s="24">
        <f t="shared" si="10"/>
        <v>0.37646892051370995</v>
      </c>
      <c r="AL10" s="9">
        <v>0</v>
      </c>
      <c r="AM10">
        <f t="shared" si="11"/>
        <v>0</v>
      </c>
      <c r="AN10" s="10"/>
      <c r="AO10" s="35">
        <f t="shared" si="25"/>
        <v>4943.349631274331</v>
      </c>
      <c r="AP10" s="28">
        <f t="shared" si="26"/>
        <v>142.58574639940568</v>
      </c>
      <c r="AQ10" s="28">
        <f t="shared" si="12"/>
        <v>3063.943422006357</v>
      </c>
      <c r="AR10" s="28">
        <f t="shared" si="27"/>
        <v>1017.8396592000288</v>
      </c>
      <c r="AS10" s="28">
        <f t="shared" si="28"/>
        <v>36.90105366853924</v>
      </c>
      <c r="AT10" s="28">
        <f t="shared" si="29"/>
        <v>682.07975</v>
      </c>
      <c r="AU10" s="28">
        <f t="shared" si="30"/>
        <v>4224.368827605792</v>
      </c>
      <c r="AV10" s="28">
        <f t="shared" si="31"/>
        <v>718.9808036685392</v>
      </c>
      <c r="AW10" s="28">
        <f t="shared" si="32"/>
        <v>201.16042036218056</v>
      </c>
      <c r="AX10" s="27"/>
      <c r="AY10" s="27"/>
      <c r="AZ10" s="22">
        <f t="shared" si="33"/>
        <v>639.25</v>
      </c>
      <c r="BA10" s="106">
        <v>639.25</v>
      </c>
      <c r="BB10" s="121">
        <f t="shared" si="34"/>
        <v>0</v>
      </c>
      <c r="BC10" s="100">
        <f t="shared" si="35"/>
        <v>96.42377499999978</v>
      </c>
      <c r="BD10" s="42">
        <v>96.42377499999978</v>
      </c>
      <c r="BE10" s="16">
        <f t="shared" si="36"/>
        <v>0</v>
      </c>
      <c r="BF10" s="113">
        <v>1.067</v>
      </c>
      <c r="BG10" s="25"/>
      <c r="BH10" s="32">
        <v>0.89</v>
      </c>
      <c r="BI10" s="32"/>
    </row>
    <row r="11" spans="1:61" ht="12.75">
      <c r="A11" s="60">
        <v>40422</v>
      </c>
      <c r="B11" s="61">
        <v>103.37863800961142</v>
      </c>
      <c r="C11" s="61">
        <v>104.89758088807457</v>
      </c>
      <c r="D11" s="61">
        <v>138.37134586996999</v>
      </c>
      <c r="E11" s="62">
        <v>0</v>
      </c>
      <c r="F11" s="61">
        <v>45.73695360000113</v>
      </c>
      <c r="G11" s="61">
        <v>0</v>
      </c>
      <c r="H11" s="46">
        <v>38.032609363831334</v>
      </c>
      <c r="I11" s="48">
        <f t="shared" si="13"/>
        <v>289.0058803580457</v>
      </c>
      <c r="J11" s="16">
        <f t="shared" si="14"/>
        <v>403076.5416430206</v>
      </c>
      <c r="K11" s="28">
        <f t="shared" si="15"/>
        <v>5915.178394968331</v>
      </c>
      <c r="L11" s="28">
        <f t="shared" si="16"/>
        <v>862.4742713432131</v>
      </c>
      <c r="M11" s="31">
        <f t="shared" si="17"/>
        <v>23.1875105</v>
      </c>
      <c r="N11" s="28">
        <f t="shared" si="0"/>
        <v>316.18905497415756</v>
      </c>
      <c r="O11" s="28">
        <f t="shared" si="1"/>
        <v>129.95011941600325</v>
      </c>
      <c r="P11" s="28">
        <f t="shared" si="2"/>
        <v>393.147586453052</v>
      </c>
      <c r="Q11" s="28">
        <f t="shared" si="3"/>
        <v>788.0575889511399</v>
      </c>
      <c r="R11" s="114">
        <f t="shared" si="4"/>
        <v>51.22917189207314</v>
      </c>
      <c r="S11" s="38">
        <f t="shared" si="18"/>
        <v>21.7315</v>
      </c>
      <c r="T11" s="113">
        <v>1.067</v>
      </c>
      <c r="U11" s="28">
        <f t="shared" si="5"/>
        <v>31.897800447726155</v>
      </c>
      <c r="V11" s="16">
        <f t="shared" si="6"/>
        <v>103.37863800961142</v>
      </c>
      <c r="W11" s="16">
        <f t="shared" si="6"/>
        <v>104.89758088807457</v>
      </c>
      <c r="X11" s="23">
        <f t="shared" si="7"/>
        <v>0.9855197530238199</v>
      </c>
      <c r="Y11" s="22">
        <f t="shared" si="8"/>
        <v>137.67948914062015</v>
      </c>
      <c r="Z11" s="35">
        <f t="shared" si="19"/>
        <v>138.37134586996999</v>
      </c>
      <c r="AA11" s="16">
        <f t="shared" si="20"/>
        <v>138.37134586996999</v>
      </c>
      <c r="AB11" s="16">
        <f t="shared" si="21"/>
        <v>0</v>
      </c>
      <c r="AC11" s="23"/>
      <c r="AD11" s="22">
        <f t="shared" si="9"/>
        <v>45.50826883200112</v>
      </c>
      <c r="AE11" s="16">
        <f t="shared" si="22"/>
        <v>45.73695360000113</v>
      </c>
      <c r="AF11" s="117">
        <f t="shared" si="23"/>
        <v>45.73695360000113</v>
      </c>
      <c r="AG11" s="16">
        <f t="shared" si="24"/>
        <v>0</v>
      </c>
      <c r="AH11" s="11"/>
      <c r="AI11" s="10"/>
      <c r="AJ11">
        <v>0</v>
      </c>
      <c r="AK11" s="24">
        <f t="shared" si="10"/>
        <v>0.3803260936383133</v>
      </c>
      <c r="AL11" s="9">
        <v>0</v>
      </c>
      <c r="AM11">
        <f t="shared" si="11"/>
        <v>0</v>
      </c>
      <c r="AN11" s="10"/>
      <c r="AO11" s="35">
        <f t="shared" si="25"/>
        <v>6777.652666311545</v>
      </c>
      <c r="AP11" s="28">
        <f t="shared" si="26"/>
        <v>2202.849198649566</v>
      </c>
      <c r="AQ11" s="28">
        <f t="shared" si="12"/>
        <v>2905.7982632693697</v>
      </c>
      <c r="AR11" s="28">
        <f t="shared" si="27"/>
        <v>960.4760256000237</v>
      </c>
      <c r="AS11" s="28">
        <f t="shared" si="28"/>
        <v>46.028878792584244</v>
      </c>
      <c r="AT11" s="28">
        <f t="shared" si="29"/>
        <v>662.5002999999999</v>
      </c>
      <c r="AU11" s="28">
        <f t="shared" si="30"/>
        <v>6069.12348751896</v>
      </c>
      <c r="AV11" s="28">
        <f t="shared" si="31"/>
        <v>708.5291787925842</v>
      </c>
      <c r="AW11" s="28">
        <f t="shared" si="32"/>
        <v>289.0058803580457</v>
      </c>
      <c r="AX11" s="27"/>
      <c r="AY11" s="27"/>
      <c r="AZ11" s="22">
        <f t="shared" si="33"/>
        <v>620.9</v>
      </c>
      <c r="BA11" s="106">
        <v>620.9</v>
      </c>
      <c r="BB11" s="121">
        <f t="shared" si="34"/>
        <v>0</v>
      </c>
      <c r="BC11" s="100">
        <f t="shared" si="35"/>
        <v>120.27510899999993</v>
      </c>
      <c r="BD11" s="42">
        <v>120.27510899999993</v>
      </c>
      <c r="BE11" s="16">
        <f t="shared" si="36"/>
        <v>0</v>
      </c>
      <c r="BF11" s="113">
        <v>1.067</v>
      </c>
      <c r="BG11" s="25"/>
      <c r="BH11" s="32">
        <v>0.89</v>
      </c>
      <c r="BI11" s="32"/>
    </row>
    <row r="12" spans="1:61" ht="12.75">
      <c r="A12" s="60">
        <v>40452</v>
      </c>
      <c r="B12" s="61">
        <v>18.217516682198017</v>
      </c>
      <c r="C12" s="61">
        <v>18.552296428250262</v>
      </c>
      <c r="D12" s="61">
        <v>52.22023561435647</v>
      </c>
      <c r="E12" s="62">
        <v>0</v>
      </c>
      <c r="F12" s="61">
        <v>192.41086280000007</v>
      </c>
      <c r="G12" s="61">
        <v>0</v>
      </c>
      <c r="H12" s="46">
        <v>34.60984777227729</v>
      </c>
      <c r="I12" s="48">
        <f t="shared" si="13"/>
        <v>263.1833948426068</v>
      </c>
      <c r="J12" s="16">
        <f t="shared" si="14"/>
        <v>367061.9174931754</v>
      </c>
      <c r="K12" s="28">
        <f t="shared" si="15"/>
        <v>5203.873790430278</v>
      </c>
      <c r="L12" s="28">
        <f t="shared" si="16"/>
        <v>760.9982066629323</v>
      </c>
      <c r="M12" s="31">
        <f t="shared" si="17"/>
        <v>8.81155275</v>
      </c>
      <c r="N12" s="28">
        <f t="shared" si="0"/>
        <v>57.1285455431417</v>
      </c>
      <c r="O12" s="28">
        <f t="shared" si="1"/>
        <v>546.6873639305002</v>
      </c>
      <c r="P12" s="28">
        <f t="shared" si="2"/>
        <v>148.37074443929032</v>
      </c>
      <c r="Q12" s="28">
        <f t="shared" si="3"/>
        <v>719.4700139123277</v>
      </c>
      <c r="R12" s="114">
        <f t="shared" si="4"/>
        <v>32.716640000604606</v>
      </c>
      <c r="S12" s="38">
        <f t="shared" si="18"/>
        <v>8.25825</v>
      </c>
      <c r="T12" s="113">
        <v>1.067</v>
      </c>
      <c r="U12" s="28">
        <f t="shared" si="5"/>
        <v>7.030374667097146</v>
      </c>
      <c r="V12" s="16">
        <f t="shared" si="6"/>
        <v>18.217516682198017</v>
      </c>
      <c r="W12" s="16">
        <f t="shared" si="6"/>
        <v>18.552296428250262</v>
      </c>
      <c r="X12" s="23">
        <f t="shared" si="7"/>
        <v>0.9819548082714729</v>
      </c>
      <c r="Y12" s="22">
        <f t="shared" si="8"/>
        <v>51.959134436284685</v>
      </c>
      <c r="Z12" s="35">
        <f t="shared" si="19"/>
        <v>52.22023561435647</v>
      </c>
      <c r="AA12" s="16">
        <f t="shared" si="20"/>
        <v>52.22023561435647</v>
      </c>
      <c r="AB12" s="16">
        <f t="shared" si="21"/>
        <v>0</v>
      </c>
      <c r="AC12" s="23"/>
      <c r="AD12" s="22">
        <f t="shared" si="9"/>
        <v>191.44880848600008</v>
      </c>
      <c r="AE12" s="16">
        <f t="shared" si="22"/>
        <v>192.41086280000007</v>
      </c>
      <c r="AF12" s="117">
        <f t="shared" si="23"/>
        <v>192.41086280000007</v>
      </c>
      <c r="AG12" s="16">
        <f t="shared" si="24"/>
        <v>0</v>
      </c>
      <c r="AH12" s="11"/>
      <c r="AI12" s="10"/>
      <c r="AJ12">
        <v>0</v>
      </c>
      <c r="AK12" s="24">
        <f t="shared" si="10"/>
        <v>0.3460984777227729</v>
      </c>
      <c r="AL12" s="9">
        <v>0</v>
      </c>
      <c r="AM12">
        <f>IF(AK12,AL12/AK12,0)</f>
        <v>0</v>
      </c>
      <c r="AN12" s="10"/>
      <c r="AO12" s="35">
        <f t="shared" si="25"/>
        <v>5964.87199709321</v>
      </c>
      <c r="AP12" s="28">
        <f t="shared" si="26"/>
        <v>389.5982249932555</v>
      </c>
      <c r="AQ12" s="28">
        <f t="shared" si="12"/>
        <v>1096.624947901486</v>
      </c>
      <c r="AR12" s="28">
        <f t="shared" si="27"/>
        <v>4040.6281188000016</v>
      </c>
      <c r="AS12" s="28">
        <f t="shared" si="28"/>
        <v>186.26205539846666</v>
      </c>
      <c r="AT12" s="28">
        <f t="shared" si="29"/>
        <v>251.75865</v>
      </c>
      <c r="AU12" s="28">
        <f t="shared" si="30"/>
        <v>5526.851291694743</v>
      </c>
      <c r="AV12" s="28">
        <f t="shared" si="31"/>
        <v>438.0207053984666</v>
      </c>
      <c r="AW12" s="28">
        <f t="shared" si="32"/>
        <v>263.1833948426068</v>
      </c>
      <c r="AX12" s="27"/>
      <c r="AY12" s="27"/>
      <c r="AZ12" s="22">
        <f t="shared" si="33"/>
        <v>235.95</v>
      </c>
      <c r="BA12" s="106">
        <v>235.95</v>
      </c>
      <c r="BB12" s="121">
        <f t="shared" si="34"/>
        <v>0</v>
      </c>
      <c r="BC12" s="100">
        <f t="shared" si="35"/>
        <v>492.17806769999993</v>
      </c>
      <c r="BD12" s="42">
        <v>492.17806769999993</v>
      </c>
      <c r="BE12" s="16">
        <f t="shared" si="36"/>
        <v>0</v>
      </c>
      <c r="BF12" s="113">
        <v>1.067</v>
      </c>
      <c r="BG12" s="25"/>
      <c r="BH12" s="32">
        <v>0.9</v>
      </c>
      <c r="BI12" s="32"/>
    </row>
    <row r="13" spans="1:61" ht="12.75">
      <c r="A13" s="60">
        <v>40483</v>
      </c>
      <c r="B13" s="61">
        <v>0</v>
      </c>
      <c r="C13" s="61">
        <v>0</v>
      </c>
      <c r="D13" s="61">
        <v>106.97345428943396</v>
      </c>
      <c r="E13" s="62">
        <v>0</v>
      </c>
      <c r="F13" s="61">
        <v>216.17539580000118</v>
      </c>
      <c r="G13" s="61">
        <v>3.6784410000000016</v>
      </c>
      <c r="H13" s="46">
        <v>38.37677687476919</v>
      </c>
      <c r="I13" s="48">
        <f t="shared" si="13"/>
        <v>326.82729108943516</v>
      </c>
      <c r="J13" s="16">
        <f t="shared" si="14"/>
        <v>455826.0684650421</v>
      </c>
      <c r="K13" s="28">
        <f t="shared" si="15"/>
        <v>6664.819719584215</v>
      </c>
      <c r="L13" s="28">
        <f t="shared" si="16"/>
        <v>948.6317660578575</v>
      </c>
      <c r="M13" s="31">
        <f t="shared" si="17"/>
        <v>20.03372525</v>
      </c>
      <c r="N13" s="28">
        <f t="shared" si="0"/>
        <v>0</v>
      </c>
      <c r="O13" s="28">
        <f t="shared" si="1"/>
        <v>624.6597138080034</v>
      </c>
      <c r="P13" s="28">
        <f t="shared" si="2"/>
        <v>303.9383269998542</v>
      </c>
      <c r="Q13" s="28">
        <f t="shared" si="3"/>
        <v>894.2811752434668</v>
      </c>
      <c r="R13" s="114">
        <f t="shared" si="4"/>
        <v>34.31686556439072</v>
      </c>
      <c r="S13" s="38">
        <f t="shared" si="18"/>
        <v>18.775750000000002</v>
      </c>
      <c r="T13" s="113">
        <v>1.067</v>
      </c>
      <c r="U13" s="28">
        <f t="shared" si="5"/>
        <v>0</v>
      </c>
      <c r="V13" s="16">
        <f t="shared" si="6"/>
        <v>0</v>
      </c>
      <c r="W13" s="16">
        <f t="shared" si="6"/>
        <v>0</v>
      </c>
      <c r="X13" s="23"/>
      <c r="Y13" s="22">
        <f t="shared" si="8"/>
        <v>106.43858701798679</v>
      </c>
      <c r="Z13" s="35">
        <f t="shared" si="19"/>
        <v>106.97345428943396</v>
      </c>
      <c r="AA13" s="16">
        <f t="shared" si="20"/>
        <v>106.97345428943396</v>
      </c>
      <c r="AB13" s="16">
        <f t="shared" si="21"/>
        <v>0</v>
      </c>
      <c r="AC13" s="23"/>
      <c r="AD13" s="22">
        <f t="shared" si="9"/>
        <v>218.75456761600117</v>
      </c>
      <c r="AE13" s="16">
        <f t="shared" si="22"/>
        <v>219.85383680000118</v>
      </c>
      <c r="AF13" s="117">
        <f t="shared" si="23"/>
        <v>216.17539580000118</v>
      </c>
      <c r="AG13" s="16">
        <f t="shared" si="24"/>
        <v>3.6784410000000016</v>
      </c>
      <c r="AH13" s="11"/>
      <c r="AI13" s="10"/>
      <c r="AJ13">
        <v>0</v>
      </c>
      <c r="AK13" s="24">
        <f t="shared" si="10"/>
        <v>0.3837677687476919</v>
      </c>
      <c r="AL13" s="9">
        <v>0</v>
      </c>
      <c r="AM13">
        <v>0</v>
      </c>
      <c r="AN13" s="10"/>
      <c r="AO13" s="35">
        <f t="shared" si="25"/>
        <v>7613.451485642073</v>
      </c>
      <c r="AP13" s="28">
        <f t="shared" si="26"/>
        <v>0</v>
      </c>
      <c r="AQ13" s="28">
        <f t="shared" si="12"/>
        <v>2246.4425400781133</v>
      </c>
      <c r="AR13" s="28">
        <f t="shared" si="27"/>
        <v>4616.9305728000245</v>
      </c>
      <c r="AS13" s="28">
        <f t="shared" si="28"/>
        <v>177.6862227639357</v>
      </c>
      <c r="AT13" s="28">
        <f t="shared" si="29"/>
        <v>572.39215</v>
      </c>
      <c r="AU13" s="28">
        <f t="shared" si="30"/>
        <v>6863.373112878137</v>
      </c>
      <c r="AV13" s="28">
        <f t="shared" si="31"/>
        <v>750.0783727639357</v>
      </c>
      <c r="AW13" s="28">
        <f t="shared" si="32"/>
        <v>326.8272910894351</v>
      </c>
      <c r="AX13" s="27"/>
      <c r="AY13" s="27"/>
      <c r="AZ13" s="22">
        <f t="shared" si="33"/>
        <v>536.45</v>
      </c>
      <c r="BA13" s="106">
        <v>536.45</v>
      </c>
      <c r="BB13" s="121">
        <f t="shared" si="34"/>
        <v>0</v>
      </c>
      <c r="BC13" s="100">
        <f t="shared" si="35"/>
        <v>469.51732380370555</v>
      </c>
      <c r="BD13" s="42">
        <v>420.04881800000055</v>
      </c>
      <c r="BE13" s="16">
        <f t="shared" si="36"/>
        <v>49.468505803705</v>
      </c>
      <c r="BF13" s="113">
        <v>1.067</v>
      </c>
      <c r="BG13" s="25"/>
      <c r="BH13" s="32">
        <v>0.9</v>
      </c>
      <c r="BI13" s="32"/>
    </row>
    <row r="14" spans="1:61" ht="13.5" thickBot="1">
      <c r="A14" s="60">
        <v>40513</v>
      </c>
      <c r="B14" s="61">
        <v>0</v>
      </c>
      <c r="C14" s="61">
        <v>0</v>
      </c>
      <c r="D14" s="61">
        <v>69.85462083436428</v>
      </c>
      <c r="E14" s="62">
        <v>0</v>
      </c>
      <c r="F14" s="61">
        <v>252.56690420000066</v>
      </c>
      <c r="G14" s="61">
        <v>16.085578599999945</v>
      </c>
      <c r="H14" s="46">
        <v>36.75758493150701</v>
      </c>
      <c r="I14" s="48">
        <f t="shared" si="13"/>
        <v>338.5071036343649</v>
      </c>
      <c r="J14" s="16">
        <f t="shared" si="14"/>
        <v>472115.9046504392</v>
      </c>
      <c r="K14" s="28">
        <f t="shared" si="15"/>
        <v>6898.609818909027</v>
      </c>
      <c r="L14" s="28">
        <f>M14+Q14+R14</f>
        <v>973.6366112011392</v>
      </c>
      <c r="M14" s="31">
        <f t="shared" si="17"/>
        <v>11.853302999999999</v>
      </c>
      <c r="N14" s="28">
        <f t="shared" si="0"/>
        <v>0</v>
      </c>
      <c r="O14" s="28">
        <f t="shared" si="1"/>
        <v>763.3088667555012</v>
      </c>
      <c r="P14" s="28">
        <f t="shared" si="2"/>
        <v>198.47444144563767</v>
      </c>
      <c r="Q14" s="28">
        <f t="shared" si="3"/>
        <v>926.2400623195309</v>
      </c>
      <c r="R14" s="114">
        <f t="shared" si="4"/>
        <v>35.54324588160835</v>
      </c>
      <c r="S14" s="38">
        <f t="shared" si="18"/>
        <v>11.109</v>
      </c>
      <c r="T14" s="113">
        <v>1.067</v>
      </c>
      <c r="U14" s="28">
        <f t="shared" si="5"/>
        <v>0</v>
      </c>
      <c r="V14" s="16">
        <f t="shared" si="6"/>
        <v>0</v>
      </c>
      <c r="W14" s="16">
        <f t="shared" si="6"/>
        <v>0</v>
      </c>
      <c r="X14" s="23"/>
      <c r="Y14" s="22">
        <f t="shared" si="8"/>
        <v>69.50534773019245</v>
      </c>
      <c r="Z14" s="35">
        <f t="shared" si="19"/>
        <v>69.85462083436428</v>
      </c>
      <c r="AA14" s="16">
        <f t="shared" si="20"/>
        <v>69.85462083436428</v>
      </c>
      <c r="AB14" s="16">
        <f t="shared" si="21"/>
        <v>0</v>
      </c>
      <c r="AC14" s="23"/>
      <c r="AD14" s="22">
        <f t="shared" si="9"/>
        <v>267.3092203860006</v>
      </c>
      <c r="AE14" s="16">
        <f t="shared" si="22"/>
        <v>268.6524828000006</v>
      </c>
      <c r="AF14" s="117">
        <f t="shared" si="23"/>
        <v>252.56690420000066</v>
      </c>
      <c r="AG14" s="16">
        <f t="shared" si="24"/>
        <v>16.085578599999945</v>
      </c>
      <c r="AH14" s="11"/>
      <c r="AI14" s="10"/>
      <c r="AJ14">
        <v>0</v>
      </c>
      <c r="AK14" s="24">
        <f t="shared" si="10"/>
        <v>0.3675758493150701</v>
      </c>
      <c r="AL14" s="9">
        <v>0</v>
      </c>
      <c r="AM14">
        <v>0</v>
      </c>
      <c r="AN14" s="10"/>
      <c r="AO14" s="35">
        <f t="shared" si="25"/>
        <v>7872.246430110166</v>
      </c>
      <c r="AP14" s="28">
        <f t="shared" si="26"/>
        <v>0</v>
      </c>
      <c r="AQ14" s="28">
        <f t="shared" si="12"/>
        <v>1466.94703752165</v>
      </c>
      <c r="AR14" s="28">
        <f t="shared" si="27"/>
        <v>5641.702138800012</v>
      </c>
      <c r="AS14" s="28">
        <f t="shared" si="28"/>
        <v>424.931453788505</v>
      </c>
      <c r="AT14" s="28">
        <f t="shared" si="29"/>
        <v>338.66579999999993</v>
      </c>
      <c r="AU14" s="28">
        <f t="shared" si="30"/>
        <v>7108.649176321662</v>
      </c>
      <c r="AV14" s="28">
        <f t="shared" si="31"/>
        <v>763.597253788505</v>
      </c>
      <c r="AW14" s="28">
        <f t="shared" si="32"/>
        <v>338.50710363436485</v>
      </c>
      <c r="AX14" s="27"/>
      <c r="AY14" s="27"/>
      <c r="AZ14" s="22">
        <f t="shared" si="33"/>
        <v>317.4</v>
      </c>
      <c r="BA14" s="106">
        <v>317.4</v>
      </c>
      <c r="BB14" s="121">
        <f t="shared" si="34"/>
        <v>0</v>
      </c>
      <c r="BC14" s="100">
        <f t="shared" si="35"/>
        <v>1122.8370769514224</v>
      </c>
      <c r="BD14" s="42">
        <v>906.514580999999</v>
      </c>
      <c r="BE14" s="16">
        <f t="shared" si="36"/>
        <v>216.3224959514234</v>
      </c>
      <c r="BF14" s="113">
        <v>1.067</v>
      </c>
      <c r="BG14" s="25"/>
      <c r="BH14" s="32">
        <v>0.9</v>
      </c>
      <c r="BI14" s="32"/>
    </row>
    <row r="15" spans="1:61" ht="13.5" thickBot="1">
      <c r="A15" s="14" t="s">
        <v>73</v>
      </c>
      <c r="B15" s="63">
        <f>SUM(B6:B14)</f>
        <v>565.7484563480788</v>
      </c>
      <c r="C15" s="63">
        <f>SUM(C6:C14)</f>
        <v>576.5540202607734</v>
      </c>
      <c r="D15" s="63">
        <f>SUM(D6:D14)</f>
        <v>965.7561483858957</v>
      </c>
      <c r="E15" s="63">
        <v>0</v>
      </c>
      <c r="F15" s="63">
        <f>SUM(F6:F14)</f>
        <v>972.2657464000049</v>
      </c>
      <c r="G15" s="63">
        <f>SUM(G6:G14)</f>
        <v>53.12524099999952</v>
      </c>
      <c r="H15" s="15"/>
      <c r="I15" s="49">
        <f aca="true" t="shared" si="37" ref="I15:S15">SUM(I6:I14)</f>
        <v>2567.701156046673</v>
      </c>
      <c r="J15" s="44">
        <f t="shared" si="37"/>
        <v>3581173.1604556115</v>
      </c>
      <c r="K15" s="59">
        <f t="shared" si="37"/>
        <v>52226.60257325409</v>
      </c>
      <c r="L15" s="59">
        <f t="shared" si="37"/>
        <v>7597.012391925492</v>
      </c>
      <c r="M15" s="59">
        <f t="shared" si="37"/>
        <v>156.94049525000003</v>
      </c>
      <c r="N15" s="59">
        <f t="shared" si="37"/>
        <v>1782.725097123804</v>
      </c>
      <c r="O15" s="59">
        <f t="shared" si="37"/>
        <v>2913.3921429502625</v>
      </c>
      <c r="P15" s="59">
        <f t="shared" si="37"/>
        <v>2743.954656601426</v>
      </c>
      <c r="Q15" s="15">
        <f t="shared" si="37"/>
        <v>7004.084605251385</v>
      </c>
      <c r="R15" s="15">
        <f t="shared" si="37"/>
        <v>435.9872914241072</v>
      </c>
      <c r="S15" s="15">
        <f t="shared" si="37"/>
        <v>147.08575000000002</v>
      </c>
      <c r="T15" s="15"/>
      <c r="U15" s="15">
        <f>SUM(U6:U14)</f>
        <v>226.91684216658746</v>
      </c>
      <c r="V15" s="15">
        <f>SUM(V6:V14)</f>
        <v>565.7484563480788</v>
      </c>
      <c r="W15" s="15">
        <f>SUM(W6:W14)</f>
        <v>576.5540202607734</v>
      </c>
      <c r="X15" s="15"/>
      <c r="Y15" s="15">
        <f>SUM(Y6:Y14)</f>
        <v>960.9273676439664</v>
      </c>
      <c r="Z15" s="44">
        <f>SUM(Z6:Z14)</f>
        <v>965.7561483858957</v>
      </c>
      <c r="AA15" s="44">
        <f>SUM(AA6:AA14)</f>
        <v>965.7561483858957</v>
      </c>
      <c r="AB15" s="44">
        <f>SUM(AB6:AB14)</f>
        <v>0</v>
      </c>
      <c r="AC15" s="44"/>
      <c r="AD15" s="15">
        <f>SUM(AD6:AD14)</f>
        <v>1020.2640324630045</v>
      </c>
      <c r="AE15" s="44">
        <f>SUM(AE6:AE14)</f>
        <v>1025.3909874000046</v>
      </c>
      <c r="AF15" s="118">
        <f>SUM(AF6:AF14)</f>
        <v>972.2657464000049</v>
      </c>
      <c r="AG15" s="44">
        <f>SUM(AG6:AG14)</f>
        <v>53.12524099999952</v>
      </c>
      <c r="AH15" s="15"/>
      <c r="AI15" s="15"/>
      <c r="AJ15" s="15"/>
      <c r="AK15" s="15"/>
      <c r="AL15" s="15"/>
      <c r="AM15" s="15"/>
      <c r="AN15" s="44"/>
      <c r="AO15" s="59">
        <f aca="true" t="shared" si="38" ref="AO15:AW15">SUM(AO6:AO14)</f>
        <v>59823.61496517957</v>
      </c>
      <c r="AP15" s="59">
        <f t="shared" si="38"/>
        <v>12107.63442547624</v>
      </c>
      <c r="AQ15" s="59">
        <f t="shared" si="38"/>
        <v>20280.879116103813</v>
      </c>
      <c r="AR15" s="59">
        <f t="shared" si="38"/>
        <v>21533.21073540009</v>
      </c>
      <c r="AS15" s="59">
        <f t="shared" si="38"/>
        <v>1417.876538199438</v>
      </c>
      <c r="AT15" s="59">
        <f t="shared" si="38"/>
        <v>4484.014149999999</v>
      </c>
      <c r="AU15" s="44">
        <f>SUM(AU6:AU14)</f>
        <v>53921.724276980145</v>
      </c>
      <c r="AV15" s="44">
        <f>SUM(AV6:AV14)</f>
        <v>5901.890688199437</v>
      </c>
      <c r="AW15" s="15">
        <f t="shared" si="38"/>
        <v>2567.7011560466735</v>
      </c>
      <c r="AX15" s="15"/>
      <c r="AY15" s="15"/>
      <c r="AZ15" s="44">
        <f aca="true" t="shared" si="39" ref="AZ15:BE15">SUM(AZ6:AZ14)</f>
        <v>4202.45</v>
      </c>
      <c r="BA15" s="44">
        <f t="shared" si="39"/>
        <v>4202.45</v>
      </c>
      <c r="BB15" s="44">
        <f t="shared" si="39"/>
        <v>0</v>
      </c>
      <c r="BC15" s="44">
        <f t="shared" si="39"/>
        <v>3742.6180676443273</v>
      </c>
      <c r="BD15" s="44">
        <f t="shared" si="39"/>
        <v>3028.177821699999</v>
      </c>
      <c r="BE15" s="44">
        <f t="shared" si="39"/>
        <v>714.4402459443285</v>
      </c>
      <c r="BF15" s="15"/>
      <c r="BG15" s="15"/>
      <c r="BH15" s="15"/>
      <c r="BI15" s="15"/>
    </row>
    <row r="16" spans="1:61" ht="12.75">
      <c r="A16" s="60">
        <v>40544</v>
      </c>
      <c r="B16" s="61">
        <v>0</v>
      </c>
      <c r="C16" s="61">
        <v>0</v>
      </c>
      <c r="D16" s="61">
        <v>0.22600397453159998</v>
      </c>
      <c r="E16" s="62">
        <v>0</v>
      </c>
      <c r="F16" s="61">
        <v>247.9944116000005</v>
      </c>
      <c r="G16" s="61">
        <v>33.47214259999977</v>
      </c>
      <c r="H16" s="46">
        <v>33.90614189904706</v>
      </c>
      <c r="I16" s="48">
        <f t="shared" si="13"/>
        <v>281.6925581745319</v>
      </c>
      <c r="J16" s="16">
        <f t="shared" si="14"/>
        <v>392876.65017368464</v>
      </c>
      <c r="K16" s="28">
        <f t="shared" si="15"/>
        <v>5763.895702829431</v>
      </c>
      <c r="L16" s="28">
        <f t="shared" si="16"/>
        <v>800.3589809133886</v>
      </c>
      <c r="M16" s="31">
        <f>S16*T16</f>
        <v>0</v>
      </c>
      <c r="N16" s="28">
        <f>(AI$6+AJ16*AM16)*V16+(AN$6*(W16-V16))</f>
        <v>0</v>
      </c>
      <c r="O16" s="28">
        <f>(AI$6+AJ16*AL16)*AD16+(AN$6*(AE16-AD16))</f>
        <v>799.7168471207513</v>
      </c>
      <c r="P16" s="28">
        <f>(AI$6+AJ16*AL16)*Y16+(AN$6*(AA16-Y16))</f>
        <v>0.6421337926379087</v>
      </c>
      <c r="Q16" s="28">
        <f>(V16+Y16+AD16)*(AI$6+AJ16*AM16)</f>
        <v>770.7812623050627</v>
      </c>
      <c r="R16" s="114">
        <f>AN$6*(AA16*(1-AC$6)+AE16*(1-AH$6))+U16</f>
        <v>29.57771860832587</v>
      </c>
      <c r="S16" s="38">
        <f t="shared" si="18"/>
        <v>0</v>
      </c>
      <c r="T16" s="113">
        <v>1.063</v>
      </c>
      <c r="U16" s="28">
        <f>AN$6*(W16-V16)</f>
        <v>0</v>
      </c>
      <c r="V16" s="16">
        <f aca="true" t="shared" si="40" ref="V16:W18">B16</f>
        <v>0</v>
      </c>
      <c r="W16" s="16">
        <f t="shared" si="40"/>
        <v>0</v>
      </c>
      <c r="X16" s="23"/>
      <c r="Y16" s="16">
        <f>AA16*$AC$6</f>
        <v>0.22487395465894197</v>
      </c>
      <c r="Z16" s="35">
        <f t="shared" si="19"/>
        <v>0.22600397453159998</v>
      </c>
      <c r="AA16" s="16">
        <f>D16</f>
        <v>0.22600397453159998</v>
      </c>
      <c r="AB16" s="16">
        <f t="shared" si="21"/>
        <v>0</v>
      </c>
      <c r="AC16" s="23"/>
      <c r="AD16" s="22">
        <f>AE16*AH$6</f>
        <v>280.0592214290002</v>
      </c>
      <c r="AE16" s="16">
        <f t="shared" si="22"/>
        <v>281.46655420000025</v>
      </c>
      <c r="AF16" s="117">
        <f aca="true" t="shared" si="41" ref="AF16:AG18">F16</f>
        <v>247.9944116000005</v>
      </c>
      <c r="AG16" s="16">
        <f t="shared" si="41"/>
        <v>33.47214259999977</v>
      </c>
      <c r="AH16" s="11"/>
      <c r="AI16" s="10"/>
      <c r="AJ16">
        <v>0</v>
      </c>
      <c r="AK16" s="24">
        <f>H16/100</f>
        <v>0.3390614189904706</v>
      </c>
      <c r="AL16" s="9">
        <v>0</v>
      </c>
      <c r="AM16">
        <f>IF(AK16,AL16/AK16,0)</f>
        <v>0</v>
      </c>
      <c r="AN16" s="10"/>
      <c r="AO16" s="35">
        <f t="shared" si="25"/>
        <v>6564.254683742819</v>
      </c>
      <c r="AP16" s="28">
        <f>W16*$AX$6</f>
        <v>0</v>
      </c>
      <c r="AQ16" s="28">
        <f>AA16*$AX$6</f>
        <v>4.7460834651636</v>
      </c>
      <c r="AR16" s="28">
        <f>AE16*$AX$6</f>
        <v>5910.797638200005</v>
      </c>
      <c r="AS16" s="28">
        <f t="shared" si="28"/>
        <v>648.7109620776508</v>
      </c>
      <c r="AT16" s="28">
        <f t="shared" si="29"/>
        <v>0</v>
      </c>
      <c r="AU16" s="28">
        <f t="shared" si="30"/>
        <v>5915.543721665168</v>
      </c>
      <c r="AV16" s="28">
        <f t="shared" si="31"/>
        <v>648.710962077651</v>
      </c>
      <c r="AW16" s="28">
        <f t="shared" si="32"/>
        <v>281.6925581745318</v>
      </c>
      <c r="AX16" s="27"/>
      <c r="AY16" s="27"/>
      <c r="AZ16" s="22">
        <f t="shared" si="33"/>
        <v>0</v>
      </c>
      <c r="BA16" s="106">
        <v>0</v>
      </c>
      <c r="BB16" s="121">
        <f t="shared" si="34"/>
        <v>0</v>
      </c>
      <c r="BC16" s="100">
        <f t="shared" si="35"/>
        <v>1714.151103552219</v>
      </c>
      <c r="BD16" s="42">
        <v>1264.010165999998</v>
      </c>
      <c r="BE16" s="16">
        <f t="shared" si="36"/>
        <v>450.1409375522209</v>
      </c>
      <c r="BF16" s="113">
        <v>1.063</v>
      </c>
      <c r="BG16" s="25"/>
      <c r="BH16" s="32">
        <v>0.9</v>
      </c>
      <c r="BI16" s="32"/>
    </row>
    <row r="17" spans="1:61" ht="12.75">
      <c r="A17" s="60">
        <v>40575</v>
      </c>
      <c r="B17" s="61">
        <v>0</v>
      </c>
      <c r="C17" s="61">
        <v>0</v>
      </c>
      <c r="D17" s="61">
        <v>0.3852991227234</v>
      </c>
      <c r="E17" s="62">
        <v>0</v>
      </c>
      <c r="F17" s="61">
        <v>239.50827159999892</v>
      </c>
      <c r="G17" s="61">
        <v>38.882558000000905</v>
      </c>
      <c r="H17" s="46">
        <v>40.47286827248789</v>
      </c>
      <c r="I17" s="48">
        <f t="shared" si="13"/>
        <v>278.77612872272323</v>
      </c>
      <c r="J17" s="16">
        <f>I17/0.717*1000</f>
        <v>388809.1056104927</v>
      </c>
      <c r="K17" s="28">
        <f t="shared" si="15"/>
        <v>6196.962460703842</v>
      </c>
      <c r="L17" s="28">
        <f t="shared" si="16"/>
        <v>792.0726757334373</v>
      </c>
      <c r="M17" s="31">
        <f>S17*T17</f>
        <v>0</v>
      </c>
      <c r="N17" s="28">
        <f>(AI$6+AJ17*AM17)*V17+(AN$6*(W17-V17))</f>
        <v>0</v>
      </c>
      <c r="O17" s="28">
        <f>(AI$6+AJ17*AL17)*AD17+(AN$6*(AE17-AD17))</f>
        <v>790.977944601</v>
      </c>
      <c r="P17" s="28">
        <f>(AI$6+AJ17*AL17)*Y17+(AN$6*(AA17-Y17))</f>
        <v>1.0947311324378606</v>
      </c>
      <c r="Q17" s="28">
        <f>(V17+Y17+AD17)*(AI$6+AJ17*AM17)</f>
        <v>762.8011822175514</v>
      </c>
      <c r="R17" s="114">
        <f>AN$6*(AA17*(1-AC$6)+AE17*(1-AH$6))+U17</f>
        <v>29.271493515885965</v>
      </c>
      <c r="S17" s="38">
        <f t="shared" si="18"/>
        <v>0</v>
      </c>
      <c r="T17" s="113">
        <v>1.063</v>
      </c>
      <c r="U17" s="28">
        <f>AN$6*(W17-V17)</f>
        <v>0</v>
      </c>
      <c r="V17" s="16">
        <f t="shared" si="40"/>
        <v>0</v>
      </c>
      <c r="W17" s="16">
        <f t="shared" si="40"/>
        <v>0</v>
      </c>
      <c r="X17" s="23"/>
      <c r="Y17" s="16">
        <f>AA17*$AC$6</f>
        <v>0.383372627109783</v>
      </c>
      <c r="Z17" s="35">
        <f t="shared" si="19"/>
        <v>0.3852991227234</v>
      </c>
      <c r="AA17" s="16">
        <f>D17</f>
        <v>0.3852991227234</v>
      </c>
      <c r="AB17" s="16">
        <f t="shared" si="21"/>
        <v>0</v>
      </c>
      <c r="AC17" s="23"/>
      <c r="AD17" s="22">
        <f>AE17*AH$6</f>
        <v>276.9988754519998</v>
      </c>
      <c r="AE17" s="16">
        <f t="shared" si="22"/>
        <v>278.39082959999985</v>
      </c>
      <c r="AF17" s="117">
        <f t="shared" si="41"/>
        <v>239.50827159999892</v>
      </c>
      <c r="AG17" s="16">
        <f t="shared" si="41"/>
        <v>38.882558000000905</v>
      </c>
      <c r="AH17" s="11"/>
      <c r="AI17" s="10"/>
      <c r="AJ17">
        <v>0</v>
      </c>
      <c r="AK17" s="24">
        <f>H17/100</f>
        <v>0.4047286827248789</v>
      </c>
      <c r="AL17" s="9">
        <v>0</v>
      </c>
      <c r="AM17">
        <f>IF(AK17,AL17/AK17,0)</f>
        <v>0</v>
      </c>
      <c r="AN17" s="10"/>
      <c r="AO17" s="35">
        <f t="shared" si="25"/>
        <v>6989.035136437279</v>
      </c>
      <c r="AP17" s="28">
        <f>W17*$AX$6</f>
        <v>0</v>
      </c>
      <c r="AQ17" s="28">
        <f>AA17*$AX$6</f>
        <v>8.0912815771914</v>
      </c>
      <c r="AR17" s="28">
        <f>AE17*$AX$6</f>
        <v>5846.207421599996</v>
      </c>
      <c r="AS17" s="28">
        <f t="shared" si="28"/>
        <v>1134.7364332600912</v>
      </c>
      <c r="AT17" s="28">
        <f t="shared" si="29"/>
        <v>0</v>
      </c>
      <c r="AU17" s="28">
        <f t="shared" si="30"/>
        <v>5854.298703177188</v>
      </c>
      <c r="AV17" s="28">
        <f t="shared" si="31"/>
        <v>1134.7364332600912</v>
      </c>
      <c r="AW17" s="28">
        <f t="shared" si="32"/>
        <v>278.77612872272323</v>
      </c>
      <c r="AX17" s="27"/>
      <c r="AY17" s="27"/>
      <c r="AZ17" s="22">
        <f t="shared" si="33"/>
        <v>0</v>
      </c>
      <c r="BA17" s="106">
        <v>0</v>
      </c>
      <c r="BB17" s="121">
        <f t="shared" si="34"/>
        <v>0</v>
      </c>
      <c r="BC17" s="100">
        <f t="shared" si="35"/>
        <v>2998.422753770059</v>
      </c>
      <c r="BD17" s="102">
        <v>2475.5213273000027</v>
      </c>
      <c r="BE17" s="16">
        <f t="shared" si="36"/>
        <v>522.9014264700563</v>
      </c>
      <c r="BF17" s="113">
        <v>1.063</v>
      </c>
      <c r="BG17" s="25"/>
      <c r="BH17" s="32">
        <v>0.9</v>
      </c>
      <c r="BI17" s="32"/>
    </row>
    <row r="18" spans="1:60" ht="13.5" thickBot="1">
      <c r="A18" s="103" t="s">
        <v>172</v>
      </c>
      <c r="B18" s="107">
        <v>0</v>
      </c>
      <c r="C18" s="107">
        <v>0</v>
      </c>
      <c r="D18" s="107">
        <v>0.021757714465800004</v>
      </c>
      <c r="E18" s="62">
        <v>0</v>
      </c>
      <c r="F18" s="61">
        <v>132.17797839999923</v>
      </c>
      <c r="G18" s="61">
        <v>11.609974999999828</v>
      </c>
      <c r="H18" s="46">
        <v>39.13545263157879</v>
      </c>
      <c r="I18" s="48">
        <f t="shared" si="13"/>
        <v>143.80971111446485</v>
      </c>
      <c r="J18" s="16">
        <f>I18/0.717*1000</f>
        <v>200571.42414848655</v>
      </c>
      <c r="K18" s="28">
        <f t="shared" si="15"/>
        <v>3237.070541520891</v>
      </c>
      <c r="L18" s="28">
        <f t="shared" si="16"/>
        <v>408.7128169539733</v>
      </c>
      <c r="M18" s="31">
        <f>S18*T18</f>
        <v>0.11347524999999999</v>
      </c>
      <c r="N18" s="28">
        <f>(AI$6+AJ18*AM18)*V18+(AN$6*(W18-V18))</f>
        <v>0</v>
      </c>
      <c r="O18" s="28">
        <f>(AI$6+AJ18*AL18)*AD18+(AN$6*(AE18-AD18))</f>
        <v>408.5375225977473</v>
      </c>
      <c r="P18" s="28">
        <f>(AI$6+AJ18*AL18)*Y18+(AN$6*(AA18-Y18))</f>
        <v>0.06181910622595424</v>
      </c>
      <c r="Q18" s="28">
        <f>(V18+Y18+AD18)*(AI$6+AJ18*AM18)</f>
        <v>393.4993220369544</v>
      </c>
      <c r="R18" s="114">
        <f>AN$6*(AA18*(1-AC$6)+AE18*(1-AH$6))+U18</f>
        <v>15.100019667018824</v>
      </c>
      <c r="S18" s="38">
        <f t="shared" si="18"/>
        <v>0.10675</v>
      </c>
      <c r="T18" s="113">
        <v>1.063</v>
      </c>
      <c r="U18" s="28">
        <f>AN$6*(W18-V18)</f>
        <v>0</v>
      </c>
      <c r="V18" s="16">
        <f t="shared" si="40"/>
        <v>0</v>
      </c>
      <c r="W18" s="16">
        <f t="shared" si="40"/>
        <v>0</v>
      </c>
      <c r="Y18" s="16">
        <f>AA18*$AC$6</f>
        <v>0.021648925893471005</v>
      </c>
      <c r="Z18" s="35">
        <f t="shared" si="19"/>
        <v>0.021757714465800004</v>
      </c>
      <c r="AA18" s="16">
        <f>D18</f>
        <v>0.021757714465800004</v>
      </c>
      <c r="AB18" s="16">
        <f t="shared" si="21"/>
        <v>0</v>
      </c>
      <c r="AD18" s="22">
        <f>AE18*AH$6</f>
        <v>143.06901363299906</v>
      </c>
      <c r="AE18" s="16">
        <f t="shared" si="22"/>
        <v>143.78795339999905</v>
      </c>
      <c r="AF18" s="117">
        <f t="shared" si="41"/>
        <v>132.17797839999923</v>
      </c>
      <c r="AG18" s="16">
        <f t="shared" si="41"/>
        <v>11.609974999999828</v>
      </c>
      <c r="AJ18">
        <v>0</v>
      </c>
      <c r="AK18" s="24">
        <f>H18/100</f>
        <v>0.3913545263157879</v>
      </c>
      <c r="AL18" s="9">
        <v>0</v>
      </c>
      <c r="AM18">
        <f>IF(AK18,AL18/AK18,0)</f>
        <v>0</v>
      </c>
      <c r="AO18" s="35">
        <f t="shared" si="25"/>
        <v>3645.783358474864</v>
      </c>
      <c r="AP18" s="28">
        <f>W18*$AX$6</f>
        <v>0</v>
      </c>
      <c r="AQ18" s="28">
        <f>AA18*$AX$6</f>
        <v>0.4569120037818001</v>
      </c>
      <c r="AR18" s="28">
        <f>AE18*$AX$6</f>
        <v>3019.54702139998</v>
      </c>
      <c r="AS18" s="28">
        <f t="shared" si="28"/>
        <v>622.5372750711025</v>
      </c>
      <c r="AT18" s="28">
        <f t="shared" si="29"/>
        <v>3.2421499999999996</v>
      </c>
      <c r="AU18" s="28">
        <f>AW18*$AN$6</f>
        <v>3020.003933403762</v>
      </c>
      <c r="AV18" s="28">
        <f t="shared" si="31"/>
        <v>625.7794250711024</v>
      </c>
      <c r="AW18" s="28">
        <f t="shared" si="32"/>
        <v>143.80971111446485</v>
      </c>
      <c r="AZ18" s="22">
        <f t="shared" si="33"/>
        <v>3.05</v>
      </c>
      <c r="BA18" s="106">
        <v>3.05</v>
      </c>
      <c r="BB18" s="121">
        <f t="shared" si="34"/>
        <v>0</v>
      </c>
      <c r="BC18" s="100">
        <f t="shared" si="35"/>
        <v>1644.9898636640992</v>
      </c>
      <c r="BD18" s="102">
        <v>1488.8562963000008</v>
      </c>
      <c r="BE18" s="16">
        <f t="shared" si="36"/>
        <v>156.1335673640983</v>
      </c>
      <c r="BF18" s="113">
        <v>1.063</v>
      </c>
      <c r="BH18" s="32">
        <v>0.9</v>
      </c>
    </row>
    <row r="19" spans="1:61" ht="13.5" thickBot="1">
      <c r="A19" s="14" t="s">
        <v>76</v>
      </c>
      <c r="B19" s="63">
        <f>SUM(B16:B18)</f>
        <v>0</v>
      </c>
      <c r="C19" s="63">
        <f>SUM(C16:C18)</f>
        <v>0</v>
      </c>
      <c r="D19" s="63">
        <f>SUM(D16:D18)</f>
        <v>0.6330608117208</v>
      </c>
      <c r="E19" s="63">
        <v>0</v>
      </c>
      <c r="F19" s="63">
        <f>SUM(F16:F18)</f>
        <v>619.6806615999986</v>
      </c>
      <c r="G19" s="63">
        <f>SUM(G16:G18)</f>
        <v>83.9646756000005</v>
      </c>
      <c r="H19" s="15"/>
      <c r="I19" s="49">
        <f>SUM(I16:I18)</f>
        <v>704.2783980117199</v>
      </c>
      <c r="J19" s="49">
        <f>SUM(J16:J18)</f>
        <v>982257.1799326639</v>
      </c>
      <c r="K19" s="59">
        <f>ROUNDUP(SUM(K16:K18),0)</f>
        <v>15198</v>
      </c>
      <c r="L19" s="59">
        <f aca="true" t="shared" si="42" ref="L19:S19">SUM(L16:L18)</f>
        <v>2001.1444736007993</v>
      </c>
      <c r="M19" s="59">
        <f t="shared" si="42"/>
        <v>0.11347524999999999</v>
      </c>
      <c r="N19" s="59">
        <f t="shared" si="42"/>
        <v>0</v>
      </c>
      <c r="O19" s="59">
        <f t="shared" si="42"/>
        <v>1999.2323143194985</v>
      </c>
      <c r="P19" s="59">
        <f t="shared" si="42"/>
        <v>1.7986840313017236</v>
      </c>
      <c r="Q19" s="44">
        <f t="shared" si="42"/>
        <v>1927.0817665595685</v>
      </c>
      <c r="R19" s="44">
        <f t="shared" si="42"/>
        <v>73.94923179123066</v>
      </c>
      <c r="S19" s="44">
        <f t="shared" si="42"/>
        <v>0.10675</v>
      </c>
      <c r="T19" s="15"/>
      <c r="U19" s="44">
        <f>SUM(U16:U18)</f>
        <v>0</v>
      </c>
      <c r="V19" s="15">
        <f>SUM(V16:V18)</f>
        <v>0</v>
      </c>
      <c r="W19" s="15">
        <f>SUM(W16:W18)</f>
        <v>0</v>
      </c>
      <c r="X19" s="15"/>
      <c r="Y19" s="15">
        <f>SUM(Y16:Y18)</f>
        <v>0.6298955076621959</v>
      </c>
      <c r="Z19" s="15">
        <f>SUM(Z16:Z18)</f>
        <v>0.6330608117208</v>
      </c>
      <c r="AA19" s="15">
        <f>SUM(AA16:AA18)</f>
        <v>0.6330608117208</v>
      </c>
      <c r="AB19" s="15">
        <f>SUM(AB16:AB18)</f>
        <v>0</v>
      </c>
      <c r="AC19" s="15"/>
      <c r="AD19" s="15">
        <f>SUM(AD16:AD18)</f>
        <v>700.127110513999</v>
      </c>
      <c r="AE19" s="15">
        <f>SUM(AE16:AE18)</f>
        <v>703.6453371999992</v>
      </c>
      <c r="AF19" s="119">
        <f>SUM(AF16:AF18)</f>
        <v>619.6806615999986</v>
      </c>
      <c r="AG19" s="15">
        <f>SUM(AG16:AG18)</f>
        <v>83.9646756000005</v>
      </c>
      <c r="AH19" s="15"/>
      <c r="AI19" s="15"/>
      <c r="AJ19" s="15"/>
      <c r="AK19" s="15"/>
      <c r="AL19" s="15"/>
      <c r="AM19" s="15"/>
      <c r="AN19" s="15"/>
      <c r="AO19" s="59">
        <f aca="true" t="shared" si="43" ref="AO19:AW19">SUM(AO16:AO18)</f>
        <v>17199.073178654962</v>
      </c>
      <c r="AP19" s="59">
        <f t="shared" si="43"/>
        <v>0</v>
      </c>
      <c r="AQ19" s="59">
        <f t="shared" si="43"/>
        <v>13.2942770461368</v>
      </c>
      <c r="AR19" s="59">
        <f t="shared" si="43"/>
        <v>14776.552081199981</v>
      </c>
      <c r="AS19" s="59">
        <f>ROUNDUP(SUM(AS16:AS18),0)</f>
        <v>2406</v>
      </c>
      <c r="AT19" s="59">
        <f t="shared" si="43"/>
        <v>3.2421499999999996</v>
      </c>
      <c r="AU19" s="44">
        <f>SUM(AU16:AU18)</f>
        <v>14789.846358246119</v>
      </c>
      <c r="AV19" s="44">
        <f>SUM(AV16:AV18)</f>
        <v>2409.2268204088446</v>
      </c>
      <c r="AW19" s="15">
        <f t="shared" si="43"/>
        <v>704.2783980117199</v>
      </c>
      <c r="AX19" s="15"/>
      <c r="AY19" s="15"/>
      <c r="AZ19" s="44">
        <f aca="true" t="shared" si="44" ref="AZ19:BE19">SUM(AZ16:AZ18)</f>
        <v>3.05</v>
      </c>
      <c r="BA19" s="44">
        <f t="shared" si="44"/>
        <v>3.05</v>
      </c>
      <c r="BB19" s="44">
        <f t="shared" si="44"/>
        <v>0</v>
      </c>
      <c r="BC19" s="44">
        <f t="shared" si="44"/>
        <v>6357.563720986377</v>
      </c>
      <c r="BD19" s="44">
        <f t="shared" si="44"/>
        <v>5228.387789600001</v>
      </c>
      <c r="BE19" s="44">
        <f t="shared" si="44"/>
        <v>1129.1759313863756</v>
      </c>
      <c r="BF19" s="15"/>
      <c r="BG19" s="15"/>
      <c r="BH19" s="15"/>
      <c r="BI19" s="15"/>
    </row>
    <row r="20" spans="1:61" s="17" customFormat="1" ht="39" thickBot="1">
      <c r="A20" s="18" t="s">
        <v>173</v>
      </c>
      <c r="B20" s="64">
        <f aca="true" t="shared" si="45" ref="B20:G20">B15+B19</f>
        <v>565.7484563480788</v>
      </c>
      <c r="C20" s="105">
        <f t="shared" si="45"/>
        <v>576.5540202607734</v>
      </c>
      <c r="D20" s="105">
        <f t="shared" si="45"/>
        <v>966.3892091976165</v>
      </c>
      <c r="E20" s="65">
        <f t="shared" si="45"/>
        <v>0</v>
      </c>
      <c r="F20" s="105">
        <f t="shared" si="45"/>
        <v>1591.9464080000034</v>
      </c>
      <c r="G20" s="105">
        <f t="shared" si="45"/>
        <v>137.08991660000004</v>
      </c>
      <c r="H20" s="19"/>
      <c r="I20" s="108">
        <f aca="true" t="shared" si="46" ref="I20:S20">I15+I19</f>
        <v>3271.9795540583928</v>
      </c>
      <c r="J20" s="45">
        <f t="shared" si="46"/>
        <v>4563430.340388276</v>
      </c>
      <c r="K20" s="43">
        <f t="shared" si="46"/>
        <v>67424.60257325409</v>
      </c>
      <c r="L20" s="43">
        <f t="shared" si="46"/>
        <v>9598.15686552629</v>
      </c>
      <c r="M20" s="43">
        <f t="shared" si="46"/>
        <v>157.05397050000002</v>
      </c>
      <c r="N20" s="43">
        <f t="shared" si="46"/>
        <v>1782.725097123804</v>
      </c>
      <c r="O20" s="43">
        <f>ROUNDDOWN(O15+O19,0)</f>
        <v>4912</v>
      </c>
      <c r="P20" s="43">
        <f t="shared" si="46"/>
        <v>2745.753340632728</v>
      </c>
      <c r="Q20" s="19">
        <f t="shared" si="46"/>
        <v>8931.166371810954</v>
      </c>
      <c r="R20" s="19">
        <f t="shared" si="46"/>
        <v>509.93652321533784</v>
      </c>
      <c r="S20" s="19">
        <f t="shared" si="46"/>
        <v>147.19250000000002</v>
      </c>
      <c r="T20" s="19"/>
      <c r="U20" s="19">
        <f>U15+U19</f>
        <v>226.91684216658746</v>
      </c>
      <c r="V20" s="19">
        <f>V15+V19</f>
        <v>565.7484563480788</v>
      </c>
      <c r="W20" s="19">
        <f>W15+W19</f>
        <v>576.5540202607734</v>
      </c>
      <c r="X20" s="19"/>
      <c r="Y20" s="19">
        <f>Y15+Y19</f>
        <v>961.5572631516286</v>
      </c>
      <c r="Z20" s="19">
        <f>Z15+Z19</f>
        <v>966.3892091976165</v>
      </c>
      <c r="AA20" s="19">
        <f>AA15+AA19</f>
        <v>966.3892091976165</v>
      </c>
      <c r="AB20" s="19">
        <f>AB15+AB19</f>
        <v>0</v>
      </c>
      <c r="AC20" s="19"/>
      <c r="AD20" s="19">
        <f>AD15+AD19</f>
        <v>1720.3911429770035</v>
      </c>
      <c r="AE20" s="45">
        <f>AE15+AE19</f>
        <v>1729.0363246000038</v>
      </c>
      <c r="AF20" s="120">
        <f>AF15+AF19</f>
        <v>1591.9464080000034</v>
      </c>
      <c r="AG20" s="45">
        <f>AG15+AG19</f>
        <v>137.08991660000004</v>
      </c>
      <c r="AH20" s="19"/>
      <c r="AI20" s="19"/>
      <c r="AJ20" s="19"/>
      <c r="AK20" s="19"/>
      <c r="AL20" s="19"/>
      <c r="AM20" s="19"/>
      <c r="AN20" s="45"/>
      <c r="AO20" s="43">
        <f aca="true" t="shared" si="47" ref="AO20:AW20">AO15+AO19</f>
        <v>77022.68814383453</v>
      </c>
      <c r="AP20" s="43">
        <f t="shared" si="47"/>
        <v>12107.63442547624</v>
      </c>
      <c r="AQ20" s="43">
        <f t="shared" si="47"/>
        <v>20294.17339314995</v>
      </c>
      <c r="AR20" s="43">
        <f t="shared" si="47"/>
        <v>36309.76281660007</v>
      </c>
      <c r="AS20" s="43">
        <f t="shared" si="47"/>
        <v>3823.876538199438</v>
      </c>
      <c r="AT20" s="43">
        <f t="shared" si="47"/>
        <v>4487.256299999999</v>
      </c>
      <c r="AU20" s="45">
        <f>AU15+AU19</f>
        <v>68711.57063522626</v>
      </c>
      <c r="AV20" s="45">
        <f>AV15+AV19</f>
        <v>8311.117508608282</v>
      </c>
      <c r="AW20" s="19">
        <f t="shared" si="47"/>
        <v>3271.9795540583937</v>
      </c>
      <c r="AX20" s="19"/>
      <c r="AY20" s="19"/>
      <c r="AZ20" s="43">
        <f aca="true" t="shared" si="48" ref="AZ20:BE20">AZ15+AZ19</f>
        <v>4205.5</v>
      </c>
      <c r="BA20" s="45">
        <f t="shared" si="48"/>
        <v>4205.5</v>
      </c>
      <c r="BB20" s="45">
        <f t="shared" si="48"/>
        <v>0</v>
      </c>
      <c r="BC20" s="45">
        <f t="shared" si="48"/>
        <v>10100.181788630704</v>
      </c>
      <c r="BD20" s="43">
        <f t="shared" si="48"/>
        <v>8256.5656113</v>
      </c>
      <c r="BE20" s="43">
        <f t="shared" si="48"/>
        <v>1843.616177330704</v>
      </c>
      <c r="BF20" s="19"/>
      <c r="BG20" s="19"/>
      <c r="BH20" s="19"/>
      <c r="BI20" s="19"/>
    </row>
    <row r="21" spans="8:57" ht="12.75">
      <c r="H21" s="4"/>
      <c r="K21" s="4"/>
      <c r="L21" s="4"/>
      <c r="N21" s="4"/>
      <c r="O21" s="4"/>
      <c r="P21" s="4"/>
      <c r="Q21" s="4"/>
      <c r="R21" s="69"/>
      <c r="S21" s="9"/>
      <c r="T21" s="12"/>
      <c r="U21" s="4"/>
      <c r="V21" s="9"/>
      <c r="X21" s="109"/>
      <c r="Y21" s="9"/>
      <c r="Z21" s="9"/>
      <c r="AA21" s="4"/>
      <c r="AB21" s="4"/>
      <c r="AC21" s="109"/>
      <c r="AD21" s="4"/>
      <c r="AE21" s="4"/>
      <c r="AF21" s="114"/>
      <c r="AG21" s="4"/>
      <c r="AH21" s="11"/>
      <c r="AI21" s="10"/>
      <c r="AK21" s="8"/>
      <c r="AL21" s="9"/>
      <c r="AN21" s="10"/>
      <c r="AO21" s="4"/>
      <c r="AP21" s="4"/>
      <c r="AQ21" s="4"/>
      <c r="AR21" s="4"/>
      <c r="AS21" s="111"/>
      <c r="AT21" s="4"/>
      <c r="AU21" s="4"/>
      <c r="AV21" s="4"/>
      <c r="AW21" s="4"/>
      <c r="BC21" s="4"/>
      <c r="BD21" s="4"/>
      <c r="BE21" s="4"/>
    </row>
    <row r="22" spans="1:49" ht="12.75">
      <c r="A22" s="30" t="s">
        <v>60</v>
      </c>
      <c r="B22" s="2"/>
      <c r="C22" s="2"/>
      <c r="D22" s="5"/>
      <c r="E22" s="5"/>
      <c r="F22" s="5"/>
      <c r="G22" s="5"/>
      <c r="I22" s="5"/>
      <c r="J22" s="5"/>
      <c r="K22" s="37"/>
      <c r="L22" s="38"/>
      <c r="M22" s="20"/>
      <c r="N22" s="20"/>
      <c r="O22" s="20"/>
      <c r="P22" s="20"/>
      <c r="Q22" s="20"/>
      <c r="R22" s="70"/>
      <c r="S22" s="20"/>
      <c r="U22" s="20"/>
      <c r="V22" s="9"/>
      <c r="X22" s="20"/>
      <c r="Y22" s="5"/>
      <c r="Z22" s="5"/>
      <c r="AA22" s="5"/>
      <c r="AB22" s="5"/>
      <c r="AC22" s="13"/>
      <c r="AD22" s="4"/>
      <c r="AE22" s="4"/>
      <c r="AF22" s="114"/>
      <c r="AG22" s="4"/>
      <c r="AH22" s="11"/>
      <c r="AI22" s="10"/>
      <c r="AK22" s="8"/>
      <c r="AL22" s="9"/>
      <c r="AN22" s="4"/>
      <c r="AO22" s="4"/>
      <c r="AP22" s="4"/>
      <c r="AQ22" s="4"/>
      <c r="AR22" s="4"/>
      <c r="AS22" s="4"/>
      <c r="AT22" s="4"/>
      <c r="AU22" s="4"/>
      <c r="AV22" s="4"/>
      <c r="AW22" s="4"/>
    </row>
    <row r="23" spans="1:49" ht="12.75">
      <c r="A23" s="29" t="s">
        <v>61</v>
      </c>
      <c r="B23" t="s">
        <v>62</v>
      </c>
      <c r="J23" s="51"/>
      <c r="K23" s="39"/>
      <c r="L23" s="38"/>
      <c r="M23" s="20"/>
      <c r="N23" s="20"/>
      <c r="O23" s="20"/>
      <c r="P23" s="20"/>
      <c r="Q23" s="70"/>
      <c r="R23" s="70"/>
      <c r="S23" s="20"/>
      <c r="U23" s="70"/>
      <c r="V23" s="9"/>
      <c r="X23" s="54"/>
      <c r="Y23" s="20"/>
      <c r="Z23" s="20"/>
      <c r="AA23" s="20"/>
      <c r="AB23" s="20"/>
      <c r="AC23" s="13"/>
      <c r="AD23" s="4"/>
      <c r="AE23" s="4"/>
      <c r="AF23" s="114"/>
      <c r="AG23" s="4"/>
      <c r="AH23" s="11"/>
      <c r="AI23" s="10"/>
      <c r="AK23" s="8"/>
      <c r="AL23" s="9"/>
      <c r="AN23" s="4"/>
      <c r="AO23" s="4"/>
      <c r="AP23" s="4"/>
      <c r="AQ23" s="4"/>
      <c r="AR23" s="4"/>
      <c r="AS23" s="4"/>
      <c r="AT23" s="4"/>
      <c r="AU23" s="4"/>
      <c r="AV23" s="4"/>
      <c r="AW23" s="4"/>
    </row>
    <row r="24" spans="1:49" ht="12.75">
      <c r="A24" s="112" t="s">
        <v>133</v>
      </c>
      <c r="B24" t="s">
        <v>134</v>
      </c>
      <c r="J24" s="51"/>
      <c r="K24" s="39"/>
      <c r="L24" s="38"/>
      <c r="M24" s="20"/>
      <c r="N24" s="20"/>
      <c r="O24" s="20"/>
      <c r="P24" s="20"/>
      <c r="Q24" s="70"/>
      <c r="R24" s="70"/>
      <c r="S24" s="20"/>
      <c r="U24" s="70"/>
      <c r="V24" s="9"/>
      <c r="X24" s="55"/>
      <c r="Y24" s="41"/>
      <c r="Z24" s="20"/>
      <c r="AA24" s="20"/>
      <c r="AB24" s="20"/>
      <c r="AC24" s="53"/>
      <c r="AD24" s="4"/>
      <c r="AE24" s="4"/>
      <c r="AF24" s="114"/>
      <c r="AG24" s="4"/>
      <c r="AH24" s="11"/>
      <c r="AI24" s="10"/>
      <c r="AK24" s="8"/>
      <c r="AL24" s="9"/>
      <c r="AN24" s="4"/>
      <c r="AO24" s="4"/>
      <c r="AP24" s="4"/>
      <c r="AQ24" s="4"/>
      <c r="AR24" s="4"/>
      <c r="AS24" s="111"/>
      <c r="AT24" s="4"/>
      <c r="AU24" s="4"/>
      <c r="AV24" s="4"/>
      <c r="AW24" s="4"/>
    </row>
    <row r="25" spans="1:49" ht="12.75">
      <c r="A25" t="s">
        <v>63</v>
      </c>
      <c r="B25" t="s">
        <v>64</v>
      </c>
      <c r="E25" s="20"/>
      <c r="J25" s="51"/>
      <c r="K25" s="39"/>
      <c r="L25" s="37"/>
      <c r="M25" s="39"/>
      <c r="N25" s="38"/>
      <c r="O25" s="38"/>
      <c r="P25" s="38"/>
      <c r="Q25" s="71"/>
      <c r="R25" s="71"/>
      <c r="S25" s="38"/>
      <c r="T25" s="12"/>
      <c r="U25" s="71"/>
      <c r="V25" s="9"/>
      <c r="X25" s="55"/>
      <c r="Y25" s="41"/>
      <c r="Z25" s="20"/>
      <c r="AA25" s="20"/>
      <c r="AB25" s="20"/>
      <c r="AC25" s="53"/>
      <c r="AD25" s="4"/>
      <c r="AE25" s="4"/>
      <c r="AF25" s="114"/>
      <c r="AG25" s="4"/>
      <c r="AH25" s="11"/>
      <c r="AI25" s="10"/>
      <c r="AK25" s="8"/>
      <c r="AL25" s="9"/>
      <c r="AN25" s="4"/>
      <c r="AO25" s="4"/>
      <c r="AP25" s="4"/>
      <c r="AQ25" s="4"/>
      <c r="AR25" s="4"/>
      <c r="AS25" s="111"/>
      <c r="AT25" s="4"/>
      <c r="AU25" s="4"/>
      <c r="AV25" s="4"/>
      <c r="AW25" s="4"/>
    </row>
    <row r="26" spans="1:49" ht="12.75">
      <c r="A26" s="36" t="s">
        <v>75</v>
      </c>
      <c r="B26" t="s">
        <v>74</v>
      </c>
      <c r="D26" s="20"/>
      <c r="E26" s="20"/>
      <c r="F26" s="20"/>
      <c r="G26" s="20"/>
      <c r="H26" s="20"/>
      <c r="I26" s="20"/>
      <c r="J26" s="39"/>
      <c r="K26" s="39"/>
      <c r="L26" s="35"/>
      <c r="M26" s="51"/>
      <c r="N26" s="4"/>
      <c r="O26" s="4"/>
      <c r="P26" s="4"/>
      <c r="Q26" s="69"/>
      <c r="R26" s="69"/>
      <c r="S26" s="9"/>
      <c r="T26" s="12"/>
      <c r="U26" s="69"/>
      <c r="V26" s="9"/>
      <c r="X26" s="55"/>
      <c r="Y26" s="41"/>
      <c r="Z26" s="20"/>
      <c r="AA26" s="20"/>
      <c r="AB26" s="20"/>
      <c r="AC26" s="53"/>
      <c r="AD26" s="4"/>
      <c r="AE26" s="4"/>
      <c r="AF26" s="114"/>
      <c r="AG26" s="4"/>
      <c r="AH26" s="11"/>
      <c r="AI26" s="10"/>
      <c r="AK26" s="8"/>
      <c r="AL26" s="9"/>
      <c r="AN26" s="4"/>
      <c r="AO26" s="4"/>
      <c r="AP26" s="4"/>
      <c r="AQ26" s="4"/>
      <c r="AR26" s="4"/>
      <c r="AS26" s="111"/>
      <c r="AT26" s="4"/>
      <c r="AU26" s="4"/>
      <c r="AV26" s="4"/>
      <c r="AW26" s="4"/>
    </row>
    <row r="27" spans="1:49" ht="12.75">
      <c r="A27" s="95" t="s">
        <v>118</v>
      </c>
      <c r="B27" s="35" t="s">
        <v>119</v>
      </c>
      <c r="D27" s="20"/>
      <c r="F27" s="20"/>
      <c r="G27" s="20"/>
      <c r="H27" s="39"/>
      <c r="I27" s="20"/>
      <c r="J27" s="39"/>
      <c r="K27" s="39"/>
      <c r="M27" s="51"/>
      <c r="N27" s="4"/>
      <c r="O27" s="4"/>
      <c r="P27" s="4"/>
      <c r="Q27" s="69"/>
      <c r="R27" s="69"/>
      <c r="S27" s="9"/>
      <c r="T27" s="12"/>
      <c r="U27" s="69"/>
      <c r="V27" s="9"/>
      <c r="X27" s="55"/>
      <c r="Y27" s="41"/>
      <c r="Z27" s="20"/>
      <c r="AA27" s="20"/>
      <c r="AB27" s="20"/>
      <c r="AC27" s="53"/>
      <c r="AD27" s="4"/>
      <c r="AE27" s="4"/>
      <c r="AF27" s="114"/>
      <c r="AG27" s="4"/>
      <c r="AH27" s="11"/>
      <c r="AI27" s="10"/>
      <c r="AK27" s="8"/>
      <c r="AL27" s="9"/>
      <c r="AN27" s="4"/>
      <c r="AO27" s="4"/>
      <c r="AP27" s="4"/>
      <c r="AQ27" s="4"/>
      <c r="AR27" s="4"/>
      <c r="AS27" s="111"/>
      <c r="AT27" s="4"/>
      <c r="AU27" s="4"/>
      <c r="AV27" s="4"/>
      <c r="AW27" s="4"/>
    </row>
    <row r="28" spans="1:45" ht="12.75">
      <c r="A28" s="33" t="s">
        <v>72</v>
      </c>
      <c r="B28" s="2"/>
      <c r="C28" s="2"/>
      <c r="D28" s="5"/>
      <c r="E28" s="5"/>
      <c r="F28" s="5"/>
      <c r="G28" s="5"/>
      <c r="H28" s="39"/>
      <c r="I28" s="5"/>
      <c r="J28" s="56"/>
      <c r="K28" s="39"/>
      <c r="L28" s="35"/>
      <c r="M28" s="51"/>
      <c r="W28"/>
      <c r="X28" s="55"/>
      <c r="Y28" s="41"/>
      <c r="Z28" s="20"/>
      <c r="AA28" s="20"/>
      <c r="AB28" s="20"/>
      <c r="AC28" s="53"/>
      <c r="AN28"/>
      <c r="AS28" s="111"/>
    </row>
    <row r="29" spans="1:49" ht="12.75">
      <c r="A29" s="34" t="s">
        <v>122</v>
      </c>
      <c r="B29" s="35"/>
      <c r="C29" s="20"/>
      <c r="D29" s="20"/>
      <c r="E29" s="20"/>
      <c r="F29" s="20"/>
      <c r="G29" s="20"/>
      <c r="H29" s="40"/>
      <c r="I29" s="20"/>
      <c r="J29" s="39"/>
      <c r="K29" s="39"/>
      <c r="L29" s="35"/>
      <c r="M29" s="51"/>
      <c r="N29" s="4"/>
      <c r="O29" s="4"/>
      <c r="P29" s="4"/>
      <c r="Q29" s="69"/>
      <c r="R29" s="69"/>
      <c r="S29" s="9"/>
      <c r="T29" s="12"/>
      <c r="U29" s="69"/>
      <c r="V29" s="9"/>
      <c r="X29" s="55"/>
      <c r="Y29" s="50"/>
      <c r="Z29" s="5"/>
      <c r="AA29" s="5"/>
      <c r="AB29" s="5"/>
      <c r="AC29" s="53"/>
      <c r="AD29" s="4"/>
      <c r="AE29" s="4"/>
      <c r="AF29" s="114"/>
      <c r="AG29" s="4"/>
      <c r="AH29" s="11"/>
      <c r="AI29" s="10"/>
      <c r="AK29" s="8"/>
      <c r="AL29" s="9"/>
      <c r="AN29" s="4"/>
      <c r="AO29" s="4"/>
      <c r="AP29" s="4"/>
      <c r="AQ29" s="4"/>
      <c r="AR29" s="4"/>
      <c r="AS29" s="111"/>
      <c r="AT29" s="4"/>
      <c r="AU29" s="4"/>
      <c r="AV29" s="4"/>
      <c r="AW29" s="4"/>
    </row>
    <row r="30" spans="1:49" ht="12.75">
      <c r="A30" s="98" t="s">
        <v>135</v>
      </c>
      <c r="B30" s="35"/>
      <c r="C30" s="20"/>
      <c r="D30" s="20"/>
      <c r="E30" s="20"/>
      <c r="F30" s="20"/>
      <c r="G30" s="20"/>
      <c r="H30" s="39"/>
      <c r="I30" s="20"/>
      <c r="J30" s="39"/>
      <c r="K30" s="39"/>
      <c r="L30" s="35"/>
      <c r="M30" s="51"/>
      <c r="N30" s="4"/>
      <c r="O30" s="4"/>
      <c r="P30" s="4"/>
      <c r="Q30" s="69"/>
      <c r="R30" s="69"/>
      <c r="S30" s="9"/>
      <c r="T30" s="12"/>
      <c r="U30" s="69"/>
      <c r="V30" s="9"/>
      <c r="X30" s="55"/>
      <c r="Y30" s="41"/>
      <c r="Z30" s="39"/>
      <c r="AA30" s="39"/>
      <c r="AB30" s="39"/>
      <c r="AC30" s="53"/>
      <c r="AD30" s="4"/>
      <c r="AE30" s="4"/>
      <c r="AF30" s="114"/>
      <c r="AG30" s="4"/>
      <c r="AH30" s="11"/>
      <c r="AI30" s="10"/>
      <c r="AK30" s="8"/>
      <c r="AL30" s="9"/>
      <c r="AN30" s="4"/>
      <c r="AO30" s="4"/>
      <c r="AP30" s="4"/>
      <c r="AQ30" s="4"/>
      <c r="AR30" s="4"/>
      <c r="AS30" s="111"/>
      <c r="AT30" s="4"/>
      <c r="AU30" s="4"/>
      <c r="AV30" s="4"/>
      <c r="AW30" s="4"/>
    </row>
    <row r="31" spans="1:49" ht="12.75">
      <c r="A31" s="99" t="s">
        <v>123</v>
      </c>
      <c r="B31" s="35"/>
      <c r="C31" s="20"/>
      <c r="D31" s="20"/>
      <c r="E31" s="20"/>
      <c r="F31" s="20"/>
      <c r="G31" s="20"/>
      <c r="H31" s="39"/>
      <c r="I31" s="20"/>
      <c r="J31" s="39"/>
      <c r="K31" s="39"/>
      <c r="L31" s="4"/>
      <c r="N31" s="4"/>
      <c r="O31" s="4"/>
      <c r="P31" s="4"/>
      <c r="Q31" s="69"/>
      <c r="R31" s="69"/>
      <c r="S31" s="9"/>
      <c r="T31" s="12"/>
      <c r="U31" s="69"/>
      <c r="V31" s="9"/>
      <c r="X31" s="55"/>
      <c r="Y31" s="41"/>
      <c r="Z31" s="56"/>
      <c r="AA31" s="56"/>
      <c r="AB31" s="56"/>
      <c r="AC31" s="53"/>
      <c r="AD31" s="4"/>
      <c r="AE31" s="4"/>
      <c r="AF31" s="114"/>
      <c r="AG31" s="4"/>
      <c r="AH31" s="11"/>
      <c r="AI31" s="10"/>
      <c r="AK31" s="8"/>
      <c r="AL31" s="9"/>
      <c r="AN31" s="4"/>
      <c r="AO31" s="4"/>
      <c r="AP31" s="4"/>
      <c r="AQ31" s="4"/>
      <c r="AR31" s="4"/>
      <c r="AS31" s="111"/>
      <c r="AT31" s="4"/>
      <c r="AU31" s="4"/>
      <c r="AV31" s="4"/>
      <c r="AW31" s="4"/>
    </row>
    <row r="32" spans="1:57" ht="12.75">
      <c r="A32"/>
      <c r="B32" s="35"/>
      <c r="C32" s="20"/>
      <c r="D32" s="20"/>
      <c r="E32" s="20"/>
      <c r="F32" s="20"/>
      <c r="G32" s="20"/>
      <c r="H32" s="39"/>
      <c r="I32" s="20"/>
      <c r="J32" s="39"/>
      <c r="K32" s="39"/>
      <c r="L32" s="4"/>
      <c r="N32" s="4"/>
      <c r="O32" s="4"/>
      <c r="P32" s="4"/>
      <c r="Q32" s="69"/>
      <c r="R32" s="69"/>
      <c r="S32" s="9"/>
      <c r="T32" s="12"/>
      <c r="U32" s="69"/>
      <c r="V32" s="9"/>
      <c r="X32" s="55"/>
      <c r="Y32" s="41"/>
      <c r="Z32" s="56"/>
      <c r="AA32" s="56"/>
      <c r="AB32" s="56"/>
      <c r="AC32" s="53"/>
      <c r="AD32" s="4"/>
      <c r="AE32" s="4"/>
      <c r="AF32" s="114"/>
      <c r="AG32" s="4"/>
      <c r="AH32" s="11"/>
      <c r="AI32" s="10"/>
      <c r="AK32" s="8"/>
      <c r="AL32" s="9"/>
      <c r="AN32" s="4"/>
      <c r="AO32" s="4"/>
      <c r="AP32" s="4"/>
      <c r="AQ32" s="4"/>
      <c r="AR32" s="4"/>
      <c r="AS32" s="111"/>
      <c r="AT32" s="4"/>
      <c r="AU32" s="4"/>
      <c r="AV32" s="4"/>
      <c r="AW32" s="4"/>
      <c r="AY32" s="4"/>
      <c r="AZ32" s="35"/>
      <c r="BA32" s="35"/>
      <c r="BB32" s="35"/>
      <c r="BC32" s="4"/>
      <c r="BD32" s="4"/>
      <c r="BE32" s="4"/>
    </row>
    <row r="33" spans="1:57" ht="12.75">
      <c r="A33"/>
      <c r="B33" s="35"/>
      <c r="C33" s="20"/>
      <c r="D33" s="20"/>
      <c r="E33" s="20"/>
      <c r="F33" s="20"/>
      <c r="G33" s="20"/>
      <c r="H33" s="39"/>
      <c r="I33" s="20"/>
      <c r="J33" s="52"/>
      <c r="K33" s="39"/>
      <c r="L33" s="4"/>
      <c r="N33" s="4"/>
      <c r="O33" s="4"/>
      <c r="P33" s="4"/>
      <c r="Q33" s="69"/>
      <c r="R33" s="69"/>
      <c r="S33" s="9"/>
      <c r="T33" s="12"/>
      <c r="U33" s="69"/>
      <c r="V33" s="9"/>
      <c r="X33" s="57"/>
      <c r="Y33" s="41"/>
      <c r="Z33" s="41"/>
      <c r="AA33" s="41"/>
      <c r="AB33" s="41"/>
      <c r="AC33" s="53"/>
      <c r="AD33" s="4"/>
      <c r="AE33" s="4"/>
      <c r="AF33" s="114"/>
      <c r="AG33" s="4"/>
      <c r="AH33" s="11"/>
      <c r="AI33" s="10"/>
      <c r="AK33" s="8"/>
      <c r="AL33" s="9"/>
      <c r="AN33" s="4"/>
      <c r="AO33" s="4"/>
      <c r="AP33" s="4"/>
      <c r="AQ33" s="4"/>
      <c r="AR33" s="4"/>
      <c r="AS33" s="111"/>
      <c r="AT33" s="4"/>
      <c r="AU33" s="4"/>
      <c r="AV33" s="4"/>
      <c r="AW33" s="4"/>
      <c r="AY33" s="4"/>
      <c r="AZ33" s="4"/>
      <c r="BA33" s="4"/>
      <c r="BB33" s="4"/>
      <c r="BC33" s="4"/>
      <c r="BD33" s="4"/>
      <c r="BE33" s="4"/>
    </row>
    <row r="34" spans="1:57" ht="12.75">
      <c r="A34"/>
      <c r="B34" s="35"/>
      <c r="C34" s="20"/>
      <c r="D34" s="20"/>
      <c r="E34" s="20"/>
      <c r="F34" s="20"/>
      <c r="G34" s="20"/>
      <c r="H34" s="39"/>
      <c r="I34" s="20"/>
      <c r="J34" s="52"/>
      <c r="K34" s="39"/>
      <c r="L34" s="4"/>
      <c r="N34" s="4"/>
      <c r="O34" s="4"/>
      <c r="P34" s="4"/>
      <c r="Q34" s="69"/>
      <c r="R34" s="69"/>
      <c r="S34" s="9"/>
      <c r="T34" s="12"/>
      <c r="U34" s="69"/>
      <c r="V34" s="9"/>
      <c r="X34" s="55"/>
      <c r="Y34" s="53"/>
      <c r="Z34" s="56"/>
      <c r="AA34" s="56"/>
      <c r="AB34" s="56"/>
      <c r="AC34" s="53"/>
      <c r="AD34" s="4"/>
      <c r="AE34" s="4"/>
      <c r="AF34" s="114"/>
      <c r="AG34" s="4"/>
      <c r="AH34" s="11"/>
      <c r="AI34" s="10"/>
      <c r="AK34" s="8"/>
      <c r="AL34" s="9"/>
      <c r="AN34" s="4"/>
      <c r="AO34" s="4"/>
      <c r="AP34" s="4"/>
      <c r="AQ34" s="4"/>
      <c r="AR34" s="4"/>
      <c r="AS34" s="111"/>
      <c r="AT34" s="4"/>
      <c r="AU34" s="4"/>
      <c r="AV34" s="4"/>
      <c r="AW34" s="4"/>
      <c r="AY34" s="4"/>
      <c r="AZ34" s="4"/>
      <c r="BA34" s="4"/>
      <c r="BB34" s="4"/>
      <c r="BC34" s="4"/>
      <c r="BD34" s="4"/>
      <c r="BE34" s="4"/>
    </row>
    <row r="35" spans="1:57" ht="12.75">
      <c r="A35"/>
      <c r="B35" s="35"/>
      <c r="C35" s="20"/>
      <c r="D35" s="20"/>
      <c r="E35" s="20"/>
      <c r="F35" s="20"/>
      <c r="G35" s="20"/>
      <c r="H35" s="39"/>
      <c r="I35" s="20"/>
      <c r="J35" s="20"/>
      <c r="K35" s="39"/>
      <c r="L35" s="4"/>
      <c r="N35" s="4"/>
      <c r="O35" s="4"/>
      <c r="P35" s="4"/>
      <c r="Q35" s="69"/>
      <c r="R35" s="69"/>
      <c r="S35" s="9"/>
      <c r="T35" s="12"/>
      <c r="U35" s="69"/>
      <c r="V35" s="9"/>
      <c r="X35" s="55"/>
      <c r="Y35" s="53"/>
      <c r="Z35" s="41"/>
      <c r="AA35" s="41"/>
      <c r="AB35" s="41"/>
      <c r="AC35" s="53"/>
      <c r="AD35" s="4"/>
      <c r="AE35" s="4"/>
      <c r="AF35" s="114"/>
      <c r="AG35" s="4"/>
      <c r="AH35" s="11"/>
      <c r="AI35" s="10"/>
      <c r="AK35" s="8"/>
      <c r="AL35" s="9"/>
      <c r="AN35" s="4"/>
      <c r="AO35" s="4"/>
      <c r="AP35" s="4"/>
      <c r="AQ35" s="4"/>
      <c r="AR35" s="4"/>
      <c r="AS35" s="4"/>
      <c r="AT35" s="4"/>
      <c r="AU35" s="4"/>
      <c r="AV35" s="4"/>
      <c r="AW35" s="4"/>
      <c r="AY35" s="4"/>
      <c r="AZ35" s="4"/>
      <c r="BA35" s="4"/>
      <c r="BB35" s="4"/>
      <c r="BC35" s="4"/>
      <c r="BD35" s="4"/>
      <c r="BE35" s="4"/>
    </row>
    <row r="36" spans="1:57" ht="12.75">
      <c r="A36"/>
      <c r="B36" s="35"/>
      <c r="C36" s="20"/>
      <c r="D36" s="20"/>
      <c r="E36" s="20"/>
      <c r="F36" s="20"/>
      <c r="G36" s="20"/>
      <c r="H36" s="39"/>
      <c r="I36" s="20"/>
      <c r="J36" s="20"/>
      <c r="K36" s="39"/>
      <c r="L36" s="4"/>
      <c r="N36" s="4"/>
      <c r="O36" s="4"/>
      <c r="P36" s="4"/>
      <c r="Q36" s="69"/>
      <c r="R36" s="69"/>
      <c r="S36" s="9"/>
      <c r="T36" s="12"/>
      <c r="U36" s="69"/>
      <c r="V36" s="9"/>
      <c r="X36" s="58"/>
      <c r="Y36" s="20"/>
      <c r="Z36" s="20"/>
      <c r="AA36" s="20"/>
      <c r="AB36" s="20"/>
      <c r="AC36" s="53"/>
      <c r="AD36" s="4"/>
      <c r="AE36" s="4"/>
      <c r="AF36" s="114"/>
      <c r="AG36" s="4"/>
      <c r="AH36" s="11"/>
      <c r="AI36" s="10"/>
      <c r="AK36" s="8"/>
      <c r="AL36" s="9"/>
      <c r="AN36" s="4"/>
      <c r="AO36" s="4"/>
      <c r="AP36" s="4"/>
      <c r="AQ36" s="4"/>
      <c r="AR36" s="4"/>
      <c r="AS36" s="4"/>
      <c r="AT36" s="4"/>
      <c r="AU36" s="4"/>
      <c r="AV36" s="4"/>
      <c r="AW36" s="4"/>
      <c r="AY36" s="4"/>
      <c r="AZ36" s="4"/>
      <c r="BA36" s="4"/>
      <c r="BB36" s="4"/>
      <c r="BC36" s="4"/>
      <c r="BD36" s="4"/>
      <c r="BE36" s="4"/>
    </row>
    <row r="37" spans="2:57" ht="12.75">
      <c r="B37" s="35"/>
      <c r="C37" s="20"/>
      <c r="D37" s="20"/>
      <c r="E37" s="20"/>
      <c r="F37" s="20"/>
      <c r="G37" s="20"/>
      <c r="H37" s="39"/>
      <c r="I37" s="20"/>
      <c r="J37" s="20"/>
      <c r="K37" s="39"/>
      <c r="L37" s="4"/>
      <c r="N37" s="4"/>
      <c r="O37" s="4"/>
      <c r="P37" s="4"/>
      <c r="Q37" s="69"/>
      <c r="R37" s="69"/>
      <c r="S37" s="9"/>
      <c r="T37" s="12"/>
      <c r="U37" s="69"/>
      <c r="V37" s="9"/>
      <c r="X37" s="13"/>
      <c r="Y37" s="9"/>
      <c r="Z37" s="9"/>
      <c r="AA37" s="9"/>
      <c r="AB37" s="9"/>
      <c r="AC37" s="13"/>
      <c r="AD37" s="4"/>
      <c r="AE37" s="4"/>
      <c r="AF37" s="114"/>
      <c r="AG37" s="4"/>
      <c r="AH37" s="11"/>
      <c r="AI37" s="10"/>
      <c r="AK37" s="8"/>
      <c r="AL37" s="9"/>
      <c r="AN37" s="4"/>
      <c r="AO37" s="4"/>
      <c r="AP37" s="4"/>
      <c r="AQ37" s="4"/>
      <c r="AR37" s="4"/>
      <c r="AS37" s="4"/>
      <c r="AT37" s="4"/>
      <c r="AU37" s="4"/>
      <c r="AV37" s="4"/>
      <c r="AW37" s="4"/>
      <c r="AY37" s="4"/>
      <c r="AZ37" s="4"/>
      <c r="BA37" s="4"/>
      <c r="BB37" s="4"/>
      <c r="BC37" s="4"/>
      <c r="BD37" s="4"/>
      <c r="BE37" s="4"/>
    </row>
    <row r="38" spans="2:57" ht="12.75">
      <c r="B38" s="35"/>
      <c r="C38" s="37"/>
      <c r="D38" s="37"/>
      <c r="E38" s="37"/>
      <c r="F38" s="37"/>
      <c r="G38" s="37"/>
      <c r="H38" s="41"/>
      <c r="I38" s="37"/>
      <c r="J38" s="37"/>
      <c r="K38" s="41"/>
      <c r="L38" s="4"/>
      <c r="N38" s="4"/>
      <c r="O38" s="4"/>
      <c r="P38" s="4"/>
      <c r="Q38" s="69"/>
      <c r="R38" s="69"/>
      <c r="S38" s="9"/>
      <c r="T38" s="12"/>
      <c r="U38" s="69"/>
      <c r="V38" s="9"/>
      <c r="X38" s="13"/>
      <c r="Y38" s="9"/>
      <c r="Z38" s="9"/>
      <c r="AA38" s="9"/>
      <c r="AB38" s="9"/>
      <c r="AC38" s="13"/>
      <c r="AD38" s="4"/>
      <c r="AE38" s="4"/>
      <c r="AF38" s="114"/>
      <c r="AG38" s="4"/>
      <c r="AH38" s="11"/>
      <c r="AI38" s="10"/>
      <c r="AK38" s="8"/>
      <c r="AL38" s="9"/>
      <c r="AN38" s="4"/>
      <c r="AO38" s="4"/>
      <c r="AP38" s="4"/>
      <c r="AQ38" s="4"/>
      <c r="AR38" s="4"/>
      <c r="AS38" s="4"/>
      <c r="AT38" s="4"/>
      <c r="AU38" s="4"/>
      <c r="AV38" s="4"/>
      <c r="AW38" s="4"/>
      <c r="AY38" s="4"/>
      <c r="AZ38" s="4"/>
      <c r="BA38" s="4"/>
      <c r="BB38" s="4"/>
      <c r="BC38" s="4"/>
      <c r="BD38" s="4"/>
      <c r="BE38" s="4"/>
    </row>
    <row r="39" spans="3:11" ht="12.75">
      <c r="C39" s="20"/>
      <c r="D39" s="20"/>
      <c r="E39" s="20"/>
      <c r="F39" s="20"/>
      <c r="G39" s="20"/>
      <c r="H39" s="20"/>
      <c r="I39" s="20"/>
      <c r="J39" s="20"/>
      <c r="K39" s="20"/>
    </row>
  </sheetData>
  <printOptions horizontalCentered="1"/>
  <pageMargins left="0.17" right="0.17" top="0.61" bottom="0.61" header="0.5118110236220472" footer="0.3"/>
  <pageSetup fitToHeight="1" fitToWidth="1" horizontalDpi="600" verticalDpi="600" orientation="landscape" paperSize="9" scale="30" r:id="rId3"/>
  <headerFooter alignWithMargins="0">
    <oddFooter>&amp;C&amp;F&amp;R&amp;D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A-TEC5</cp:lastModifiedBy>
  <cp:lastPrinted>2011-05-23T14:31:11Z</cp:lastPrinted>
  <dcterms:created xsi:type="dcterms:W3CDTF">2008-12-06T07:55:45Z</dcterms:created>
  <dcterms:modified xsi:type="dcterms:W3CDTF">2011-05-23T14:34:31Z</dcterms:modified>
  <cp:category/>
  <cp:version/>
  <cp:contentType/>
  <cp:contentStatus/>
</cp:coreProperties>
</file>