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65401" windowWidth="15480" windowHeight="9300" tabRatio="780" activeTab="0"/>
  </bookViews>
  <sheets>
    <sheet name="Assumptions" sheetId="1" r:id="rId1"/>
    <sheet name="cash flow EUR" sheetId="2" r:id="rId2"/>
    <sheet name="Cash flow LT" sheetId="3" r:id="rId3"/>
    <sheet name="baseline" sheetId="4" r:id="rId4"/>
    <sheet name="sensitivity EUR" sheetId="5" r:id="rId5"/>
    <sheet name="Balance Profit(loss) EUR" sheetId="6" r:id="rId6"/>
    <sheet name="Balance Profit(loss) LTL" sheetId="7" r:id="rId7"/>
  </sheets>
  <externalReferences>
    <externalReference r:id="rId10"/>
  </externalReferences>
  <definedNames/>
  <calcPr fullCalcOnLoad="1"/>
</workbook>
</file>

<file path=xl/comments2.xml><?xml version="1.0" encoding="utf-8"?>
<comments xmlns="http://schemas.openxmlformats.org/spreadsheetml/2006/main">
  <authors>
    <author>Vaidas</author>
    <author>Darius Bieksa</author>
  </authors>
  <commentList>
    <comment ref="M40" authorId="0">
      <text>
        <r>
          <rPr>
            <b/>
            <sz val="8"/>
            <rFont val="Tahoma"/>
            <family val="2"/>
          </rPr>
          <t>Vaidas:</t>
        </r>
        <r>
          <rPr>
            <sz val="8"/>
            <rFont val="Tahoma"/>
            <family val="2"/>
          </rPr>
          <t xml:space="preserve">
for 20 years</t>
        </r>
      </text>
    </comment>
    <comment ref="X17" authorId="1">
      <text>
        <r>
          <rPr>
            <b/>
            <sz val="8"/>
            <rFont val="Tahoma"/>
            <family val="2"/>
          </rPr>
          <t>Darius Bieksa:</t>
        </r>
        <r>
          <rPr>
            <sz val="8"/>
            <rFont val="Tahoma"/>
            <family val="2"/>
          </rPr>
          <t xml:space="preserve">
Fair value of the project is equal to 0. The decommisionig cost will be fully covered by the revenues from debris utilization</t>
        </r>
      </text>
    </comment>
  </commentList>
</comments>
</file>

<file path=xl/comments3.xml><?xml version="1.0" encoding="utf-8"?>
<comments xmlns="http://schemas.openxmlformats.org/spreadsheetml/2006/main">
  <authors>
    <author>Darius Bieksa</author>
  </authors>
  <commentList>
    <comment ref="X17" authorId="0">
      <text>
        <r>
          <rPr>
            <b/>
            <sz val="8"/>
            <rFont val="Tahoma"/>
            <family val="2"/>
          </rPr>
          <t>Darius Bieksa:</t>
        </r>
        <r>
          <rPr>
            <sz val="8"/>
            <rFont val="Tahoma"/>
            <family val="2"/>
          </rPr>
          <t xml:space="preserve">
Fair value of the project is equal to 0. The decommisionig cost will be fully covered by the revenues from debris utilization</t>
        </r>
      </text>
    </comment>
  </commentList>
</comments>
</file>

<file path=xl/comments5.xml><?xml version="1.0" encoding="utf-8"?>
<comments xmlns="http://schemas.openxmlformats.org/spreadsheetml/2006/main">
  <authors>
    <author>Vaidas</author>
  </authors>
  <commentList>
    <comment ref="N48" authorId="0">
      <text>
        <r>
          <rPr>
            <b/>
            <sz val="8"/>
            <rFont val="Tahoma"/>
            <family val="2"/>
          </rPr>
          <t>Vaidas:</t>
        </r>
        <r>
          <rPr>
            <sz val="8"/>
            <rFont val="Tahoma"/>
            <family val="2"/>
          </rPr>
          <t xml:space="preserve">
for 20 years</t>
        </r>
      </text>
    </comment>
    <comment ref="N60" authorId="0">
      <text>
        <r>
          <rPr>
            <b/>
            <sz val="8"/>
            <rFont val="Tahoma"/>
            <family val="2"/>
          </rPr>
          <t>Vaidas:</t>
        </r>
        <r>
          <rPr>
            <sz val="8"/>
            <rFont val="Tahoma"/>
            <family val="2"/>
          </rPr>
          <t xml:space="preserve">
for 20 years</t>
        </r>
      </text>
    </comment>
    <comment ref="N72" authorId="0">
      <text>
        <r>
          <rPr>
            <b/>
            <sz val="8"/>
            <rFont val="Tahoma"/>
            <family val="2"/>
          </rPr>
          <t>Vaidas:</t>
        </r>
        <r>
          <rPr>
            <sz val="8"/>
            <rFont val="Tahoma"/>
            <family val="2"/>
          </rPr>
          <t xml:space="preserve">
for 20 years</t>
        </r>
      </text>
    </comment>
    <comment ref="N84" authorId="0">
      <text>
        <r>
          <rPr>
            <b/>
            <sz val="8"/>
            <rFont val="Tahoma"/>
            <family val="2"/>
          </rPr>
          <t>Vaidas:</t>
        </r>
        <r>
          <rPr>
            <sz val="8"/>
            <rFont val="Tahoma"/>
            <family val="2"/>
          </rPr>
          <t xml:space="preserve">
for 20 years</t>
        </r>
      </text>
    </comment>
    <comment ref="N96" authorId="0">
      <text>
        <r>
          <rPr>
            <b/>
            <sz val="8"/>
            <rFont val="Tahoma"/>
            <family val="2"/>
          </rPr>
          <t>Vaidas:</t>
        </r>
        <r>
          <rPr>
            <sz val="8"/>
            <rFont val="Tahoma"/>
            <family val="2"/>
          </rPr>
          <t xml:space="preserve">
for 20 years</t>
        </r>
      </text>
    </comment>
    <comment ref="N108" authorId="0">
      <text>
        <r>
          <rPr>
            <b/>
            <sz val="8"/>
            <rFont val="Tahoma"/>
            <family val="2"/>
          </rPr>
          <t>Vaidas:</t>
        </r>
        <r>
          <rPr>
            <sz val="8"/>
            <rFont val="Tahoma"/>
            <family val="2"/>
          </rPr>
          <t xml:space="preserve">
for 20 years</t>
        </r>
      </text>
    </comment>
    <comment ref="N120" authorId="0">
      <text>
        <r>
          <rPr>
            <b/>
            <sz val="8"/>
            <rFont val="Tahoma"/>
            <family val="2"/>
          </rPr>
          <t>Vaidas:</t>
        </r>
        <r>
          <rPr>
            <sz val="8"/>
            <rFont val="Tahoma"/>
            <family val="2"/>
          </rPr>
          <t xml:space="preserve">
for 20 years</t>
        </r>
      </text>
    </comment>
    <comment ref="N130" authorId="0">
      <text>
        <r>
          <rPr>
            <b/>
            <sz val="8"/>
            <rFont val="Tahoma"/>
            <family val="2"/>
          </rPr>
          <t>Vaidas:</t>
        </r>
        <r>
          <rPr>
            <sz val="8"/>
            <rFont val="Tahoma"/>
            <family val="2"/>
          </rPr>
          <t xml:space="preserve">
for 20 years</t>
        </r>
      </text>
    </comment>
    <comment ref="N141" authorId="0">
      <text>
        <r>
          <rPr>
            <b/>
            <sz val="8"/>
            <rFont val="Tahoma"/>
            <family val="2"/>
          </rPr>
          <t>Vaidas:</t>
        </r>
        <r>
          <rPr>
            <sz val="8"/>
            <rFont val="Tahoma"/>
            <family val="2"/>
          </rPr>
          <t xml:space="preserve">
for 20 years</t>
        </r>
      </text>
    </comment>
    <comment ref="N152" authorId="0">
      <text>
        <r>
          <rPr>
            <b/>
            <sz val="8"/>
            <rFont val="Tahoma"/>
            <family val="2"/>
          </rPr>
          <t>Vaidas:</t>
        </r>
        <r>
          <rPr>
            <sz val="8"/>
            <rFont val="Tahoma"/>
            <family val="2"/>
          </rPr>
          <t xml:space="preserve">
for 20 years</t>
        </r>
      </text>
    </comment>
    <comment ref="N163" authorId="0">
      <text>
        <r>
          <rPr>
            <b/>
            <sz val="8"/>
            <rFont val="Tahoma"/>
            <family val="2"/>
          </rPr>
          <t>Vaidas:</t>
        </r>
        <r>
          <rPr>
            <sz val="8"/>
            <rFont val="Tahoma"/>
            <family val="2"/>
          </rPr>
          <t xml:space="preserve">
for 20 years</t>
        </r>
      </text>
    </comment>
    <comment ref="N174" authorId="0">
      <text>
        <r>
          <rPr>
            <b/>
            <sz val="8"/>
            <rFont val="Tahoma"/>
            <family val="2"/>
          </rPr>
          <t>Vaidas:</t>
        </r>
        <r>
          <rPr>
            <sz val="8"/>
            <rFont val="Tahoma"/>
            <family val="2"/>
          </rPr>
          <t xml:space="preserve">
for 20 years</t>
        </r>
      </text>
    </comment>
    <comment ref="N188" authorId="0">
      <text>
        <r>
          <rPr>
            <b/>
            <sz val="8"/>
            <rFont val="Tahoma"/>
            <family val="2"/>
          </rPr>
          <t>Vaidas:</t>
        </r>
        <r>
          <rPr>
            <sz val="8"/>
            <rFont val="Tahoma"/>
            <family val="2"/>
          </rPr>
          <t xml:space="preserve">
for 20 years</t>
        </r>
      </text>
    </comment>
    <comment ref="N199" authorId="0">
      <text>
        <r>
          <rPr>
            <b/>
            <sz val="8"/>
            <rFont val="Tahoma"/>
            <family val="2"/>
          </rPr>
          <t>Vaidas:</t>
        </r>
        <r>
          <rPr>
            <sz val="8"/>
            <rFont val="Tahoma"/>
            <family val="2"/>
          </rPr>
          <t xml:space="preserve">
for 20 years</t>
        </r>
      </text>
    </comment>
    <comment ref="N210" authorId="0">
      <text>
        <r>
          <rPr>
            <b/>
            <sz val="8"/>
            <rFont val="Tahoma"/>
            <family val="2"/>
          </rPr>
          <t>Vaidas:</t>
        </r>
        <r>
          <rPr>
            <sz val="8"/>
            <rFont val="Tahoma"/>
            <family val="2"/>
          </rPr>
          <t xml:space="preserve">
for 20 years</t>
        </r>
      </text>
    </comment>
  </commentList>
</comments>
</file>

<file path=xl/sharedStrings.xml><?xml version="1.0" encoding="utf-8"?>
<sst xmlns="http://schemas.openxmlformats.org/spreadsheetml/2006/main" count="397" uniqueCount="192">
  <si>
    <t>Total</t>
  </si>
  <si>
    <t>Land Lease</t>
  </si>
  <si>
    <t>Insurance</t>
  </si>
  <si>
    <t>Aministration</t>
  </si>
  <si>
    <t>Other</t>
  </si>
  <si>
    <t>Total operating expenses</t>
  </si>
  <si>
    <t>FINANCIAL EXPENSES</t>
  </si>
  <si>
    <t>OPERATING EXPENSES</t>
  </si>
  <si>
    <t>Interest payments</t>
  </si>
  <si>
    <t>Total financial expenses</t>
  </si>
  <si>
    <t xml:space="preserve">ERU price, EUR </t>
  </si>
  <si>
    <t>CO2 reductions, 2008-2012 tCO2</t>
  </si>
  <si>
    <t>total CO2 reductions, lifetime tCO2</t>
  </si>
  <si>
    <t>MWh</t>
  </si>
  <si>
    <t>tCO2</t>
  </si>
  <si>
    <t>Baseline scenario</t>
  </si>
  <si>
    <t>Lietuvos elektrine</t>
  </si>
  <si>
    <t>Project scenario</t>
  </si>
  <si>
    <t>CO2 reduction, tCO2</t>
  </si>
  <si>
    <t>IRR (before tax), without ERUs</t>
  </si>
  <si>
    <t>Baseline factor, t CO2/MWh</t>
  </si>
  <si>
    <t>Production, MWh</t>
  </si>
  <si>
    <t>Margin</t>
  </si>
  <si>
    <t>Payback time (incl ERUs)</t>
  </si>
  <si>
    <t>IRR (incl ERUs)</t>
  </si>
  <si>
    <t>ERU price, EUR</t>
  </si>
  <si>
    <t>Annual power production, KWh</t>
  </si>
  <si>
    <t>`</t>
  </si>
  <si>
    <t>Revenue from ERUs, EUR</t>
  </si>
  <si>
    <t>revenues in 2008-2012, EUR</t>
  </si>
  <si>
    <t>Revenue from power sales, EUR</t>
  </si>
  <si>
    <t>EARNINGS</t>
  </si>
  <si>
    <t>PRODUCTION</t>
  </si>
  <si>
    <t>REVENUE</t>
  </si>
  <si>
    <t>Wind turbines E-82 2 MW (6 units)</t>
  </si>
  <si>
    <t>Technology</t>
  </si>
  <si>
    <t>Construction</t>
  </si>
  <si>
    <t>Investment</t>
  </si>
  <si>
    <t>ERU price, LT</t>
  </si>
  <si>
    <t xml:space="preserve">Power price, EUR/KWh </t>
  </si>
  <si>
    <t>Revenue from power sales, Lt</t>
  </si>
  <si>
    <t>Revenue from ERUs, Lt</t>
  </si>
  <si>
    <t xml:space="preserve">Maintenance </t>
  </si>
  <si>
    <t xml:space="preserve">Basic </t>
  </si>
  <si>
    <t>Operation taxes</t>
  </si>
  <si>
    <t>EBITDA (with ERU's )</t>
  </si>
  <si>
    <t>EBITDA (without ERU's)</t>
  </si>
  <si>
    <t>Profit before tax, (with ERU's)</t>
  </si>
  <si>
    <t>Profit before  tax, (without ERUs)</t>
  </si>
  <si>
    <t>Payback time (with ERU's)</t>
  </si>
  <si>
    <t>Paback time (without ERU's)</t>
  </si>
  <si>
    <t>Average annual profit beffore tax (with ERU's)</t>
  </si>
  <si>
    <t>Average annual profit beffore tax (without ERU's)</t>
  </si>
  <si>
    <t>IRR (before tax), with ERUs</t>
  </si>
  <si>
    <t>revenues in 2008-2012, Lt</t>
  </si>
  <si>
    <t>DEPRECIATION</t>
  </si>
  <si>
    <t>EBITDA (with ERU's)</t>
  </si>
  <si>
    <t>Basic</t>
  </si>
  <si>
    <t>Profit before tax,  with ERUs</t>
  </si>
  <si>
    <t>Production, kWh</t>
  </si>
  <si>
    <t>Revenue from production, EUR</t>
  </si>
  <si>
    <t>Revenue from  ERU's, EUR</t>
  </si>
  <si>
    <t>Total revenues, EUR</t>
  </si>
  <si>
    <t>Average annual profit beffore tax (with ERU's), EUR</t>
  </si>
  <si>
    <t>Power production, kWh</t>
  </si>
  <si>
    <t>Start of the crediting period</t>
  </si>
  <si>
    <t>End of the crediting period</t>
  </si>
  <si>
    <t>Production, KWh</t>
  </si>
  <si>
    <t>Didsiliai WPP</t>
  </si>
  <si>
    <t xml:space="preserve">Power price, LTL/KWh </t>
  </si>
  <si>
    <t>Road construction</t>
  </si>
  <si>
    <t>Development permits (Projektavimas, tyrimai, leidimai statybai)</t>
  </si>
  <si>
    <t>Foundation</t>
  </si>
  <si>
    <t>Grid connection (kabelis, vystymas)</t>
  </si>
  <si>
    <t>Other, unspecified expenditures</t>
  </si>
  <si>
    <t>Grid connection fee (Pastote ir prijungimo mokestis)</t>
  </si>
  <si>
    <t>Maintenance (EPK (techninis aptarnavimas))</t>
  </si>
  <si>
    <t>Aministration (Administravimas ir kita)</t>
  </si>
  <si>
    <t>Operation taxes (pastotė, apsauga)</t>
  </si>
  <si>
    <t>Interest payments (paskolos 1/14 dalis+palūkanos)</t>
  </si>
  <si>
    <t>kg SO2/MWh</t>
  </si>
  <si>
    <t>kg NOx/MWh</t>
  </si>
  <si>
    <t>kg SO2</t>
  </si>
  <si>
    <t>kg NOx</t>
  </si>
  <si>
    <t xml:space="preserve">Other unspecified expenditures </t>
  </si>
  <si>
    <t>Forecast of power production in Lietuvos elektrine by COWI 2002</t>
  </si>
  <si>
    <t>Curency LTL/EUR</t>
  </si>
  <si>
    <t>Profit/loss acount</t>
  </si>
  <si>
    <t>Operating expenses</t>
  </si>
  <si>
    <t>EBITDA</t>
  </si>
  <si>
    <t>Depreciation</t>
  </si>
  <si>
    <t>EBIT</t>
  </si>
  <si>
    <t>Financial activities</t>
  </si>
  <si>
    <t>EBT</t>
  </si>
  <si>
    <t>Taxes</t>
  </si>
  <si>
    <t>Net Profit</t>
  </si>
  <si>
    <t>Revenue</t>
  </si>
  <si>
    <t>Current year depreciation</t>
  </si>
  <si>
    <t>Balance sheet</t>
  </si>
  <si>
    <t>ASSETS</t>
  </si>
  <si>
    <t>Fixed assets</t>
  </si>
  <si>
    <t>Long-term prepayments</t>
  </si>
  <si>
    <t>Short-term prepayments</t>
  </si>
  <si>
    <t>Cash</t>
  </si>
  <si>
    <t>EQUITY &amp; LIABILITIES</t>
  </si>
  <si>
    <t>EQUITY</t>
  </si>
  <si>
    <t>Share capital</t>
  </si>
  <si>
    <t>Initial "capital"</t>
  </si>
  <si>
    <t>Retained earnings</t>
  </si>
  <si>
    <t>Current year profit</t>
  </si>
  <si>
    <t>Previous years profit</t>
  </si>
  <si>
    <t>LIABILITIES</t>
  </si>
  <si>
    <t>Long-term loans</t>
  </si>
  <si>
    <t>Short-term part of long-term loan</t>
  </si>
  <si>
    <t>Depriciation</t>
  </si>
  <si>
    <t>Total investments</t>
  </si>
  <si>
    <t>Depreciation (years)</t>
  </si>
  <si>
    <t>Accumulated depreciation</t>
  </si>
  <si>
    <t>Value at the end of year</t>
  </si>
  <si>
    <t>thousand EUR</t>
  </si>
  <si>
    <t xml:space="preserve">Total external financing </t>
  </si>
  <si>
    <t>Loan</t>
  </si>
  <si>
    <t>Total loan</t>
  </si>
  <si>
    <t>Number of periods / period number</t>
  </si>
  <si>
    <t>Loan at the beginning of the year</t>
  </si>
  <si>
    <t>Total repayment (principal + interest)</t>
  </si>
  <si>
    <t>Principal repayment</t>
  </si>
  <si>
    <t>Loan at the end of the year</t>
  </si>
  <si>
    <t>Interest</t>
  </si>
  <si>
    <t>Interest rate</t>
  </si>
  <si>
    <t>Interest rate (for external financing)</t>
  </si>
  <si>
    <t>Own capital/Initial capital (thousand EUR)</t>
  </si>
  <si>
    <t>Cash flow statement</t>
  </si>
  <si>
    <t>Operating</t>
  </si>
  <si>
    <t>Investing:</t>
  </si>
  <si>
    <t>Financing:</t>
  </si>
  <si>
    <t>Total cash flow:</t>
  </si>
  <si>
    <t>Cash at the beginning of the year</t>
  </si>
  <si>
    <t>Cash at the end of the year</t>
  </si>
  <si>
    <t xml:space="preserve">   Net profit</t>
  </si>
  <si>
    <t xml:space="preserve">   Depreciation</t>
  </si>
  <si>
    <t xml:space="preserve">  Investments into tangible assets</t>
  </si>
  <si>
    <t xml:space="preserve">  Raising of external financing </t>
  </si>
  <si>
    <t xml:space="preserve">  Repayment of loan</t>
  </si>
  <si>
    <t>1000 LTL</t>
  </si>
  <si>
    <t>1000 EUR</t>
  </si>
  <si>
    <t>Grynieji metų pabaigoje</t>
  </si>
  <si>
    <t>Fair value of the project  at the final project year</t>
  </si>
  <si>
    <t>- the cost for the dismantling of the wind turbine will be equal to the value of the debris. In this case no additional cost will acquire as the debris utilization will compensate decommissioning costs</t>
  </si>
  <si>
    <t>thousand LTL</t>
  </si>
  <si>
    <t>Operation and Maintenance cost (thousand EUR)</t>
  </si>
  <si>
    <t>year 1-5</t>
  </si>
  <si>
    <t>year 6-12</t>
  </si>
  <si>
    <t>year 12-20</t>
  </si>
  <si>
    <t>Maintenance</t>
  </si>
  <si>
    <t>Administration</t>
  </si>
  <si>
    <t>Total cost</t>
  </si>
  <si>
    <t xml:space="preserve">- O&amp;M cost are extracted from the actual 30 MW wind power park operation practice.  </t>
  </si>
  <si>
    <t>Corporate tax (with ERU's)</t>
  </si>
  <si>
    <t>Corporate tax (without ERU's)</t>
  </si>
  <si>
    <t>Corporate tax</t>
  </si>
  <si>
    <t>IRR (on equity), with ERUs</t>
  </si>
  <si>
    <t>IRR (on equity), without ERUs</t>
  </si>
  <si>
    <t>IRR, with ERUs</t>
  </si>
  <si>
    <t>IRR, without ERUs</t>
  </si>
  <si>
    <t>Average annual profit (with ERU's)</t>
  </si>
  <si>
    <t>Average annual profit (without ERU's)</t>
  </si>
  <si>
    <t>Profit, without ERUs</t>
  </si>
  <si>
    <t>Profit,  with ERUs</t>
  </si>
  <si>
    <t>BASIC</t>
  </si>
  <si>
    <t>Electricity price, EUR/kWh</t>
  </si>
  <si>
    <t>IRT (incl ERUs)</t>
  </si>
  <si>
    <t>Pay back time (incl Ers)</t>
  </si>
  <si>
    <t>Life time  of the project</t>
  </si>
  <si>
    <t>Sale price of the electricity, EUR/kWh</t>
  </si>
  <si>
    <t>Sale price of the ERUs, EUR</t>
  </si>
  <si>
    <t>- investements are estimated according to actual the contracts price</t>
  </si>
  <si>
    <t>Sensitivity analisis  range</t>
  </si>
  <si>
    <t>- electricity price (feed-in tariff) is legally assured till the year 2020</t>
  </si>
  <si>
    <t>-30% to +30%</t>
  </si>
  <si>
    <r>
      <t xml:space="preserve">- sensitivity analysis was performed for possible variables flactuations: </t>
    </r>
    <r>
      <rPr>
        <b/>
        <i/>
        <sz val="10"/>
        <rFont val="Calibri"/>
        <family val="2"/>
      </rPr>
      <t>power production, ERUs</t>
    </r>
    <r>
      <rPr>
        <i/>
        <sz val="10"/>
        <rFont val="Calibri"/>
        <family val="2"/>
      </rPr>
      <t xml:space="preserve"> </t>
    </r>
    <r>
      <rPr>
        <sz val="10"/>
        <rFont val="Calibri"/>
        <family val="2"/>
      </rPr>
      <t xml:space="preserve">and </t>
    </r>
    <r>
      <rPr>
        <b/>
        <i/>
        <sz val="10"/>
        <rFont val="Calibri"/>
        <family val="2"/>
      </rPr>
      <t>power price (analysis from -30% to current price)</t>
    </r>
  </si>
  <si>
    <t>- the value interest rate was provided by the client</t>
  </si>
  <si>
    <t>Benchmark interest rate</t>
  </si>
  <si>
    <t>- benchmark is taken as the average interest for 6 months deposits in Lithuaniathe. Presented Lithuanian bank data can be viewed folowing the link: http://www.lb.lt/stat_pub/statbrowser.aspx?group=7280&amp;lang=lt (value of 2008 June)</t>
  </si>
  <si>
    <r>
      <t xml:space="preserve">- the life time of the wind power park is derived from common practice, scource: </t>
    </r>
    <r>
      <rPr>
        <b/>
        <i/>
        <sz val="10"/>
        <rFont val="Calibri"/>
        <family val="2"/>
      </rPr>
      <t xml:space="preserve">Danish energy Authority, Eklraft, Eltra. Technology data for electricity and heat generating plants. 2005. ISBN: 87-7844-502-7 </t>
    </r>
    <r>
      <rPr>
        <sz val="10"/>
        <rFont val="Calibri"/>
        <family val="2"/>
      </rPr>
      <t>link: http://www.energinet.dk/NR/rdonlyres/4F6480DC-207B-41CF-8E54-BF0BA82926D7/0/Teknologikatalog050311.pdf</t>
    </r>
  </si>
  <si>
    <t>- ERU price was set by the consultants deriving from the historical prices of allowances under the EU ETS, available at the poincarbon.com, and taking into account the tendency that  EUA price is usually higher than ERU price</t>
  </si>
  <si>
    <t>none</t>
  </si>
  <si>
    <t xml:space="preserve">Asumpt., which constitutes  &lt; 20%, but have material impact </t>
  </si>
  <si>
    <t>- thera no additional assumptions, which constitute less than 20%, but have material impact on the sensitivity analysis.</t>
  </si>
  <si>
    <t>Electricity price, EUR</t>
  </si>
  <si>
    <t>IRR (excl ERUs)</t>
  </si>
  <si>
    <t>Profit before tax,  without ERUs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</si>
</sst>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
    <numFmt numFmtId="168" formatCode="0.000%"/>
    <numFmt numFmtId="169" formatCode="#,##0.0000"/>
    <numFmt numFmtId="170" formatCode="#,##0.000"/>
  </numFmts>
  <fonts count="43">
    <font>
      <sz val="10"/>
      <name val="Arial"/>
      <family val="0"/>
    </font>
    <font>
      <sz val="11"/>
      <color indexed="8"/>
      <name val="Calibri"/>
      <family val="2"/>
    </font>
    <font>
      <sz val="8"/>
      <name val="Arial"/>
      <family val="2"/>
    </font>
    <font>
      <b/>
      <sz val="8"/>
      <name val="Arial"/>
      <family val="2"/>
    </font>
    <font>
      <sz val="8"/>
      <name val="Tahoma"/>
      <family val="2"/>
    </font>
    <font>
      <b/>
      <sz val="8"/>
      <name val="Tahoma"/>
      <family val="2"/>
    </font>
    <font>
      <sz val="8"/>
      <color indexed="9"/>
      <name val="Arial"/>
      <family val="2"/>
    </font>
    <font>
      <b/>
      <sz val="8"/>
      <color indexed="10"/>
      <name val="Arial"/>
      <family val="2"/>
    </font>
    <font>
      <sz val="8"/>
      <color indexed="10"/>
      <name val="Arial"/>
      <family val="2"/>
    </font>
    <font>
      <b/>
      <sz val="10"/>
      <name val="Arial"/>
      <family val="2"/>
    </font>
    <font>
      <b/>
      <sz val="8"/>
      <name val="Times New Roman"/>
      <family val="1"/>
    </font>
    <font>
      <sz val="8"/>
      <name val="Times New Roman"/>
      <family val="1"/>
    </font>
    <font>
      <sz val="10"/>
      <color indexed="14"/>
      <name val="Arial"/>
      <family val="2"/>
    </font>
    <font>
      <sz val="8"/>
      <color indexed="14"/>
      <name val="Arial"/>
      <family val="2"/>
    </font>
    <font>
      <sz val="8"/>
      <color indexed="57"/>
      <name val="Arial"/>
      <family val="2"/>
    </font>
    <font>
      <sz val="10"/>
      <color indexed="57"/>
      <name val="Arial"/>
      <family val="2"/>
    </font>
    <font>
      <b/>
      <sz val="8"/>
      <color indexed="9"/>
      <name val="Arial"/>
      <family val="2"/>
    </font>
    <font>
      <sz val="8"/>
      <color indexed="8"/>
      <name val="Arial"/>
      <family val="2"/>
    </font>
    <font>
      <sz val="8"/>
      <color indexed="8"/>
      <name val="Calibri"/>
      <family val="2"/>
    </font>
    <font>
      <b/>
      <sz val="8"/>
      <color indexed="9"/>
      <name val="Calibri"/>
      <family val="2"/>
    </font>
    <font>
      <sz val="10"/>
      <color indexed="9"/>
      <name val="Arial"/>
      <family val="2"/>
    </font>
    <font>
      <sz val="10"/>
      <name val="Calibri"/>
      <family val="2"/>
    </font>
    <font>
      <i/>
      <sz val="10"/>
      <name val="Calibri"/>
      <family val="2"/>
    </font>
    <font>
      <b/>
      <i/>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9.2"/>
      <color indexed="8"/>
      <name val="Arial"/>
      <family val="0"/>
    </font>
    <font>
      <b/>
      <sz val="10"/>
      <color indexed="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5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bottom/>
    </border>
    <border>
      <left style="medium"/>
      <right/>
      <top style="medium"/>
      <bottom/>
    </border>
    <border>
      <left/>
      <right/>
      <top style="medium"/>
      <bottom/>
    </border>
    <border>
      <left/>
      <right style="medium"/>
      <top style="medium"/>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bottom style="double"/>
    </border>
    <border>
      <left/>
      <right/>
      <top/>
      <bottom style="double"/>
    </border>
    <border>
      <left/>
      <right/>
      <top style="thin"/>
      <bottom style="thin"/>
    </border>
    <border>
      <left/>
      <right/>
      <top style="medium"/>
      <bottom style="thin"/>
    </border>
    <border>
      <left style="thin"/>
      <right style="thin"/>
      <top style="thin"/>
      <bottom style="thin"/>
    </border>
    <border>
      <left style="thin"/>
      <right/>
      <top style="medium"/>
      <bottom style="thin"/>
    </border>
    <border>
      <left/>
      <right/>
      <top style="thin"/>
      <bottom style="double"/>
    </border>
    <border>
      <left style="thin"/>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2" fillId="0" borderId="10" xfId="0" applyFont="1" applyBorder="1" applyAlignment="1">
      <alignment/>
    </xf>
    <xf numFmtId="0" fontId="3" fillId="0" borderId="10" xfId="0" applyFont="1" applyBorder="1" applyAlignment="1">
      <alignment/>
    </xf>
    <xf numFmtId="3" fontId="2" fillId="0" borderId="0" xfId="0" applyNumberFormat="1" applyFont="1" applyAlignment="1">
      <alignment/>
    </xf>
    <xf numFmtId="0" fontId="6" fillId="0" borderId="10" xfId="0" applyFont="1" applyBorder="1" applyAlignment="1">
      <alignment/>
    </xf>
    <xf numFmtId="1" fontId="6" fillId="0" borderId="10" xfId="0" applyNumberFormat="1" applyFont="1" applyBorder="1" applyAlignment="1">
      <alignment/>
    </xf>
    <xf numFmtId="0" fontId="8" fillId="0" borderId="0" xfId="0" applyFont="1" applyAlignment="1">
      <alignment/>
    </xf>
    <xf numFmtId="3" fontId="8" fillId="0" borderId="0" xfId="0" applyNumberFormat="1" applyFont="1" applyAlignment="1">
      <alignment/>
    </xf>
    <xf numFmtId="0" fontId="9" fillId="0" borderId="0" xfId="0" applyFont="1" applyAlignment="1">
      <alignment/>
    </xf>
    <xf numFmtId="3" fontId="0" fillId="0" borderId="0" xfId="0" applyNumberFormat="1" applyAlignment="1">
      <alignment/>
    </xf>
    <xf numFmtId="3" fontId="9" fillId="0" borderId="0" xfId="0" applyNumberFormat="1" applyFont="1" applyAlignment="1">
      <alignment/>
    </xf>
    <xf numFmtId="3" fontId="2" fillId="0" borderId="0" xfId="0" applyNumberFormat="1" applyFont="1" applyAlignment="1">
      <alignment/>
    </xf>
    <xf numFmtId="9" fontId="0" fillId="0" borderId="0" xfId="0" applyNumberFormat="1" applyAlignment="1">
      <alignment/>
    </xf>
    <xf numFmtId="3" fontId="0" fillId="0" borderId="0" xfId="0" applyNumberFormat="1" applyFont="1" applyAlignment="1">
      <alignment/>
    </xf>
    <xf numFmtId="10" fontId="0" fillId="0" borderId="0" xfId="0" applyNumberFormat="1" applyAlignment="1">
      <alignment/>
    </xf>
    <xf numFmtId="2" fontId="0" fillId="0" borderId="0" xfId="0" applyNumberFormat="1" applyAlignment="1">
      <alignment/>
    </xf>
    <xf numFmtId="0" fontId="0" fillId="0" borderId="0" xfId="0" applyFont="1" applyAlignment="1">
      <alignment/>
    </xf>
    <xf numFmtId="9" fontId="2" fillId="0" borderId="0" xfId="0" applyNumberFormat="1" applyFont="1" applyAlignment="1">
      <alignment/>
    </xf>
    <xf numFmtId="0" fontId="2" fillId="0" borderId="0" xfId="0" applyFont="1" applyAlignment="1">
      <alignment/>
    </xf>
    <xf numFmtId="0" fontId="3" fillId="0" borderId="0" xfId="0" applyFont="1" applyAlignment="1">
      <alignment/>
    </xf>
    <xf numFmtId="3" fontId="2" fillId="0" borderId="10" xfId="0" applyNumberFormat="1" applyFont="1" applyBorder="1" applyAlignment="1">
      <alignment/>
    </xf>
    <xf numFmtId="165" fontId="2" fillId="0" borderId="0" xfId="0" applyNumberFormat="1" applyFont="1" applyAlignment="1">
      <alignment/>
    </xf>
    <xf numFmtId="2" fontId="2" fillId="0" borderId="0" xfId="0" applyNumberFormat="1" applyFont="1" applyAlignment="1">
      <alignment/>
    </xf>
    <xf numFmtId="3" fontId="2" fillId="0" borderId="0" xfId="0" applyNumberFormat="1" applyFont="1" applyFill="1" applyAlignment="1">
      <alignment/>
    </xf>
    <xf numFmtId="3" fontId="3" fillId="0" borderId="10" xfId="0" applyNumberFormat="1" applyFont="1" applyBorder="1" applyAlignment="1">
      <alignment/>
    </xf>
    <xf numFmtId="0" fontId="7" fillId="0" borderId="0" xfId="0" applyFont="1" applyAlignment="1">
      <alignment horizontal="left"/>
    </xf>
    <xf numFmtId="10" fontId="7" fillId="0" borderId="0" xfId="0" applyNumberFormat="1" applyFont="1" applyAlignment="1">
      <alignment horizontal="right"/>
    </xf>
    <xf numFmtId="9" fontId="2" fillId="0" borderId="0" xfId="0" applyNumberFormat="1" applyFont="1" applyFill="1" applyAlignment="1">
      <alignment/>
    </xf>
    <xf numFmtId="3" fontId="8" fillId="0" borderId="0" xfId="0" applyNumberFormat="1" applyFont="1" applyFill="1" applyAlignment="1">
      <alignment/>
    </xf>
    <xf numFmtId="0" fontId="3" fillId="0" borderId="0" xfId="0" applyFont="1" applyBorder="1" applyAlignment="1">
      <alignment/>
    </xf>
    <xf numFmtId="3" fontId="3"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66" fontId="2" fillId="0" borderId="0" xfId="0" applyNumberFormat="1" applyFont="1" applyAlignment="1">
      <alignment horizontal="right"/>
    </xf>
    <xf numFmtId="9" fontId="7" fillId="0" borderId="0" xfId="0" applyNumberFormat="1" applyFont="1" applyBorder="1" applyAlignment="1">
      <alignment/>
    </xf>
    <xf numFmtId="0" fontId="7" fillId="0" borderId="10" xfId="0" applyFont="1" applyBorder="1" applyAlignment="1">
      <alignment horizontal="left"/>
    </xf>
    <xf numFmtId="10" fontId="7" fillId="0" borderId="10" xfId="0" applyNumberFormat="1" applyFont="1" applyBorder="1" applyAlignment="1">
      <alignment horizontal="right"/>
    </xf>
    <xf numFmtId="9" fontId="0"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66" fontId="0" fillId="0" borderId="0" xfId="0" applyNumberFormat="1" applyAlignment="1">
      <alignment/>
    </xf>
    <xf numFmtId="166" fontId="0" fillId="0" borderId="0" xfId="0" applyNumberFormat="1" applyFont="1" applyAlignment="1">
      <alignment/>
    </xf>
    <xf numFmtId="164" fontId="0" fillId="0" borderId="0" xfId="0" applyNumberFormat="1" applyFont="1" applyAlignment="1">
      <alignment/>
    </xf>
    <xf numFmtId="164" fontId="2" fillId="0" borderId="0" xfId="0" applyNumberFormat="1" applyFont="1" applyAlignment="1">
      <alignment/>
    </xf>
    <xf numFmtId="3" fontId="7" fillId="0" borderId="0" xfId="0" applyNumberFormat="1" applyFont="1" applyAlignment="1">
      <alignment/>
    </xf>
    <xf numFmtId="3" fontId="12" fillId="0" borderId="0" xfId="0" applyNumberFormat="1" applyFont="1" applyAlignment="1">
      <alignment/>
    </xf>
    <xf numFmtId="3" fontId="14" fillId="24" borderId="0" xfId="0" applyNumberFormat="1" applyFont="1" applyFill="1" applyAlignment="1">
      <alignment/>
    </xf>
    <xf numFmtId="0" fontId="14" fillId="24" borderId="0" xfId="0" applyFont="1" applyFill="1" applyAlignment="1">
      <alignment/>
    </xf>
    <xf numFmtId="0" fontId="15" fillId="0" borderId="0" xfId="0" applyFont="1" applyAlignment="1">
      <alignment/>
    </xf>
    <xf numFmtId="9" fontId="12" fillId="0" borderId="0" xfId="0" applyNumberFormat="1" applyFont="1" applyFill="1" applyAlignment="1">
      <alignment/>
    </xf>
    <xf numFmtId="3" fontId="15" fillId="0" borderId="0" xfId="0" applyNumberFormat="1" applyFont="1" applyAlignment="1">
      <alignment/>
    </xf>
    <xf numFmtId="3" fontId="2" fillId="0" borderId="0" xfId="0" applyNumberFormat="1" applyFont="1" applyBorder="1" applyAlignment="1">
      <alignment/>
    </xf>
    <xf numFmtId="3" fontId="2" fillId="0" borderId="11" xfId="0" applyNumberFormat="1" applyFont="1" applyBorder="1" applyAlignment="1">
      <alignment/>
    </xf>
    <xf numFmtId="3" fontId="2" fillId="0" borderId="12" xfId="0" applyNumberFormat="1" applyFont="1" applyBorder="1" applyAlignment="1">
      <alignment/>
    </xf>
    <xf numFmtId="0" fontId="14" fillId="0" borderId="0" xfId="0" applyFont="1" applyAlignment="1">
      <alignment/>
    </xf>
    <xf numFmtId="2" fontId="2" fillId="0" borderId="0" xfId="0" applyNumberFormat="1" applyFont="1" applyAlignment="1">
      <alignment horizontal="right"/>
    </xf>
    <xf numFmtId="9" fontId="13" fillId="25" borderId="0" xfId="0" applyNumberFormat="1" applyFont="1" applyFill="1" applyAlignment="1">
      <alignment/>
    </xf>
    <xf numFmtId="4" fontId="2" fillId="0" borderId="0" xfId="0" applyNumberFormat="1" applyFont="1" applyAlignment="1">
      <alignment/>
    </xf>
    <xf numFmtId="170" fontId="2" fillId="0" borderId="0" xfId="0" applyNumberFormat="1" applyFont="1" applyAlignment="1">
      <alignment/>
    </xf>
    <xf numFmtId="3" fontId="3" fillId="0" borderId="0" xfId="0" applyNumberFormat="1" applyFont="1" applyAlignment="1">
      <alignment horizontal="center"/>
    </xf>
    <xf numFmtId="1" fontId="2" fillId="0" borderId="0" xfId="0" applyNumberFormat="1" applyFont="1" applyAlignment="1">
      <alignment/>
    </xf>
    <xf numFmtId="1" fontId="2" fillId="0" borderId="0" xfId="0" applyNumberFormat="1" applyFont="1" applyBorder="1" applyAlignment="1">
      <alignment/>
    </xf>
    <xf numFmtId="1" fontId="2" fillId="0" borderId="10" xfId="0" applyNumberFormat="1" applyFont="1" applyBorder="1" applyAlignment="1">
      <alignment/>
    </xf>
    <xf numFmtId="0" fontId="6" fillId="0" borderId="0" xfId="0" applyFont="1" applyFill="1" applyAlignment="1">
      <alignment/>
    </xf>
    <xf numFmtId="0" fontId="2" fillId="0" borderId="0" xfId="0" applyFont="1" applyFill="1" applyAlignment="1">
      <alignment/>
    </xf>
    <xf numFmtId="0" fontId="16" fillId="26" borderId="13" xfId="0" applyFont="1" applyFill="1" applyBorder="1" applyAlignment="1">
      <alignment/>
    </xf>
    <xf numFmtId="0" fontId="16" fillId="26" borderId="14" xfId="0" applyFont="1" applyFill="1" applyBorder="1" applyAlignment="1">
      <alignment/>
    </xf>
    <xf numFmtId="0" fontId="16" fillId="26" borderId="15" xfId="0" applyFont="1" applyFill="1" applyBorder="1" applyAlignment="1">
      <alignment/>
    </xf>
    <xf numFmtId="0" fontId="6" fillId="27" borderId="16" xfId="0" applyFont="1" applyFill="1" applyBorder="1" applyAlignment="1">
      <alignment/>
    </xf>
    <xf numFmtId="1" fontId="2" fillId="0" borderId="11" xfId="0" applyNumberFormat="1" applyFont="1" applyBorder="1" applyAlignment="1">
      <alignment/>
    </xf>
    <xf numFmtId="1" fontId="2" fillId="0" borderId="17" xfId="0" applyNumberFormat="1" applyFont="1" applyBorder="1" applyAlignment="1">
      <alignment/>
    </xf>
    <xf numFmtId="0" fontId="6" fillId="27" borderId="18" xfId="0" applyFont="1" applyFill="1" applyBorder="1" applyAlignment="1">
      <alignment/>
    </xf>
    <xf numFmtId="1" fontId="2" fillId="0" borderId="12" xfId="0" applyNumberFormat="1" applyFont="1" applyBorder="1" applyAlignment="1">
      <alignment/>
    </xf>
    <xf numFmtId="0" fontId="6" fillId="27" borderId="19" xfId="0" applyFont="1" applyFill="1" applyBorder="1" applyAlignment="1">
      <alignment/>
    </xf>
    <xf numFmtId="1" fontId="2" fillId="0" borderId="20" xfId="0" applyNumberFormat="1" applyFont="1" applyBorder="1" applyAlignment="1">
      <alignment/>
    </xf>
    <xf numFmtId="0" fontId="16" fillId="26" borderId="0" xfId="0" applyFont="1" applyFill="1" applyAlignment="1">
      <alignment/>
    </xf>
    <xf numFmtId="3" fontId="11" fillId="0" borderId="0" xfId="0" applyNumberFormat="1" applyFont="1" applyFill="1" applyBorder="1" applyAlignment="1">
      <alignment/>
    </xf>
    <xf numFmtId="3" fontId="11" fillId="0" borderId="0" xfId="0" applyNumberFormat="1" applyFont="1" applyFill="1" applyBorder="1" applyAlignment="1">
      <alignment/>
    </xf>
    <xf numFmtId="0" fontId="10" fillId="0" borderId="0" xfId="0" applyFont="1" applyFill="1" applyBorder="1" applyAlignment="1">
      <alignment horizontal="center"/>
    </xf>
    <xf numFmtId="3" fontId="10" fillId="0" borderId="0" xfId="0" applyNumberFormat="1" applyFont="1" applyFill="1" applyBorder="1" applyAlignment="1">
      <alignment/>
    </xf>
    <xf numFmtId="0" fontId="13" fillId="0" borderId="0" xfId="0" applyFont="1" applyAlignment="1">
      <alignment/>
    </xf>
    <xf numFmtId="3" fontId="10" fillId="0" borderId="0" xfId="0" applyNumberFormat="1" applyFont="1" applyFill="1" applyBorder="1" applyAlignment="1">
      <alignment/>
    </xf>
    <xf numFmtId="0" fontId="0" fillId="0" borderId="0" xfId="0" applyBorder="1" applyAlignment="1">
      <alignment/>
    </xf>
    <xf numFmtId="0" fontId="2" fillId="0" borderId="0" xfId="0" applyFont="1" applyFill="1" applyBorder="1" applyAlignment="1">
      <alignment/>
    </xf>
    <xf numFmtId="169" fontId="3" fillId="0" borderId="0" xfId="0" applyNumberFormat="1" applyFont="1" applyAlignment="1">
      <alignment/>
    </xf>
    <xf numFmtId="9" fontId="3" fillId="0" borderId="0" xfId="57" applyFont="1" applyAlignment="1">
      <alignment/>
    </xf>
    <xf numFmtId="1" fontId="2" fillId="0" borderId="16" xfId="0" applyNumberFormat="1" applyFont="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2" xfId="0" applyFont="1" applyBorder="1" applyAlignment="1">
      <alignment/>
    </xf>
    <xf numFmtId="1" fontId="2" fillId="0" borderId="18" xfId="0" applyNumberFormat="1" applyFont="1" applyBorder="1" applyAlignment="1">
      <alignment/>
    </xf>
    <xf numFmtId="167" fontId="2" fillId="0" borderId="19" xfId="57" applyNumberFormat="1" applyFont="1" applyBorder="1" applyAlignment="1">
      <alignment/>
    </xf>
    <xf numFmtId="167" fontId="2" fillId="0" borderId="10" xfId="0" applyNumberFormat="1" applyFont="1" applyBorder="1" applyAlignment="1">
      <alignment/>
    </xf>
    <xf numFmtId="167" fontId="2" fillId="0" borderId="20" xfId="0" applyNumberFormat="1" applyFont="1" applyBorder="1" applyAlignment="1">
      <alignment/>
    </xf>
    <xf numFmtId="0" fontId="6" fillId="27" borderId="21" xfId="0" applyFont="1" applyFill="1" applyBorder="1" applyAlignment="1">
      <alignment/>
    </xf>
    <xf numFmtId="0" fontId="6" fillId="27" borderId="22" xfId="0" applyFont="1" applyFill="1" applyBorder="1" applyAlignment="1">
      <alignment/>
    </xf>
    <xf numFmtId="0" fontId="6" fillId="27" borderId="23" xfId="0" applyFont="1" applyFill="1" applyBorder="1" applyAlignment="1">
      <alignment/>
    </xf>
    <xf numFmtId="0" fontId="6" fillId="27" borderId="23" xfId="0" applyFont="1" applyFill="1" applyBorder="1" applyAlignment="1">
      <alignment/>
    </xf>
    <xf numFmtId="0" fontId="16" fillId="27" borderId="21" xfId="0" applyFont="1" applyFill="1" applyBorder="1" applyAlignment="1">
      <alignment/>
    </xf>
    <xf numFmtId="0" fontId="6" fillId="27" borderId="22" xfId="0" applyFont="1" applyFill="1" applyBorder="1" applyAlignment="1">
      <alignment horizontal="left" indent="1"/>
    </xf>
    <xf numFmtId="167" fontId="3" fillId="0" borderId="0" xfId="57" applyNumberFormat="1" applyFont="1" applyAlignment="1">
      <alignment/>
    </xf>
    <xf numFmtId="1" fontId="3" fillId="0" borderId="0" xfId="57" applyNumberFormat="1" applyFont="1" applyAlignment="1">
      <alignment/>
    </xf>
    <xf numFmtId="3" fontId="2" fillId="0" borderId="18" xfId="0" applyNumberFormat="1" applyFont="1" applyBorder="1" applyAlignment="1">
      <alignment/>
    </xf>
    <xf numFmtId="1" fontId="17" fillId="24" borderId="18" xfId="0" applyNumberFormat="1" applyFont="1" applyFill="1" applyBorder="1" applyAlignment="1">
      <alignment/>
    </xf>
    <xf numFmtId="3" fontId="2" fillId="0" borderId="19" xfId="0" applyNumberFormat="1" applyFont="1" applyBorder="1" applyAlignment="1">
      <alignment/>
    </xf>
    <xf numFmtId="3" fontId="2" fillId="0" borderId="20" xfId="0" applyNumberFormat="1" applyFont="1" applyBorder="1" applyAlignment="1">
      <alignment/>
    </xf>
    <xf numFmtId="1" fontId="3" fillId="10" borderId="16" xfId="0" applyNumberFormat="1" applyFont="1" applyFill="1" applyBorder="1" applyAlignment="1">
      <alignment/>
    </xf>
    <xf numFmtId="1" fontId="3" fillId="10" borderId="11" xfId="0" applyNumberFormat="1" applyFont="1" applyFill="1" applyBorder="1" applyAlignment="1">
      <alignment/>
    </xf>
    <xf numFmtId="1" fontId="3" fillId="10" borderId="17" xfId="0" applyNumberFormat="1" applyFont="1" applyFill="1" applyBorder="1" applyAlignment="1">
      <alignment/>
    </xf>
    <xf numFmtId="1" fontId="2" fillId="0" borderId="0" xfId="0" applyNumberFormat="1" applyFont="1" applyFill="1" applyBorder="1" applyAlignment="1">
      <alignment/>
    </xf>
    <xf numFmtId="1" fontId="3" fillId="0" borderId="0" xfId="0" applyNumberFormat="1" applyFont="1" applyFill="1" applyBorder="1" applyAlignment="1">
      <alignment/>
    </xf>
    <xf numFmtId="0" fontId="18" fillId="0" borderId="0" xfId="0" applyFont="1" applyFill="1" applyAlignment="1">
      <alignment/>
    </xf>
    <xf numFmtId="3" fontId="18" fillId="0" borderId="0" xfId="0" applyNumberFormat="1" applyFont="1" applyFill="1" applyAlignment="1">
      <alignment/>
    </xf>
    <xf numFmtId="0" fontId="17" fillId="0" borderId="0" xfId="0" applyFont="1" applyFill="1" applyAlignment="1">
      <alignment/>
    </xf>
    <xf numFmtId="0" fontId="18" fillId="0" borderId="0" xfId="0" applyFont="1" applyFill="1" applyAlignment="1">
      <alignment horizontal="right"/>
    </xf>
    <xf numFmtId="0" fontId="18" fillId="0" borderId="0" xfId="0" applyFont="1" applyFill="1" applyBorder="1" applyAlignment="1">
      <alignment/>
    </xf>
    <xf numFmtId="0" fontId="18" fillId="0" borderId="0" xfId="0" applyFont="1" applyFill="1" applyAlignment="1">
      <alignment horizontal="left"/>
    </xf>
    <xf numFmtId="3" fontId="18" fillId="0" borderId="0" xfId="0" applyNumberFormat="1" applyFont="1" applyFill="1" applyAlignment="1">
      <alignment/>
    </xf>
    <xf numFmtId="0" fontId="18" fillId="0" borderId="0" xfId="0" applyFont="1" applyFill="1" applyAlignment="1">
      <alignment horizontal="left" indent="2"/>
    </xf>
    <xf numFmtId="1" fontId="18" fillId="0" borderId="0" xfId="0" applyNumberFormat="1" applyFont="1" applyFill="1" applyAlignment="1">
      <alignment/>
    </xf>
    <xf numFmtId="1" fontId="18" fillId="0" borderId="0" xfId="0" applyNumberFormat="1" applyFont="1" applyFill="1" applyBorder="1" applyAlignment="1">
      <alignment/>
    </xf>
    <xf numFmtId="1" fontId="18" fillId="0" borderId="0" xfId="0" applyNumberFormat="1" applyFont="1" applyFill="1" applyBorder="1" applyAlignment="1">
      <alignment horizontal="right"/>
    </xf>
    <xf numFmtId="1" fontId="18" fillId="0" borderId="0" xfId="0" applyNumberFormat="1" applyFont="1" applyFill="1" applyAlignment="1">
      <alignment horizontal="right"/>
    </xf>
    <xf numFmtId="0" fontId="18" fillId="0" borderId="0" xfId="0" applyNumberFormat="1" applyFont="1" applyFill="1" applyAlignment="1">
      <alignment horizontal="right"/>
    </xf>
    <xf numFmtId="0" fontId="16" fillId="27" borderId="16" xfId="0" applyFont="1" applyFill="1" applyBorder="1" applyAlignment="1">
      <alignment/>
    </xf>
    <xf numFmtId="1" fontId="3" fillId="10" borderId="19" xfId="0" applyNumberFormat="1" applyFont="1" applyFill="1" applyBorder="1" applyAlignment="1">
      <alignment/>
    </xf>
    <xf numFmtId="1" fontId="3" fillId="10" borderId="10" xfId="0" applyNumberFormat="1" applyFont="1" applyFill="1" applyBorder="1" applyAlignment="1">
      <alignment/>
    </xf>
    <xf numFmtId="1" fontId="3" fillId="10" borderId="20" xfId="0" applyNumberFormat="1" applyFont="1" applyFill="1" applyBorder="1" applyAlignment="1">
      <alignment/>
    </xf>
    <xf numFmtId="1" fontId="3" fillId="0" borderId="16" xfId="0" applyNumberFormat="1" applyFont="1" applyFill="1" applyBorder="1" applyAlignment="1">
      <alignment/>
    </xf>
    <xf numFmtId="0" fontId="19" fillId="26" borderId="0" xfId="0" applyFont="1" applyFill="1" applyAlignment="1">
      <alignment/>
    </xf>
    <xf numFmtId="1" fontId="18" fillId="0" borderId="10" xfId="0" applyNumberFormat="1" applyFont="1" applyFill="1" applyBorder="1" applyAlignment="1">
      <alignment/>
    </xf>
    <xf numFmtId="0" fontId="6" fillId="27" borderId="22" xfId="0" applyFont="1" applyFill="1" applyBorder="1" applyAlignment="1">
      <alignment horizontal="left"/>
    </xf>
    <xf numFmtId="0" fontId="6" fillId="27" borderId="22" xfId="0" applyFont="1" applyFill="1" applyBorder="1" applyAlignment="1">
      <alignment horizontal="left" indent="2"/>
    </xf>
    <xf numFmtId="0" fontId="16" fillId="26" borderId="10" xfId="0" applyFont="1" applyFill="1" applyBorder="1" applyAlignment="1">
      <alignment/>
    </xf>
    <xf numFmtId="0" fontId="6" fillId="27" borderId="0" xfId="0" applyFont="1" applyFill="1" applyAlignment="1">
      <alignment/>
    </xf>
    <xf numFmtId="0" fontId="16" fillId="27" borderId="10" xfId="0" applyFont="1" applyFill="1" applyBorder="1" applyAlignment="1">
      <alignment/>
    </xf>
    <xf numFmtId="0" fontId="16" fillId="27" borderId="0" xfId="0" applyFont="1" applyFill="1" applyAlignment="1">
      <alignment horizontal="left"/>
    </xf>
    <xf numFmtId="0" fontId="6" fillId="27" borderId="0" xfId="0" applyFont="1" applyFill="1" applyBorder="1" applyAlignment="1">
      <alignment/>
    </xf>
    <xf numFmtId="0" fontId="16" fillId="27" borderId="0" xfId="0" applyFont="1" applyFill="1" applyBorder="1" applyAlignment="1">
      <alignment/>
    </xf>
    <xf numFmtId="0" fontId="16" fillId="27" borderId="23" xfId="0" applyFont="1" applyFill="1" applyBorder="1" applyAlignment="1">
      <alignment/>
    </xf>
    <xf numFmtId="0" fontId="16" fillId="27" borderId="22" xfId="0" applyFont="1" applyFill="1" applyBorder="1" applyAlignment="1">
      <alignment/>
    </xf>
    <xf numFmtId="0" fontId="16" fillId="27" borderId="22" xfId="0" applyFont="1" applyFill="1" applyBorder="1" applyAlignment="1">
      <alignment horizontal="left"/>
    </xf>
    <xf numFmtId="0" fontId="6" fillId="27" borderId="22" xfId="0" applyFont="1" applyFill="1" applyBorder="1" applyAlignment="1">
      <alignment horizontal="right"/>
    </xf>
    <xf numFmtId="0" fontId="6" fillId="27" borderId="24" xfId="0" applyFont="1" applyFill="1" applyBorder="1" applyAlignment="1">
      <alignment/>
    </xf>
    <xf numFmtId="3" fontId="2" fillId="0" borderId="25" xfId="0" applyNumberFormat="1" applyFont="1" applyBorder="1" applyAlignment="1">
      <alignment/>
    </xf>
    <xf numFmtId="9" fontId="14" fillId="0" borderId="0" xfId="0" applyNumberFormat="1" applyFont="1" applyFill="1" applyAlignment="1">
      <alignment/>
    </xf>
    <xf numFmtId="0" fontId="16" fillId="27" borderId="26" xfId="0" applyFont="1" applyFill="1" applyBorder="1" applyAlignment="1">
      <alignment/>
    </xf>
    <xf numFmtId="3" fontId="3" fillId="0" borderId="26" xfId="0" applyNumberFormat="1" applyFont="1" applyFill="1" applyBorder="1" applyAlignment="1">
      <alignment/>
    </xf>
    <xf numFmtId="3" fontId="2" fillId="0" borderId="0" xfId="0" applyNumberFormat="1" applyFont="1" applyFill="1" applyBorder="1" applyAlignment="1">
      <alignment/>
    </xf>
    <xf numFmtId="0" fontId="16" fillId="26" borderId="27" xfId="0" applyFont="1" applyFill="1" applyBorder="1" applyAlignment="1">
      <alignment horizontal="left"/>
    </xf>
    <xf numFmtId="3" fontId="3" fillId="0" borderId="28" xfId="0" applyNumberFormat="1" applyFont="1" applyFill="1" applyBorder="1" applyAlignment="1">
      <alignment/>
    </xf>
    <xf numFmtId="3" fontId="2" fillId="0" borderId="22" xfId="0" applyNumberFormat="1" applyFont="1" applyFill="1" applyBorder="1" applyAlignment="1">
      <alignment/>
    </xf>
    <xf numFmtId="0" fontId="20" fillId="0" borderId="0" xfId="0" applyFont="1" applyFill="1" applyAlignment="1">
      <alignment/>
    </xf>
    <xf numFmtId="0" fontId="16" fillId="26" borderId="27" xfId="0" applyFont="1" applyFill="1" applyBorder="1" applyAlignment="1">
      <alignment horizontal="right"/>
    </xf>
    <xf numFmtId="0" fontId="16" fillId="26" borderId="29" xfId="0" applyFont="1" applyFill="1" applyBorder="1" applyAlignment="1">
      <alignment horizontal="right"/>
    </xf>
    <xf numFmtId="0" fontId="16" fillId="27" borderId="30" xfId="0" applyFont="1" applyFill="1" applyBorder="1" applyAlignment="1">
      <alignment/>
    </xf>
    <xf numFmtId="3" fontId="3" fillId="0" borderId="30" xfId="0" applyNumberFormat="1" applyFont="1" applyFill="1" applyBorder="1" applyAlignment="1">
      <alignment/>
    </xf>
    <xf numFmtId="3" fontId="3" fillId="0" borderId="31" xfId="0" applyNumberFormat="1" applyFont="1" applyFill="1" applyBorder="1" applyAlignment="1">
      <alignment/>
    </xf>
    <xf numFmtId="1" fontId="17" fillId="24" borderId="0" xfId="0" applyNumberFormat="1" applyFont="1" applyFill="1" applyBorder="1" applyAlignment="1">
      <alignment/>
    </xf>
    <xf numFmtId="2" fontId="2" fillId="0" borderId="0" xfId="0" applyNumberFormat="1" applyFont="1" applyAlignment="1">
      <alignment horizontal="right"/>
    </xf>
    <xf numFmtId="168" fontId="2" fillId="0" borderId="0" xfId="0" applyNumberFormat="1" applyFont="1" applyAlignment="1">
      <alignment/>
    </xf>
    <xf numFmtId="0" fontId="16" fillId="27" borderId="22" xfId="0" applyFont="1" applyFill="1" applyBorder="1" applyAlignment="1">
      <alignment horizontal="left" indent="1"/>
    </xf>
    <xf numFmtId="0" fontId="21" fillId="0" borderId="0" xfId="0" applyFont="1" applyAlignment="1" quotePrefix="1">
      <alignment/>
    </xf>
    <xf numFmtId="3" fontId="18" fillId="0" borderId="0" xfId="0" applyNumberFormat="1" applyFont="1" applyFill="1" applyAlignment="1">
      <alignment horizontal="right"/>
    </xf>
    <xf numFmtId="3" fontId="2" fillId="0" borderId="16" xfId="0" applyNumberFormat="1" applyFont="1" applyBorder="1" applyAlignment="1">
      <alignment/>
    </xf>
    <xf numFmtId="3" fontId="2" fillId="0" borderId="17" xfId="0" applyNumberFormat="1" applyFont="1" applyBorder="1" applyAlignment="1">
      <alignment/>
    </xf>
    <xf numFmtId="0" fontId="2" fillId="0" borderId="19" xfId="0" applyFont="1" applyBorder="1" applyAlignment="1">
      <alignment/>
    </xf>
    <xf numFmtId="0" fontId="2" fillId="0" borderId="21" xfId="0" applyFont="1" applyBorder="1" applyAlignment="1">
      <alignment/>
    </xf>
    <xf numFmtId="0" fontId="2" fillId="0" borderId="22" xfId="0" applyFont="1" applyBorder="1" applyAlignment="1">
      <alignment/>
    </xf>
    <xf numFmtId="1" fontId="2" fillId="0" borderId="22" xfId="0" applyNumberFormat="1" applyFont="1" applyBorder="1" applyAlignment="1">
      <alignment/>
    </xf>
    <xf numFmtId="0" fontId="2" fillId="0" borderId="23" xfId="0" applyFont="1" applyBorder="1" applyAlignment="1">
      <alignment/>
    </xf>
    <xf numFmtId="0" fontId="6" fillId="27" borderId="11" xfId="0" applyFont="1" applyFill="1" applyBorder="1" applyAlignment="1">
      <alignment/>
    </xf>
    <xf numFmtId="0" fontId="8" fillId="0" borderId="0" xfId="0" applyFont="1" applyBorder="1" applyAlignment="1">
      <alignment/>
    </xf>
    <xf numFmtId="3" fontId="8"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6" fillId="27" borderId="25" xfId="0" applyFont="1" applyFill="1" applyBorder="1" applyAlignment="1">
      <alignment/>
    </xf>
    <xf numFmtId="0" fontId="0" fillId="21" borderId="0" xfId="0" applyFill="1" applyAlignment="1">
      <alignment/>
    </xf>
    <xf numFmtId="0" fontId="9" fillId="21" borderId="0" xfId="0" applyFont="1" applyFill="1" applyAlignment="1">
      <alignment/>
    </xf>
    <xf numFmtId="0" fontId="7" fillId="0" borderId="0" xfId="0" applyFont="1" applyBorder="1" applyAlignment="1">
      <alignment horizontal="left"/>
    </xf>
    <xf numFmtId="10" fontId="7" fillId="0" borderId="0" xfId="0" applyNumberFormat="1" applyFont="1" applyBorder="1" applyAlignment="1">
      <alignment horizontal="right"/>
    </xf>
    <xf numFmtId="0" fontId="9" fillId="0" borderId="0" xfId="0" applyFont="1" applyAlignment="1">
      <alignment/>
    </xf>
    <xf numFmtId="1" fontId="13" fillId="24" borderId="0" xfId="0" applyNumberFormat="1" applyFont="1" applyFill="1" applyAlignment="1">
      <alignment/>
    </xf>
    <xf numFmtId="165" fontId="3" fillId="0" borderId="0" xfId="57" applyNumberFormat="1" applyFont="1" applyAlignment="1">
      <alignment/>
    </xf>
    <xf numFmtId="1" fontId="3" fillId="0" borderId="0" xfId="57" applyNumberFormat="1" applyFont="1" applyAlignment="1" quotePrefix="1">
      <alignment/>
    </xf>
    <xf numFmtId="10" fontId="3" fillId="0" borderId="0" xfId="57" applyNumberFormat="1" applyFont="1" applyAlignment="1">
      <alignment/>
    </xf>
    <xf numFmtId="165" fontId="2" fillId="24" borderId="0" xfId="0" applyNumberFormat="1" applyFont="1" applyFill="1" applyAlignment="1">
      <alignment/>
    </xf>
    <xf numFmtId="165" fontId="0" fillId="0" borderId="0" xfId="0" applyNumberFormat="1" applyAlignment="1">
      <alignment/>
    </xf>
    <xf numFmtId="1" fontId="3" fillId="0" borderId="0" xfId="57" applyNumberFormat="1" applyFont="1" applyAlignment="1">
      <alignment horizontal="right"/>
    </xf>
    <xf numFmtId="10" fontId="0" fillId="28"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29"/>
          <c:w val="0.725"/>
          <c:h val="0.953"/>
        </c:manualLayout>
      </c:layout>
      <c:lineChart>
        <c:grouping val="standard"/>
        <c:varyColors val="0"/>
        <c:ser>
          <c:idx val="1"/>
          <c:order val="0"/>
          <c:tx>
            <c:v>Baseline scenario</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baseline!$A$7:$A$10</c:f>
              <c:numCache>
                <c:ptCount val="4"/>
                <c:pt idx="0">
                  <c:v>0</c:v>
                </c:pt>
                <c:pt idx="1">
                  <c:v>0</c:v>
                </c:pt>
                <c:pt idx="2">
                  <c:v>0</c:v>
                </c:pt>
                <c:pt idx="3">
                  <c:v>0</c:v>
                </c:pt>
              </c:numCache>
            </c:numRef>
          </c:cat>
          <c:val>
            <c:numRef>
              <c:f>baseline!$C$7:$C$10</c:f>
              <c:numCache>
                <c:ptCount val="4"/>
                <c:pt idx="0">
                  <c:v>0</c:v>
                </c:pt>
                <c:pt idx="1">
                  <c:v>0</c:v>
                </c:pt>
                <c:pt idx="2">
                  <c:v>0</c:v>
                </c:pt>
                <c:pt idx="3">
                  <c:v>0</c:v>
                </c:pt>
              </c:numCache>
            </c:numRef>
          </c:val>
          <c:smooth val="0"/>
        </c:ser>
        <c:ser>
          <c:idx val="2"/>
          <c:order val="1"/>
          <c:tx>
            <c:v>Project scenario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baseline!$A$7:$A$10</c:f>
              <c:numCache>
                <c:ptCount val="4"/>
                <c:pt idx="0">
                  <c:v>0</c:v>
                </c:pt>
                <c:pt idx="1">
                  <c:v>0</c:v>
                </c:pt>
                <c:pt idx="2">
                  <c:v>0</c:v>
                </c:pt>
                <c:pt idx="3">
                  <c:v>0</c:v>
                </c:pt>
              </c:numCache>
            </c:numRef>
          </c:cat>
          <c:val>
            <c:numRef>
              <c:f>baseline!$C$16:$C$19</c:f>
              <c:numCache>
                <c:ptCount val="4"/>
                <c:pt idx="0">
                  <c:v>0</c:v>
                </c:pt>
                <c:pt idx="1">
                  <c:v>0</c:v>
                </c:pt>
                <c:pt idx="2">
                  <c:v>0</c:v>
                </c:pt>
                <c:pt idx="3">
                  <c:v>0</c:v>
                </c:pt>
              </c:numCache>
            </c:numRef>
          </c:val>
          <c:smooth val="0"/>
        </c:ser>
        <c:marker val="1"/>
        <c:axId val="6999692"/>
        <c:axId val="62997229"/>
      </c:lineChart>
      <c:catAx>
        <c:axId val="6999692"/>
        <c:scaling>
          <c:orientation val="minMax"/>
        </c:scaling>
        <c:axPos val="b"/>
        <c:delete val="0"/>
        <c:numFmt formatCode="General" sourceLinked="1"/>
        <c:majorTickMark val="out"/>
        <c:minorTickMark val="none"/>
        <c:tickLblPos val="nextTo"/>
        <c:spPr>
          <a:ln w="3175">
            <a:solidFill>
              <a:srgbClr val="000000"/>
            </a:solidFill>
          </a:ln>
        </c:spPr>
        <c:crossAx val="62997229"/>
        <c:crosses val="autoZero"/>
        <c:auto val="1"/>
        <c:lblOffset val="100"/>
        <c:tickLblSkip val="1"/>
        <c:noMultiLvlLbl val="0"/>
      </c:catAx>
      <c:valAx>
        <c:axId val="62997229"/>
        <c:scaling>
          <c:orientation val="minMax"/>
          <c:max val="3700000"/>
          <c:min val="8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999692"/>
        <c:crossesAt val="1"/>
        <c:crossBetween val="between"/>
        <c:dispUnits/>
      </c:valAx>
      <c:spPr>
        <a:solidFill>
          <a:srgbClr val="FFFFFF"/>
        </a:solidFill>
        <a:ln w="3175">
          <a:noFill/>
        </a:ln>
      </c:spPr>
    </c:plotArea>
    <c:legend>
      <c:legendPos val="r"/>
      <c:layout>
        <c:manualLayout>
          <c:xMode val="edge"/>
          <c:yMode val="edge"/>
          <c:x val="0.75975"/>
          <c:y val="0.39075"/>
          <c:w val="0.2335"/>
          <c:h val="0.14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925"/>
          <c:y val="0.15525"/>
          <c:w val="0.94425"/>
          <c:h val="0.797"/>
        </c:manualLayout>
      </c:layout>
      <c:lineChart>
        <c:grouping val="standard"/>
        <c:varyColors val="0"/>
        <c:ser>
          <c:idx val="1"/>
          <c:order val="0"/>
          <c:tx>
            <c:strRef>
              <c:f>'sensitivity EUR'!$A$6</c:f>
              <c:strCache>
                <c:ptCount val="1"/>
                <c:pt idx="0">
                  <c:v>IRR (incl ERUs)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 EUR'!$B$5:$H$5</c:f>
              <c:numCache>
                <c:ptCount val="7"/>
                <c:pt idx="0">
                  <c:v>0</c:v>
                </c:pt>
                <c:pt idx="1">
                  <c:v>0</c:v>
                </c:pt>
                <c:pt idx="2">
                  <c:v>0</c:v>
                </c:pt>
                <c:pt idx="3">
                  <c:v>0</c:v>
                </c:pt>
                <c:pt idx="4">
                  <c:v>0</c:v>
                </c:pt>
                <c:pt idx="5">
                  <c:v>0</c:v>
                </c:pt>
                <c:pt idx="6">
                  <c:v>0</c:v>
                </c:pt>
              </c:numCache>
            </c:numRef>
          </c:cat>
          <c:val>
            <c:numRef>
              <c:f>'sensitivity EUR'!$B$6:$H$6</c:f>
              <c:numCache>
                <c:ptCount val="7"/>
                <c:pt idx="0">
                  <c:v>0</c:v>
                </c:pt>
                <c:pt idx="1">
                  <c:v>0</c:v>
                </c:pt>
                <c:pt idx="2">
                  <c:v>0</c:v>
                </c:pt>
                <c:pt idx="3">
                  <c:v>0</c:v>
                </c:pt>
                <c:pt idx="4">
                  <c:v>0</c:v>
                </c:pt>
                <c:pt idx="5">
                  <c:v>0</c:v>
                </c:pt>
                <c:pt idx="6">
                  <c:v>0</c:v>
                </c:pt>
              </c:numCache>
            </c:numRef>
          </c:val>
          <c:smooth val="0"/>
        </c:ser>
        <c:marker val="1"/>
        <c:axId val="30104150"/>
        <c:axId val="2501895"/>
      </c:lineChart>
      <c:catAx>
        <c:axId val="301041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MWh</a:t>
                </a:r>
              </a:p>
            </c:rich>
          </c:tx>
          <c:layout>
            <c:manualLayout>
              <c:xMode val="factor"/>
              <c:yMode val="factor"/>
              <c:x val="0.00875"/>
              <c:y val="0.114"/>
            </c:manualLayout>
          </c:layout>
          <c:overlay val="0"/>
          <c:spPr>
            <a:noFill/>
            <a:ln>
              <a:noFill/>
            </a:ln>
          </c:spPr>
        </c:title>
        <c:delete val="0"/>
        <c:numFmt formatCode="General" sourceLinked="0"/>
        <c:majorTickMark val="cross"/>
        <c:minorTickMark val="none"/>
        <c:tickLblPos val="nextTo"/>
        <c:spPr>
          <a:ln w="3175">
            <a:solidFill>
              <a:srgbClr val="000000"/>
            </a:solidFill>
          </a:ln>
        </c:spPr>
        <c:crossAx val="2501895"/>
        <c:crosses val="autoZero"/>
        <c:auto val="0"/>
        <c:lblOffset val="100"/>
        <c:tickLblSkip val="1"/>
        <c:noMultiLvlLbl val="0"/>
      </c:catAx>
      <c:valAx>
        <c:axId val="2501895"/>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IRR</a:t>
                </a:r>
              </a:p>
            </c:rich>
          </c:tx>
          <c:layout>
            <c:manualLayout>
              <c:xMode val="factor"/>
              <c:yMode val="factor"/>
              <c:x val="0.02075"/>
              <c:y val="0.167"/>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0104150"/>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565"/>
          <c:y val="0.15525"/>
          <c:w val="0.927"/>
          <c:h val="0.727"/>
        </c:manualLayout>
      </c:layout>
      <c:lineChart>
        <c:grouping val="standard"/>
        <c:varyColors val="0"/>
        <c:ser>
          <c:idx val="1"/>
          <c:order val="0"/>
          <c:tx>
            <c:strRef>
              <c:f>'sensitivity EUR'!$A$11</c:f>
              <c:strCache>
                <c:ptCount val="1"/>
                <c:pt idx="0">
                  <c:v>IRR (incl ERUs)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 EUR'!$B$10:$H$10</c:f>
              <c:numCache>
                <c:ptCount val="7"/>
                <c:pt idx="0">
                  <c:v>0</c:v>
                </c:pt>
                <c:pt idx="1">
                  <c:v>0</c:v>
                </c:pt>
                <c:pt idx="2">
                  <c:v>0</c:v>
                </c:pt>
                <c:pt idx="3">
                  <c:v>0</c:v>
                </c:pt>
                <c:pt idx="4">
                  <c:v>0</c:v>
                </c:pt>
                <c:pt idx="5">
                  <c:v>0</c:v>
                </c:pt>
                <c:pt idx="6">
                  <c:v>0</c:v>
                </c:pt>
              </c:numCache>
            </c:numRef>
          </c:cat>
          <c:val>
            <c:numRef>
              <c:f>'sensitivity EUR'!$B$11:$H$11</c:f>
              <c:numCache>
                <c:ptCount val="7"/>
                <c:pt idx="0">
                  <c:v>0</c:v>
                </c:pt>
                <c:pt idx="1">
                  <c:v>0</c:v>
                </c:pt>
                <c:pt idx="2">
                  <c:v>0</c:v>
                </c:pt>
                <c:pt idx="3">
                  <c:v>0</c:v>
                </c:pt>
                <c:pt idx="4">
                  <c:v>0</c:v>
                </c:pt>
                <c:pt idx="5">
                  <c:v>0</c:v>
                </c:pt>
                <c:pt idx="6">
                  <c:v>0</c:v>
                </c:pt>
              </c:numCache>
            </c:numRef>
          </c:val>
          <c:smooth val="0"/>
        </c:ser>
        <c:marker val="1"/>
        <c:axId val="22517056"/>
        <c:axId val="1326913"/>
      </c:lineChart>
      <c:catAx>
        <c:axId val="225170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ERU price</a:t>
                </a:r>
              </a:p>
            </c:rich>
          </c:tx>
          <c:layout>
            <c:manualLayout>
              <c:xMode val="factor"/>
              <c:yMode val="factor"/>
              <c:x val="-0.00475"/>
              <c:y val="0.10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26913"/>
        <c:crosses val="autoZero"/>
        <c:auto val="0"/>
        <c:lblOffset val="100"/>
        <c:tickLblSkip val="1"/>
        <c:noMultiLvlLbl val="0"/>
      </c:catAx>
      <c:valAx>
        <c:axId val="1326913"/>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IRR</a:t>
                </a:r>
              </a:p>
            </c:rich>
          </c:tx>
          <c:layout>
            <c:manualLayout>
              <c:xMode val="factor"/>
              <c:yMode val="factor"/>
              <c:x val="0.01925"/>
              <c:y val="0.16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251705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Electricity price (incl ERUs)</a:t>
            </a:r>
          </a:p>
        </c:rich>
      </c:tx>
      <c:layout>
        <c:manualLayout>
          <c:xMode val="factor"/>
          <c:yMode val="factor"/>
          <c:x val="0.06125"/>
          <c:y val="0"/>
        </c:manualLayout>
      </c:layout>
      <c:spPr>
        <a:noFill/>
        <a:ln>
          <a:noFill/>
        </a:ln>
      </c:spPr>
    </c:title>
    <c:plotArea>
      <c:layout>
        <c:manualLayout>
          <c:xMode val="edge"/>
          <c:yMode val="edge"/>
          <c:x val="0.0565"/>
          <c:y val="0.15525"/>
          <c:w val="0.927"/>
          <c:h val="0.727"/>
        </c:manualLayout>
      </c:layout>
      <c:lineChart>
        <c:grouping val="standard"/>
        <c:varyColors val="0"/>
        <c:ser>
          <c:idx val="1"/>
          <c:order val="0"/>
          <c:tx>
            <c:strRef>
              <c:f>'sensitivity EUR'!$A$16</c:f>
              <c:strCache>
                <c:ptCount val="1"/>
                <c:pt idx="0">
                  <c:v>IRT (incl ERUs)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 EUR'!$B$15:$E$15</c:f>
              <c:numCache>
                <c:ptCount val="4"/>
                <c:pt idx="0">
                  <c:v>0</c:v>
                </c:pt>
                <c:pt idx="1">
                  <c:v>0</c:v>
                </c:pt>
                <c:pt idx="2">
                  <c:v>0</c:v>
                </c:pt>
                <c:pt idx="3">
                  <c:v>0</c:v>
                </c:pt>
              </c:numCache>
            </c:numRef>
          </c:cat>
          <c:val>
            <c:numRef>
              <c:f>'sensitivity EUR'!$B$16:$E$16</c:f>
              <c:numCache>
                <c:ptCount val="4"/>
                <c:pt idx="0">
                  <c:v>0</c:v>
                </c:pt>
                <c:pt idx="1">
                  <c:v>0</c:v>
                </c:pt>
                <c:pt idx="2">
                  <c:v>0</c:v>
                </c:pt>
                <c:pt idx="3">
                  <c:v>0</c:v>
                </c:pt>
              </c:numCache>
            </c:numRef>
          </c:val>
          <c:smooth val="0"/>
        </c:ser>
        <c:marker val="1"/>
        <c:axId val="11942218"/>
        <c:axId val="40371099"/>
      </c:lineChart>
      <c:catAx>
        <c:axId val="119422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Electricity price, EUR/kWh</a:t>
                </a:r>
              </a:p>
            </c:rich>
          </c:tx>
          <c:layout>
            <c:manualLayout>
              <c:xMode val="factor"/>
              <c:yMode val="factor"/>
              <c:x val="-0.00475"/>
              <c:y val="0.08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0371099"/>
        <c:crosses val="autoZero"/>
        <c:auto val="0"/>
        <c:lblOffset val="100"/>
        <c:tickLblSkip val="1"/>
        <c:noMultiLvlLbl val="0"/>
      </c:catAx>
      <c:valAx>
        <c:axId val="40371099"/>
        <c:scaling>
          <c:orientation val="minMax"/>
          <c:min val="0.04000000000000002"/>
        </c:scaling>
        <c:axPos val="l"/>
        <c:title>
          <c:tx>
            <c:rich>
              <a:bodyPr vert="horz" rot="0" anchor="ctr"/>
              <a:lstStyle/>
              <a:p>
                <a:pPr algn="ctr">
                  <a:defRPr/>
                </a:pPr>
                <a:r>
                  <a:rPr lang="en-US" cap="none" sz="1000" b="1" i="0" u="none" baseline="0">
                    <a:solidFill>
                      <a:srgbClr val="000000"/>
                    </a:solidFill>
                    <a:latin typeface="Arial"/>
                    <a:ea typeface="Arial"/>
                    <a:cs typeface="Arial"/>
                  </a:rPr>
                  <a:t>IRR</a:t>
                </a:r>
              </a:p>
            </c:rich>
          </c:tx>
          <c:layout>
            <c:manualLayout>
              <c:xMode val="factor"/>
              <c:yMode val="factor"/>
              <c:x val="0.01925"/>
              <c:y val="0.16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194221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12</xdr:row>
      <xdr:rowOff>9525</xdr:rowOff>
    </xdr:from>
    <xdr:to>
      <xdr:col>16</xdr:col>
      <xdr:colOff>533400</xdr:colOff>
      <xdr:row>27</xdr:row>
      <xdr:rowOff>104775</xdr:rowOff>
    </xdr:to>
    <xdr:graphicFrame>
      <xdr:nvGraphicFramePr>
        <xdr:cNvPr id="1" name="Chart 1"/>
        <xdr:cNvGraphicFramePr/>
      </xdr:nvGraphicFramePr>
      <xdr:xfrm>
        <a:off x="4733925" y="1952625"/>
        <a:ext cx="5753100" cy="2524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104775</xdr:rowOff>
    </xdr:from>
    <xdr:to>
      <xdr:col>5</xdr:col>
      <xdr:colOff>190500</xdr:colOff>
      <xdr:row>40</xdr:row>
      <xdr:rowOff>0</xdr:rowOff>
    </xdr:to>
    <xdr:graphicFrame>
      <xdr:nvGraphicFramePr>
        <xdr:cNvPr id="1" name="Chart 22"/>
        <xdr:cNvGraphicFramePr/>
      </xdr:nvGraphicFramePr>
      <xdr:xfrm>
        <a:off x="28575" y="3667125"/>
        <a:ext cx="5848350" cy="280987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23</xdr:row>
      <xdr:rowOff>9525</xdr:rowOff>
    </xdr:from>
    <xdr:to>
      <xdr:col>12</xdr:col>
      <xdr:colOff>733425</xdr:colOff>
      <xdr:row>40</xdr:row>
      <xdr:rowOff>66675</xdr:rowOff>
    </xdr:to>
    <xdr:graphicFrame>
      <xdr:nvGraphicFramePr>
        <xdr:cNvPr id="2" name="Chart 23"/>
        <xdr:cNvGraphicFramePr/>
      </xdr:nvGraphicFramePr>
      <xdr:xfrm>
        <a:off x="5972175" y="3733800"/>
        <a:ext cx="5848350" cy="2809875"/>
      </xdr:xfrm>
      <a:graphic>
        <a:graphicData uri="http://schemas.openxmlformats.org/drawingml/2006/chart">
          <c:chart xmlns:c="http://schemas.openxmlformats.org/drawingml/2006/chart" r:id="rId2"/>
        </a:graphicData>
      </a:graphic>
    </xdr:graphicFrame>
    <xdr:clientData/>
  </xdr:twoCellAnchor>
  <xdr:twoCellAnchor>
    <xdr:from>
      <xdr:col>13</xdr:col>
      <xdr:colOff>38100</xdr:colOff>
      <xdr:row>22</xdr:row>
      <xdr:rowOff>142875</xdr:rowOff>
    </xdr:from>
    <xdr:to>
      <xdr:col>22</xdr:col>
      <xdr:colOff>66675</xdr:colOff>
      <xdr:row>40</xdr:row>
      <xdr:rowOff>38100</xdr:rowOff>
    </xdr:to>
    <xdr:graphicFrame>
      <xdr:nvGraphicFramePr>
        <xdr:cNvPr id="3" name="Chart 23"/>
        <xdr:cNvGraphicFramePr/>
      </xdr:nvGraphicFramePr>
      <xdr:xfrm>
        <a:off x="11896725" y="3705225"/>
        <a:ext cx="5848350" cy="28098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20090077_BI%20Didsiliai\Duomenys\investicinis%2021,6%20MW_cow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D6">
            <v>58800000</v>
          </cell>
        </row>
        <row r="28">
          <cell r="C28">
            <v>277</v>
          </cell>
          <cell r="D28">
            <v>554</v>
          </cell>
          <cell r="E28">
            <v>670</v>
          </cell>
        </row>
        <row r="29">
          <cell r="C29">
            <v>28.4</v>
          </cell>
          <cell r="D29">
            <v>28.4</v>
          </cell>
          <cell r="E29">
            <v>28.4</v>
          </cell>
        </row>
        <row r="30">
          <cell r="C30">
            <v>36.8</v>
          </cell>
          <cell r="D30">
            <v>36.8</v>
          </cell>
          <cell r="E30">
            <v>36.8</v>
          </cell>
        </row>
        <row r="31">
          <cell r="C31">
            <v>45.5</v>
          </cell>
          <cell r="D31">
            <v>45.5</v>
          </cell>
          <cell r="E31">
            <v>45.5</v>
          </cell>
        </row>
        <row r="32">
          <cell r="C32">
            <v>9</v>
          </cell>
          <cell r="D32">
            <v>9</v>
          </cell>
          <cell r="E32">
            <v>9</v>
          </cell>
        </row>
        <row r="33">
          <cell r="C33">
            <v>77</v>
          </cell>
          <cell r="D33">
            <v>85</v>
          </cell>
          <cell r="E33">
            <v>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V59"/>
  <sheetViews>
    <sheetView tabSelected="1" zoomScalePageLayoutView="0" workbookViewId="0" topLeftCell="A34">
      <selection activeCell="F35" sqref="F35"/>
    </sheetView>
  </sheetViews>
  <sheetFormatPr defaultColWidth="9.140625" defaultRowHeight="12.75"/>
  <cols>
    <col min="1" max="1" width="43.00390625" style="0" customWidth="1"/>
    <col min="2" max="2" width="10.421875" style="0" customWidth="1"/>
    <col min="4" max="4" width="8.7109375" style="0" customWidth="1"/>
    <col min="5" max="5" width="8.57421875" style="0" customWidth="1"/>
    <col min="18" max="18" width="11.140625" style="0" bestFit="1" customWidth="1"/>
    <col min="19" max="21" width="9.421875" style="0" bestFit="1" customWidth="1"/>
  </cols>
  <sheetData>
    <row r="1" ht="13.5" thickBot="1"/>
    <row r="2" spans="1:7" ht="12.75">
      <c r="A2" s="154" t="s">
        <v>37</v>
      </c>
      <c r="B2" s="158" t="s">
        <v>144</v>
      </c>
      <c r="C2" s="159" t="s">
        <v>145</v>
      </c>
      <c r="D2" s="167" t="s">
        <v>176</v>
      </c>
      <c r="F2" s="82"/>
      <c r="G2" s="82"/>
    </row>
    <row r="3" spans="1:7" ht="12.75">
      <c r="A3" s="151" t="s">
        <v>35</v>
      </c>
      <c r="B3" s="152">
        <f>C3*'Cash flow LT'!B1</f>
        <v>112249.83743999999</v>
      </c>
      <c r="C3" s="155">
        <f>C4+C5</f>
        <v>32509.8</v>
      </c>
      <c r="D3" s="83"/>
      <c r="F3" s="83"/>
      <c r="G3" s="83"/>
    </row>
    <row r="4" spans="1:7" ht="12.75">
      <c r="A4" s="142" t="s">
        <v>34</v>
      </c>
      <c r="B4" s="153">
        <f>C4*$B$17</f>
        <v>112144.52703999999</v>
      </c>
      <c r="C4" s="156">
        <v>32479.3</v>
      </c>
      <c r="D4" s="80"/>
      <c r="F4" s="81"/>
      <c r="G4" s="81"/>
    </row>
    <row r="5" spans="1:7" ht="12.75">
      <c r="A5" s="142" t="s">
        <v>84</v>
      </c>
      <c r="B5" s="153">
        <f>C5*$B$17</f>
        <v>105.3104</v>
      </c>
      <c r="C5" s="156">
        <v>30.5</v>
      </c>
      <c r="D5" s="80"/>
      <c r="F5" s="81"/>
      <c r="G5" s="81"/>
    </row>
    <row r="6" spans="1:7" ht="12.75">
      <c r="A6" s="151" t="s">
        <v>36</v>
      </c>
      <c r="B6" s="152">
        <f>SUM(B7:B10)</f>
        <v>8966.6350176</v>
      </c>
      <c r="C6" s="155">
        <f>SUM(C7:C10)</f>
        <v>2596.917</v>
      </c>
      <c r="D6" s="83"/>
      <c r="F6" s="83"/>
      <c r="G6" s="83"/>
    </row>
    <row r="7" spans="1:7" ht="12.75">
      <c r="A7" s="142" t="s">
        <v>72</v>
      </c>
      <c r="B7" s="153">
        <f>C7*$B$17</f>
        <v>4016.5317504</v>
      </c>
      <c r="C7" s="156">
        <v>1163.268</v>
      </c>
      <c r="D7" s="80"/>
      <c r="F7" s="81"/>
      <c r="G7" s="81"/>
    </row>
    <row r="8" spans="1:7" ht="12.75">
      <c r="A8" s="142" t="s">
        <v>73</v>
      </c>
      <c r="B8" s="153">
        <f>C8*$B$17</f>
        <v>3820.1019583999996</v>
      </c>
      <c r="C8" s="156">
        <v>1106.378</v>
      </c>
      <c r="D8" s="80"/>
      <c r="F8" s="81"/>
      <c r="G8" s="81"/>
    </row>
    <row r="9" spans="1:7" ht="12.75">
      <c r="A9" s="142" t="s">
        <v>70</v>
      </c>
      <c r="B9" s="153">
        <f>C9*$B$17</f>
        <v>1130.0013088</v>
      </c>
      <c r="C9" s="156">
        <v>327.271</v>
      </c>
      <c r="D9" s="80"/>
      <c r="F9" s="81"/>
      <c r="G9" s="81"/>
    </row>
    <row r="10" spans="1:7" ht="12.75">
      <c r="A10" s="142" t="s">
        <v>74</v>
      </c>
      <c r="B10" s="153">
        <f>C10*$B$17</f>
        <v>0</v>
      </c>
      <c r="C10" s="156">
        <v>0</v>
      </c>
      <c r="D10" s="80"/>
      <c r="F10" s="81"/>
      <c r="G10" s="81"/>
    </row>
    <row r="11" spans="1:7" ht="12.75">
      <c r="A11" s="151" t="s">
        <v>4</v>
      </c>
      <c r="B11" s="152">
        <f>SUM(B12:B14)</f>
        <v>7721.686543999999</v>
      </c>
      <c r="C11" s="155">
        <f>SUM(C12:C14)</f>
        <v>2236.355</v>
      </c>
      <c r="D11" s="83"/>
      <c r="F11" s="85"/>
      <c r="G11" s="85"/>
    </row>
    <row r="12" spans="1:7" ht="12.75">
      <c r="A12" s="142" t="s">
        <v>71</v>
      </c>
      <c r="B12" s="153">
        <f>C12*$B$17</f>
        <v>506.20119679999993</v>
      </c>
      <c r="C12" s="156">
        <v>146.606</v>
      </c>
      <c r="D12" s="80"/>
      <c r="F12" s="81"/>
      <c r="G12" s="81"/>
    </row>
    <row r="13" spans="1:7" ht="12.75">
      <c r="A13" s="142" t="s">
        <v>75</v>
      </c>
      <c r="B13" s="153">
        <f>C13*$B$17</f>
        <v>6274.5973472</v>
      </c>
      <c r="C13" s="156">
        <v>1817.249</v>
      </c>
      <c r="D13" s="80"/>
      <c r="F13" s="81"/>
      <c r="G13" s="81"/>
    </row>
    <row r="14" spans="1:7" ht="12.75">
      <c r="A14" s="142" t="s">
        <v>74</v>
      </c>
      <c r="B14" s="153">
        <f>C14*$B$17</f>
        <v>940.8879999999999</v>
      </c>
      <c r="C14" s="156">
        <v>272.5</v>
      </c>
      <c r="D14" s="80"/>
      <c r="F14" s="81"/>
      <c r="G14" s="81"/>
    </row>
    <row r="15" spans="1:7" ht="13.5" thickBot="1">
      <c r="A15" s="160" t="s">
        <v>0</v>
      </c>
      <c r="B15" s="161">
        <f>B3+B6+B11</f>
        <v>128938.15900159998</v>
      </c>
      <c r="C15" s="162">
        <f>C3+C6+C11</f>
        <v>37343.072</v>
      </c>
      <c r="D15" s="83"/>
      <c r="F15" s="83"/>
      <c r="G15" s="83"/>
    </row>
    <row r="16" spans="1:7" ht="13.5" thickTop="1">
      <c r="A16" s="157"/>
      <c r="B16" s="43"/>
      <c r="C16" s="43"/>
      <c r="F16" s="86"/>
      <c r="G16" s="86"/>
    </row>
    <row r="17" spans="1:3" ht="12.75">
      <c r="A17" s="142" t="s">
        <v>86</v>
      </c>
      <c r="B17" s="88">
        <f>'Cash flow LT'!B1</f>
        <v>3.4528</v>
      </c>
      <c r="C17" s="43"/>
    </row>
    <row r="18" spans="1:3" ht="12.75">
      <c r="A18" s="142" t="s">
        <v>120</v>
      </c>
      <c r="B18" s="89">
        <v>0.85</v>
      </c>
      <c r="C18" s="43"/>
    </row>
    <row r="19" spans="1:3" ht="12.75">
      <c r="A19" s="142" t="s">
        <v>130</v>
      </c>
      <c r="B19" s="191">
        <v>0.055</v>
      </c>
      <c r="C19" s="167" t="s">
        <v>181</v>
      </c>
    </row>
    <row r="20" spans="1:3" ht="12.75">
      <c r="A20" s="142" t="s">
        <v>182</v>
      </c>
      <c r="B20" s="191">
        <v>0.0625</v>
      </c>
      <c r="C20" s="167" t="s">
        <v>183</v>
      </c>
    </row>
    <row r="21" spans="1:3" ht="12.75">
      <c r="A21" s="142" t="s">
        <v>160</v>
      </c>
      <c r="B21" s="105">
        <v>0.15</v>
      </c>
      <c r="C21" s="43"/>
    </row>
    <row r="22" spans="1:3" ht="12.75">
      <c r="A22" s="142" t="s">
        <v>131</v>
      </c>
      <c r="B22" s="106">
        <f>C15*(1-B18)</f>
        <v>5601.460800000001</v>
      </c>
      <c r="C22" s="43"/>
    </row>
    <row r="23" spans="1:3" ht="12.75">
      <c r="A23" s="142" t="s">
        <v>147</v>
      </c>
      <c r="B23" s="106">
        <v>0</v>
      </c>
      <c r="C23" s="167" t="s">
        <v>148</v>
      </c>
    </row>
    <row r="24" spans="1:3" ht="12.75">
      <c r="A24" s="142" t="s">
        <v>173</v>
      </c>
      <c r="B24" s="106">
        <v>20</v>
      </c>
      <c r="C24" s="167" t="s">
        <v>184</v>
      </c>
    </row>
    <row r="25" spans="1:3" ht="12.75">
      <c r="A25" s="142" t="s">
        <v>174</v>
      </c>
      <c r="B25" s="189">
        <f>0.3/B17</f>
        <v>0.08688600556070436</v>
      </c>
      <c r="C25" s="167" t="s">
        <v>178</v>
      </c>
    </row>
    <row r="26" spans="1:3" ht="12.75">
      <c r="A26" s="142" t="s">
        <v>175</v>
      </c>
      <c r="B26" s="106">
        <v>12</v>
      </c>
      <c r="C26" s="167" t="s">
        <v>185</v>
      </c>
    </row>
    <row r="27" spans="1:3" ht="12.75">
      <c r="A27" s="142" t="s">
        <v>177</v>
      </c>
      <c r="B27" s="190" t="s">
        <v>179</v>
      </c>
      <c r="C27" s="167" t="s">
        <v>180</v>
      </c>
    </row>
    <row r="28" spans="1:3" ht="12.75">
      <c r="A28" s="142" t="s">
        <v>187</v>
      </c>
      <c r="B28" s="194" t="s">
        <v>186</v>
      </c>
      <c r="C28" s="167" t="s">
        <v>188</v>
      </c>
    </row>
    <row r="29" spans="2:3" ht="12.75">
      <c r="B29" s="106"/>
      <c r="C29" s="167"/>
    </row>
    <row r="30" spans="2:3" ht="12.75">
      <c r="B30" s="106"/>
      <c r="C30" s="167"/>
    </row>
    <row r="31" spans="1:5" ht="12.75">
      <c r="A31" s="79" t="s">
        <v>150</v>
      </c>
      <c r="B31" s="79" t="s">
        <v>151</v>
      </c>
      <c r="C31" s="79" t="s">
        <v>152</v>
      </c>
      <c r="D31" s="79" t="s">
        <v>153</v>
      </c>
      <c r="E31" s="167" t="s">
        <v>157</v>
      </c>
    </row>
    <row r="32" spans="1:4" ht="12.75">
      <c r="A32" s="142" t="s">
        <v>154</v>
      </c>
      <c r="B32" s="169">
        <v>277</v>
      </c>
      <c r="C32" s="172">
        <v>554</v>
      </c>
      <c r="D32" s="170">
        <v>670</v>
      </c>
    </row>
    <row r="33" spans="1:4" ht="12.75">
      <c r="A33" s="142" t="s">
        <v>1</v>
      </c>
      <c r="B33" s="93">
        <v>45.5</v>
      </c>
      <c r="C33" s="173">
        <v>45.5</v>
      </c>
      <c r="D33" s="57">
        <v>45.5</v>
      </c>
    </row>
    <row r="34" spans="1:4" ht="12.75">
      <c r="A34" s="142" t="s">
        <v>2</v>
      </c>
      <c r="B34" s="93">
        <v>36.8</v>
      </c>
      <c r="C34" s="174">
        <v>36.8</v>
      </c>
      <c r="D34" s="76">
        <v>36.8</v>
      </c>
    </row>
    <row r="35" spans="1:4" ht="12.75">
      <c r="A35" s="142" t="s">
        <v>155</v>
      </c>
      <c r="B35" s="93">
        <v>77</v>
      </c>
      <c r="C35" s="174">
        <v>85</v>
      </c>
      <c r="D35" s="76">
        <v>95</v>
      </c>
    </row>
    <row r="36" spans="1:4" ht="12.75">
      <c r="A36" s="142" t="s">
        <v>44</v>
      </c>
      <c r="B36" s="107">
        <v>37.4</v>
      </c>
      <c r="C36" s="173">
        <v>37.4</v>
      </c>
      <c r="D36" s="57">
        <v>37.4</v>
      </c>
    </row>
    <row r="37" spans="1:4" ht="12.75">
      <c r="A37" s="142" t="s">
        <v>156</v>
      </c>
      <c r="B37" s="171">
        <f>SUM(B32:B36)</f>
        <v>473.7</v>
      </c>
      <c r="C37" s="175">
        <f>SUM(C32:C36)</f>
        <v>758.6999999999999</v>
      </c>
      <c r="D37" s="110">
        <f>SUM(D32:D36)</f>
        <v>884.6999999999999</v>
      </c>
    </row>
    <row r="40" ht="12.75">
      <c r="A40" s="1" t="s">
        <v>119</v>
      </c>
    </row>
    <row r="41" spans="1:22" ht="12.75">
      <c r="A41" s="79" t="s">
        <v>114</v>
      </c>
      <c r="B41" s="79">
        <f>'Balance Profit(loss) EUR'!F4</f>
        <v>2010</v>
      </c>
      <c r="C41" s="79">
        <f>'Balance Profit(loss) EUR'!G4</f>
        <v>2011</v>
      </c>
      <c r="D41" s="79">
        <f>'Balance Profit(loss) EUR'!H4</f>
        <v>2012</v>
      </c>
      <c r="E41" s="79">
        <f>'Balance Profit(loss) EUR'!I4</f>
        <v>2013</v>
      </c>
      <c r="F41" s="79">
        <f>'Balance Profit(loss) EUR'!J4</f>
        <v>2014</v>
      </c>
      <c r="G41" s="79">
        <f>'Balance Profit(loss) EUR'!K4</f>
        <v>2015</v>
      </c>
      <c r="H41" s="79">
        <f>'Balance Profit(loss) EUR'!L4</f>
        <v>2016</v>
      </c>
      <c r="I41" s="79">
        <f>'Balance Profit(loss) EUR'!M4</f>
        <v>2017</v>
      </c>
      <c r="J41" s="79">
        <f>'Balance Profit(loss) EUR'!N4</f>
        <v>2018</v>
      </c>
      <c r="K41" s="79">
        <f>'Balance Profit(loss) EUR'!O4</f>
        <v>2019</v>
      </c>
      <c r="L41" s="79">
        <f>'Balance Profit(loss) EUR'!P4</f>
        <v>2020</v>
      </c>
      <c r="M41" s="79">
        <f>'Balance Profit(loss) EUR'!Q4</f>
        <v>2021</v>
      </c>
      <c r="N41" s="79">
        <f>'Balance Profit(loss) EUR'!R4</f>
        <v>2022</v>
      </c>
      <c r="O41" s="79">
        <f>'Balance Profit(loss) EUR'!S4</f>
        <v>2023</v>
      </c>
      <c r="P41" s="79">
        <f>'Balance Profit(loss) EUR'!T4</f>
        <v>2024</v>
      </c>
      <c r="Q41" s="79">
        <f>'Balance Profit(loss) EUR'!U4</f>
        <v>2025</v>
      </c>
      <c r="R41" s="79">
        <f>'Balance Profit(loss) EUR'!V4</f>
        <v>2026</v>
      </c>
      <c r="S41" s="79">
        <f>'Balance Profit(loss) EUR'!W4</f>
        <v>2027</v>
      </c>
      <c r="T41" s="79">
        <f>'Balance Profit(loss) EUR'!X4</f>
        <v>2028</v>
      </c>
      <c r="U41" s="79">
        <f>'Balance Profit(loss) EUR'!Y4</f>
        <v>2029</v>
      </c>
      <c r="V41" s="79">
        <f>'Balance Profit(loss) EUR'!Z4</f>
        <v>2030</v>
      </c>
    </row>
    <row r="42" spans="1:4" s="1" customFormat="1" ht="11.25">
      <c r="A42" s="99" t="s">
        <v>115</v>
      </c>
      <c r="B42" s="6">
        <f>C15</f>
        <v>37343.072</v>
      </c>
      <c r="D42" s="6"/>
    </row>
    <row r="43" spans="1:4" s="1" customFormat="1" ht="11.25">
      <c r="A43" s="100" t="s">
        <v>116</v>
      </c>
      <c r="B43" s="1">
        <v>20</v>
      </c>
      <c r="D43" s="6"/>
    </row>
    <row r="44" spans="1:22" s="1" customFormat="1" ht="11.25">
      <c r="A44" s="100" t="s">
        <v>97</v>
      </c>
      <c r="B44" s="84"/>
      <c r="C44" s="64">
        <f>$B$42/$B$43</f>
        <v>1867.1536</v>
      </c>
      <c r="D44" s="64">
        <f aca="true" t="shared" si="0" ref="D44:V44">$B$42/$B$43</f>
        <v>1867.1536</v>
      </c>
      <c r="E44" s="64">
        <f t="shared" si="0"/>
        <v>1867.1536</v>
      </c>
      <c r="F44" s="64">
        <f t="shared" si="0"/>
        <v>1867.1536</v>
      </c>
      <c r="G44" s="64">
        <f t="shared" si="0"/>
        <v>1867.1536</v>
      </c>
      <c r="H44" s="64">
        <f t="shared" si="0"/>
        <v>1867.1536</v>
      </c>
      <c r="I44" s="64">
        <f t="shared" si="0"/>
        <v>1867.1536</v>
      </c>
      <c r="J44" s="64">
        <f t="shared" si="0"/>
        <v>1867.1536</v>
      </c>
      <c r="K44" s="64">
        <f t="shared" si="0"/>
        <v>1867.1536</v>
      </c>
      <c r="L44" s="64">
        <f t="shared" si="0"/>
        <v>1867.1536</v>
      </c>
      <c r="M44" s="64">
        <f t="shared" si="0"/>
        <v>1867.1536</v>
      </c>
      <c r="N44" s="64">
        <f t="shared" si="0"/>
        <v>1867.1536</v>
      </c>
      <c r="O44" s="64">
        <f t="shared" si="0"/>
        <v>1867.1536</v>
      </c>
      <c r="P44" s="64">
        <f t="shared" si="0"/>
        <v>1867.1536</v>
      </c>
      <c r="Q44" s="64">
        <f t="shared" si="0"/>
        <v>1867.1536</v>
      </c>
      <c r="R44" s="64">
        <f t="shared" si="0"/>
        <v>1867.1536</v>
      </c>
      <c r="S44" s="64">
        <f t="shared" si="0"/>
        <v>1867.1536</v>
      </c>
      <c r="T44" s="64">
        <f t="shared" si="0"/>
        <v>1867.1536</v>
      </c>
      <c r="U44" s="64">
        <f t="shared" si="0"/>
        <v>1867.1536</v>
      </c>
      <c r="V44" s="64">
        <f t="shared" si="0"/>
        <v>1867.1536</v>
      </c>
    </row>
    <row r="45" spans="1:22" s="1" customFormat="1" ht="11.25">
      <c r="A45" s="100" t="s">
        <v>117</v>
      </c>
      <c r="B45" s="58"/>
      <c r="C45" s="64">
        <f>C44+B45</f>
        <v>1867.1536</v>
      </c>
      <c r="D45" s="64">
        <f>D44+C45</f>
        <v>3734.3072</v>
      </c>
      <c r="E45" s="64">
        <f aca="true" t="shared" si="1" ref="E45:V45">E44+D45</f>
        <v>5601.460800000001</v>
      </c>
      <c r="F45" s="64">
        <f t="shared" si="1"/>
        <v>7468.6144</v>
      </c>
      <c r="G45" s="64">
        <f t="shared" si="1"/>
        <v>9335.768</v>
      </c>
      <c r="H45" s="64">
        <f t="shared" si="1"/>
        <v>11202.9216</v>
      </c>
      <c r="I45" s="64">
        <f t="shared" si="1"/>
        <v>13070.0752</v>
      </c>
      <c r="J45" s="64">
        <f t="shared" si="1"/>
        <v>14937.228799999999</v>
      </c>
      <c r="K45" s="64">
        <f t="shared" si="1"/>
        <v>16804.3824</v>
      </c>
      <c r="L45" s="64">
        <f t="shared" si="1"/>
        <v>18671.536</v>
      </c>
      <c r="M45" s="64">
        <f t="shared" si="1"/>
        <v>20538.6896</v>
      </c>
      <c r="N45" s="64">
        <f t="shared" si="1"/>
        <v>22405.843200000003</v>
      </c>
      <c r="O45" s="64">
        <f t="shared" si="1"/>
        <v>24272.996800000004</v>
      </c>
      <c r="P45" s="64">
        <f t="shared" si="1"/>
        <v>26140.150400000006</v>
      </c>
      <c r="Q45" s="64">
        <f t="shared" si="1"/>
        <v>28007.304000000007</v>
      </c>
      <c r="R45" s="64">
        <f t="shared" si="1"/>
        <v>29874.45760000001</v>
      </c>
      <c r="S45" s="64">
        <f t="shared" si="1"/>
        <v>31741.61120000001</v>
      </c>
      <c r="T45" s="64">
        <f t="shared" si="1"/>
        <v>33608.76480000001</v>
      </c>
      <c r="U45" s="64">
        <f t="shared" si="1"/>
        <v>35475.91840000001</v>
      </c>
      <c r="V45" s="64">
        <f t="shared" si="1"/>
        <v>37343.07200000001</v>
      </c>
    </row>
    <row r="46" spans="1:22" s="1" customFormat="1" ht="11.25">
      <c r="A46" s="102" t="s">
        <v>118</v>
      </c>
      <c r="B46" s="23">
        <f>B42</f>
        <v>37343.072</v>
      </c>
      <c r="C46" s="23">
        <f>$B$42-C45</f>
        <v>35475.9184</v>
      </c>
      <c r="D46" s="23">
        <f aca="true" t="shared" si="2" ref="D46:V46">$B$42-D45</f>
        <v>33608.7648</v>
      </c>
      <c r="E46" s="23">
        <f t="shared" si="2"/>
        <v>31741.6112</v>
      </c>
      <c r="F46" s="23">
        <f t="shared" si="2"/>
        <v>29874.4576</v>
      </c>
      <c r="G46" s="23">
        <f t="shared" si="2"/>
        <v>28007.304</v>
      </c>
      <c r="H46" s="23">
        <f t="shared" si="2"/>
        <v>26140.1504</v>
      </c>
      <c r="I46" s="23">
        <f t="shared" si="2"/>
        <v>24272.9968</v>
      </c>
      <c r="J46" s="23">
        <f t="shared" si="2"/>
        <v>22405.843200000003</v>
      </c>
      <c r="K46" s="23">
        <f t="shared" si="2"/>
        <v>20538.6896</v>
      </c>
      <c r="L46" s="23">
        <f t="shared" si="2"/>
        <v>18671.536</v>
      </c>
      <c r="M46" s="23">
        <f t="shared" si="2"/>
        <v>16804.3824</v>
      </c>
      <c r="N46" s="23">
        <f t="shared" si="2"/>
        <v>14937.228799999997</v>
      </c>
      <c r="O46" s="23">
        <f t="shared" si="2"/>
        <v>13070.075199999996</v>
      </c>
      <c r="P46" s="23">
        <f t="shared" si="2"/>
        <v>11202.921599999994</v>
      </c>
      <c r="Q46" s="23">
        <f t="shared" si="2"/>
        <v>9335.767999999993</v>
      </c>
      <c r="R46" s="23">
        <f t="shared" si="2"/>
        <v>7468.614399999991</v>
      </c>
      <c r="S46" s="23">
        <f t="shared" si="2"/>
        <v>5601.46079999999</v>
      </c>
      <c r="T46" s="23">
        <f t="shared" si="2"/>
        <v>3734.3071999999884</v>
      </c>
      <c r="U46" s="23">
        <f t="shared" si="2"/>
        <v>1867.1535999999905</v>
      </c>
      <c r="V46" s="23">
        <f t="shared" si="2"/>
        <v>0</v>
      </c>
    </row>
    <row r="47" ht="12.75">
      <c r="D47" s="12"/>
    </row>
    <row r="48" spans="1:22" ht="12.75">
      <c r="A48" s="79" t="s">
        <v>121</v>
      </c>
      <c r="B48" s="79">
        <f>B41</f>
        <v>2010</v>
      </c>
      <c r="C48" s="79">
        <f aca="true" t="shared" si="3" ref="C48:V48">C41</f>
        <v>2011</v>
      </c>
      <c r="D48" s="79">
        <f t="shared" si="3"/>
        <v>2012</v>
      </c>
      <c r="E48" s="79">
        <f t="shared" si="3"/>
        <v>2013</v>
      </c>
      <c r="F48" s="79">
        <f t="shared" si="3"/>
        <v>2014</v>
      </c>
      <c r="G48" s="79">
        <f t="shared" si="3"/>
        <v>2015</v>
      </c>
      <c r="H48" s="79">
        <f t="shared" si="3"/>
        <v>2016</v>
      </c>
      <c r="I48" s="79">
        <f t="shared" si="3"/>
        <v>2017</v>
      </c>
      <c r="J48" s="79">
        <f t="shared" si="3"/>
        <v>2018</v>
      </c>
      <c r="K48" s="79">
        <f t="shared" si="3"/>
        <v>2019</v>
      </c>
      <c r="L48" s="79">
        <f t="shared" si="3"/>
        <v>2020</v>
      </c>
      <c r="M48" s="79">
        <f t="shared" si="3"/>
        <v>2021</v>
      </c>
      <c r="N48" s="79">
        <f t="shared" si="3"/>
        <v>2022</v>
      </c>
      <c r="O48" s="79">
        <f t="shared" si="3"/>
        <v>2023</v>
      </c>
      <c r="P48" s="79">
        <f t="shared" si="3"/>
        <v>2024</v>
      </c>
      <c r="Q48" s="79">
        <f t="shared" si="3"/>
        <v>2025</v>
      </c>
      <c r="R48" s="79">
        <f t="shared" si="3"/>
        <v>2026</v>
      </c>
      <c r="S48" s="79">
        <f t="shared" si="3"/>
        <v>2027</v>
      </c>
      <c r="T48" s="79">
        <f t="shared" si="3"/>
        <v>2028</v>
      </c>
      <c r="U48" s="79">
        <f t="shared" si="3"/>
        <v>2029</v>
      </c>
      <c r="V48" s="79">
        <f t="shared" si="3"/>
        <v>2030</v>
      </c>
    </row>
    <row r="49" spans="1:22" ht="12.75">
      <c r="A49" s="99" t="s">
        <v>122</v>
      </c>
      <c r="B49" s="90">
        <f>B18*C15</f>
        <v>31741.6112</v>
      </c>
      <c r="C49" s="91"/>
      <c r="D49" s="91"/>
      <c r="E49" s="91"/>
      <c r="F49" s="91"/>
      <c r="G49" s="91"/>
      <c r="H49" s="91"/>
      <c r="I49" s="91"/>
      <c r="J49" s="91"/>
      <c r="K49" s="91"/>
      <c r="L49" s="91"/>
      <c r="M49" s="91"/>
      <c r="N49" s="91"/>
      <c r="O49" s="91"/>
      <c r="P49" s="91"/>
      <c r="Q49" s="91"/>
      <c r="R49" s="91"/>
      <c r="S49" s="91"/>
      <c r="T49" s="91"/>
      <c r="U49" s="91"/>
      <c r="V49" s="92"/>
    </row>
    <row r="50" spans="1:22" ht="12.75">
      <c r="A50" s="100" t="s">
        <v>123</v>
      </c>
      <c r="B50" s="93">
        <v>15</v>
      </c>
      <c r="C50" s="34">
        <v>1</v>
      </c>
      <c r="D50" s="34">
        <v>2</v>
      </c>
      <c r="E50" s="34">
        <v>3</v>
      </c>
      <c r="F50" s="34">
        <v>4</v>
      </c>
      <c r="G50" s="34">
        <v>5</v>
      </c>
      <c r="H50" s="34">
        <v>6</v>
      </c>
      <c r="I50" s="34">
        <v>7</v>
      </c>
      <c r="J50" s="34">
        <v>8</v>
      </c>
      <c r="K50" s="34">
        <v>9</v>
      </c>
      <c r="L50" s="34">
        <v>10</v>
      </c>
      <c r="M50" s="34">
        <v>11</v>
      </c>
      <c r="N50" s="34">
        <v>12</v>
      </c>
      <c r="O50" s="34">
        <v>13</v>
      </c>
      <c r="P50" s="34">
        <v>14</v>
      </c>
      <c r="Q50" s="34">
        <v>15</v>
      </c>
      <c r="R50" s="34">
        <v>16</v>
      </c>
      <c r="S50" s="34">
        <v>17</v>
      </c>
      <c r="T50" s="34">
        <v>18</v>
      </c>
      <c r="U50" s="34">
        <v>19</v>
      </c>
      <c r="V50" s="94">
        <v>20</v>
      </c>
    </row>
    <row r="51" spans="1:22" ht="12.75">
      <c r="A51" s="100" t="s">
        <v>124</v>
      </c>
      <c r="B51" s="93"/>
      <c r="C51" s="65">
        <f>B54</f>
        <v>31741.6112</v>
      </c>
      <c r="D51" s="65">
        <f>C54</f>
        <v>30325.12283126043</v>
      </c>
      <c r="E51" s="65">
        <f aca="true" t="shared" si="4" ref="E51:V51">D54</f>
        <v>28830.727602240182</v>
      </c>
      <c r="F51" s="65">
        <f t="shared" si="4"/>
        <v>27254.140635623822</v>
      </c>
      <c r="G51" s="65">
        <f t="shared" si="4"/>
        <v>25590.841385843563</v>
      </c>
      <c r="H51" s="65">
        <f t="shared" si="4"/>
        <v>23836.06067732539</v>
      </c>
      <c r="I51" s="65">
        <f t="shared" si="4"/>
        <v>21984.767029838717</v>
      </c>
      <c r="J51" s="65">
        <f t="shared" si="4"/>
        <v>20031.652231740278</v>
      </c>
      <c r="K51" s="65">
        <f t="shared" si="4"/>
        <v>17971.116119746424</v>
      </c>
      <c r="L51" s="65">
        <f t="shared" si="4"/>
        <v>15797.25052159291</v>
      </c>
      <c r="M51" s="65">
        <f t="shared" si="4"/>
        <v>13503.822315540954</v>
      </c>
      <c r="N51" s="65">
        <f t="shared" si="4"/>
        <v>11084.25555815614</v>
      </c>
      <c r="O51" s="65">
        <f t="shared" si="4"/>
        <v>8531.612629115163</v>
      </c>
      <c r="P51" s="65">
        <f t="shared" si="4"/>
        <v>5838.57433897693</v>
      </c>
      <c r="Q51" s="65">
        <f t="shared" si="4"/>
        <v>2997.418942881099</v>
      </c>
      <c r="R51" s="65">
        <f>Q54</f>
        <v>0</v>
      </c>
      <c r="S51" s="65">
        <f t="shared" si="4"/>
        <v>0</v>
      </c>
      <c r="T51" s="65">
        <f t="shared" si="4"/>
        <v>0</v>
      </c>
      <c r="U51" s="65">
        <f t="shared" si="4"/>
        <v>0</v>
      </c>
      <c r="V51" s="76">
        <f t="shared" si="4"/>
        <v>0</v>
      </c>
    </row>
    <row r="52" spans="1:22" ht="12.75">
      <c r="A52" s="100" t="s">
        <v>125</v>
      </c>
      <c r="B52" s="93"/>
      <c r="C52" s="65">
        <f>IF(C50&lt;=$B$50,PMT($C$56,($B$50-C50+1),-$C$51),0)</f>
        <v>3162.2769847395693</v>
      </c>
      <c r="D52" s="65">
        <f>IF(D50&lt;=$B$50,PMT(D56,($B$50-D50+1),-D51),0)</f>
        <v>3162.2769847395693</v>
      </c>
      <c r="E52" s="65">
        <f>IF(E50&lt;=$B$50,PMT(E56,($B$50-E50+1),-E51),0)</f>
        <v>3162.276984739569</v>
      </c>
      <c r="F52" s="65">
        <f aca="true" t="shared" si="5" ref="F52:R52">IF(F50&lt;=$B$50,PMT(F56,($B$50-F50+1),-F51),0)</f>
        <v>3162.276984739569</v>
      </c>
      <c r="G52" s="65">
        <f t="shared" si="5"/>
        <v>3162.2769847395684</v>
      </c>
      <c r="H52" s="65">
        <f t="shared" si="5"/>
        <v>3162.2769847395675</v>
      </c>
      <c r="I52" s="65">
        <f t="shared" si="5"/>
        <v>3162.2769847395675</v>
      </c>
      <c r="J52" s="65">
        <f t="shared" si="5"/>
        <v>3162.276984739567</v>
      </c>
      <c r="K52" s="65">
        <f t="shared" si="5"/>
        <v>3162.276984739567</v>
      </c>
      <c r="L52" s="65">
        <f t="shared" si="5"/>
        <v>3162.2769847395666</v>
      </c>
      <c r="M52" s="65">
        <f t="shared" si="5"/>
        <v>3162.2769847395666</v>
      </c>
      <c r="N52" s="65">
        <f t="shared" si="5"/>
        <v>3162.276984739565</v>
      </c>
      <c r="O52" s="65">
        <f t="shared" si="5"/>
        <v>3162.276984739566</v>
      </c>
      <c r="P52" s="65">
        <f t="shared" si="5"/>
        <v>3162.2769847395625</v>
      </c>
      <c r="Q52" s="65">
        <f t="shared" si="5"/>
        <v>3162.276984739563</v>
      </c>
      <c r="R52" s="65">
        <f t="shared" si="5"/>
        <v>0</v>
      </c>
      <c r="S52" s="65">
        <f>IF(S50&lt;=$B$50,PMT(S56,($B$50-S50+1),-S51),0)</f>
        <v>0</v>
      </c>
      <c r="T52" s="65">
        <f>IF(T50&lt;=$B$50,PMT(T56,($B$50-T50+1),-T51),0)</f>
        <v>0</v>
      </c>
      <c r="U52" s="65">
        <f>IF(U50&lt;=$B$50,PMT(U56,($B$50-U50+1),-U51),0)</f>
        <v>0</v>
      </c>
      <c r="V52" s="76">
        <f>IF(V50&lt;=$B$50,PMT(V56,($B$50-V50+1),-V51),0)</f>
        <v>0</v>
      </c>
    </row>
    <row r="53" spans="1:22" ht="12.75">
      <c r="A53" s="100" t="s">
        <v>126</v>
      </c>
      <c r="B53" s="93"/>
      <c r="C53" s="55">
        <f>C52-C55</f>
        <v>1416.4883687395693</v>
      </c>
      <c r="D53" s="55">
        <f aca="true" t="shared" si="6" ref="D53:V53">D52-D55</f>
        <v>1494.3952290202458</v>
      </c>
      <c r="E53" s="55">
        <f t="shared" si="6"/>
        <v>1576.586966616359</v>
      </c>
      <c r="F53" s="55">
        <f t="shared" si="6"/>
        <v>1663.2992497802586</v>
      </c>
      <c r="G53" s="55">
        <f t="shared" si="6"/>
        <v>1754.7807085181723</v>
      </c>
      <c r="H53" s="55">
        <f t="shared" si="6"/>
        <v>1851.293647486671</v>
      </c>
      <c r="I53" s="55">
        <f t="shared" si="6"/>
        <v>1953.114798098438</v>
      </c>
      <c r="J53" s="55">
        <f t="shared" si="6"/>
        <v>2060.5361119938516</v>
      </c>
      <c r="K53" s="55">
        <f t="shared" si="6"/>
        <v>2173.865598153514</v>
      </c>
      <c r="L53" s="55">
        <f t="shared" si="6"/>
        <v>2293.4282060519563</v>
      </c>
      <c r="M53" s="55">
        <f t="shared" si="6"/>
        <v>2419.566757384814</v>
      </c>
      <c r="N53" s="55">
        <f t="shared" si="6"/>
        <v>2552.642929040977</v>
      </c>
      <c r="O53" s="55">
        <f t="shared" si="6"/>
        <v>2693.0382901382322</v>
      </c>
      <c r="P53" s="55">
        <f t="shared" si="6"/>
        <v>2841.1553960958313</v>
      </c>
      <c r="Q53" s="55">
        <f>Q52-Q55</f>
        <v>2997.4189428811023</v>
      </c>
      <c r="R53" s="55">
        <f t="shared" si="6"/>
        <v>0</v>
      </c>
      <c r="S53" s="55">
        <f t="shared" si="6"/>
        <v>0</v>
      </c>
      <c r="T53" s="55">
        <f t="shared" si="6"/>
        <v>0</v>
      </c>
      <c r="U53" s="55">
        <f t="shared" si="6"/>
        <v>0</v>
      </c>
      <c r="V53" s="57">
        <f t="shared" si="6"/>
        <v>0</v>
      </c>
    </row>
    <row r="54" spans="1:22" ht="12.75">
      <c r="A54" s="100" t="s">
        <v>127</v>
      </c>
      <c r="B54" s="95">
        <f>B49</f>
        <v>31741.6112</v>
      </c>
      <c r="C54" s="65">
        <f>C51-C53</f>
        <v>30325.12283126043</v>
      </c>
      <c r="D54" s="65">
        <f aca="true" t="shared" si="7" ref="D54:J54">D51-D53</f>
        <v>28830.727602240182</v>
      </c>
      <c r="E54" s="65">
        <f t="shared" si="7"/>
        <v>27254.140635623822</v>
      </c>
      <c r="F54" s="65">
        <f t="shared" si="7"/>
        <v>25590.841385843563</v>
      </c>
      <c r="G54" s="65">
        <f t="shared" si="7"/>
        <v>23836.06067732539</v>
      </c>
      <c r="H54" s="65">
        <f t="shared" si="7"/>
        <v>21984.767029838717</v>
      </c>
      <c r="I54" s="65">
        <f t="shared" si="7"/>
        <v>20031.652231740278</v>
      </c>
      <c r="J54" s="65">
        <f t="shared" si="7"/>
        <v>17971.116119746424</v>
      </c>
      <c r="K54" s="65">
        <f aca="true" t="shared" si="8" ref="K54:U54">K51-K53</f>
        <v>15797.25052159291</v>
      </c>
      <c r="L54" s="65">
        <f t="shared" si="8"/>
        <v>13503.822315540954</v>
      </c>
      <c r="M54" s="65">
        <f t="shared" si="8"/>
        <v>11084.25555815614</v>
      </c>
      <c r="N54" s="65">
        <f t="shared" si="8"/>
        <v>8531.612629115163</v>
      </c>
      <c r="O54" s="65">
        <f t="shared" si="8"/>
        <v>5838.57433897693</v>
      </c>
      <c r="P54" s="65">
        <f t="shared" si="8"/>
        <v>2997.418942881099</v>
      </c>
      <c r="Q54" s="65">
        <f t="shared" si="8"/>
        <v>0</v>
      </c>
      <c r="R54" s="65">
        <f t="shared" si="8"/>
        <v>0</v>
      </c>
      <c r="S54" s="65">
        <f t="shared" si="8"/>
        <v>0</v>
      </c>
      <c r="T54" s="65">
        <f t="shared" si="8"/>
        <v>0</v>
      </c>
      <c r="U54" s="65">
        <f t="shared" si="8"/>
        <v>0</v>
      </c>
      <c r="V54" s="94"/>
    </row>
    <row r="55" spans="1:22" ht="12.75">
      <c r="A55" s="100" t="s">
        <v>128</v>
      </c>
      <c r="B55" s="93"/>
      <c r="C55" s="65">
        <f>C51*C56</f>
        <v>1745.788616</v>
      </c>
      <c r="D55" s="65">
        <f aca="true" t="shared" si="9" ref="D55:V55">D51*D56</f>
        <v>1667.8817557193236</v>
      </c>
      <c r="E55" s="65">
        <f t="shared" si="9"/>
        <v>1585.69001812321</v>
      </c>
      <c r="F55" s="65">
        <f t="shared" si="9"/>
        <v>1498.9777349593103</v>
      </c>
      <c r="G55" s="65">
        <f t="shared" si="9"/>
        <v>1407.496276221396</v>
      </c>
      <c r="H55" s="65">
        <f t="shared" si="9"/>
        <v>1310.9833372528965</v>
      </c>
      <c r="I55" s="65">
        <f t="shared" si="9"/>
        <v>1209.1621866411294</v>
      </c>
      <c r="J55" s="65">
        <f t="shared" si="9"/>
        <v>1101.7408727457153</v>
      </c>
      <c r="K55" s="65">
        <f t="shared" si="9"/>
        <v>988.4113865860534</v>
      </c>
      <c r="L55" s="65">
        <f t="shared" si="9"/>
        <v>868.8487786876101</v>
      </c>
      <c r="M55" s="65">
        <f t="shared" si="9"/>
        <v>742.7102273547525</v>
      </c>
      <c r="N55" s="65">
        <f>N51*N56</f>
        <v>609.6340556985876</v>
      </c>
      <c r="O55" s="65">
        <f t="shared" si="9"/>
        <v>469.238694601334</v>
      </c>
      <c r="P55" s="65">
        <f>P51*P56</f>
        <v>321.1215886437312</v>
      </c>
      <c r="Q55" s="65">
        <f>Q51*Q56</f>
        <v>164.85804185846047</v>
      </c>
      <c r="R55" s="65">
        <f>R51*R56</f>
        <v>0</v>
      </c>
      <c r="S55" s="65">
        <f t="shared" si="9"/>
        <v>0</v>
      </c>
      <c r="T55" s="65">
        <f t="shared" si="9"/>
        <v>0</v>
      </c>
      <c r="U55" s="65">
        <f t="shared" si="9"/>
        <v>0</v>
      </c>
      <c r="V55" s="76">
        <f t="shared" si="9"/>
        <v>0</v>
      </c>
    </row>
    <row r="56" spans="1:22" ht="12.75">
      <c r="A56" s="101" t="s">
        <v>129</v>
      </c>
      <c r="B56" s="96">
        <f>B19</f>
        <v>0.055</v>
      </c>
      <c r="C56" s="97">
        <f>B56</f>
        <v>0.055</v>
      </c>
      <c r="D56" s="97">
        <f>C56</f>
        <v>0.055</v>
      </c>
      <c r="E56" s="97">
        <f aca="true" t="shared" si="10" ref="E56:V56">D56</f>
        <v>0.055</v>
      </c>
      <c r="F56" s="97">
        <f t="shared" si="10"/>
        <v>0.055</v>
      </c>
      <c r="G56" s="97">
        <f t="shared" si="10"/>
        <v>0.055</v>
      </c>
      <c r="H56" s="97">
        <f t="shared" si="10"/>
        <v>0.055</v>
      </c>
      <c r="I56" s="97">
        <f t="shared" si="10"/>
        <v>0.055</v>
      </c>
      <c r="J56" s="97">
        <f t="shared" si="10"/>
        <v>0.055</v>
      </c>
      <c r="K56" s="97">
        <f t="shared" si="10"/>
        <v>0.055</v>
      </c>
      <c r="L56" s="97">
        <f t="shared" si="10"/>
        <v>0.055</v>
      </c>
      <c r="M56" s="97">
        <f t="shared" si="10"/>
        <v>0.055</v>
      </c>
      <c r="N56" s="97">
        <f t="shared" si="10"/>
        <v>0.055</v>
      </c>
      <c r="O56" s="97">
        <f t="shared" si="10"/>
        <v>0.055</v>
      </c>
      <c r="P56" s="97">
        <f t="shared" si="10"/>
        <v>0.055</v>
      </c>
      <c r="Q56" s="97">
        <f t="shared" si="10"/>
        <v>0.055</v>
      </c>
      <c r="R56" s="97">
        <f t="shared" si="10"/>
        <v>0.055</v>
      </c>
      <c r="S56" s="97">
        <f t="shared" si="10"/>
        <v>0.055</v>
      </c>
      <c r="T56" s="97">
        <f t="shared" si="10"/>
        <v>0.055</v>
      </c>
      <c r="U56" s="97">
        <f t="shared" si="10"/>
        <v>0.055</v>
      </c>
      <c r="V56" s="98">
        <f t="shared" si="10"/>
        <v>0.055</v>
      </c>
    </row>
    <row r="57" spans="1:22" ht="12.75">
      <c r="A57" s="1"/>
      <c r="B57" s="1"/>
      <c r="C57" s="1"/>
      <c r="D57" s="1"/>
      <c r="E57" s="1"/>
      <c r="F57" s="1"/>
      <c r="G57" s="1"/>
      <c r="H57" s="1"/>
      <c r="I57" s="1"/>
      <c r="J57" s="1"/>
      <c r="K57" s="1"/>
      <c r="L57" s="1"/>
      <c r="M57" s="1"/>
      <c r="N57" s="1"/>
      <c r="O57" s="1"/>
      <c r="P57" s="1"/>
      <c r="Q57" s="1"/>
      <c r="R57" s="1"/>
      <c r="S57" s="1"/>
      <c r="T57" s="1"/>
      <c r="U57" s="1"/>
      <c r="V57" s="1"/>
    </row>
    <row r="58" spans="1:22" ht="12.75">
      <c r="A58" s="1"/>
      <c r="B58" s="1"/>
      <c r="C58" s="1"/>
      <c r="D58" s="1"/>
      <c r="E58" s="1"/>
      <c r="F58" s="1"/>
      <c r="G58" s="1"/>
      <c r="H58" s="1"/>
      <c r="I58" s="1"/>
      <c r="J58" s="1"/>
      <c r="K58" s="1"/>
      <c r="L58" s="1"/>
      <c r="M58" s="1"/>
      <c r="N58" s="1"/>
      <c r="O58" s="1"/>
      <c r="P58" s="1"/>
      <c r="Q58" s="1"/>
      <c r="R58" s="1"/>
      <c r="S58" s="1"/>
      <c r="T58" s="1"/>
      <c r="U58" s="1"/>
      <c r="V58" s="1"/>
    </row>
    <row r="59" spans="2:22" ht="12.75">
      <c r="B59" s="1"/>
      <c r="C59" s="1"/>
      <c r="D59" s="1"/>
      <c r="E59" s="1"/>
      <c r="F59" s="1"/>
      <c r="G59" s="1"/>
      <c r="H59" s="1"/>
      <c r="I59" s="1"/>
      <c r="J59" s="1"/>
      <c r="K59" s="1"/>
      <c r="L59" s="1"/>
      <c r="M59" s="1"/>
      <c r="N59" s="1"/>
      <c r="O59" s="1"/>
      <c r="P59" s="1"/>
      <c r="Q59" s="1"/>
      <c r="R59" s="1"/>
      <c r="S59" s="1"/>
      <c r="T59" s="1"/>
      <c r="U59" s="1"/>
      <c r="V59"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X71"/>
  <sheetViews>
    <sheetView zoomScalePageLayoutView="0" workbookViewId="0" topLeftCell="A1">
      <selection activeCell="E23" sqref="E23"/>
    </sheetView>
  </sheetViews>
  <sheetFormatPr defaultColWidth="9.140625" defaultRowHeight="12.75"/>
  <cols>
    <col min="1" max="1" width="34.00390625" style="1" customWidth="1"/>
    <col min="2" max="2" width="14.00390625" style="1" customWidth="1"/>
    <col min="3" max="4" width="11.57421875" style="1" customWidth="1"/>
    <col min="5" max="14" width="11.57421875" style="1" bestFit="1" customWidth="1"/>
    <col min="15" max="15" width="9.28125" style="1" bestFit="1" customWidth="1"/>
    <col min="16" max="16384" width="9.140625" style="1" customWidth="1"/>
  </cols>
  <sheetData>
    <row r="1" ht="11.25"/>
    <row r="2" spans="1:2" ht="11.25">
      <c r="A2" s="1" t="s">
        <v>26</v>
      </c>
      <c r="B2" s="50">
        <f>'[1]Sheet1'!$D$6</f>
        <v>58800000</v>
      </c>
    </row>
    <row r="3" ht="11.25">
      <c r="B3" s="60"/>
    </row>
    <row r="4" ht="11.25">
      <c r="B4" s="6"/>
    </row>
    <row r="5" spans="1:2" ht="11.25">
      <c r="A5" s="22"/>
      <c r="B5" s="6"/>
    </row>
    <row r="6" ht="11.25">
      <c r="A6" s="1" t="s">
        <v>27</v>
      </c>
    </row>
    <row r="7" spans="1:24" ht="11.25">
      <c r="A7" s="138" t="s">
        <v>32</v>
      </c>
      <c r="B7" s="138" t="s">
        <v>57</v>
      </c>
      <c r="C7" s="138">
        <f>2008+1</f>
        <v>2009</v>
      </c>
      <c r="D7" s="138">
        <f aca="true" t="shared" si="0" ref="D7:X7">C7+1</f>
        <v>2010</v>
      </c>
      <c r="E7" s="138">
        <f t="shared" si="0"/>
        <v>2011</v>
      </c>
      <c r="F7" s="138">
        <f t="shared" si="0"/>
        <v>2012</v>
      </c>
      <c r="G7" s="138">
        <f t="shared" si="0"/>
        <v>2013</v>
      </c>
      <c r="H7" s="138">
        <f t="shared" si="0"/>
        <v>2014</v>
      </c>
      <c r="I7" s="138">
        <f t="shared" si="0"/>
        <v>2015</v>
      </c>
      <c r="J7" s="138">
        <f t="shared" si="0"/>
        <v>2016</v>
      </c>
      <c r="K7" s="138">
        <f t="shared" si="0"/>
        <v>2017</v>
      </c>
      <c r="L7" s="138">
        <f t="shared" si="0"/>
        <v>2018</v>
      </c>
      <c r="M7" s="138">
        <f t="shared" si="0"/>
        <v>2019</v>
      </c>
      <c r="N7" s="138">
        <f t="shared" si="0"/>
        <v>2020</v>
      </c>
      <c r="O7" s="138">
        <f t="shared" si="0"/>
        <v>2021</v>
      </c>
      <c r="P7" s="138">
        <f t="shared" si="0"/>
        <v>2022</v>
      </c>
      <c r="Q7" s="138">
        <f t="shared" si="0"/>
        <v>2023</v>
      </c>
      <c r="R7" s="138">
        <f t="shared" si="0"/>
        <v>2024</v>
      </c>
      <c r="S7" s="138">
        <f t="shared" si="0"/>
        <v>2025</v>
      </c>
      <c r="T7" s="138">
        <f t="shared" si="0"/>
        <v>2026</v>
      </c>
      <c r="U7" s="138">
        <f t="shared" si="0"/>
        <v>2027</v>
      </c>
      <c r="V7" s="138">
        <f t="shared" si="0"/>
        <v>2028</v>
      </c>
      <c r="W7" s="138">
        <f t="shared" si="0"/>
        <v>2029</v>
      </c>
      <c r="X7" s="138">
        <f t="shared" si="0"/>
        <v>2030</v>
      </c>
    </row>
    <row r="8" spans="1:24" ht="11.25">
      <c r="A8" s="176" t="s">
        <v>64</v>
      </c>
      <c r="B8" s="56">
        <f>B2-(B2*B3)</f>
        <v>58800000</v>
      </c>
      <c r="C8" s="56">
        <v>0</v>
      </c>
      <c r="D8" s="56">
        <v>0</v>
      </c>
      <c r="E8" s="56">
        <f>$B$8</f>
        <v>58800000</v>
      </c>
      <c r="F8" s="56">
        <f aca="true" t="shared" si="1" ref="F8:X8">$B$8</f>
        <v>58800000</v>
      </c>
      <c r="G8" s="56">
        <f t="shared" si="1"/>
        <v>58800000</v>
      </c>
      <c r="H8" s="56">
        <f t="shared" si="1"/>
        <v>58800000</v>
      </c>
      <c r="I8" s="56">
        <f t="shared" si="1"/>
        <v>58800000</v>
      </c>
      <c r="J8" s="56">
        <f t="shared" si="1"/>
        <v>58800000</v>
      </c>
      <c r="K8" s="56">
        <f t="shared" si="1"/>
        <v>58800000</v>
      </c>
      <c r="L8" s="56">
        <f t="shared" si="1"/>
        <v>58800000</v>
      </c>
      <c r="M8" s="56">
        <f t="shared" si="1"/>
        <v>58800000</v>
      </c>
      <c r="N8" s="56">
        <f t="shared" si="1"/>
        <v>58800000</v>
      </c>
      <c r="O8" s="56">
        <f t="shared" si="1"/>
        <v>58800000</v>
      </c>
      <c r="P8" s="56">
        <f t="shared" si="1"/>
        <v>58800000</v>
      </c>
      <c r="Q8" s="56">
        <f t="shared" si="1"/>
        <v>58800000</v>
      </c>
      <c r="R8" s="56">
        <f t="shared" si="1"/>
        <v>58800000</v>
      </c>
      <c r="S8" s="56">
        <f t="shared" si="1"/>
        <v>58800000</v>
      </c>
      <c r="T8" s="56">
        <f t="shared" si="1"/>
        <v>58800000</v>
      </c>
      <c r="U8" s="56">
        <f t="shared" si="1"/>
        <v>58800000</v>
      </c>
      <c r="V8" s="56">
        <f t="shared" si="1"/>
        <v>58800000</v>
      </c>
      <c r="W8" s="56">
        <f t="shared" si="1"/>
        <v>58800000</v>
      </c>
      <c r="X8" s="56">
        <f t="shared" si="1"/>
        <v>58800000</v>
      </c>
    </row>
    <row r="9" spans="1:24" ht="11.25">
      <c r="A9" s="142" t="s">
        <v>18</v>
      </c>
      <c r="B9" s="55">
        <f>E8*$B$59/1000</f>
        <v>36808.8</v>
      </c>
      <c r="C9" s="55">
        <f aca="true" t="shared" si="2" ref="C9:X9">C8/1000*$B$59</f>
        <v>0</v>
      </c>
      <c r="D9" s="55">
        <f t="shared" si="2"/>
        <v>0</v>
      </c>
      <c r="E9" s="55">
        <f>E8/1000*$B$59</f>
        <v>36808.8</v>
      </c>
      <c r="F9" s="55">
        <f t="shared" si="2"/>
        <v>36808.8</v>
      </c>
      <c r="G9" s="55">
        <f t="shared" si="2"/>
        <v>36808.8</v>
      </c>
      <c r="H9" s="55">
        <f t="shared" si="2"/>
        <v>36808.8</v>
      </c>
      <c r="I9" s="55">
        <f t="shared" si="2"/>
        <v>36808.8</v>
      </c>
      <c r="J9" s="55">
        <f t="shared" si="2"/>
        <v>36808.8</v>
      </c>
      <c r="K9" s="55">
        <f t="shared" si="2"/>
        <v>36808.8</v>
      </c>
      <c r="L9" s="55">
        <f t="shared" si="2"/>
        <v>36808.8</v>
      </c>
      <c r="M9" s="55">
        <f t="shared" si="2"/>
        <v>36808.8</v>
      </c>
      <c r="N9" s="55">
        <f t="shared" si="2"/>
        <v>36808.8</v>
      </c>
      <c r="O9" s="55">
        <f t="shared" si="2"/>
        <v>36808.8</v>
      </c>
      <c r="P9" s="55">
        <f t="shared" si="2"/>
        <v>36808.8</v>
      </c>
      <c r="Q9" s="55">
        <f t="shared" si="2"/>
        <v>36808.8</v>
      </c>
      <c r="R9" s="55">
        <f t="shared" si="2"/>
        <v>36808.8</v>
      </c>
      <c r="S9" s="55">
        <f t="shared" si="2"/>
        <v>36808.8</v>
      </c>
      <c r="T9" s="55">
        <f t="shared" si="2"/>
        <v>36808.8</v>
      </c>
      <c r="U9" s="55">
        <f t="shared" si="2"/>
        <v>36808.8</v>
      </c>
      <c r="V9" s="55">
        <f t="shared" si="2"/>
        <v>36808.8</v>
      </c>
      <c r="W9" s="55">
        <f t="shared" si="2"/>
        <v>36808.8</v>
      </c>
      <c r="X9" s="55">
        <f t="shared" si="2"/>
        <v>36808.8</v>
      </c>
    </row>
    <row r="10" spans="1:24" ht="11.25">
      <c r="A10" s="142"/>
      <c r="B10" s="34"/>
      <c r="C10" s="55"/>
      <c r="D10" s="55"/>
      <c r="E10" s="55"/>
      <c r="F10" s="55"/>
      <c r="G10" s="55"/>
      <c r="H10" s="55"/>
      <c r="I10" s="55"/>
      <c r="J10" s="55"/>
      <c r="K10" s="55"/>
      <c r="L10" s="55"/>
      <c r="M10" s="55"/>
      <c r="N10" s="55"/>
      <c r="O10" s="55"/>
      <c r="P10" s="55"/>
      <c r="Q10" s="55"/>
      <c r="R10" s="55"/>
      <c r="S10" s="55"/>
      <c r="T10" s="55"/>
      <c r="U10" s="55"/>
      <c r="V10" s="55"/>
      <c r="W10" s="55"/>
      <c r="X10" s="55"/>
    </row>
    <row r="11" spans="1:24" ht="11.25">
      <c r="A11" s="140" t="s">
        <v>33</v>
      </c>
      <c r="B11" s="4"/>
      <c r="C11" s="23"/>
      <c r="D11" s="23"/>
      <c r="E11" s="23"/>
      <c r="F11" s="23"/>
      <c r="G11" s="23"/>
      <c r="H11" s="23"/>
      <c r="I11" s="23"/>
      <c r="J11" s="23"/>
      <c r="K11" s="23"/>
      <c r="L11" s="23"/>
      <c r="M11" s="23"/>
      <c r="N11" s="23"/>
      <c r="O11" s="23"/>
      <c r="P11" s="23"/>
      <c r="Q11" s="23"/>
      <c r="R11" s="23"/>
      <c r="S11" s="23"/>
      <c r="T11" s="23"/>
      <c r="U11" s="23"/>
      <c r="V11" s="23"/>
      <c r="W11" s="23"/>
      <c r="X11" s="23"/>
    </row>
    <row r="12" spans="1:24" ht="11.25">
      <c r="A12" s="142" t="s">
        <v>30</v>
      </c>
      <c r="B12" s="34"/>
      <c r="C12" s="55">
        <f>$B$60*C8</f>
        <v>0</v>
      </c>
      <c r="D12" s="55">
        <f>$B$60*D8</f>
        <v>0</v>
      </c>
      <c r="E12" s="55">
        <f>$B$60*E8</f>
        <v>5108897.126969417</v>
      </c>
      <c r="F12" s="55">
        <f aca="true" t="shared" si="3" ref="F12:X12">$B$60*F8</f>
        <v>5108897.126969417</v>
      </c>
      <c r="G12" s="55">
        <f t="shared" si="3"/>
        <v>5108897.126969417</v>
      </c>
      <c r="H12" s="55">
        <f t="shared" si="3"/>
        <v>5108897.126969417</v>
      </c>
      <c r="I12" s="55">
        <f t="shared" si="3"/>
        <v>5108897.126969417</v>
      </c>
      <c r="J12" s="55">
        <f t="shared" si="3"/>
        <v>5108897.126969417</v>
      </c>
      <c r="K12" s="55">
        <f t="shared" si="3"/>
        <v>5108897.126969417</v>
      </c>
      <c r="L12" s="55">
        <f t="shared" si="3"/>
        <v>5108897.126969417</v>
      </c>
      <c r="M12" s="55">
        <f t="shared" si="3"/>
        <v>5108897.126969417</v>
      </c>
      <c r="N12" s="55">
        <f t="shared" si="3"/>
        <v>5108897.126969417</v>
      </c>
      <c r="O12" s="55">
        <f t="shared" si="3"/>
        <v>5108897.126969417</v>
      </c>
      <c r="P12" s="55">
        <f t="shared" si="3"/>
        <v>5108897.126969417</v>
      </c>
      <c r="Q12" s="55">
        <f t="shared" si="3"/>
        <v>5108897.126969417</v>
      </c>
      <c r="R12" s="55">
        <f t="shared" si="3"/>
        <v>5108897.126969417</v>
      </c>
      <c r="S12" s="55">
        <f t="shared" si="3"/>
        <v>5108897.126969417</v>
      </c>
      <c r="T12" s="55">
        <f t="shared" si="3"/>
        <v>5108897.126969417</v>
      </c>
      <c r="U12" s="55">
        <f t="shared" si="3"/>
        <v>5108897.126969417</v>
      </c>
      <c r="V12" s="55">
        <f t="shared" si="3"/>
        <v>5108897.126969417</v>
      </c>
      <c r="W12" s="55">
        <f t="shared" si="3"/>
        <v>5108897.126969417</v>
      </c>
      <c r="X12" s="55">
        <f t="shared" si="3"/>
        <v>5108897.126969417</v>
      </c>
    </row>
    <row r="13" spans="1:24" ht="11.25">
      <c r="A13" s="142" t="s">
        <v>28</v>
      </c>
      <c r="B13" s="177" t="s">
        <v>27</v>
      </c>
      <c r="C13" s="178">
        <f>C8/1000*$B$59*$B$61</f>
        <v>0</v>
      </c>
      <c r="D13" s="178">
        <f>D8/1000*$B$59*$B$61</f>
        <v>0</v>
      </c>
      <c r="E13" s="178">
        <f>E8/1000*$B$59*$B$61</f>
        <v>441705.60000000003</v>
      </c>
      <c r="F13" s="178">
        <f>F8/1000*$B$59*$B$61</f>
        <v>441705.60000000003</v>
      </c>
      <c r="G13" s="177">
        <v>0</v>
      </c>
      <c r="H13" s="177">
        <v>0</v>
      </c>
      <c r="I13" s="177">
        <v>0</v>
      </c>
      <c r="J13" s="177">
        <v>0</v>
      </c>
      <c r="K13" s="177">
        <v>0</v>
      </c>
      <c r="L13" s="177">
        <v>0</v>
      </c>
      <c r="M13" s="177">
        <v>0</v>
      </c>
      <c r="N13" s="177">
        <v>0</v>
      </c>
      <c r="O13" s="177">
        <v>0</v>
      </c>
      <c r="P13" s="177">
        <v>0</v>
      </c>
      <c r="Q13" s="177">
        <v>0</v>
      </c>
      <c r="R13" s="177">
        <v>0</v>
      </c>
      <c r="S13" s="177">
        <v>0</v>
      </c>
      <c r="T13" s="177">
        <v>0</v>
      </c>
      <c r="U13" s="177">
        <v>0</v>
      </c>
      <c r="V13" s="177">
        <v>0</v>
      </c>
      <c r="W13" s="177">
        <v>0</v>
      </c>
      <c r="X13" s="177">
        <v>0</v>
      </c>
    </row>
    <row r="14" spans="1:24" ht="11.25">
      <c r="A14" s="143" t="s">
        <v>0</v>
      </c>
      <c r="B14" s="179"/>
      <c r="C14" s="33">
        <f aca="true" t="shared" si="4" ref="C14:M14">C12+C13</f>
        <v>0</v>
      </c>
      <c r="D14" s="33">
        <f t="shared" si="4"/>
        <v>0</v>
      </c>
      <c r="E14" s="33">
        <f>E12+E13</f>
        <v>5550602.726969416</v>
      </c>
      <c r="F14" s="33">
        <f>F12+F13</f>
        <v>5550602.726969416</v>
      </c>
      <c r="G14" s="33">
        <f>G12+G13</f>
        <v>5108897.126969417</v>
      </c>
      <c r="H14" s="33">
        <f>H12+H13</f>
        <v>5108897.126969417</v>
      </c>
      <c r="I14" s="33">
        <f t="shared" si="4"/>
        <v>5108897.126969417</v>
      </c>
      <c r="J14" s="33">
        <f t="shared" si="4"/>
        <v>5108897.126969417</v>
      </c>
      <c r="K14" s="33">
        <f t="shared" si="4"/>
        <v>5108897.126969417</v>
      </c>
      <c r="L14" s="33">
        <f t="shared" si="4"/>
        <v>5108897.126969417</v>
      </c>
      <c r="M14" s="33">
        <f t="shared" si="4"/>
        <v>5108897.126969417</v>
      </c>
      <c r="N14" s="33">
        <f aca="true" t="shared" si="5" ref="N14:V14">N12+N13</f>
        <v>5108897.126969417</v>
      </c>
      <c r="O14" s="33">
        <f t="shared" si="5"/>
        <v>5108897.126969417</v>
      </c>
      <c r="P14" s="33">
        <f t="shared" si="5"/>
        <v>5108897.126969417</v>
      </c>
      <c r="Q14" s="33">
        <f t="shared" si="5"/>
        <v>5108897.126969417</v>
      </c>
      <c r="R14" s="33">
        <f t="shared" si="5"/>
        <v>5108897.126969417</v>
      </c>
      <c r="S14" s="33">
        <f t="shared" si="5"/>
        <v>5108897.126969417</v>
      </c>
      <c r="T14" s="33">
        <f t="shared" si="5"/>
        <v>5108897.126969417</v>
      </c>
      <c r="U14" s="33">
        <f t="shared" si="5"/>
        <v>5108897.126969417</v>
      </c>
      <c r="V14" s="33">
        <f t="shared" si="5"/>
        <v>5108897.126969417</v>
      </c>
      <c r="W14" s="33">
        <f>W12+W13</f>
        <v>5108897.126969417</v>
      </c>
      <c r="X14" s="33">
        <f>X12+X13</f>
        <v>5108897.126969417</v>
      </c>
    </row>
    <row r="15" spans="1:24" ht="11.25">
      <c r="A15" s="142"/>
      <c r="B15" s="34"/>
      <c r="C15" s="34"/>
      <c r="D15" s="34"/>
      <c r="E15" s="34"/>
      <c r="F15" s="34"/>
      <c r="G15" s="34"/>
      <c r="H15" s="34"/>
      <c r="I15" s="34"/>
      <c r="J15" s="34"/>
      <c r="K15" s="34"/>
      <c r="L15" s="34"/>
      <c r="M15" s="34"/>
      <c r="N15" s="34"/>
      <c r="O15" s="34"/>
      <c r="P15" s="34"/>
      <c r="Q15" s="34"/>
      <c r="R15" s="34"/>
      <c r="S15" s="34"/>
      <c r="T15" s="34"/>
      <c r="U15" s="34"/>
      <c r="V15" s="34"/>
      <c r="W15" s="34"/>
      <c r="X15" s="34"/>
    </row>
    <row r="16" spans="1:24" ht="11.25">
      <c r="A16" s="140" t="s">
        <v>7</v>
      </c>
      <c r="B16" s="5"/>
      <c r="C16" s="4"/>
      <c r="D16" s="4"/>
      <c r="E16" s="4"/>
      <c r="F16" s="4"/>
      <c r="G16" s="4"/>
      <c r="H16" s="4"/>
      <c r="I16" s="4"/>
      <c r="J16" s="4"/>
      <c r="K16" s="4"/>
      <c r="L16" s="4"/>
      <c r="M16" s="4"/>
      <c r="N16" s="4"/>
      <c r="O16" s="4"/>
      <c r="P16" s="4"/>
      <c r="Q16" s="4"/>
      <c r="R16" s="4"/>
      <c r="S16" s="4"/>
      <c r="T16" s="4"/>
      <c r="U16" s="4"/>
      <c r="V16" s="4"/>
      <c r="W16" s="4"/>
      <c r="X16" s="4"/>
    </row>
    <row r="17" spans="1:24" ht="11.25">
      <c r="A17" s="142" t="s">
        <v>42</v>
      </c>
      <c r="B17" s="55">
        <f aca="true" t="shared" si="6" ref="B17:B22">AVERAGE(E17:X17)</f>
        <v>531150</v>
      </c>
      <c r="C17" s="55">
        <f>'Cash flow LT'!C17/3.45</f>
        <v>0</v>
      </c>
      <c r="D17" s="55">
        <v>0</v>
      </c>
      <c r="E17" s="55">
        <f>'[1]Sheet1'!$C$28*1000</f>
        <v>277000</v>
      </c>
      <c r="F17" s="55">
        <f>'[1]Sheet1'!$C$28*1000</f>
        <v>277000</v>
      </c>
      <c r="G17" s="55">
        <f>'[1]Sheet1'!$C$28*1000</f>
        <v>277000</v>
      </c>
      <c r="H17" s="55">
        <f>'[1]Sheet1'!$C$28*1000</f>
        <v>277000</v>
      </c>
      <c r="I17" s="55">
        <f>'[1]Sheet1'!$C$28*1000</f>
        <v>277000</v>
      </c>
      <c r="J17" s="55">
        <f>'[1]Sheet1'!$D$28*1000</f>
        <v>554000</v>
      </c>
      <c r="K17" s="55">
        <f>'[1]Sheet1'!$D$28*1000</f>
        <v>554000</v>
      </c>
      <c r="L17" s="55">
        <f>'[1]Sheet1'!$D$28*1000</f>
        <v>554000</v>
      </c>
      <c r="M17" s="55">
        <f>'[1]Sheet1'!$D$28*1000</f>
        <v>554000</v>
      </c>
      <c r="N17" s="55">
        <f>'[1]Sheet1'!$D$28*1000</f>
        <v>554000</v>
      </c>
      <c r="O17" s="55">
        <f>'[1]Sheet1'!$D$28*1000</f>
        <v>554000</v>
      </c>
      <c r="P17" s="55">
        <f>'[1]Sheet1'!$D$28*1000</f>
        <v>554000</v>
      </c>
      <c r="Q17" s="55">
        <f>'[1]Sheet1'!$E$28*1000</f>
        <v>670000</v>
      </c>
      <c r="R17" s="55">
        <f>'[1]Sheet1'!$E$28*1000</f>
        <v>670000</v>
      </c>
      <c r="S17" s="55">
        <f>'[1]Sheet1'!$E$28*1000</f>
        <v>670000</v>
      </c>
      <c r="T17" s="55">
        <f>'[1]Sheet1'!$E$28*1000</f>
        <v>670000</v>
      </c>
      <c r="U17" s="55">
        <f>'[1]Sheet1'!$E$28*1000</f>
        <v>670000</v>
      </c>
      <c r="V17" s="55">
        <f>'[1]Sheet1'!$E$28*1000</f>
        <v>670000</v>
      </c>
      <c r="W17" s="55">
        <f>'[1]Sheet1'!$E$28*1000</f>
        <v>670000</v>
      </c>
      <c r="X17" s="55">
        <f>'[1]Sheet1'!$E$28*1000+0</f>
        <v>670000</v>
      </c>
    </row>
    <row r="18" spans="1:24" ht="11.25">
      <c r="A18" s="142" t="s">
        <v>1</v>
      </c>
      <c r="B18" s="55">
        <f t="shared" si="6"/>
        <v>45500</v>
      </c>
      <c r="C18" s="55">
        <f>'Cash flow LT'!C18/3.45</f>
        <v>0</v>
      </c>
      <c r="D18" s="55">
        <v>0</v>
      </c>
      <c r="E18" s="55">
        <f>'[1]Sheet1'!$C$31*1000</f>
        <v>45500</v>
      </c>
      <c r="F18" s="55">
        <f>'[1]Sheet1'!$C$31*1000</f>
        <v>45500</v>
      </c>
      <c r="G18" s="55">
        <f>'[1]Sheet1'!$C$31*1000</f>
        <v>45500</v>
      </c>
      <c r="H18" s="55">
        <f>'[1]Sheet1'!$C$31*1000</f>
        <v>45500</v>
      </c>
      <c r="I18" s="55">
        <f>'[1]Sheet1'!$C$31*1000</f>
        <v>45500</v>
      </c>
      <c r="J18" s="55">
        <f>'[1]Sheet1'!$D$31*1000</f>
        <v>45500</v>
      </c>
      <c r="K18" s="55">
        <f>'[1]Sheet1'!$D$31*1000</f>
        <v>45500</v>
      </c>
      <c r="L18" s="55">
        <f>'[1]Sheet1'!$D$31*1000</f>
        <v>45500</v>
      </c>
      <c r="M18" s="55">
        <f>'[1]Sheet1'!$D$31*1000</f>
        <v>45500</v>
      </c>
      <c r="N18" s="55">
        <f>'[1]Sheet1'!$D$31*1000</f>
        <v>45500</v>
      </c>
      <c r="O18" s="55">
        <f>'[1]Sheet1'!$D$31*1000</f>
        <v>45500</v>
      </c>
      <c r="P18" s="55">
        <f>'[1]Sheet1'!$D$31*1000</f>
        <v>45500</v>
      </c>
      <c r="Q18" s="55">
        <f>'[1]Sheet1'!$E$31*1000</f>
        <v>45500</v>
      </c>
      <c r="R18" s="55">
        <f>'[1]Sheet1'!$E$31*1000</f>
        <v>45500</v>
      </c>
      <c r="S18" s="55">
        <f>'[1]Sheet1'!$E$31*1000</f>
        <v>45500</v>
      </c>
      <c r="T18" s="55">
        <f>'[1]Sheet1'!$E$31*1000</f>
        <v>45500</v>
      </c>
      <c r="U18" s="55">
        <f>'[1]Sheet1'!$E$31*1000</f>
        <v>45500</v>
      </c>
      <c r="V18" s="55">
        <f>'[1]Sheet1'!$E$31*1000</f>
        <v>45500</v>
      </c>
      <c r="W18" s="55">
        <f>'[1]Sheet1'!$E$31*1000</f>
        <v>45500</v>
      </c>
      <c r="X18" s="55">
        <f>'[1]Sheet1'!$E$31*1000</f>
        <v>45500</v>
      </c>
    </row>
    <row r="19" spans="1:24" ht="11.25">
      <c r="A19" s="142" t="s">
        <v>2</v>
      </c>
      <c r="B19" s="55">
        <f t="shared" si="6"/>
        <v>36800</v>
      </c>
      <c r="C19" s="55">
        <f>'Cash flow LT'!C19/3.45</f>
        <v>0</v>
      </c>
      <c r="D19" s="55">
        <v>0</v>
      </c>
      <c r="E19" s="55">
        <f>'[1]Sheet1'!$C$30*1000</f>
        <v>36800</v>
      </c>
      <c r="F19" s="55">
        <f>'[1]Sheet1'!$C$30*1000</f>
        <v>36800</v>
      </c>
      <c r="G19" s="55">
        <f>'[1]Sheet1'!$C$30*1000</f>
        <v>36800</v>
      </c>
      <c r="H19" s="55">
        <f>'[1]Sheet1'!$C$30*1000</f>
        <v>36800</v>
      </c>
      <c r="I19" s="55">
        <f>'[1]Sheet1'!$C$30*1000</f>
        <v>36800</v>
      </c>
      <c r="J19" s="55">
        <f>'[1]Sheet1'!$D$30*1000</f>
        <v>36800</v>
      </c>
      <c r="K19" s="55">
        <f>'[1]Sheet1'!$D$30*1000</f>
        <v>36800</v>
      </c>
      <c r="L19" s="55">
        <f>'[1]Sheet1'!$D$30*1000</f>
        <v>36800</v>
      </c>
      <c r="M19" s="55">
        <f>'[1]Sheet1'!$D$30*1000</f>
        <v>36800</v>
      </c>
      <c r="N19" s="55">
        <f>'[1]Sheet1'!$D$30*1000</f>
        <v>36800</v>
      </c>
      <c r="O19" s="55">
        <f>'[1]Sheet1'!$D$30*1000</f>
        <v>36800</v>
      </c>
      <c r="P19" s="55">
        <f>'[1]Sheet1'!$D$30*1000</f>
        <v>36800</v>
      </c>
      <c r="Q19" s="55">
        <f>'[1]Sheet1'!$E$30*1000</f>
        <v>36800</v>
      </c>
      <c r="R19" s="55">
        <f>'[1]Sheet1'!$E$30*1000</f>
        <v>36800</v>
      </c>
      <c r="S19" s="55">
        <f>'[1]Sheet1'!$E$30*1000</f>
        <v>36800</v>
      </c>
      <c r="T19" s="55">
        <f>'[1]Sheet1'!$E$30*1000</f>
        <v>36800</v>
      </c>
      <c r="U19" s="55">
        <f>'[1]Sheet1'!$E$30*1000</f>
        <v>36800</v>
      </c>
      <c r="V19" s="55">
        <f>'[1]Sheet1'!$E$30*1000</f>
        <v>36800</v>
      </c>
      <c r="W19" s="55">
        <f>'[1]Sheet1'!$E$30*1000</f>
        <v>36800</v>
      </c>
      <c r="X19" s="55">
        <f>'[1]Sheet1'!$E$30*1000</f>
        <v>36800</v>
      </c>
    </row>
    <row r="20" spans="1:24" ht="11.25">
      <c r="A20" s="142" t="s">
        <v>3</v>
      </c>
      <c r="B20" s="55">
        <f t="shared" si="6"/>
        <v>87000</v>
      </c>
      <c r="C20" s="55">
        <f>'Cash flow LT'!C20/3.45</f>
        <v>0</v>
      </c>
      <c r="D20" s="55">
        <v>0</v>
      </c>
      <c r="E20" s="55">
        <f>'[1]Sheet1'!$C$33*1000</f>
        <v>77000</v>
      </c>
      <c r="F20" s="55">
        <f>'[1]Sheet1'!$C$33*1000</f>
        <v>77000</v>
      </c>
      <c r="G20" s="55">
        <f>'[1]Sheet1'!$C$33*1000</f>
        <v>77000</v>
      </c>
      <c r="H20" s="55">
        <f>'[1]Sheet1'!$C$33*1000</f>
        <v>77000</v>
      </c>
      <c r="I20" s="55">
        <f>'[1]Sheet1'!$C$33*1000</f>
        <v>77000</v>
      </c>
      <c r="J20" s="55">
        <f>'[1]Sheet1'!$D$33*1000</f>
        <v>85000</v>
      </c>
      <c r="K20" s="55">
        <f>'[1]Sheet1'!$D$33*1000</f>
        <v>85000</v>
      </c>
      <c r="L20" s="55">
        <f>'[1]Sheet1'!$D$33*1000</f>
        <v>85000</v>
      </c>
      <c r="M20" s="55">
        <f>'[1]Sheet1'!$D$33*1000</f>
        <v>85000</v>
      </c>
      <c r="N20" s="55">
        <f>'[1]Sheet1'!$D$33*1000</f>
        <v>85000</v>
      </c>
      <c r="O20" s="55">
        <f>'[1]Sheet1'!$D$33*1000</f>
        <v>85000</v>
      </c>
      <c r="P20" s="55">
        <f>'[1]Sheet1'!$D$33*1000</f>
        <v>85000</v>
      </c>
      <c r="Q20" s="55">
        <f>'[1]Sheet1'!$E$33*1000</f>
        <v>95000</v>
      </c>
      <c r="R20" s="55">
        <f>'[1]Sheet1'!$E$33*1000</f>
        <v>95000</v>
      </c>
      <c r="S20" s="55">
        <f>'[1]Sheet1'!$E$33*1000</f>
        <v>95000</v>
      </c>
      <c r="T20" s="55">
        <f>'[1]Sheet1'!$E$33*1000</f>
        <v>95000</v>
      </c>
      <c r="U20" s="55">
        <f>'[1]Sheet1'!$E$33*1000</f>
        <v>95000</v>
      </c>
      <c r="V20" s="55">
        <f>'[1]Sheet1'!$E$33*1000</f>
        <v>95000</v>
      </c>
      <c r="W20" s="55">
        <f>'[1]Sheet1'!$E$33*1000</f>
        <v>95000</v>
      </c>
      <c r="X20" s="55">
        <f>'[1]Sheet1'!$E$33*1000</f>
        <v>95000</v>
      </c>
    </row>
    <row r="21" spans="1:24" ht="11.25">
      <c r="A21" s="142" t="s">
        <v>44</v>
      </c>
      <c r="B21" s="55">
        <f t="shared" si="6"/>
        <v>37400</v>
      </c>
      <c r="C21" s="55">
        <f>'Cash flow LT'!C21/3.45</f>
        <v>0</v>
      </c>
      <c r="D21" s="55">
        <v>0</v>
      </c>
      <c r="E21" s="55">
        <f>('[1]Sheet1'!$C$32+'[1]Sheet1'!$C$29)*1000</f>
        <v>37400</v>
      </c>
      <c r="F21" s="55">
        <f>('[1]Sheet1'!$C$32+'[1]Sheet1'!$C$29)*1000</f>
        <v>37400</v>
      </c>
      <c r="G21" s="55">
        <f>('[1]Sheet1'!$C$32+'[1]Sheet1'!$C$29)*1000</f>
        <v>37400</v>
      </c>
      <c r="H21" s="55">
        <f>('[1]Sheet1'!$C$32+'[1]Sheet1'!$C$29)*1000</f>
        <v>37400</v>
      </c>
      <c r="I21" s="55">
        <f>('[1]Sheet1'!$C$32+'[1]Sheet1'!$C$29)*1000</f>
        <v>37400</v>
      </c>
      <c r="J21" s="55">
        <f>('[1]Sheet1'!$D$32+'[1]Sheet1'!$D$29)*1000</f>
        <v>37400</v>
      </c>
      <c r="K21" s="55">
        <f>('[1]Sheet1'!$D$32+'[1]Sheet1'!$D$29)*1000</f>
        <v>37400</v>
      </c>
      <c r="L21" s="55">
        <f>('[1]Sheet1'!$D$32+'[1]Sheet1'!$D$29)*1000</f>
        <v>37400</v>
      </c>
      <c r="M21" s="55">
        <f>('[1]Sheet1'!$D$32+'[1]Sheet1'!$D$29)*1000</f>
        <v>37400</v>
      </c>
      <c r="N21" s="55">
        <f>('[1]Sheet1'!$D$32+'[1]Sheet1'!$D$29)*1000</f>
        <v>37400</v>
      </c>
      <c r="O21" s="55">
        <f>('[1]Sheet1'!$D$32+'[1]Sheet1'!$D$29)*1000</f>
        <v>37400</v>
      </c>
      <c r="P21" s="55">
        <f>('[1]Sheet1'!$D$32+'[1]Sheet1'!$D$29)*1000</f>
        <v>37400</v>
      </c>
      <c r="Q21" s="55">
        <f>('[1]Sheet1'!$E$32+'[1]Sheet1'!$E$29)*1000</f>
        <v>37400</v>
      </c>
      <c r="R21" s="55">
        <f>('[1]Sheet1'!$E$32+'[1]Sheet1'!$E$29)*1000</f>
        <v>37400</v>
      </c>
      <c r="S21" s="55">
        <f>('[1]Sheet1'!$E$32+'[1]Sheet1'!$E$29)*1000</f>
        <v>37400</v>
      </c>
      <c r="T21" s="55">
        <f>('[1]Sheet1'!$E$32+'[1]Sheet1'!$E$29)*1000</f>
        <v>37400</v>
      </c>
      <c r="U21" s="55">
        <f>('[1]Sheet1'!$E$32+'[1]Sheet1'!$E$29)*1000</f>
        <v>37400</v>
      </c>
      <c r="V21" s="55">
        <f>('[1]Sheet1'!$E$32+'[1]Sheet1'!$E$29)*1000</f>
        <v>37400</v>
      </c>
      <c r="W21" s="55">
        <f>('[1]Sheet1'!$E$32+'[1]Sheet1'!$E$29)*1000</f>
        <v>37400</v>
      </c>
      <c r="X21" s="55">
        <f>('[1]Sheet1'!$E$32+'[1]Sheet1'!$E$29)*1000</f>
        <v>37400</v>
      </c>
    </row>
    <row r="22" spans="1:24" ht="11.25">
      <c r="A22" s="142" t="s">
        <v>4</v>
      </c>
      <c r="B22" s="55">
        <f t="shared" si="6"/>
        <v>0</v>
      </c>
      <c r="C22" s="55">
        <f>'Cash flow LT'!C22/3.45</f>
        <v>0</v>
      </c>
      <c r="D22" s="55">
        <f>'Cash flow LT'!D22/3.45</f>
        <v>0</v>
      </c>
      <c r="E22" s="55">
        <f>'Cash flow LT'!E22/3.45</f>
        <v>0</v>
      </c>
      <c r="F22" s="55">
        <f>'Cash flow LT'!F22/3.45</f>
        <v>0</v>
      </c>
      <c r="G22" s="55">
        <f>'Cash flow LT'!G22/3.45</f>
        <v>0</v>
      </c>
      <c r="H22" s="55">
        <f>'Cash flow LT'!H22/3.45</f>
        <v>0</v>
      </c>
      <c r="I22" s="55">
        <f>'Cash flow LT'!I22/3.45</f>
        <v>0</v>
      </c>
      <c r="J22" s="55">
        <f>'Cash flow LT'!J22/3.45</f>
        <v>0</v>
      </c>
      <c r="K22" s="55">
        <f>'Cash flow LT'!K22/3.45</f>
        <v>0</v>
      </c>
      <c r="L22" s="55">
        <f>'Cash flow LT'!L22/3.45</f>
        <v>0</v>
      </c>
      <c r="M22" s="55">
        <f>'Cash flow LT'!M22/3.45</f>
        <v>0</v>
      </c>
      <c r="N22" s="55">
        <f>'Cash flow LT'!N22/3.45</f>
        <v>0</v>
      </c>
      <c r="O22" s="55">
        <f>'Cash flow LT'!O22/3.45</f>
        <v>0</v>
      </c>
      <c r="P22" s="55">
        <f>'Cash flow LT'!P22/3.45</f>
        <v>0</v>
      </c>
      <c r="Q22" s="55">
        <f>'Cash flow LT'!Q22/3.45</f>
        <v>0</v>
      </c>
      <c r="R22" s="55">
        <f>'Cash flow LT'!R22/3.45</f>
        <v>0</v>
      </c>
      <c r="S22" s="55">
        <f>'Cash flow LT'!S22/3.45</f>
        <v>0</v>
      </c>
      <c r="T22" s="55">
        <f>'Cash flow LT'!T22/3.45</f>
        <v>0</v>
      </c>
      <c r="U22" s="55">
        <f>'Cash flow LT'!U22/3.45</f>
        <v>0</v>
      </c>
      <c r="V22" s="55">
        <f>'Cash flow LT'!V22/3.45</f>
        <v>0</v>
      </c>
      <c r="W22" s="55">
        <f>'Cash flow LT'!W22/3.45</f>
        <v>0</v>
      </c>
      <c r="X22" s="55">
        <f>'Cash flow LT'!X22/3.45</f>
        <v>0</v>
      </c>
    </row>
    <row r="23" spans="1:24" s="22" customFormat="1" ht="11.25">
      <c r="A23" s="143" t="s">
        <v>5</v>
      </c>
      <c r="B23" s="180"/>
      <c r="C23" s="181">
        <f>'Cash flow LT'!C23/3.45</f>
        <v>0</v>
      </c>
      <c r="D23" s="181">
        <v>0</v>
      </c>
      <c r="E23" s="181">
        <f>SUM(E17:E22)</f>
        <v>473700</v>
      </c>
      <c r="F23" s="181">
        <f aca="true" t="shared" si="7" ref="F23:X23">SUM(F17:F22)</f>
        <v>473700</v>
      </c>
      <c r="G23" s="181">
        <f t="shared" si="7"/>
        <v>473700</v>
      </c>
      <c r="H23" s="181">
        <f t="shared" si="7"/>
        <v>473700</v>
      </c>
      <c r="I23" s="181">
        <f t="shared" si="7"/>
        <v>473700</v>
      </c>
      <c r="J23" s="181">
        <f t="shared" si="7"/>
        <v>758700</v>
      </c>
      <c r="K23" s="181">
        <f t="shared" si="7"/>
        <v>758700</v>
      </c>
      <c r="L23" s="181">
        <f t="shared" si="7"/>
        <v>758700</v>
      </c>
      <c r="M23" s="181">
        <f t="shared" si="7"/>
        <v>758700</v>
      </c>
      <c r="N23" s="181">
        <f t="shared" si="7"/>
        <v>758700</v>
      </c>
      <c r="O23" s="181">
        <f t="shared" si="7"/>
        <v>758700</v>
      </c>
      <c r="P23" s="181">
        <f t="shared" si="7"/>
        <v>758700</v>
      </c>
      <c r="Q23" s="181">
        <f t="shared" si="7"/>
        <v>884700</v>
      </c>
      <c r="R23" s="181">
        <f t="shared" si="7"/>
        <v>884700</v>
      </c>
      <c r="S23" s="181">
        <f t="shared" si="7"/>
        <v>884700</v>
      </c>
      <c r="T23" s="181">
        <f t="shared" si="7"/>
        <v>884700</v>
      </c>
      <c r="U23" s="181">
        <f t="shared" si="7"/>
        <v>884700</v>
      </c>
      <c r="V23" s="181">
        <f t="shared" si="7"/>
        <v>884700</v>
      </c>
      <c r="W23" s="181">
        <f t="shared" si="7"/>
        <v>884700</v>
      </c>
      <c r="X23" s="181">
        <f t="shared" si="7"/>
        <v>884700</v>
      </c>
    </row>
    <row r="24" spans="1:24" ht="11.25">
      <c r="A24" s="143"/>
      <c r="B24" s="32"/>
      <c r="C24" s="33"/>
      <c r="D24" s="33"/>
      <c r="E24" s="33"/>
      <c r="F24" s="33"/>
      <c r="G24" s="33"/>
      <c r="H24" s="33"/>
      <c r="I24" s="33"/>
      <c r="J24" s="33"/>
      <c r="K24" s="33"/>
      <c r="L24" s="33"/>
      <c r="M24" s="33"/>
      <c r="N24" s="55"/>
      <c r="O24" s="34"/>
      <c r="P24" s="34"/>
      <c r="Q24" s="34"/>
      <c r="R24" s="34"/>
      <c r="S24" s="34"/>
      <c r="T24" s="34"/>
      <c r="U24" s="34"/>
      <c r="V24" s="34"/>
      <c r="W24" s="34"/>
      <c r="X24" s="34"/>
    </row>
    <row r="25" spans="1:24" ht="11.25">
      <c r="A25" s="140" t="s">
        <v>6</v>
      </c>
      <c r="B25" s="5"/>
      <c r="C25" s="4"/>
      <c r="D25" s="4"/>
      <c r="E25" s="4"/>
      <c r="F25" s="4"/>
      <c r="G25" s="4"/>
      <c r="H25" s="4"/>
      <c r="I25" s="4"/>
      <c r="J25" s="4"/>
      <c r="K25" s="4"/>
      <c r="L25" s="7"/>
      <c r="M25" s="8"/>
      <c r="N25" s="8"/>
      <c r="O25" s="7"/>
      <c r="P25" s="4"/>
      <c r="Q25" s="4"/>
      <c r="R25" s="4"/>
      <c r="S25" s="4"/>
      <c r="T25" s="4"/>
      <c r="U25" s="4"/>
      <c r="V25" s="4"/>
      <c r="W25" s="4"/>
      <c r="X25" s="4"/>
    </row>
    <row r="26" spans="1:24" ht="11.25">
      <c r="A26" s="142" t="s">
        <v>8</v>
      </c>
      <c r="B26" s="34"/>
      <c r="C26" s="55">
        <f>'Cash flow LT'!C26/3.45</f>
        <v>0</v>
      </c>
      <c r="D26" s="55">
        <v>0</v>
      </c>
      <c r="E26" s="55">
        <f>Assumptions!C55*1000</f>
        <v>1745788.6160000002</v>
      </c>
      <c r="F26" s="55">
        <f>Assumptions!D55*1000</f>
        <v>1667881.7557193236</v>
      </c>
      <c r="G26" s="55">
        <f>Assumptions!E55*1000</f>
        <v>1585690.01812321</v>
      </c>
      <c r="H26" s="55">
        <f>Assumptions!F55*1000</f>
        <v>1498977.7349593104</v>
      </c>
      <c r="I26" s="55">
        <f>Assumptions!G55*1000</f>
        <v>1407496.2762213962</v>
      </c>
      <c r="J26" s="55">
        <f>Assumptions!H55*1000</f>
        <v>1310983.3372528965</v>
      </c>
      <c r="K26" s="55">
        <f>Assumptions!I55*1000</f>
        <v>1209162.1866411294</v>
      </c>
      <c r="L26" s="55">
        <f>Assumptions!J55*1000</f>
        <v>1101740.8727457153</v>
      </c>
      <c r="M26" s="55">
        <f>Assumptions!K55*1000</f>
        <v>988411.3865860534</v>
      </c>
      <c r="N26" s="55">
        <f>Assumptions!L55*1000</f>
        <v>868848.77868761</v>
      </c>
      <c r="O26" s="55">
        <f>Assumptions!M55*1000</f>
        <v>742710.2273547525</v>
      </c>
      <c r="P26" s="55">
        <f>Assumptions!N55*1000</f>
        <v>609634.0556985877</v>
      </c>
      <c r="Q26" s="55">
        <f>Assumptions!O55*1000</f>
        <v>469238.694601334</v>
      </c>
      <c r="R26" s="55">
        <f>Assumptions!P55*1000</f>
        <v>321121.5886437312</v>
      </c>
      <c r="S26" s="55">
        <f>Assumptions!Q55*1000</f>
        <v>164858.04185846046</v>
      </c>
      <c r="T26" s="55">
        <v>0</v>
      </c>
      <c r="U26" s="55">
        <v>0</v>
      </c>
      <c r="V26" s="55">
        <v>0</v>
      </c>
      <c r="W26" s="55">
        <v>0</v>
      </c>
      <c r="X26" s="55">
        <v>0</v>
      </c>
    </row>
    <row r="27" spans="1:24" ht="11.25">
      <c r="A27" s="142" t="s">
        <v>4</v>
      </c>
      <c r="B27" s="34"/>
      <c r="C27" s="55"/>
      <c r="D27" s="55"/>
      <c r="E27" s="55"/>
      <c r="F27" s="55"/>
      <c r="G27" s="55"/>
      <c r="H27" s="55"/>
      <c r="I27" s="55"/>
      <c r="J27" s="55"/>
      <c r="K27" s="55"/>
      <c r="L27" s="55"/>
      <c r="M27" s="55"/>
      <c r="N27" s="55"/>
      <c r="O27" s="55"/>
      <c r="P27" s="55"/>
      <c r="Q27" s="55"/>
      <c r="R27" s="55"/>
      <c r="S27" s="55"/>
      <c r="T27" s="55"/>
      <c r="U27" s="55"/>
      <c r="V27" s="55"/>
      <c r="W27" s="55"/>
      <c r="X27" s="55"/>
    </row>
    <row r="28" spans="1:24" ht="11.25">
      <c r="A28" s="143" t="s">
        <v>9</v>
      </c>
      <c r="B28" s="32"/>
      <c r="C28" s="55">
        <f>'Cash flow LT'!C28/3.45</f>
        <v>0</v>
      </c>
      <c r="D28" s="55">
        <v>0</v>
      </c>
      <c r="E28" s="55">
        <f>SUM(E26:E27)</f>
        <v>1745788.6160000002</v>
      </c>
      <c r="F28" s="55">
        <f aca="true" t="shared" si="8" ref="F28:X28">SUM(F26:F27)</f>
        <v>1667881.7557193236</v>
      </c>
      <c r="G28" s="55">
        <f t="shared" si="8"/>
        <v>1585690.01812321</v>
      </c>
      <c r="H28" s="55">
        <f t="shared" si="8"/>
        <v>1498977.7349593104</v>
      </c>
      <c r="I28" s="55">
        <f t="shared" si="8"/>
        <v>1407496.2762213962</v>
      </c>
      <c r="J28" s="55">
        <f t="shared" si="8"/>
        <v>1310983.3372528965</v>
      </c>
      <c r="K28" s="55">
        <f t="shared" si="8"/>
        <v>1209162.1866411294</v>
      </c>
      <c r="L28" s="55">
        <f t="shared" si="8"/>
        <v>1101740.8727457153</v>
      </c>
      <c r="M28" s="55">
        <f t="shared" si="8"/>
        <v>988411.3865860534</v>
      </c>
      <c r="N28" s="55">
        <f t="shared" si="8"/>
        <v>868848.77868761</v>
      </c>
      <c r="O28" s="55">
        <f t="shared" si="8"/>
        <v>742710.2273547525</v>
      </c>
      <c r="P28" s="55">
        <f t="shared" si="8"/>
        <v>609634.0556985877</v>
      </c>
      <c r="Q28" s="55">
        <f t="shared" si="8"/>
        <v>469238.694601334</v>
      </c>
      <c r="R28" s="55">
        <f t="shared" si="8"/>
        <v>321121.5886437312</v>
      </c>
      <c r="S28" s="55">
        <f t="shared" si="8"/>
        <v>164858.04185846046</v>
      </c>
      <c r="T28" s="55">
        <f t="shared" si="8"/>
        <v>0</v>
      </c>
      <c r="U28" s="55">
        <f t="shared" si="8"/>
        <v>0</v>
      </c>
      <c r="V28" s="55">
        <f t="shared" si="8"/>
        <v>0</v>
      </c>
      <c r="W28" s="55">
        <f t="shared" si="8"/>
        <v>0</v>
      </c>
      <c r="X28" s="55">
        <f t="shared" si="8"/>
        <v>0</v>
      </c>
    </row>
    <row r="29" spans="1:24" ht="11.25">
      <c r="A29" s="143"/>
      <c r="B29" s="32"/>
      <c r="C29" s="33"/>
      <c r="D29" s="33"/>
      <c r="E29" s="33"/>
      <c r="F29" s="33"/>
      <c r="G29" s="33"/>
      <c r="H29" s="33"/>
      <c r="I29" s="33"/>
      <c r="J29" s="33"/>
      <c r="K29" s="33"/>
      <c r="L29" s="33"/>
      <c r="M29" s="33"/>
      <c r="N29" s="33"/>
      <c r="O29" s="33"/>
      <c r="P29" s="33"/>
      <c r="Q29" s="33"/>
      <c r="R29" s="33"/>
      <c r="S29" s="33"/>
      <c r="T29" s="33"/>
      <c r="U29" s="33"/>
      <c r="V29" s="33"/>
      <c r="W29" s="34"/>
      <c r="X29" s="34"/>
    </row>
    <row r="30" spans="1:24" ht="11.25">
      <c r="A30" s="140" t="s">
        <v>55</v>
      </c>
      <c r="B30" s="5"/>
      <c r="C30" s="27"/>
      <c r="D30" s="27"/>
      <c r="E30" s="27"/>
      <c r="F30" s="27"/>
      <c r="G30" s="27"/>
      <c r="H30" s="27"/>
      <c r="I30" s="27"/>
      <c r="J30" s="27"/>
      <c r="K30" s="27"/>
      <c r="L30" s="27"/>
      <c r="M30" s="27"/>
      <c r="N30" s="27"/>
      <c r="O30" s="27"/>
      <c r="P30" s="27"/>
      <c r="Q30" s="27"/>
      <c r="R30" s="27"/>
      <c r="S30" s="27"/>
      <c r="T30" s="27"/>
      <c r="U30" s="27"/>
      <c r="V30" s="27"/>
      <c r="W30" s="4"/>
      <c r="X30" s="4"/>
    </row>
    <row r="31" spans="1:24" s="21" customFormat="1" ht="11.25">
      <c r="A31" s="142" t="s">
        <v>114</v>
      </c>
      <c r="B31" s="35"/>
      <c r="C31" s="36"/>
      <c r="D31" s="36"/>
      <c r="E31" s="36">
        <f>Assumptions!C44*1000</f>
        <v>1867153.6</v>
      </c>
      <c r="F31" s="36">
        <f>Assumptions!D44*1000</f>
        <v>1867153.6</v>
      </c>
      <c r="G31" s="36">
        <f>Assumptions!E44*1000</f>
        <v>1867153.6</v>
      </c>
      <c r="H31" s="36">
        <f>Assumptions!F44*1000</f>
        <v>1867153.6</v>
      </c>
      <c r="I31" s="36">
        <f>Assumptions!G44*1000</f>
        <v>1867153.6</v>
      </c>
      <c r="J31" s="36">
        <f>Assumptions!H44*1000</f>
        <v>1867153.6</v>
      </c>
      <c r="K31" s="36">
        <f>Assumptions!I44*1000</f>
        <v>1867153.6</v>
      </c>
      <c r="L31" s="36">
        <f>Assumptions!J44*1000</f>
        <v>1867153.6</v>
      </c>
      <c r="M31" s="36">
        <f>Assumptions!K44*1000</f>
        <v>1867153.6</v>
      </c>
      <c r="N31" s="36">
        <f>Assumptions!L44*1000</f>
        <v>1867153.6</v>
      </c>
      <c r="O31" s="36">
        <f>Assumptions!M44*1000</f>
        <v>1867153.6</v>
      </c>
      <c r="P31" s="36">
        <f>Assumptions!N44*1000</f>
        <v>1867153.6</v>
      </c>
      <c r="Q31" s="36">
        <f>Assumptions!O44*1000</f>
        <v>1867153.6</v>
      </c>
      <c r="R31" s="36">
        <f>Assumptions!P44*1000</f>
        <v>1867153.6</v>
      </c>
      <c r="S31" s="36">
        <f>Assumptions!Q44*1000</f>
        <v>1867153.6</v>
      </c>
      <c r="T31" s="36">
        <f>Assumptions!R44*1000</f>
        <v>1867153.6</v>
      </c>
      <c r="U31" s="36">
        <f>Assumptions!S44*1000</f>
        <v>1867153.6</v>
      </c>
      <c r="V31" s="36">
        <f>Assumptions!T44*1000</f>
        <v>1867153.6</v>
      </c>
      <c r="W31" s="36">
        <f>Assumptions!U44*1000</f>
        <v>1867153.6</v>
      </c>
      <c r="X31" s="36">
        <f>Assumptions!V44*1000</f>
        <v>1867153.6</v>
      </c>
    </row>
    <row r="32" spans="1:24" ht="11.25">
      <c r="A32" s="143"/>
      <c r="B32" s="32"/>
      <c r="C32" s="33"/>
      <c r="D32" s="33"/>
      <c r="E32" s="33"/>
      <c r="F32" s="33"/>
      <c r="G32" s="33"/>
      <c r="H32" s="33"/>
      <c r="I32" s="33"/>
      <c r="J32" s="33"/>
      <c r="K32" s="33"/>
      <c r="L32" s="33"/>
      <c r="M32" s="33"/>
      <c r="N32" s="33"/>
      <c r="O32" s="33"/>
      <c r="P32" s="33"/>
      <c r="Q32" s="33"/>
      <c r="R32" s="33"/>
      <c r="S32" s="33"/>
      <c r="T32" s="33"/>
      <c r="U32" s="33"/>
      <c r="V32" s="33"/>
      <c r="W32" s="34"/>
      <c r="X32" s="34"/>
    </row>
    <row r="33" spans="1:24" ht="11.25">
      <c r="A33" s="140" t="s">
        <v>31</v>
      </c>
      <c r="B33" s="4"/>
      <c r="C33" s="4"/>
      <c r="D33" s="4"/>
      <c r="E33" s="4"/>
      <c r="F33" s="4"/>
      <c r="G33" s="4"/>
      <c r="H33" s="4"/>
      <c r="I33" s="4"/>
      <c r="J33" s="4"/>
      <c r="K33" s="4"/>
      <c r="L33" s="4"/>
      <c r="M33" s="4"/>
      <c r="N33" s="4"/>
      <c r="O33" s="4"/>
      <c r="P33" s="4"/>
      <c r="Q33" s="4"/>
      <c r="R33" s="4"/>
      <c r="S33" s="4"/>
      <c r="T33" s="4"/>
      <c r="U33" s="4"/>
      <c r="V33" s="4"/>
      <c r="W33" s="4"/>
      <c r="X33" s="4"/>
    </row>
    <row r="34" spans="1:24" ht="11.25">
      <c r="A34" s="142" t="s">
        <v>56</v>
      </c>
      <c r="B34" s="32"/>
      <c r="C34" s="55">
        <f>C14-C23</f>
        <v>0</v>
      </c>
      <c r="D34" s="55">
        <f>D14-D23</f>
        <v>0</v>
      </c>
      <c r="E34" s="55">
        <f>E14-E23-E28-E31</f>
        <v>1463960.5109694158</v>
      </c>
      <c r="F34" s="55">
        <f aca="true" t="shared" si="9" ref="F34:X34">F14-F23-F28-F31</f>
        <v>1541867.3712500925</v>
      </c>
      <c r="G34" s="55">
        <f t="shared" si="9"/>
        <v>1182353.5088462066</v>
      </c>
      <c r="H34" s="55">
        <f t="shared" si="9"/>
        <v>1269065.7920101061</v>
      </c>
      <c r="I34" s="55">
        <f t="shared" si="9"/>
        <v>1360547.2507480201</v>
      </c>
      <c r="J34" s="55">
        <f t="shared" si="9"/>
        <v>1172060.1897165203</v>
      </c>
      <c r="K34" s="55">
        <f t="shared" si="9"/>
        <v>1273881.3403282869</v>
      </c>
      <c r="L34" s="55">
        <f t="shared" si="9"/>
        <v>1381302.6542237015</v>
      </c>
      <c r="M34" s="55">
        <f t="shared" si="9"/>
        <v>1494632.1403833632</v>
      </c>
      <c r="N34" s="55">
        <f t="shared" si="9"/>
        <v>1614194.7482818062</v>
      </c>
      <c r="O34" s="55">
        <f t="shared" si="9"/>
        <v>1740333.2996146642</v>
      </c>
      <c r="P34" s="55">
        <f t="shared" si="9"/>
        <v>1873409.471270829</v>
      </c>
      <c r="Q34" s="55">
        <f t="shared" si="9"/>
        <v>1887804.8323680824</v>
      </c>
      <c r="R34" s="55">
        <f t="shared" si="9"/>
        <v>2035921.9383256854</v>
      </c>
      <c r="S34" s="55">
        <f t="shared" si="9"/>
        <v>2192185.4851109562</v>
      </c>
      <c r="T34" s="55">
        <f t="shared" si="9"/>
        <v>2357043.5269694165</v>
      </c>
      <c r="U34" s="55">
        <f t="shared" si="9"/>
        <v>2357043.5269694165</v>
      </c>
      <c r="V34" s="55">
        <f t="shared" si="9"/>
        <v>2357043.5269694165</v>
      </c>
      <c r="W34" s="55">
        <f t="shared" si="9"/>
        <v>2357043.5269694165</v>
      </c>
      <c r="X34" s="55">
        <f t="shared" si="9"/>
        <v>2357043.5269694165</v>
      </c>
    </row>
    <row r="35" spans="1:24" ht="11.25">
      <c r="A35" s="142" t="s">
        <v>46</v>
      </c>
      <c r="B35" s="32"/>
      <c r="C35" s="55">
        <f>C34-C13</f>
        <v>0</v>
      </c>
      <c r="D35" s="55">
        <f>D34-D13</f>
        <v>0</v>
      </c>
      <c r="E35" s="55">
        <f>E14-E23-E13-E28-E31</f>
        <v>1022254.9109694161</v>
      </c>
      <c r="F35" s="55">
        <f aca="true" t="shared" si="10" ref="F35:X35">F14-F23-F13-F28-F31</f>
        <v>1100161.771250093</v>
      </c>
      <c r="G35" s="55">
        <f t="shared" si="10"/>
        <v>1182353.5088462066</v>
      </c>
      <c r="H35" s="55">
        <f t="shared" si="10"/>
        <v>1269065.7920101061</v>
      </c>
      <c r="I35" s="55">
        <f t="shared" si="10"/>
        <v>1360547.2507480201</v>
      </c>
      <c r="J35" s="55">
        <f t="shared" si="10"/>
        <v>1172060.1897165203</v>
      </c>
      <c r="K35" s="55">
        <f t="shared" si="10"/>
        <v>1273881.3403282869</v>
      </c>
      <c r="L35" s="55">
        <f t="shared" si="10"/>
        <v>1381302.6542237015</v>
      </c>
      <c r="M35" s="55">
        <f t="shared" si="10"/>
        <v>1494632.1403833632</v>
      </c>
      <c r="N35" s="55">
        <f t="shared" si="10"/>
        <v>1614194.7482818062</v>
      </c>
      <c r="O35" s="55">
        <f t="shared" si="10"/>
        <v>1740333.2996146642</v>
      </c>
      <c r="P35" s="55">
        <f t="shared" si="10"/>
        <v>1873409.471270829</v>
      </c>
      <c r="Q35" s="55">
        <f t="shared" si="10"/>
        <v>1887804.8323680824</v>
      </c>
      <c r="R35" s="55">
        <f t="shared" si="10"/>
        <v>2035921.9383256854</v>
      </c>
      <c r="S35" s="55">
        <f t="shared" si="10"/>
        <v>2192185.4851109562</v>
      </c>
      <c r="T35" s="55">
        <f t="shared" si="10"/>
        <v>2357043.5269694165</v>
      </c>
      <c r="U35" s="55">
        <f t="shared" si="10"/>
        <v>2357043.5269694165</v>
      </c>
      <c r="V35" s="55">
        <f t="shared" si="10"/>
        <v>2357043.5269694165</v>
      </c>
      <c r="W35" s="55">
        <f t="shared" si="10"/>
        <v>2357043.5269694165</v>
      </c>
      <c r="X35" s="55">
        <f t="shared" si="10"/>
        <v>2357043.5269694165</v>
      </c>
    </row>
    <row r="36" spans="1:24" ht="11.25">
      <c r="A36" s="142"/>
      <c r="B36" s="32"/>
      <c r="C36" s="55"/>
      <c r="D36" s="55"/>
      <c r="E36" s="55"/>
      <c r="F36" s="55"/>
      <c r="G36" s="55"/>
      <c r="H36" s="55"/>
      <c r="I36" s="55"/>
      <c r="J36" s="55"/>
      <c r="K36" s="55"/>
      <c r="L36" s="55"/>
      <c r="M36" s="55"/>
      <c r="N36" s="55"/>
      <c r="O36" s="55"/>
      <c r="P36" s="55"/>
      <c r="Q36" s="55"/>
      <c r="R36" s="55"/>
      <c r="S36" s="55"/>
      <c r="T36" s="55"/>
      <c r="U36" s="55"/>
      <c r="V36" s="55"/>
      <c r="W36" s="55"/>
      <c r="X36" s="55"/>
    </row>
    <row r="37" spans="1:24" ht="11.25">
      <c r="A37" s="142" t="s">
        <v>158</v>
      </c>
      <c r="B37" s="32"/>
      <c r="C37" s="55">
        <f>C34*Assumptions!$B$21</f>
        <v>0</v>
      </c>
      <c r="D37" s="55">
        <f>D34*Assumptions!$B$21</f>
        <v>0</v>
      </c>
      <c r="E37" s="55">
        <f>E34*Assumptions!$B$21</f>
        <v>219594.07664541237</v>
      </c>
      <c r="F37" s="55">
        <f>F34*Assumptions!$B$21</f>
        <v>231280.10568751386</v>
      </c>
      <c r="G37" s="55">
        <f>G34*Assumptions!$B$21</f>
        <v>177353.026326931</v>
      </c>
      <c r="H37" s="55">
        <f>H34*Assumptions!$B$21</f>
        <v>190359.86880151593</v>
      </c>
      <c r="I37" s="55">
        <f>I34*Assumptions!$B$21</f>
        <v>204082.087612203</v>
      </c>
      <c r="J37" s="55">
        <f>J34*Assumptions!$B$21</f>
        <v>175809.02845747804</v>
      </c>
      <c r="K37" s="55">
        <f>K34*Assumptions!$B$21</f>
        <v>191082.201049243</v>
      </c>
      <c r="L37" s="55">
        <f>L34*Assumptions!$B$21</f>
        <v>207195.39813355522</v>
      </c>
      <c r="M37" s="55">
        <f>M34*Assumptions!$B$21</f>
        <v>224194.82105750448</v>
      </c>
      <c r="N37" s="55">
        <f>N34*Assumptions!$B$21</f>
        <v>242129.21224227094</v>
      </c>
      <c r="O37" s="55">
        <f>O34*Assumptions!$B$21</f>
        <v>261049.9949421996</v>
      </c>
      <c r="P37" s="55">
        <f>P34*Assumptions!$B$21</f>
        <v>281011.42069062433</v>
      </c>
      <c r="Q37" s="55">
        <f>Q34*Assumptions!$B$21</f>
        <v>283170.7248552123</v>
      </c>
      <c r="R37" s="55">
        <f>R34*Assumptions!$B$21</f>
        <v>305388.2907488528</v>
      </c>
      <c r="S37" s="55">
        <f>S34*Assumptions!$B$21</f>
        <v>328827.8227666434</v>
      </c>
      <c r="T37" s="55">
        <f>T34*Assumptions!$B$21</f>
        <v>353556.5290454125</v>
      </c>
      <c r="U37" s="55">
        <f>U34*Assumptions!$B$21</f>
        <v>353556.5290454125</v>
      </c>
      <c r="V37" s="55">
        <f>V34*Assumptions!$B$21</f>
        <v>353556.5290454125</v>
      </c>
      <c r="W37" s="55">
        <f>W34*Assumptions!$B$21</f>
        <v>353556.5290454125</v>
      </c>
      <c r="X37" s="55">
        <f>X34*Assumptions!$B$21</f>
        <v>353556.5290454125</v>
      </c>
    </row>
    <row r="38" spans="1:24" ht="11.25">
      <c r="A38" s="142" t="s">
        <v>159</v>
      </c>
      <c r="B38" s="32"/>
      <c r="C38" s="55">
        <f>C35*Assumptions!$B$21</f>
        <v>0</v>
      </c>
      <c r="D38" s="55">
        <f>D35*Assumptions!$B$21</f>
        <v>0</v>
      </c>
      <c r="E38" s="55">
        <f>E35*Assumptions!$B$21</f>
        <v>153338.23664541243</v>
      </c>
      <c r="F38" s="55">
        <f>F35*Assumptions!$B$21</f>
        <v>165024.26568751392</v>
      </c>
      <c r="G38" s="55">
        <f>G35*Assumptions!$B$21</f>
        <v>177353.026326931</v>
      </c>
      <c r="H38" s="55">
        <f>H35*Assumptions!$B$21</f>
        <v>190359.86880151593</v>
      </c>
      <c r="I38" s="55">
        <f>I35*Assumptions!$B$21</f>
        <v>204082.087612203</v>
      </c>
      <c r="J38" s="55">
        <f>J35*Assumptions!$B$21</f>
        <v>175809.02845747804</v>
      </c>
      <c r="K38" s="55">
        <f>K35*Assumptions!$B$21</f>
        <v>191082.201049243</v>
      </c>
      <c r="L38" s="55">
        <f>L35*Assumptions!$B$21</f>
        <v>207195.39813355522</v>
      </c>
      <c r="M38" s="55">
        <f>M35*Assumptions!$B$21</f>
        <v>224194.82105750448</v>
      </c>
      <c r="N38" s="55">
        <f>N35*Assumptions!$B$21</f>
        <v>242129.21224227094</v>
      </c>
      <c r="O38" s="55">
        <f>O35*Assumptions!$B$21</f>
        <v>261049.9949421996</v>
      </c>
      <c r="P38" s="55">
        <f>P35*Assumptions!$B$21</f>
        <v>281011.42069062433</v>
      </c>
      <c r="Q38" s="55">
        <f>Q35*Assumptions!$B$21</f>
        <v>283170.7248552123</v>
      </c>
      <c r="R38" s="55">
        <f>R35*Assumptions!$B$21</f>
        <v>305388.2907488528</v>
      </c>
      <c r="S38" s="55">
        <f>S35*Assumptions!$B$21</f>
        <v>328827.8227666434</v>
      </c>
      <c r="T38" s="55">
        <f>T35*Assumptions!$B$21</f>
        <v>353556.5290454125</v>
      </c>
      <c r="U38" s="55">
        <f>U35*Assumptions!$B$21</f>
        <v>353556.5290454125</v>
      </c>
      <c r="V38" s="55">
        <f>V35*Assumptions!$B$21</f>
        <v>353556.5290454125</v>
      </c>
      <c r="W38" s="55">
        <f>W35*Assumptions!$B$21</f>
        <v>353556.5290454125</v>
      </c>
      <c r="X38" s="55">
        <f>X35*Assumptions!$B$21</f>
        <v>353556.5290454125</v>
      </c>
    </row>
    <row r="39" spans="1:24" ht="11.25">
      <c r="A39" s="142"/>
      <c r="B39" s="32"/>
      <c r="C39" s="55"/>
      <c r="D39" s="55"/>
      <c r="E39" s="55"/>
      <c r="F39" s="55"/>
      <c r="G39" s="55"/>
      <c r="H39" s="55"/>
      <c r="I39" s="55"/>
      <c r="J39" s="55"/>
      <c r="K39" s="55"/>
      <c r="L39" s="55"/>
      <c r="M39" s="55"/>
      <c r="N39" s="34"/>
      <c r="O39" s="34"/>
      <c r="P39" s="34"/>
      <c r="Q39" s="34"/>
      <c r="R39" s="34"/>
      <c r="S39" s="34"/>
      <c r="T39" s="34"/>
      <c r="U39" s="34"/>
      <c r="V39" s="34"/>
      <c r="W39" s="34"/>
      <c r="X39" s="34"/>
    </row>
    <row r="40" spans="1:24" ht="11.25">
      <c r="A40" s="142" t="s">
        <v>168</v>
      </c>
      <c r="B40" s="55">
        <f>0-Assumptions!C15*1000</f>
        <v>-37343072</v>
      </c>
      <c r="C40" s="55">
        <v>0</v>
      </c>
      <c r="D40" s="55">
        <v>0</v>
      </c>
      <c r="E40" s="55">
        <f>E14-E23-E37</f>
        <v>4857308.650324004</v>
      </c>
      <c r="F40" s="55">
        <f aca="true" t="shared" si="11" ref="F40:X40">F14-F23-F37</f>
        <v>4845622.621281902</v>
      </c>
      <c r="G40" s="55">
        <f t="shared" si="11"/>
        <v>4457844.100642486</v>
      </c>
      <c r="H40" s="55">
        <f t="shared" si="11"/>
        <v>4444837.258167901</v>
      </c>
      <c r="I40" s="55">
        <f t="shared" si="11"/>
        <v>4431115.039357213</v>
      </c>
      <c r="J40" s="55">
        <f t="shared" si="11"/>
        <v>4174388.0985119385</v>
      </c>
      <c r="K40" s="55">
        <f t="shared" si="11"/>
        <v>4159114.9259201735</v>
      </c>
      <c r="L40" s="55">
        <f t="shared" si="11"/>
        <v>4143001.728835861</v>
      </c>
      <c r="M40" s="55">
        <f t="shared" si="11"/>
        <v>4126002.305911912</v>
      </c>
      <c r="N40" s="55">
        <f t="shared" si="11"/>
        <v>4108067.914727146</v>
      </c>
      <c r="O40" s="55">
        <f t="shared" si="11"/>
        <v>4089147.132027217</v>
      </c>
      <c r="P40" s="55">
        <f t="shared" si="11"/>
        <v>4069185.706278792</v>
      </c>
      <c r="Q40" s="55">
        <f t="shared" si="11"/>
        <v>3941026.402114204</v>
      </c>
      <c r="R40" s="55">
        <f t="shared" si="11"/>
        <v>3918808.836220564</v>
      </c>
      <c r="S40" s="55">
        <f t="shared" si="11"/>
        <v>3895369.304202773</v>
      </c>
      <c r="T40" s="55">
        <f t="shared" si="11"/>
        <v>3870640.5979240043</v>
      </c>
      <c r="U40" s="55">
        <f t="shared" si="11"/>
        <v>3870640.5979240043</v>
      </c>
      <c r="V40" s="55">
        <f t="shared" si="11"/>
        <v>3870640.5979240043</v>
      </c>
      <c r="W40" s="55">
        <f t="shared" si="11"/>
        <v>3870640.5979240043</v>
      </c>
      <c r="X40" s="55">
        <f t="shared" si="11"/>
        <v>3870640.5979240043</v>
      </c>
    </row>
    <row r="41" spans="1:24" ht="12" thickBot="1">
      <c r="A41" s="182" t="s">
        <v>167</v>
      </c>
      <c r="B41" s="149">
        <f>0-Assumptions!C15*1000</f>
        <v>-37343072</v>
      </c>
      <c r="C41" s="149">
        <v>0</v>
      </c>
      <c r="D41" s="149">
        <v>0</v>
      </c>
      <c r="E41" s="149">
        <f>E14-E23-E13-E38</f>
        <v>4481858.890324004</v>
      </c>
      <c r="F41" s="149">
        <f aca="true" t="shared" si="12" ref="F41:X41">F14-F23-F13-F38</f>
        <v>4470172.8612819025</v>
      </c>
      <c r="G41" s="149">
        <f t="shared" si="12"/>
        <v>4457844.100642486</v>
      </c>
      <c r="H41" s="149">
        <f t="shared" si="12"/>
        <v>4444837.258167901</v>
      </c>
      <c r="I41" s="149">
        <f t="shared" si="12"/>
        <v>4431115.039357213</v>
      </c>
      <c r="J41" s="149">
        <f t="shared" si="12"/>
        <v>4174388.0985119385</v>
      </c>
      <c r="K41" s="149">
        <f t="shared" si="12"/>
        <v>4159114.9259201735</v>
      </c>
      <c r="L41" s="149">
        <f t="shared" si="12"/>
        <v>4143001.728835861</v>
      </c>
      <c r="M41" s="149">
        <f t="shared" si="12"/>
        <v>4126002.305911912</v>
      </c>
      <c r="N41" s="149">
        <f t="shared" si="12"/>
        <v>4108067.914727146</v>
      </c>
      <c r="O41" s="149">
        <f t="shared" si="12"/>
        <v>4089147.132027217</v>
      </c>
      <c r="P41" s="149">
        <f t="shared" si="12"/>
        <v>4069185.706278792</v>
      </c>
      <c r="Q41" s="149">
        <f t="shared" si="12"/>
        <v>3941026.402114204</v>
      </c>
      <c r="R41" s="149">
        <f t="shared" si="12"/>
        <v>3918808.836220564</v>
      </c>
      <c r="S41" s="149">
        <f t="shared" si="12"/>
        <v>3895369.304202773</v>
      </c>
      <c r="T41" s="149">
        <f t="shared" si="12"/>
        <v>3870640.5979240043</v>
      </c>
      <c r="U41" s="149">
        <f t="shared" si="12"/>
        <v>3870640.5979240043</v>
      </c>
      <c r="V41" s="149">
        <f t="shared" si="12"/>
        <v>3870640.5979240043</v>
      </c>
      <c r="W41" s="149">
        <f t="shared" si="12"/>
        <v>3870640.5979240043</v>
      </c>
      <c r="X41" s="149">
        <f t="shared" si="12"/>
        <v>3870640.5979240043</v>
      </c>
    </row>
    <row r="42" spans="1:22" ht="12" thickTop="1">
      <c r="A42" s="139"/>
      <c r="B42" s="6"/>
      <c r="C42" s="6"/>
      <c r="D42" s="6"/>
      <c r="E42" s="6"/>
      <c r="F42" s="6"/>
      <c r="G42" s="6"/>
      <c r="H42" s="6"/>
      <c r="I42" s="6"/>
      <c r="J42" s="6"/>
      <c r="K42" s="6"/>
      <c r="L42" s="6"/>
      <c r="M42" s="6"/>
      <c r="N42" s="6"/>
      <c r="O42" s="6"/>
      <c r="P42" s="6"/>
      <c r="Q42" s="6"/>
      <c r="R42" s="6"/>
      <c r="S42" s="6"/>
      <c r="T42" s="6"/>
      <c r="U42" s="6"/>
      <c r="V42" s="6"/>
    </row>
    <row r="43" spans="1:22" ht="11.25">
      <c r="A43" s="139" t="s">
        <v>165</v>
      </c>
      <c r="B43" s="6">
        <f>AVERAGE(E40:X40)</f>
        <v>4150702.150707206</v>
      </c>
      <c r="C43" s="6"/>
      <c r="D43" s="6"/>
      <c r="E43" s="6"/>
      <c r="F43" s="6"/>
      <c r="G43" s="6"/>
      <c r="H43" s="6"/>
      <c r="I43" s="6"/>
      <c r="J43" s="6"/>
      <c r="K43" s="6"/>
      <c r="L43" s="6"/>
      <c r="M43" s="6"/>
      <c r="N43" s="6"/>
      <c r="O43" s="6"/>
      <c r="P43" s="6"/>
      <c r="Q43" s="6"/>
      <c r="R43" s="6"/>
      <c r="S43" s="6"/>
      <c r="T43" s="6"/>
      <c r="U43" s="6"/>
      <c r="V43" s="6"/>
    </row>
    <row r="44" spans="1:22" ht="11.25">
      <c r="A44" s="139" t="s">
        <v>166</v>
      </c>
      <c r="B44" s="6">
        <f>AVERAGE(E41:X41)</f>
        <v>4113157.1747072064</v>
      </c>
      <c r="C44" s="6"/>
      <c r="D44" s="6"/>
      <c r="E44" s="6"/>
      <c r="F44" s="6"/>
      <c r="G44" s="6"/>
      <c r="H44" s="6"/>
      <c r="I44" s="6"/>
      <c r="J44" s="6"/>
      <c r="K44" s="6"/>
      <c r="L44" s="6"/>
      <c r="M44" s="6"/>
      <c r="N44" s="6"/>
      <c r="O44" s="6"/>
      <c r="P44" s="6"/>
      <c r="Q44" s="6"/>
      <c r="R44" s="6"/>
      <c r="S44" s="6"/>
      <c r="T44" s="6"/>
      <c r="U44" s="6"/>
      <c r="V44" s="6"/>
    </row>
    <row r="45" spans="1:22" ht="11.25">
      <c r="A45" s="139"/>
      <c r="B45" s="6"/>
      <c r="C45" s="6"/>
      <c r="D45" s="6"/>
      <c r="E45" s="6"/>
      <c r="F45" s="6"/>
      <c r="G45" s="6"/>
      <c r="H45" s="6"/>
      <c r="I45" s="6"/>
      <c r="J45" s="6"/>
      <c r="K45" s="6"/>
      <c r="L45" s="6"/>
      <c r="M45" s="6"/>
      <c r="N45" s="6"/>
      <c r="O45" s="6"/>
      <c r="P45" s="6"/>
      <c r="Q45" s="6"/>
      <c r="R45" s="6"/>
      <c r="S45" s="6"/>
      <c r="T45" s="6"/>
      <c r="U45" s="6"/>
      <c r="V45" s="6"/>
    </row>
    <row r="46" spans="1:22" ht="11.25">
      <c r="A46" s="139" t="s">
        <v>49</v>
      </c>
      <c r="B46" s="59">
        <f>Assumptions!C15*1000/'cash flow EUR'!B43</f>
        <v>8.996808405931368</v>
      </c>
      <c r="C46" s="6"/>
      <c r="D46" s="6"/>
      <c r="E46" s="6"/>
      <c r="F46" s="6"/>
      <c r="G46" s="6"/>
      <c r="H46" s="6"/>
      <c r="I46" s="6"/>
      <c r="J46" s="6"/>
      <c r="K46" s="6"/>
      <c r="L46" s="6"/>
      <c r="M46" s="6"/>
      <c r="N46" s="6"/>
      <c r="O46" s="6"/>
      <c r="P46" s="6"/>
      <c r="Q46" s="6"/>
      <c r="R46" s="6"/>
      <c r="S46" s="6"/>
      <c r="T46" s="6"/>
      <c r="U46" s="6"/>
      <c r="V46" s="6"/>
    </row>
    <row r="47" spans="1:22" ht="11.25">
      <c r="A47" s="139" t="s">
        <v>50</v>
      </c>
      <c r="B47" s="59">
        <f>Assumptions!C15*1000/'cash flow EUR'!B44</f>
        <v>9.078931442161155</v>
      </c>
      <c r="C47" s="6"/>
      <c r="D47" s="6"/>
      <c r="E47" s="6"/>
      <c r="F47" s="6"/>
      <c r="G47" s="6"/>
      <c r="H47" s="6"/>
      <c r="I47" s="6"/>
      <c r="J47" s="6"/>
      <c r="K47" s="6"/>
      <c r="L47" s="6"/>
      <c r="M47" s="6"/>
      <c r="N47" s="6"/>
      <c r="O47" s="6"/>
      <c r="P47" s="6"/>
      <c r="Q47" s="6"/>
      <c r="R47" s="6"/>
      <c r="S47" s="6"/>
      <c r="T47" s="6"/>
      <c r="U47" s="6"/>
      <c r="V47" s="6"/>
    </row>
    <row r="48" spans="1:22" ht="11.25">
      <c r="A48" s="139"/>
      <c r="B48" s="6"/>
      <c r="C48" s="6"/>
      <c r="D48" s="6"/>
      <c r="E48" s="6"/>
      <c r="F48" s="61"/>
      <c r="G48" s="61"/>
      <c r="H48" s="62"/>
      <c r="I48" s="6"/>
      <c r="J48" s="6"/>
      <c r="K48" s="6"/>
      <c r="L48" s="6"/>
      <c r="M48" s="6"/>
      <c r="N48" s="6"/>
      <c r="O48" s="6"/>
      <c r="P48" s="6"/>
      <c r="Q48" s="6"/>
      <c r="R48" s="6"/>
      <c r="S48" s="6"/>
      <c r="T48" s="6"/>
      <c r="U48" s="6"/>
      <c r="V48" s="6"/>
    </row>
    <row r="49" spans="1:22" ht="11.25">
      <c r="A49" s="141" t="s">
        <v>163</v>
      </c>
      <c r="B49" s="29">
        <f>IRR(B40:X40,0.1)</f>
        <v>0.0759296380363406</v>
      </c>
      <c r="C49" s="6"/>
      <c r="D49" s="6"/>
      <c r="E49" s="6"/>
      <c r="F49" s="62"/>
      <c r="G49" s="62"/>
      <c r="H49" s="6"/>
      <c r="I49" s="62"/>
      <c r="J49" s="6"/>
      <c r="K49" s="6"/>
      <c r="L49" s="6"/>
      <c r="M49" s="6"/>
      <c r="N49" s="6"/>
      <c r="O49" s="6"/>
      <c r="P49" s="6"/>
      <c r="Q49" s="6"/>
      <c r="R49" s="6"/>
      <c r="S49" s="6"/>
      <c r="T49" s="6"/>
      <c r="U49" s="6"/>
      <c r="V49" s="6"/>
    </row>
    <row r="50" spans="1:22" ht="11.25">
      <c r="A50" s="141" t="s">
        <v>164</v>
      </c>
      <c r="B50" s="29">
        <f>IRR(B41:X41,0.1)</f>
        <v>0.07422299584947337</v>
      </c>
      <c r="C50" s="6"/>
      <c r="D50" s="6"/>
      <c r="E50" s="6"/>
      <c r="F50" s="63"/>
      <c r="G50" s="6"/>
      <c r="H50" s="6"/>
      <c r="I50" s="62"/>
      <c r="J50" s="6"/>
      <c r="K50" s="6"/>
      <c r="L50" s="6"/>
      <c r="M50" s="6"/>
      <c r="N50" s="6"/>
      <c r="O50" s="6"/>
      <c r="P50" s="6"/>
      <c r="Q50" s="6"/>
      <c r="R50" s="6"/>
      <c r="S50" s="6"/>
      <c r="T50" s="6"/>
      <c r="U50" s="6"/>
      <c r="V50" s="6"/>
    </row>
    <row r="51" spans="1:22" ht="11.25">
      <c r="A51" s="141"/>
      <c r="B51" s="29"/>
      <c r="C51" s="6"/>
      <c r="D51" s="6"/>
      <c r="E51" s="6"/>
      <c r="F51" s="63"/>
      <c r="G51" s="6"/>
      <c r="H51" s="6"/>
      <c r="I51" s="62"/>
      <c r="J51" s="6"/>
      <c r="K51" s="6"/>
      <c r="L51" s="6"/>
      <c r="M51" s="6"/>
      <c r="N51" s="6"/>
      <c r="O51" s="6"/>
      <c r="P51" s="6"/>
      <c r="Q51" s="6"/>
      <c r="R51" s="6"/>
      <c r="S51" s="6"/>
      <c r="T51" s="6"/>
      <c r="U51" s="6"/>
      <c r="V51" s="6"/>
    </row>
    <row r="52" spans="1:22" ht="11.25">
      <c r="A52" s="141" t="s">
        <v>161</v>
      </c>
      <c r="B52" s="29">
        <f>(B49-Assumptions!$B$18*Assumptions!$B$19)/(1-Assumptions!$B$18)</f>
        <v>0.19453092024227067</v>
      </c>
      <c r="C52" s="6"/>
      <c r="D52" s="6"/>
      <c r="E52" s="6"/>
      <c r="F52" s="63"/>
      <c r="G52" s="6"/>
      <c r="H52" s="6"/>
      <c r="I52" s="62"/>
      <c r="J52" s="6"/>
      <c r="K52" s="6"/>
      <c r="L52" s="6"/>
      <c r="M52" s="6"/>
      <c r="N52" s="6"/>
      <c r="O52" s="6"/>
      <c r="P52" s="6"/>
      <c r="Q52" s="6"/>
      <c r="R52" s="6"/>
      <c r="S52" s="6"/>
      <c r="T52" s="6"/>
      <c r="U52" s="6"/>
      <c r="V52" s="6"/>
    </row>
    <row r="53" spans="1:22" ht="11.25">
      <c r="A53" s="141" t="s">
        <v>162</v>
      </c>
      <c r="B53" s="29">
        <f>(B50-Assumptions!$B$18*Assumptions!$B$19)/(1-Assumptions!$B$18)</f>
        <v>0.18315330566315574</v>
      </c>
      <c r="C53" s="6"/>
      <c r="D53" s="6"/>
      <c r="E53" s="6"/>
      <c r="F53" s="63"/>
      <c r="G53" s="6"/>
      <c r="H53" s="6"/>
      <c r="I53" s="62"/>
      <c r="J53" s="6"/>
      <c r="K53" s="6"/>
      <c r="L53" s="6"/>
      <c r="M53" s="6"/>
      <c r="N53" s="6"/>
      <c r="O53" s="6"/>
      <c r="P53" s="6"/>
      <c r="Q53" s="6"/>
      <c r="R53" s="6"/>
      <c r="S53" s="6"/>
      <c r="T53" s="6"/>
      <c r="U53" s="6"/>
      <c r="V53" s="6"/>
    </row>
    <row r="54" spans="1:22" ht="11.25">
      <c r="A54" s="141"/>
      <c r="B54" s="29"/>
      <c r="C54" s="6"/>
      <c r="D54" s="6"/>
      <c r="E54" s="6"/>
      <c r="F54" s="6"/>
      <c r="G54" s="6"/>
      <c r="H54" s="6"/>
      <c r="I54" s="6"/>
      <c r="J54" s="6"/>
      <c r="K54" s="6"/>
      <c r="L54" s="6"/>
      <c r="M54" s="6"/>
      <c r="N54" s="6"/>
      <c r="O54" s="6"/>
      <c r="P54" s="6"/>
      <c r="Q54" s="6"/>
      <c r="R54" s="6"/>
      <c r="S54" s="6"/>
      <c r="T54" s="6"/>
      <c r="U54" s="6"/>
      <c r="V54" s="6"/>
    </row>
    <row r="55" spans="1:2" ht="11.25">
      <c r="A55" s="139" t="s">
        <v>11</v>
      </c>
      <c r="B55" s="48">
        <f>B9*(B63-B62+1)</f>
        <v>73617.6</v>
      </c>
    </row>
    <row r="56" spans="1:2" ht="11.25">
      <c r="A56" s="139" t="s">
        <v>12</v>
      </c>
      <c r="B56" s="6">
        <f>B9*20</f>
        <v>736176</v>
      </c>
    </row>
    <row r="57" spans="1:2" ht="11.25">
      <c r="A57" s="139" t="s">
        <v>29</v>
      </c>
      <c r="B57" s="26">
        <f>SUM(C13:F13)</f>
        <v>883411.2000000001</v>
      </c>
    </row>
    <row r="58" spans="1:2" ht="11.25">
      <c r="A58" s="139"/>
      <c r="B58" s="26"/>
    </row>
    <row r="59" spans="1:2" ht="11.25">
      <c r="A59" s="139" t="s">
        <v>20</v>
      </c>
      <c r="B59" s="51">
        <v>0.626</v>
      </c>
    </row>
    <row r="60" spans="1:2" ht="11.25">
      <c r="A60" s="139" t="s">
        <v>39</v>
      </c>
      <c r="B60" s="24">
        <f>Assumptions!B25</f>
        <v>0.08688600556070436</v>
      </c>
    </row>
    <row r="61" spans="1:2" ht="11.25">
      <c r="A61" s="139" t="s">
        <v>10</v>
      </c>
      <c r="B61" s="188">
        <f>Assumptions!B26</f>
        <v>12</v>
      </c>
    </row>
    <row r="62" spans="1:2" ht="11.25">
      <c r="A62" s="139" t="s">
        <v>65</v>
      </c>
      <c r="B62" s="51">
        <v>2011</v>
      </c>
    </row>
    <row r="63" spans="1:2" ht="11.25">
      <c r="A63" s="139" t="s">
        <v>66</v>
      </c>
      <c r="B63" s="51">
        <v>2012</v>
      </c>
    </row>
    <row r="66" ht="11.25">
      <c r="B66" s="14"/>
    </row>
    <row r="67" ht="11.25">
      <c r="B67" s="14"/>
    </row>
    <row r="68" ht="11.25">
      <c r="B68" s="14"/>
    </row>
    <row r="69" ht="11.25">
      <c r="B69" s="14"/>
    </row>
    <row r="71" ht="11.25">
      <c r="B71" s="20"/>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X70"/>
  <sheetViews>
    <sheetView zoomScalePageLayoutView="0" workbookViewId="0" topLeftCell="A1">
      <selection activeCell="B30" sqref="B30"/>
    </sheetView>
  </sheetViews>
  <sheetFormatPr defaultColWidth="9.140625" defaultRowHeight="12.75"/>
  <cols>
    <col min="1" max="1" width="37.8515625" style="1" customWidth="1"/>
    <col min="2" max="2" width="14.00390625" style="1" customWidth="1"/>
    <col min="3" max="4" width="11.57421875" style="1" customWidth="1"/>
    <col min="5" max="5" width="13.00390625" style="1" customWidth="1"/>
    <col min="6" max="24" width="13.140625" style="1" bestFit="1" customWidth="1"/>
    <col min="25" max="16384" width="9.140625" style="1" customWidth="1"/>
  </cols>
  <sheetData>
    <row r="1" ht="11.25">
      <c r="B1" s="58">
        <v>3.4528</v>
      </c>
    </row>
    <row r="2" spans="1:2" ht="11.25">
      <c r="A2" s="1" t="s">
        <v>26</v>
      </c>
      <c r="B2" s="31">
        <f>'cash flow EUR'!B2</f>
        <v>58800000</v>
      </c>
    </row>
    <row r="3" ht="11.25">
      <c r="B3" s="30"/>
    </row>
    <row r="4" ht="11.25">
      <c r="B4" s="6"/>
    </row>
    <row r="5" spans="1:2" ht="11.25">
      <c r="A5" s="2"/>
      <c r="B5" s="6"/>
    </row>
    <row r="6" ht="11.25">
      <c r="A6" s="1" t="s">
        <v>27</v>
      </c>
    </row>
    <row r="7" spans="1:24" ht="11.25">
      <c r="A7" s="138" t="s">
        <v>32</v>
      </c>
      <c r="B7" s="138" t="s">
        <v>43</v>
      </c>
      <c r="C7" s="138">
        <f>2008+1</f>
        <v>2009</v>
      </c>
      <c r="D7" s="138">
        <f aca="true" t="shared" si="0" ref="D7:X7">C7+1</f>
        <v>2010</v>
      </c>
      <c r="E7" s="138">
        <f t="shared" si="0"/>
        <v>2011</v>
      </c>
      <c r="F7" s="138">
        <f t="shared" si="0"/>
        <v>2012</v>
      </c>
      <c r="G7" s="138">
        <f t="shared" si="0"/>
        <v>2013</v>
      </c>
      <c r="H7" s="138">
        <f t="shared" si="0"/>
        <v>2014</v>
      </c>
      <c r="I7" s="138">
        <f t="shared" si="0"/>
        <v>2015</v>
      </c>
      <c r="J7" s="138">
        <f t="shared" si="0"/>
        <v>2016</v>
      </c>
      <c r="K7" s="138">
        <f t="shared" si="0"/>
        <v>2017</v>
      </c>
      <c r="L7" s="138">
        <f t="shared" si="0"/>
        <v>2018</v>
      </c>
      <c r="M7" s="138">
        <f t="shared" si="0"/>
        <v>2019</v>
      </c>
      <c r="N7" s="138">
        <f t="shared" si="0"/>
        <v>2020</v>
      </c>
      <c r="O7" s="138">
        <f t="shared" si="0"/>
        <v>2021</v>
      </c>
      <c r="P7" s="138">
        <f t="shared" si="0"/>
        <v>2022</v>
      </c>
      <c r="Q7" s="138">
        <f t="shared" si="0"/>
        <v>2023</v>
      </c>
      <c r="R7" s="138">
        <f t="shared" si="0"/>
        <v>2024</v>
      </c>
      <c r="S7" s="138">
        <f t="shared" si="0"/>
        <v>2025</v>
      </c>
      <c r="T7" s="138">
        <f t="shared" si="0"/>
        <v>2026</v>
      </c>
      <c r="U7" s="138">
        <f t="shared" si="0"/>
        <v>2027</v>
      </c>
      <c r="V7" s="138">
        <f t="shared" si="0"/>
        <v>2028</v>
      </c>
      <c r="W7" s="138">
        <f t="shared" si="0"/>
        <v>2029</v>
      </c>
      <c r="X7" s="138">
        <f t="shared" si="0"/>
        <v>2030</v>
      </c>
    </row>
    <row r="8" spans="1:24" ht="11.25">
      <c r="A8" s="99" t="s">
        <v>64</v>
      </c>
      <c r="B8" s="6">
        <f>B2-(B2*B3)</f>
        <v>58800000</v>
      </c>
      <c r="C8" s="6">
        <v>0</v>
      </c>
      <c r="D8" s="6">
        <v>0</v>
      </c>
      <c r="E8" s="6">
        <f>$B$8</f>
        <v>58800000</v>
      </c>
      <c r="F8" s="6">
        <f>$B$8</f>
        <v>58800000</v>
      </c>
      <c r="G8" s="6">
        <f aca="true" t="shared" si="1" ref="G8:X8">$B$8</f>
        <v>58800000</v>
      </c>
      <c r="H8" s="6">
        <f t="shared" si="1"/>
        <v>58800000</v>
      </c>
      <c r="I8" s="6">
        <f t="shared" si="1"/>
        <v>58800000</v>
      </c>
      <c r="J8" s="6">
        <f t="shared" si="1"/>
        <v>58800000</v>
      </c>
      <c r="K8" s="6">
        <f t="shared" si="1"/>
        <v>58800000</v>
      </c>
      <c r="L8" s="6">
        <f t="shared" si="1"/>
        <v>58800000</v>
      </c>
      <c r="M8" s="6">
        <f t="shared" si="1"/>
        <v>58800000</v>
      </c>
      <c r="N8" s="6">
        <f t="shared" si="1"/>
        <v>58800000</v>
      </c>
      <c r="O8" s="6">
        <f t="shared" si="1"/>
        <v>58800000</v>
      </c>
      <c r="P8" s="6">
        <f t="shared" si="1"/>
        <v>58800000</v>
      </c>
      <c r="Q8" s="6">
        <f t="shared" si="1"/>
        <v>58800000</v>
      </c>
      <c r="R8" s="6">
        <f t="shared" si="1"/>
        <v>58800000</v>
      </c>
      <c r="S8" s="6">
        <f t="shared" si="1"/>
        <v>58800000</v>
      </c>
      <c r="T8" s="6">
        <f t="shared" si="1"/>
        <v>58800000</v>
      </c>
      <c r="U8" s="6">
        <f t="shared" si="1"/>
        <v>58800000</v>
      </c>
      <c r="V8" s="6">
        <f t="shared" si="1"/>
        <v>58800000</v>
      </c>
      <c r="W8" s="6">
        <f t="shared" si="1"/>
        <v>58800000</v>
      </c>
      <c r="X8" s="6">
        <f t="shared" si="1"/>
        <v>58800000</v>
      </c>
    </row>
    <row r="9" spans="1:24" ht="11.25">
      <c r="A9" s="100" t="str">
        <f>'cash flow EUR'!A9</f>
        <v>CO2 reduction, tCO2</v>
      </c>
      <c r="B9" s="6">
        <f>E8*$B$59/1000</f>
        <v>36808.8</v>
      </c>
      <c r="C9" s="6">
        <f>'cash flow EUR'!C9</f>
        <v>0</v>
      </c>
      <c r="D9" s="6">
        <f>'cash flow EUR'!D9</f>
        <v>0</v>
      </c>
      <c r="E9" s="6">
        <f>'cash flow EUR'!E9</f>
        <v>36808.8</v>
      </c>
      <c r="F9" s="6">
        <f>'cash flow EUR'!F9</f>
        <v>36808.8</v>
      </c>
      <c r="G9" s="6">
        <f>'cash flow EUR'!G9</f>
        <v>36808.8</v>
      </c>
      <c r="H9" s="6">
        <f>'cash flow EUR'!H9</f>
        <v>36808.8</v>
      </c>
      <c r="I9" s="6">
        <f>'cash flow EUR'!I9</f>
        <v>36808.8</v>
      </c>
      <c r="J9" s="6">
        <f>'cash flow EUR'!J9</f>
        <v>36808.8</v>
      </c>
      <c r="K9" s="6">
        <f>'cash flow EUR'!K9</f>
        <v>36808.8</v>
      </c>
      <c r="L9" s="6">
        <f>'cash flow EUR'!L9</f>
        <v>36808.8</v>
      </c>
      <c r="M9" s="6">
        <f>'cash flow EUR'!M9</f>
        <v>36808.8</v>
      </c>
      <c r="N9" s="6">
        <f>'cash flow EUR'!N9</f>
        <v>36808.8</v>
      </c>
      <c r="O9" s="6">
        <f>'cash flow EUR'!O9</f>
        <v>36808.8</v>
      </c>
      <c r="P9" s="6">
        <f>'cash flow EUR'!P9</f>
        <v>36808.8</v>
      </c>
      <c r="Q9" s="6">
        <f>'cash flow EUR'!Q9</f>
        <v>36808.8</v>
      </c>
      <c r="R9" s="6">
        <f>'cash flow EUR'!R9</f>
        <v>36808.8</v>
      </c>
      <c r="S9" s="6">
        <f>'cash flow EUR'!S9</f>
        <v>36808.8</v>
      </c>
      <c r="T9" s="6">
        <f>'cash flow EUR'!T9</f>
        <v>36808.8</v>
      </c>
      <c r="U9" s="6">
        <f>'cash flow EUR'!U9</f>
        <v>36808.8</v>
      </c>
      <c r="V9" s="6">
        <f>'cash flow EUR'!V9</f>
        <v>36808.8</v>
      </c>
      <c r="W9" s="6">
        <f>'cash flow EUR'!W9</f>
        <v>36808.8</v>
      </c>
      <c r="X9" s="6">
        <f>'cash flow EUR'!X9</f>
        <v>36808.8</v>
      </c>
    </row>
    <row r="10" spans="1:24" ht="11.25">
      <c r="A10" s="100"/>
      <c r="C10" s="6"/>
      <c r="D10" s="6"/>
      <c r="E10" s="6"/>
      <c r="F10" s="6"/>
      <c r="G10" s="6"/>
      <c r="H10" s="6"/>
      <c r="I10" s="6"/>
      <c r="J10" s="6"/>
      <c r="K10" s="6"/>
      <c r="L10" s="6"/>
      <c r="M10" s="6"/>
      <c r="N10" s="6"/>
      <c r="O10" s="6"/>
      <c r="P10" s="6"/>
      <c r="Q10" s="6"/>
      <c r="R10" s="6"/>
      <c r="S10" s="6"/>
      <c r="T10" s="6"/>
      <c r="U10" s="6"/>
      <c r="V10" s="6"/>
      <c r="W10" s="6"/>
      <c r="X10" s="6"/>
    </row>
    <row r="11" spans="1:24" ht="11.25">
      <c r="A11" s="144" t="s">
        <v>33</v>
      </c>
      <c r="B11" s="4"/>
      <c r="C11" s="23"/>
      <c r="D11" s="23"/>
      <c r="E11" s="23"/>
      <c r="F11" s="23"/>
      <c r="G11" s="23"/>
      <c r="H11" s="23"/>
      <c r="I11" s="23"/>
      <c r="J11" s="23"/>
      <c r="K11" s="23"/>
      <c r="L11" s="23"/>
      <c r="M11" s="23"/>
      <c r="N11" s="23"/>
      <c r="O11" s="23"/>
      <c r="P11" s="23"/>
      <c r="Q11" s="23"/>
      <c r="R11" s="23"/>
      <c r="S11" s="23"/>
      <c r="T11" s="23"/>
      <c r="U11" s="23"/>
      <c r="V11" s="23"/>
      <c r="W11" s="23"/>
      <c r="X11" s="23"/>
    </row>
    <row r="12" spans="1:24" ht="11.25">
      <c r="A12" s="100" t="s">
        <v>40</v>
      </c>
      <c r="C12" s="6">
        <f aca="true" t="shared" si="2" ref="C12:X12">$B$60*C8</f>
        <v>0</v>
      </c>
      <c r="D12" s="6">
        <f>$B$60*D8</f>
        <v>0</v>
      </c>
      <c r="E12" s="6">
        <f>$B$60*E8</f>
        <v>17640000</v>
      </c>
      <c r="F12" s="6">
        <f>$B$60*F8</f>
        <v>17640000</v>
      </c>
      <c r="G12" s="6">
        <f t="shared" si="2"/>
        <v>17640000</v>
      </c>
      <c r="H12" s="6">
        <f t="shared" si="2"/>
        <v>17640000</v>
      </c>
      <c r="I12" s="6">
        <f t="shared" si="2"/>
        <v>17640000</v>
      </c>
      <c r="J12" s="6">
        <f t="shared" si="2"/>
        <v>17640000</v>
      </c>
      <c r="K12" s="6">
        <f t="shared" si="2"/>
        <v>17640000</v>
      </c>
      <c r="L12" s="6">
        <f t="shared" si="2"/>
        <v>17640000</v>
      </c>
      <c r="M12" s="6">
        <f>$B$60*M8</f>
        <v>17640000</v>
      </c>
      <c r="N12" s="6">
        <f t="shared" si="2"/>
        <v>17640000</v>
      </c>
      <c r="O12" s="6">
        <f t="shared" si="2"/>
        <v>17640000</v>
      </c>
      <c r="P12" s="6">
        <f t="shared" si="2"/>
        <v>17640000</v>
      </c>
      <c r="Q12" s="6">
        <f t="shared" si="2"/>
        <v>17640000</v>
      </c>
      <c r="R12" s="6">
        <f t="shared" si="2"/>
        <v>17640000</v>
      </c>
      <c r="S12" s="6">
        <f t="shared" si="2"/>
        <v>17640000</v>
      </c>
      <c r="T12" s="6">
        <f t="shared" si="2"/>
        <v>17640000</v>
      </c>
      <c r="U12" s="6">
        <f t="shared" si="2"/>
        <v>17640000</v>
      </c>
      <c r="V12" s="6">
        <f t="shared" si="2"/>
        <v>17640000</v>
      </c>
      <c r="W12" s="6">
        <f t="shared" si="2"/>
        <v>17640000</v>
      </c>
      <c r="X12" s="6">
        <f t="shared" si="2"/>
        <v>17640000</v>
      </c>
    </row>
    <row r="13" spans="1:24" ht="11.25">
      <c r="A13" s="100" t="s">
        <v>41</v>
      </c>
      <c r="B13" s="9" t="s">
        <v>27</v>
      </c>
      <c r="C13" s="10">
        <f>C8/1000*$B$59*$B$61</f>
        <v>0</v>
      </c>
      <c r="D13" s="10">
        <f>D8/1000*$B$59*$B$61</f>
        <v>0</v>
      </c>
      <c r="E13" s="10">
        <f>E8/1000*$B$59*$B$61</f>
        <v>1525121.09568</v>
      </c>
      <c r="F13" s="10">
        <f>F8/1000*$B$59*$B$61</f>
        <v>1525121.09568</v>
      </c>
      <c r="G13" s="10">
        <v>0</v>
      </c>
      <c r="H13" s="9">
        <v>0</v>
      </c>
      <c r="I13" s="9">
        <v>0</v>
      </c>
      <c r="J13" s="9">
        <v>0</v>
      </c>
      <c r="K13" s="9">
        <v>0</v>
      </c>
      <c r="L13" s="9">
        <v>0</v>
      </c>
      <c r="M13" s="9">
        <v>0</v>
      </c>
      <c r="N13" s="9">
        <v>0</v>
      </c>
      <c r="O13" s="9">
        <v>0</v>
      </c>
      <c r="P13" s="9">
        <v>0</v>
      </c>
      <c r="Q13" s="9">
        <v>0</v>
      </c>
      <c r="R13" s="9">
        <v>0</v>
      </c>
      <c r="S13" s="9">
        <v>0</v>
      </c>
      <c r="T13" s="9">
        <v>0</v>
      </c>
      <c r="U13" s="9">
        <v>0</v>
      </c>
      <c r="V13" s="9">
        <v>0</v>
      </c>
      <c r="W13" s="9">
        <v>0</v>
      </c>
      <c r="X13" s="9">
        <v>0</v>
      </c>
    </row>
    <row r="14" spans="1:24" ht="11.25">
      <c r="A14" s="145" t="s">
        <v>0</v>
      </c>
      <c r="B14" s="2"/>
      <c r="C14" s="6">
        <v>0</v>
      </c>
      <c r="D14" s="3">
        <f aca="true" t="shared" si="3" ref="D14:V14">D12+D13</f>
        <v>0</v>
      </c>
      <c r="E14" s="3">
        <f>E12+E13</f>
        <v>19165121.09568</v>
      </c>
      <c r="F14" s="3">
        <f>F12+F13</f>
        <v>19165121.09568</v>
      </c>
      <c r="G14" s="3">
        <f>G12+G13</f>
        <v>17640000</v>
      </c>
      <c r="H14" s="3">
        <f t="shared" si="3"/>
        <v>17640000</v>
      </c>
      <c r="I14" s="3">
        <f t="shared" si="3"/>
        <v>17640000</v>
      </c>
      <c r="J14" s="3">
        <f t="shared" si="3"/>
        <v>17640000</v>
      </c>
      <c r="K14" s="3">
        <f t="shared" si="3"/>
        <v>17640000</v>
      </c>
      <c r="L14" s="3">
        <f t="shared" si="3"/>
        <v>17640000</v>
      </c>
      <c r="M14" s="3">
        <f t="shared" si="3"/>
        <v>17640000</v>
      </c>
      <c r="N14" s="3">
        <f t="shared" si="3"/>
        <v>17640000</v>
      </c>
      <c r="O14" s="3">
        <f t="shared" si="3"/>
        <v>17640000</v>
      </c>
      <c r="P14" s="3">
        <f t="shared" si="3"/>
        <v>17640000</v>
      </c>
      <c r="Q14" s="3">
        <f t="shared" si="3"/>
        <v>17640000</v>
      </c>
      <c r="R14" s="3">
        <f t="shared" si="3"/>
        <v>17640000</v>
      </c>
      <c r="S14" s="3">
        <f t="shared" si="3"/>
        <v>17640000</v>
      </c>
      <c r="T14" s="3">
        <f t="shared" si="3"/>
        <v>17640000</v>
      </c>
      <c r="U14" s="3">
        <f t="shared" si="3"/>
        <v>17640000</v>
      </c>
      <c r="V14" s="3">
        <f t="shared" si="3"/>
        <v>17640000</v>
      </c>
      <c r="W14" s="3">
        <f>W12+W13</f>
        <v>17640000</v>
      </c>
      <c r="X14" s="3">
        <f>X12+X13</f>
        <v>17640000</v>
      </c>
    </row>
    <row r="15" ht="11.25">
      <c r="A15" s="100"/>
    </row>
    <row r="16" spans="1:24" ht="11.25">
      <c r="A16" s="144" t="s">
        <v>7</v>
      </c>
      <c r="B16" s="5"/>
      <c r="C16" s="4"/>
      <c r="D16" s="4"/>
      <c r="E16" s="4"/>
      <c r="F16" s="4"/>
      <c r="G16" s="4"/>
      <c r="H16" s="4"/>
      <c r="I16" s="4"/>
      <c r="J16" s="4"/>
      <c r="K16" s="4"/>
      <c r="L16" s="4"/>
      <c r="M16" s="4"/>
      <c r="N16" s="4"/>
      <c r="O16" s="4"/>
      <c r="P16" s="4"/>
      <c r="Q16" s="4"/>
      <c r="R16" s="4"/>
      <c r="S16" s="4"/>
      <c r="T16" s="4"/>
      <c r="U16" s="4"/>
      <c r="V16" s="4"/>
      <c r="W16" s="4"/>
      <c r="X16" s="4"/>
    </row>
    <row r="17" spans="1:24" ht="11.25">
      <c r="A17" s="100" t="s">
        <v>76</v>
      </c>
      <c r="B17" s="26">
        <f>'cash flow EUR'!B17*'Cash flow LT'!$B$1</f>
        <v>1833954.72</v>
      </c>
      <c r="C17" s="6">
        <v>0</v>
      </c>
      <c r="D17" s="56">
        <v>0</v>
      </c>
      <c r="E17" s="56">
        <f>'cash flow EUR'!E17*'Cash flow LT'!$B$1</f>
        <v>956425.6</v>
      </c>
      <c r="F17" s="56">
        <f>'cash flow EUR'!F17*'Cash flow LT'!$B$1</f>
        <v>956425.6</v>
      </c>
      <c r="G17" s="56">
        <f>'cash flow EUR'!G17*'Cash flow LT'!$B$1</f>
        <v>956425.6</v>
      </c>
      <c r="H17" s="56">
        <f>'cash flow EUR'!H17*'Cash flow LT'!$B$1</f>
        <v>956425.6</v>
      </c>
      <c r="I17" s="56">
        <f>'cash flow EUR'!I17*'Cash flow LT'!$B$1</f>
        <v>956425.6</v>
      </c>
      <c r="J17" s="56">
        <f>'cash flow EUR'!J17*'Cash flow LT'!$B$1</f>
        <v>1912851.2</v>
      </c>
      <c r="K17" s="56">
        <f>'cash flow EUR'!K17*'Cash flow LT'!$B$1</f>
        <v>1912851.2</v>
      </c>
      <c r="L17" s="56">
        <f>'cash flow EUR'!L17*'Cash flow LT'!$B$1</f>
        <v>1912851.2</v>
      </c>
      <c r="M17" s="56">
        <f>'cash flow EUR'!M17*'Cash flow LT'!$B$1</f>
        <v>1912851.2</v>
      </c>
      <c r="N17" s="56">
        <f>'cash flow EUR'!N17*'Cash flow LT'!$B$1</f>
        <v>1912851.2</v>
      </c>
      <c r="O17" s="56">
        <f>'cash flow EUR'!O17*'Cash flow LT'!$B$1</f>
        <v>1912851.2</v>
      </c>
      <c r="P17" s="56">
        <f>'cash flow EUR'!P17*'Cash flow LT'!$B$1</f>
        <v>1912851.2</v>
      </c>
      <c r="Q17" s="56">
        <f>'cash flow EUR'!Q17*'Cash flow LT'!$B$1</f>
        <v>2313376</v>
      </c>
      <c r="R17" s="56">
        <f>'cash flow EUR'!R17*'Cash flow LT'!$B$1</f>
        <v>2313376</v>
      </c>
      <c r="S17" s="56">
        <f>'cash flow EUR'!S17*'Cash flow LT'!$B$1</f>
        <v>2313376</v>
      </c>
      <c r="T17" s="56">
        <f>'cash flow EUR'!T17*'Cash flow LT'!$B$1</f>
        <v>2313376</v>
      </c>
      <c r="U17" s="56">
        <f>'cash flow EUR'!U17*'Cash flow LT'!$B$1</f>
        <v>2313376</v>
      </c>
      <c r="V17" s="56">
        <f>'cash flow EUR'!V17*'Cash flow LT'!$B$1</f>
        <v>2313376</v>
      </c>
      <c r="W17" s="56">
        <f>'cash flow EUR'!W17*'Cash flow LT'!$B$1</f>
        <v>2313376</v>
      </c>
      <c r="X17" s="56">
        <f>'cash flow EUR'!X17*'Cash flow LT'!$B$1+0</f>
        <v>2313376</v>
      </c>
    </row>
    <row r="18" spans="1:24" ht="11.25">
      <c r="A18" s="100" t="s">
        <v>1</v>
      </c>
      <c r="B18" s="26">
        <f>'cash flow EUR'!B18*'Cash flow LT'!$B$1</f>
        <v>157102.4</v>
      </c>
      <c r="C18" s="6">
        <v>0</v>
      </c>
      <c r="D18" s="55">
        <v>0</v>
      </c>
      <c r="E18" s="55">
        <f>'cash flow EUR'!E18*'Cash flow LT'!$B$1</f>
        <v>157102.4</v>
      </c>
      <c r="F18" s="55">
        <f>'cash flow EUR'!F18*'Cash flow LT'!$B$1</f>
        <v>157102.4</v>
      </c>
      <c r="G18" s="55">
        <f>'cash flow EUR'!G18*'Cash flow LT'!$B$1</f>
        <v>157102.4</v>
      </c>
      <c r="H18" s="55">
        <f>'cash flow EUR'!H18*'Cash flow LT'!$B$1</f>
        <v>157102.4</v>
      </c>
      <c r="I18" s="55">
        <f>'cash flow EUR'!I18*'Cash flow LT'!$B$1</f>
        <v>157102.4</v>
      </c>
      <c r="J18" s="55">
        <f>'cash flow EUR'!J18*'Cash flow LT'!$B$1</f>
        <v>157102.4</v>
      </c>
      <c r="K18" s="55">
        <f>'cash flow EUR'!K18*'Cash flow LT'!$B$1</f>
        <v>157102.4</v>
      </c>
      <c r="L18" s="55">
        <f>'cash flow EUR'!L18*'Cash flow LT'!$B$1</f>
        <v>157102.4</v>
      </c>
      <c r="M18" s="55">
        <f>'cash flow EUR'!M18*'Cash flow LT'!$B$1</f>
        <v>157102.4</v>
      </c>
      <c r="N18" s="55">
        <f>'cash flow EUR'!N18*'Cash flow LT'!$B$1</f>
        <v>157102.4</v>
      </c>
      <c r="O18" s="55">
        <f>'cash flow EUR'!O18*'Cash flow LT'!$B$1</f>
        <v>157102.4</v>
      </c>
      <c r="P18" s="55">
        <f>'cash flow EUR'!P18*'Cash flow LT'!$B$1</f>
        <v>157102.4</v>
      </c>
      <c r="Q18" s="55">
        <f>'cash flow EUR'!Q18*'Cash flow LT'!$B$1</f>
        <v>157102.4</v>
      </c>
      <c r="R18" s="55">
        <f>'cash flow EUR'!R18*'Cash flow LT'!$B$1</f>
        <v>157102.4</v>
      </c>
      <c r="S18" s="55">
        <f>'cash flow EUR'!S18*'Cash flow LT'!$B$1</f>
        <v>157102.4</v>
      </c>
      <c r="T18" s="55">
        <f>'cash flow EUR'!T18*'Cash flow LT'!$B$1</f>
        <v>157102.4</v>
      </c>
      <c r="U18" s="55">
        <f>'cash flow EUR'!U18*'Cash flow LT'!$B$1</f>
        <v>157102.4</v>
      </c>
      <c r="V18" s="55">
        <f>'cash flow EUR'!V18*'Cash flow LT'!$B$1</f>
        <v>157102.4</v>
      </c>
      <c r="W18" s="55">
        <f>'cash flow EUR'!W18*'Cash flow LT'!$B$1</f>
        <v>157102.4</v>
      </c>
      <c r="X18" s="55">
        <f>'cash flow EUR'!X18*'Cash flow LT'!$B$1</f>
        <v>157102.4</v>
      </c>
    </row>
    <row r="19" spans="1:24" ht="11.25">
      <c r="A19" s="100" t="s">
        <v>2</v>
      </c>
      <c r="B19" s="26">
        <f>'cash flow EUR'!B19*'Cash flow LT'!$B$1</f>
        <v>127063.04</v>
      </c>
      <c r="C19" s="6">
        <v>0</v>
      </c>
      <c r="D19" s="55">
        <v>0</v>
      </c>
      <c r="E19" s="55">
        <f>'cash flow EUR'!E19*'Cash flow LT'!$B$1</f>
        <v>127063.04</v>
      </c>
      <c r="F19" s="55">
        <f>'cash flow EUR'!F19*'Cash flow LT'!$B$1</f>
        <v>127063.04</v>
      </c>
      <c r="G19" s="55">
        <f>'cash flow EUR'!G19*'Cash flow LT'!$B$1</f>
        <v>127063.04</v>
      </c>
      <c r="H19" s="55">
        <f>'cash flow EUR'!H19*'Cash flow LT'!$B$1</f>
        <v>127063.04</v>
      </c>
      <c r="I19" s="55">
        <f>'cash flow EUR'!I19*'Cash flow LT'!$B$1</f>
        <v>127063.04</v>
      </c>
      <c r="J19" s="55">
        <f>'cash flow EUR'!J19*'Cash flow LT'!$B$1</f>
        <v>127063.04</v>
      </c>
      <c r="K19" s="55">
        <f>'cash flow EUR'!K19*'Cash flow LT'!$B$1</f>
        <v>127063.04</v>
      </c>
      <c r="L19" s="55">
        <f>'cash flow EUR'!L19*'Cash flow LT'!$B$1</f>
        <v>127063.04</v>
      </c>
      <c r="M19" s="55">
        <f>'cash flow EUR'!M19*'Cash flow LT'!$B$1</f>
        <v>127063.04</v>
      </c>
      <c r="N19" s="55">
        <f>'cash flow EUR'!N19*'Cash flow LT'!$B$1</f>
        <v>127063.04</v>
      </c>
      <c r="O19" s="55">
        <f>'cash flow EUR'!O19*'Cash flow LT'!$B$1</f>
        <v>127063.04</v>
      </c>
      <c r="P19" s="55">
        <f>'cash flow EUR'!P19*'Cash flow LT'!$B$1</f>
        <v>127063.04</v>
      </c>
      <c r="Q19" s="55">
        <f>'cash flow EUR'!Q19*'Cash flow LT'!$B$1</f>
        <v>127063.04</v>
      </c>
      <c r="R19" s="55">
        <f>'cash flow EUR'!R19*'Cash flow LT'!$B$1</f>
        <v>127063.04</v>
      </c>
      <c r="S19" s="55">
        <f>'cash flow EUR'!S19*'Cash flow LT'!$B$1</f>
        <v>127063.04</v>
      </c>
      <c r="T19" s="55">
        <f>'cash flow EUR'!T19*'Cash flow LT'!$B$1</f>
        <v>127063.04</v>
      </c>
      <c r="U19" s="55">
        <f>'cash flow EUR'!U19*'Cash flow LT'!$B$1</f>
        <v>127063.04</v>
      </c>
      <c r="V19" s="55">
        <f>'cash flow EUR'!V19*'Cash flow LT'!$B$1</f>
        <v>127063.04</v>
      </c>
      <c r="W19" s="55">
        <f>'cash flow EUR'!W19*'Cash flow LT'!$B$1</f>
        <v>127063.04</v>
      </c>
      <c r="X19" s="55">
        <f>'cash flow EUR'!X19*'Cash flow LT'!$B$1</f>
        <v>127063.04</v>
      </c>
    </row>
    <row r="20" spans="1:24" ht="11.25">
      <c r="A20" s="100" t="s">
        <v>77</v>
      </c>
      <c r="B20" s="26">
        <f>'cash flow EUR'!B20*'Cash flow LT'!$B$1</f>
        <v>300393.6</v>
      </c>
      <c r="C20" s="6">
        <v>0</v>
      </c>
      <c r="D20" s="55">
        <v>0</v>
      </c>
      <c r="E20" s="55">
        <f>'cash flow EUR'!E20*'Cash flow LT'!$B$1</f>
        <v>265865.6</v>
      </c>
      <c r="F20" s="55">
        <f>'cash flow EUR'!F20*'Cash flow LT'!$B$1</f>
        <v>265865.6</v>
      </c>
      <c r="G20" s="55">
        <f>'cash flow EUR'!G20*'Cash flow LT'!$B$1</f>
        <v>265865.6</v>
      </c>
      <c r="H20" s="55">
        <f>'cash flow EUR'!H20*'Cash flow LT'!$B$1</f>
        <v>265865.6</v>
      </c>
      <c r="I20" s="55">
        <f>'cash flow EUR'!I20*'Cash flow LT'!$B$1</f>
        <v>265865.6</v>
      </c>
      <c r="J20" s="55">
        <f>'cash flow EUR'!J20*'Cash flow LT'!$B$1</f>
        <v>293488</v>
      </c>
      <c r="K20" s="55">
        <f>'cash flow EUR'!K20*'Cash flow LT'!$B$1</f>
        <v>293488</v>
      </c>
      <c r="L20" s="55">
        <f>'cash flow EUR'!L20*'Cash flow LT'!$B$1</f>
        <v>293488</v>
      </c>
      <c r="M20" s="55">
        <f>'cash flow EUR'!M20*'Cash flow LT'!$B$1</f>
        <v>293488</v>
      </c>
      <c r="N20" s="55">
        <f>'cash flow EUR'!N20*'Cash flow LT'!$B$1</f>
        <v>293488</v>
      </c>
      <c r="O20" s="55">
        <f>'cash flow EUR'!O20*'Cash flow LT'!$B$1</f>
        <v>293488</v>
      </c>
      <c r="P20" s="55">
        <f>'cash flow EUR'!P20*'Cash flow LT'!$B$1</f>
        <v>293488</v>
      </c>
      <c r="Q20" s="55">
        <f>'cash flow EUR'!Q20*'Cash flow LT'!$B$1</f>
        <v>328016</v>
      </c>
      <c r="R20" s="55">
        <f>'cash flow EUR'!R20*'Cash flow LT'!$B$1</f>
        <v>328016</v>
      </c>
      <c r="S20" s="55">
        <f>'cash flow EUR'!S20*'Cash flow LT'!$B$1</f>
        <v>328016</v>
      </c>
      <c r="T20" s="55">
        <f>'cash flow EUR'!T20*'Cash flow LT'!$B$1</f>
        <v>328016</v>
      </c>
      <c r="U20" s="55">
        <f>'cash flow EUR'!U20*'Cash flow LT'!$B$1</f>
        <v>328016</v>
      </c>
      <c r="V20" s="55">
        <f>'cash flow EUR'!V20*'Cash flow LT'!$B$1</f>
        <v>328016</v>
      </c>
      <c r="W20" s="55">
        <f>'cash flow EUR'!W20*'Cash flow LT'!$B$1</f>
        <v>328016</v>
      </c>
      <c r="X20" s="55">
        <f>'cash flow EUR'!X20*'Cash flow LT'!$B$1</f>
        <v>328016</v>
      </c>
    </row>
    <row r="21" spans="1:24" ht="11.25">
      <c r="A21" s="100" t="s">
        <v>78</v>
      </c>
      <c r="B21" s="26">
        <f>(28400+9000)*B1</f>
        <v>129134.72</v>
      </c>
      <c r="C21" s="6">
        <v>0</v>
      </c>
      <c r="D21" s="55">
        <v>0</v>
      </c>
      <c r="E21" s="55">
        <f>'cash flow EUR'!E21*'Cash flow LT'!$B$1</f>
        <v>129134.72</v>
      </c>
      <c r="F21" s="55">
        <f>'cash flow EUR'!F21*'Cash flow LT'!$B$1</f>
        <v>129134.72</v>
      </c>
      <c r="G21" s="55">
        <f>'cash flow EUR'!G21*'Cash flow LT'!$B$1</f>
        <v>129134.72</v>
      </c>
      <c r="H21" s="55">
        <f>'cash flow EUR'!H21*'Cash flow LT'!$B$1</f>
        <v>129134.72</v>
      </c>
      <c r="I21" s="55">
        <f>'cash flow EUR'!I21*'Cash flow LT'!$B$1</f>
        <v>129134.72</v>
      </c>
      <c r="J21" s="55">
        <f>'cash flow EUR'!J21*'Cash flow LT'!$B$1</f>
        <v>129134.72</v>
      </c>
      <c r="K21" s="55">
        <f>'cash flow EUR'!K21*'Cash flow LT'!$B$1</f>
        <v>129134.72</v>
      </c>
      <c r="L21" s="55">
        <f>'cash flow EUR'!L21*'Cash flow LT'!$B$1</f>
        <v>129134.72</v>
      </c>
      <c r="M21" s="55">
        <f>'cash flow EUR'!M21*'Cash flow LT'!$B$1</f>
        <v>129134.72</v>
      </c>
      <c r="N21" s="55">
        <f>'cash flow EUR'!N21*'Cash flow LT'!$B$1</f>
        <v>129134.72</v>
      </c>
      <c r="O21" s="55">
        <f>'cash flow EUR'!O21*'Cash flow LT'!$B$1</f>
        <v>129134.72</v>
      </c>
      <c r="P21" s="55">
        <f>'cash flow EUR'!P21*'Cash flow LT'!$B$1</f>
        <v>129134.72</v>
      </c>
      <c r="Q21" s="55">
        <f>'cash flow EUR'!Q21*'Cash flow LT'!$B$1</f>
        <v>129134.72</v>
      </c>
      <c r="R21" s="55">
        <f>'cash flow EUR'!R21*'Cash flow LT'!$B$1</f>
        <v>129134.72</v>
      </c>
      <c r="S21" s="55">
        <f>'cash flow EUR'!S21*'Cash flow LT'!$B$1</f>
        <v>129134.72</v>
      </c>
      <c r="T21" s="55">
        <f>'cash flow EUR'!T21*'Cash flow LT'!$B$1</f>
        <v>129134.72</v>
      </c>
      <c r="U21" s="55">
        <f>'cash flow EUR'!U21*'Cash flow LT'!$B$1</f>
        <v>129134.72</v>
      </c>
      <c r="V21" s="55">
        <f>'cash flow EUR'!V21*'Cash flow LT'!$B$1</f>
        <v>129134.72</v>
      </c>
      <c r="W21" s="55">
        <f>'cash flow EUR'!W21*'Cash flow LT'!$B$1</f>
        <v>129134.72</v>
      </c>
      <c r="X21" s="55">
        <f>'cash flow EUR'!X21*'Cash flow LT'!$B$1</f>
        <v>129134.72</v>
      </c>
    </row>
    <row r="22" spans="1:24" ht="11.25">
      <c r="A22" s="100" t="s">
        <v>4</v>
      </c>
      <c r="B22" s="26">
        <v>0</v>
      </c>
      <c r="C22" s="6">
        <v>0</v>
      </c>
      <c r="D22" s="55">
        <f>B22</f>
        <v>0</v>
      </c>
      <c r="E22" s="55">
        <f aca="true" t="shared" si="4" ref="E22:X22">D22+($B$22*$B$64)</f>
        <v>0</v>
      </c>
      <c r="F22" s="55">
        <f t="shared" si="4"/>
        <v>0</v>
      </c>
      <c r="G22" s="55">
        <f t="shared" si="4"/>
        <v>0</v>
      </c>
      <c r="H22" s="57">
        <f t="shared" si="4"/>
        <v>0</v>
      </c>
      <c r="I22" s="6">
        <f t="shared" si="4"/>
        <v>0</v>
      </c>
      <c r="J22" s="6">
        <f t="shared" si="4"/>
        <v>0</v>
      </c>
      <c r="K22" s="6">
        <f t="shared" si="4"/>
        <v>0</v>
      </c>
      <c r="L22" s="6">
        <f t="shared" si="4"/>
        <v>0</v>
      </c>
      <c r="M22" s="6">
        <f t="shared" si="4"/>
        <v>0</v>
      </c>
      <c r="N22" s="57">
        <f t="shared" si="4"/>
        <v>0</v>
      </c>
      <c r="O22" s="55">
        <f t="shared" si="4"/>
        <v>0</v>
      </c>
      <c r="P22" s="6">
        <f t="shared" si="4"/>
        <v>0</v>
      </c>
      <c r="Q22" s="6">
        <f t="shared" si="4"/>
        <v>0</v>
      </c>
      <c r="R22" s="6">
        <f t="shared" si="4"/>
        <v>0</v>
      </c>
      <c r="S22" s="6">
        <f t="shared" si="4"/>
        <v>0</v>
      </c>
      <c r="T22" s="6">
        <f t="shared" si="4"/>
        <v>0</v>
      </c>
      <c r="U22" s="6">
        <f t="shared" si="4"/>
        <v>0</v>
      </c>
      <c r="V22" s="6">
        <f t="shared" si="4"/>
        <v>0</v>
      </c>
      <c r="W22" s="6">
        <f t="shared" si="4"/>
        <v>0</v>
      </c>
      <c r="X22" s="6">
        <f t="shared" si="4"/>
        <v>0</v>
      </c>
    </row>
    <row r="23" spans="1:24" ht="11.25">
      <c r="A23" s="145" t="s">
        <v>5</v>
      </c>
      <c r="B23" s="2"/>
      <c r="C23" s="3">
        <f>SUM(C17:C22)</f>
        <v>0</v>
      </c>
      <c r="D23" s="33">
        <f>SUM(D17:D22)</f>
        <v>0</v>
      </c>
      <c r="E23" s="33">
        <f>SUM(E17:E22)</f>
        <v>1635591.36</v>
      </c>
      <c r="F23" s="33">
        <f aca="true" t="shared" si="5" ref="F23:X23">SUM(F17:F22)</f>
        <v>1635591.36</v>
      </c>
      <c r="G23" s="33">
        <f t="shared" si="5"/>
        <v>1635591.36</v>
      </c>
      <c r="H23" s="33">
        <f t="shared" si="5"/>
        <v>1635591.36</v>
      </c>
      <c r="I23" s="33">
        <f t="shared" si="5"/>
        <v>1635591.36</v>
      </c>
      <c r="J23" s="33">
        <f t="shared" si="5"/>
        <v>2619639.36</v>
      </c>
      <c r="K23" s="33">
        <f t="shared" si="5"/>
        <v>2619639.36</v>
      </c>
      <c r="L23" s="33">
        <f t="shared" si="5"/>
        <v>2619639.36</v>
      </c>
      <c r="M23" s="33">
        <f t="shared" si="5"/>
        <v>2619639.36</v>
      </c>
      <c r="N23" s="33">
        <f t="shared" si="5"/>
        <v>2619639.36</v>
      </c>
      <c r="O23" s="33">
        <f t="shared" si="5"/>
        <v>2619639.36</v>
      </c>
      <c r="P23" s="33">
        <f t="shared" si="5"/>
        <v>2619639.36</v>
      </c>
      <c r="Q23" s="33">
        <f t="shared" si="5"/>
        <v>3054692.16</v>
      </c>
      <c r="R23" s="33">
        <f t="shared" si="5"/>
        <v>3054692.16</v>
      </c>
      <c r="S23" s="33">
        <f t="shared" si="5"/>
        <v>3054692.16</v>
      </c>
      <c r="T23" s="33">
        <f t="shared" si="5"/>
        <v>3054692.16</v>
      </c>
      <c r="U23" s="33">
        <f t="shared" si="5"/>
        <v>3054692.16</v>
      </c>
      <c r="V23" s="33">
        <f t="shared" si="5"/>
        <v>3054692.16</v>
      </c>
      <c r="W23" s="33">
        <f t="shared" si="5"/>
        <v>3054692.16</v>
      </c>
      <c r="X23" s="33">
        <f t="shared" si="5"/>
        <v>3054692.16</v>
      </c>
    </row>
    <row r="24" spans="1:14" ht="11.25">
      <c r="A24" s="145"/>
      <c r="B24" s="2"/>
      <c r="C24" s="3"/>
      <c r="D24" s="3"/>
      <c r="E24" s="3"/>
      <c r="F24" s="3"/>
      <c r="G24" s="3"/>
      <c r="H24" s="3"/>
      <c r="I24" s="3"/>
      <c r="J24" s="3"/>
      <c r="K24" s="3"/>
      <c r="L24" s="3"/>
      <c r="M24" s="3"/>
      <c r="N24" s="6"/>
    </row>
    <row r="25" spans="1:24" ht="11.25">
      <c r="A25" s="144" t="s">
        <v>6</v>
      </c>
      <c r="B25" s="5"/>
      <c r="C25" s="4"/>
      <c r="D25" s="4"/>
      <c r="E25" s="4"/>
      <c r="F25" s="4"/>
      <c r="G25" s="4"/>
      <c r="H25" s="4"/>
      <c r="I25" s="4"/>
      <c r="J25" s="4"/>
      <c r="K25" s="4"/>
      <c r="L25" s="7">
        <f>6029682+1463678+96444</f>
        <v>7589804</v>
      </c>
      <c r="M25" s="8">
        <f>L25-L27</f>
        <v>7589804</v>
      </c>
      <c r="N25" s="8">
        <f>M25-M27</f>
        <v>7589804</v>
      </c>
      <c r="O25" s="7"/>
      <c r="P25" s="4"/>
      <c r="Q25" s="4"/>
      <c r="R25" s="4"/>
      <c r="S25" s="4"/>
      <c r="T25" s="4"/>
      <c r="U25" s="4"/>
      <c r="V25" s="4"/>
      <c r="W25" s="4"/>
      <c r="X25" s="4"/>
    </row>
    <row r="26" spans="1:24" ht="11.25">
      <c r="A26" s="100" t="s">
        <v>79</v>
      </c>
      <c r="C26" s="6">
        <v>0</v>
      </c>
      <c r="D26" s="6">
        <v>0</v>
      </c>
      <c r="E26" s="6">
        <f>'cash flow EUR'!E26*'Cash flow LT'!$B$1</f>
        <v>6027858.9333248</v>
      </c>
      <c r="F26" s="6">
        <f>'cash flow EUR'!F26*'Cash flow LT'!$B$1</f>
        <v>5758862.126147681</v>
      </c>
      <c r="G26" s="6">
        <f>'cash flow EUR'!G26*'Cash flow LT'!$B$1</f>
        <v>5475070.494575819</v>
      </c>
      <c r="H26" s="6">
        <f>'cash flow EUR'!H26*'Cash flow LT'!$B$1</f>
        <v>5175670.323267506</v>
      </c>
      <c r="I26" s="6">
        <f>'cash flow EUR'!I26*'Cash flow LT'!$B$1</f>
        <v>4859803.142537236</v>
      </c>
      <c r="J26" s="6">
        <f>'cash flow EUR'!J26*'Cash flow LT'!$B$1</f>
        <v>4526563.266866801</v>
      </c>
      <c r="K26" s="6">
        <f>'cash flow EUR'!K26*'Cash flow LT'!$B$1</f>
        <v>4174995.1980344914</v>
      </c>
      <c r="L26" s="6">
        <f>'cash flow EUR'!L26*'Cash flow LT'!$B$1</f>
        <v>3804090.8854164057</v>
      </c>
      <c r="M26" s="6">
        <f>'cash flow EUR'!M26*'Cash flow LT'!$B$1</f>
        <v>3412786.835604325</v>
      </c>
      <c r="N26" s="6">
        <f>'cash flow EUR'!N26*'Cash flow LT'!$B$1</f>
        <v>2999961.0630525798</v>
      </c>
      <c r="O26" s="6">
        <f>'cash flow EUR'!O26*'Cash flow LT'!$B$1</f>
        <v>2564429.873010489</v>
      </c>
      <c r="P26" s="6">
        <f>'cash flow EUR'!P26*'Cash flow LT'!$B$1</f>
        <v>2104944.4675160833</v>
      </c>
      <c r="Q26" s="6">
        <f>'cash flow EUR'!Q26*'Cash flow LT'!$B$1</f>
        <v>1620187.3647194859</v>
      </c>
      <c r="R26" s="6">
        <f>'cash flow EUR'!R26*'Cash flow LT'!$B$1</f>
        <v>1108768.621269075</v>
      </c>
      <c r="S26" s="6">
        <f>'cash flow EUR'!S26*'Cash flow LT'!$B$1</f>
        <v>569221.8469288923</v>
      </c>
      <c r="T26" s="6">
        <f>'cash flow EUR'!T26*'Cash flow LT'!$B$1</f>
        <v>0</v>
      </c>
      <c r="U26" s="6">
        <f>'cash flow EUR'!U26*'Cash flow LT'!$B$1</f>
        <v>0</v>
      </c>
      <c r="V26" s="6">
        <f>'cash flow EUR'!V26*'Cash flow LT'!$B$1</f>
        <v>0</v>
      </c>
      <c r="W26" s="6">
        <f>'cash flow EUR'!W26*'Cash flow LT'!$B$1</f>
        <v>0</v>
      </c>
      <c r="X26" s="6">
        <f>'cash flow EUR'!X26*'Cash flow LT'!$B$1</f>
        <v>0</v>
      </c>
    </row>
    <row r="27" spans="1:14" ht="11.25">
      <c r="A27" s="100" t="s">
        <v>4</v>
      </c>
      <c r="C27" s="6"/>
      <c r="D27" s="6"/>
      <c r="E27" s="6"/>
      <c r="F27" s="6"/>
      <c r="G27" s="6"/>
      <c r="H27" s="6"/>
      <c r="I27" s="6"/>
      <c r="J27" s="6"/>
      <c r="K27" s="6"/>
      <c r="L27" s="6"/>
      <c r="M27" s="6"/>
      <c r="N27" s="6"/>
    </row>
    <row r="28" spans="1:24" ht="11.25">
      <c r="A28" s="145" t="s">
        <v>9</v>
      </c>
      <c r="B28" s="2"/>
      <c r="C28" s="3">
        <f>C26+C27</f>
        <v>0</v>
      </c>
      <c r="D28" s="3">
        <f aca="true" t="shared" si="6" ref="D28:X28">D26+D27</f>
        <v>0</v>
      </c>
      <c r="E28" s="3">
        <f>E26+E27</f>
        <v>6027858.9333248</v>
      </c>
      <c r="F28" s="3">
        <f t="shared" si="6"/>
        <v>5758862.126147681</v>
      </c>
      <c r="G28" s="3">
        <f t="shared" si="6"/>
        <v>5475070.494575819</v>
      </c>
      <c r="H28" s="3">
        <f t="shared" si="6"/>
        <v>5175670.323267506</v>
      </c>
      <c r="I28" s="3">
        <f t="shared" si="6"/>
        <v>4859803.142537236</v>
      </c>
      <c r="J28" s="3">
        <f t="shared" si="6"/>
        <v>4526563.266866801</v>
      </c>
      <c r="K28" s="3">
        <f t="shared" si="6"/>
        <v>4174995.1980344914</v>
      </c>
      <c r="L28" s="3">
        <f t="shared" si="6"/>
        <v>3804090.8854164057</v>
      </c>
      <c r="M28" s="3">
        <f t="shared" si="6"/>
        <v>3412786.835604325</v>
      </c>
      <c r="N28" s="3">
        <f t="shared" si="6"/>
        <v>2999961.0630525798</v>
      </c>
      <c r="O28" s="3">
        <f t="shared" si="6"/>
        <v>2564429.873010489</v>
      </c>
      <c r="P28" s="3">
        <f t="shared" si="6"/>
        <v>2104944.4675160833</v>
      </c>
      <c r="Q28" s="3">
        <f t="shared" si="6"/>
        <v>1620187.3647194859</v>
      </c>
      <c r="R28" s="3">
        <f t="shared" si="6"/>
        <v>1108768.621269075</v>
      </c>
      <c r="S28" s="3">
        <f t="shared" si="6"/>
        <v>569221.8469288923</v>
      </c>
      <c r="T28" s="3">
        <f t="shared" si="6"/>
        <v>0</v>
      </c>
      <c r="U28" s="3">
        <f t="shared" si="6"/>
        <v>0</v>
      </c>
      <c r="V28" s="3">
        <f t="shared" si="6"/>
        <v>0</v>
      </c>
      <c r="W28" s="3">
        <f t="shared" si="6"/>
        <v>0</v>
      </c>
      <c r="X28" s="3">
        <f t="shared" si="6"/>
        <v>0</v>
      </c>
    </row>
    <row r="29" spans="1:22" ht="11.25">
      <c r="A29" s="145"/>
      <c r="B29" s="2"/>
      <c r="C29" s="3"/>
      <c r="D29" s="3"/>
      <c r="E29" s="3"/>
      <c r="F29" s="3"/>
      <c r="G29" s="3"/>
      <c r="H29" s="3"/>
      <c r="I29" s="3"/>
      <c r="J29" s="3"/>
      <c r="K29" s="3"/>
      <c r="L29" s="3"/>
      <c r="M29" s="3"/>
      <c r="N29" s="3"/>
      <c r="O29" s="3"/>
      <c r="P29" s="3"/>
      <c r="Q29" s="3"/>
      <c r="R29" s="3"/>
      <c r="S29" s="3"/>
      <c r="T29" s="3"/>
      <c r="U29" s="3"/>
      <c r="V29" s="3"/>
    </row>
    <row r="30" spans="1:24" ht="11.25">
      <c r="A30" s="144" t="s">
        <v>55</v>
      </c>
      <c r="B30" s="5"/>
      <c r="C30" s="27"/>
      <c r="D30" s="27"/>
      <c r="E30" s="27"/>
      <c r="F30" s="27"/>
      <c r="G30" s="27"/>
      <c r="H30" s="27"/>
      <c r="I30" s="27"/>
      <c r="J30" s="27"/>
      <c r="K30" s="27"/>
      <c r="L30" s="27"/>
      <c r="M30" s="27"/>
      <c r="N30" s="27"/>
      <c r="O30" s="27"/>
      <c r="P30" s="27"/>
      <c r="Q30" s="27"/>
      <c r="R30" s="27"/>
      <c r="S30" s="27"/>
      <c r="T30" s="27"/>
      <c r="U30" s="27"/>
      <c r="V30" s="27"/>
      <c r="W30" s="4"/>
      <c r="X30" s="4"/>
    </row>
    <row r="31" spans="1:24" ht="11.25">
      <c r="A31" s="100"/>
      <c r="C31" s="6">
        <v>0</v>
      </c>
      <c r="D31" s="6">
        <f>$B$1*'cash flow EUR'!D31</f>
        <v>0</v>
      </c>
      <c r="E31" s="6">
        <f>$B$1*'cash flow EUR'!E31</f>
        <v>6446907.95008</v>
      </c>
      <c r="F31" s="6">
        <f>$B$1*'cash flow EUR'!F31</f>
        <v>6446907.95008</v>
      </c>
      <c r="G31" s="6">
        <f>$B$1*'cash flow EUR'!G31</f>
        <v>6446907.95008</v>
      </c>
      <c r="H31" s="6">
        <f>$B$1*'cash flow EUR'!H31</f>
        <v>6446907.95008</v>
      </c>
      <c r="I31" s="6">
        <f>$B$1*'cash flow EUR'!I31</f>
        <v>6446907.95008</v>
      </c>
      <c r="J31" s="6">
        <f>$B$1*'cash flow EUR'!J31</f>
        <v>6446907.95008</v>
      </c>
      <c r="K31" s="6">
        <f>$B$1*'cash flow EUR'!K31</f>
        <v>6446907.95008</v>
      </c>
      <c r="L31" s="6">
        <f>$B$1*'cash flow EUR'!L31</f>
        <v>6446907.95008</v>
      </c>
      <c r="M31" s="6">
        <f>$B$1*'cash flow EUR'!M31</f>
        <v>6446907.95008</v>
      </c>
      <c r="N31" s="6">
        <f>$B$1*'cash flow EUR'!N31</f>
        <v>6446907.95008</v>
      </c>
      <c r="O31" s="6">
        <f>$B$1*'cash flow EUR'!O31</f>
        <v>6446907.95008</v>
      </c>
      <c r="P31" s="6">
        <f>$B$1*'cash flow EUR'!P31</f>
        <v>6446907.95008</v>
      </c>
      <c r="Q31" s="6">
        <f>$B$1*'cash flow EUR'!Q31</f>
        <v>6446907.95008</v>
      </c>
      <c r="R31" s="6">
        <f>$B$1*'cash flow EUR'!R31</f>
        <v>6446907.95008</v>
      </c>
      <c r="S31" s="6">
        <f>$B$1*'cash flow EUR'!S31</f>
        <v>6446907.95008</v>
      </c>
      <c r="T31" s="6">
        <f>$B$1*'cash flow EUR'!T31</f>
        <v>6446907.95008</v>
      </c>
      <c r="U31" s="6">
        <f>$B$1*'cash flow EUR'!U31</f>
        <v>6446907.95008</v>
      </c>
      <c r="V31" s="6">
        <f>$B$1*'cash flow EUR'!V31</f>
        <v>6446907.95008</v>
      </c>
      <c r="W31" s="6">
        <f>$B$1*'cash flow EUR'!W31</f>
        <v>6446907.95008</v>
      </c>
      <c r="X31" s="6">
        <f>$B$1*'cash flow EUR'!X31</f>
        <v>6446907.95008</v>
      </c>
    </row>
    <row r="32" spans="1:22" ht="11.25">
      <c r="A32" s="145"/>
      <c r="B32" s="2"/>
      <c r="C32" s="3"/>
      <c r="D32" s="3"/>
      <c r="E32" s="3"/>
      <c r="F32" s="3"/>
      <c r="G32" s="3"/>
      <c r="H32" s="3"/>
      <c r="I32" s="3"/>
      <c r="J32" s="3"/>
      <c r="K32" s="3"/>
      <c r="L32" s="3"/>
      <c r="M32" s="3"/>
      <c r="N32" s="3"/>
      <c r="O32" s="3"/>
      <c r="P32" s="3"/>
      <c r="Q32" s="3"/>
      <c r="R32" s="3"/>
      <c r="S32" s="3"/>
      <c r="T32" s="3"/>
      <c r="U32" s="3"/>
      <c r="V32" s="3"/>
    </row>
    <row r="33" spans="1:24" ht="11.25">
      <c r="A33" s="144" t="s">
        <v>31</v>
      </c>
      <c r="B33" s="4"/>
      <c r="C33" s="4"/>
      <c r="D33" s="4"/>
      <c r="E33" s="4"/>
      <c r="F33" s="4"/>
      <c r="G33" s="4"/>
      <c r="H33" s="4"/>
      <c r="I33" s="4"/>
      <c r="J33" s="4"/>
      <c r="K33" s="4"/>
      <c r="L33" s="4"/>
      <c r="M33" s="4"/>
      <c r="N33" s="4"/>
      <c r="O33" s="4"/>
      <c r="P33" s="4"/>
      <c r="Q33" s="4"/>
      <c r="R33" s="4"/>
      <c r="S33" s="4"/>
      <c r="T33" s="4"/>
      <c r="U33" s="4"/>
      <c r="V33" s="4"/>
      <c r="W33" s="4"/>
      <c r="X33" s="4"/>
    </row>
    <row r="34" spans="1:24" ht="11.25">
      <c r="A34" s="99" t="s">
        <v>45</v>
      </c>
      <c r="B34" s="56"/>
      <c r="C34" s="56">
        <f>C14-C23</f>
        <v>0</v>
      </c>
      <c r="D34" s="56">
        <f>D14-D23</f>
        <v>0</v>
      </c>
      <c r="E34" s="56">
        <f>E14-E23-E28-E31</f>
        <v>5054762.8522752</v>
      </c>
      <c r="F34" s="56">
        <f aca="true" t="shared" si="7" ref="F34:X34">F14-F23-F28-F31</f>
        <v>5323759.659452319</v>
      </c>
      <c r="G34" s="56">
        <f t="shared" si="7"/>
        <v>4082430.1953441817</v>
      </c>
      <c r="H34" s="56">
        <f t="shared" si="7"/>
        <v>4381830.366652494</v>
      </c>
      <c r="I34" s="56">
        <f t="shared" si="7"/>
        <v>4697697.5473827645</v>
      </c>
      <c r="J34" s="56">
        <f t="shared" si="7"/>
        <v>4046889.4230531994</v>
      </c>
      <c r="K34" s="56">
        <f t="shared" si="7"/>
        <v>4398457.491885509</v>
      </c>
      <c r="L34" s="56">
        <f t="shared" si="7"/>
        <v>4769361.804503595</v>
      </c>
      <c r="M34" s="56">
        <f t="shared" si="7"/>
        <v>5160665.854315676</v>
      </c>
      <c r="N34" s="56">
        <f t="shared" si="7"/>
        <v>5573491.626867421</v>
      </c>
      <c r="O34" s="56">
        <f t="shared" si="7"/>
        <v>6009022.816909511</v>
      </c>
      <c r="P34" s="56">
        <f t="shared" si="7"/>
        <v>6468508.222403917</v>
      </c>
      <c r="Q34" s="56">
        <f t="shared" si="7"/>
        <v>6518212.525200514</v>
      </c>
      <c r="R34" s="56">
        <f t="shared" si="7"/>
        <v>7029631.268650925</v>
      </c>
      <c r="S34" s="56">
        <f t="shared" si="7"/>
        <v>7569178.042991107</v>
      </c>
      <c r="T34" s="56">
        <f t="shared" si="7"/>
        <v>8138399.88992</v>
      </c>
      <c r="U34" s="56">
        <f t="shared" si="7"/>
        <v>8138399.88992</v>
      </c>
      <c r="V34" s="56">
        <f t="shared" si="7"/>
        <v>8138399.88992</v>
      </c>
      <c r="W34" s="56">
        <f t="shared" si="7"/>
        <v>8138399.88992</v>
      </c>
      <c r="X34" s="56">
        <f t="shared" si="7"/>
        <v>8138399.88992</v>
      </c>
    </row>
    <row r="35" spans="1:24" ht="12" customHeight="1">
      <c r="A35" s="100" t="s">
        <v>46</v>
      </c>
      <c r="B35" s="32"/>
      <c r="C35" s="55">
        <f>C34-C13</f>
        <v>0</v>
      </c>
      <c r="D35" s="55">
        <f>D34-D13</f>
        <v>0</v>
      </c>
      <c r="E35" s="56">
        <f>E14-E23-E28-E31-E13</f>
        <v>3529641.7565952</v>
      </c>
      <c r="F35" s="56">
        <f aca="true" t="shared" si="8" ref="F35:X35">F14-F23-F28-F31-F13</f>
        <v>3798638.563772319</v>
      </c>
      <c r="G35" s="56">
        <f>G14-G23-G28-G31-G13</f>
        <v>4082430.1953441817</v>
      </c>
      <c r="H35" s="56">
        <f t="shared" si="8"/>
        <v>4381830.366652494</v>
      </c>
      <c r="I35" s="56">
        <f t="shared" si="8"/>
        <v>4697697.5473827645</v>
      </c>
      <c r="J35" s="56">
        <f t="shared" si="8"/>
        <v>4046889.4230531994</v>
      </c>
      <c r="K35" s="56">
        <f t="shared" si="8"/>
        <v>4398457.491885509</v>
      </c>
      <c r="L35" s="56">
        <f t="shared" si="8"/>
        <v>4769361.804503595</v>
      </c>
      <c r="M35" s="56">
        <f t="shared" si="8"/>
        <v>5160665.854315676</v>
      </c>
      <c r="N35" s="56">
        <f t="shared" si="8"/>
        <v>5573491.626867421</v>
      </c>
      <c r="O35" s="56">
        <f t="shared" si="8"/>
        <v>6009022.816909511</v>
      </c>
      <c r="P35" s="56">
        <f t="shared" si="8"/>
        <v>6468508.222403917</v>
      </c>
      <c r="Q35" s="56">
        <f t="shared" si="8"/>
        <v>6518212.525200514</v>
      </c>
      <c r="R35" s="56">
        <f t="shared" si="8"/>
        <v>7029631.268650925</v>
      </c>
      <c r="S35" s="56">
        <f t="shared" si="8"/>
        <v>7569178.042991107</v>
      </c>
      <c r="T35" s="56">
        <f t="shared" si="8"/>
        <v>8138399.88992</v>
      </c>
      <c r="U35" s="56">
        <f t="shared" si="8"/>
        <v>8138399.88992</v>
      </c>
      <c r="V35" s="56">
        <f t="shared" si="8"/>
        <v>8138399.88992</v>
      </c>
      <c r="W35" s="56">
        <f t="shared" si="8"/>
        <v>8138399.88992</v>
      </c>
      <c r="X35" s="56">
        <f t="shared" si="8"/>
        <v>8138399.88992</v>
      </c>
    </row>
    <row r="36" spans="1:24" ht="12" customHeight="1">
      <c r="A36" s="100"/>
      <c r="B36" s="32"/>
      <c r="C36" s="55"/>
      <c r="D36" s="55"/>
      <c r="E36" s="55"/>
      <c r="F36" s="55"/>
      <c r="G36" s="55"/>
      <c r="H36" s="55"/>
      <c r="I36" s="55"/>
      <c r="J36" s="55"/>
      <c r="K36" s="55"/>
      <c r="L36" s="55"/>
      <c r="M36" s="55"/>
      <c r="N36" s="55"/>
      <c r="O36" s="55"/>
      <c r="P36" s="55"/>
      <c r="Q36" s="55"/>
      <c r="R36" s="55"/>
      <c r="S36" s="55"/>
      <c r="T36" s="55"/>
      <c r="U36" s="55"/>
      <c r="V36" s="55"/>
      <c r="W36" s="55"/>
      <c r="X36" s="55"/>
    </row>
    <row r="37" spans="1:24" ht="12" customHeight="1">
      <c r="A37" s="100" t="str">
        <f>'cash flow EUR'!A37</f>
        <v>Corporate tax (with ERU's)</v>
      </c>
      <c r="B37" s="32"/>
      <c r="C37" s="55">
        <f>C34*Assumptions!$B$21</f>
        <v>0</v>
      </c>
      <c r="D37" s="55">
        <f>D34*Assumptions!$B$21</f>
        <v>0</v>
      </c>
      <c r="E37" s="55">
        <f>E34*Assumptions!$B$21</f>
        <v>758214.42784128</v>
      </c>
      <c r="F37" s="55">
        <f>F34*Assumptions!$B$21</f>
        <v>798563.9489178478</v>
      </c>
      <c r="G37" s="55">
        <f>G34*Assumptions!$B$21</f>
        <v>612364.5293016272</v>
      </c>
      <c r="H37" s="55">
        <f>H34*Assumptions!$B$21</f>
        <v>657274.5549978741</v>
      </c>
      <c r="I37" s="55">
        <f>I34*Assumptions!$B$21</f>
        <v>704654.6321074147</v>
      </c>
      <c r="J37" s="55">
        <f>J34*Assumptions!$B$21</f>
        <v>607033.4134579799</v>
      </c>
      <c r="K37" s="55">
        <f>K34*Assumptions!$B$21</f>
        <v>659768.6237828264</v>
      </c>
      <c r="L37" s="55">
        <f>L34*Assumptions!$B$21</f>
        <v>715404.2706755393</v>
      </c>
      <c r="M37" s="55">
        <f>M34*Assumptions!$B$21</f>
        <v>774099.8781473513</v>
      </c>
      <c r="N37" s="55">
        <f>N34*Assumptions!$B$21</f>
        <v>836023.7440301131</v>
      </c>
      <c r="O37" s="55">
        <f>O34*Assumptions!$B$21</f>
        <v>901353.4225364266</v>
      </c>
      <c r="P37" s="55">
        <f>P34*Assumptions!$B$21</f>
        <v>970276.2333605876</v>
      </c>
      <c r="Q37" s="55">
        <f>Q34*Assumptions!$B$21</f>
        <v>977731.8787800771</v>
      </c>
      <c r="R37" s="55">
        <f>R34*Assumptions!$B$21</f>
        <v>1054444.6902976388</v>
      </c>
      <c r="S37" s="55">
        <f>S34*Assumptions!$B$21</f>
        <v>1135376.706448666</v>
      </c>
      <c r="T37" s="55">
        <f>T34*Assumptions!$B$21</f>
        <v>1220759.983488</v>
      </c>
      <c r="U37" s="55">
        <f>U34*Assumptions!$B$21</f>
        <v>1220759.983488</v>
      </c>
      <c r="V37" s="55">
        <f>V34*Assumptions!$B$21</f>
        <v>1220759.983488</v>
      </c>
      <c r="W37" s="55">
        <f>W34*Assumptions!$B$21</f>
        <v>1220759.983488</v>
      </c>
      <c r="X37" s="55">
        <f>X34*Assumptions!$B$21</f>
        <v>1220759.983488</v>
      </c>
    </row>
    <row r="38" spans="1:24" ht="12" customHeight="1">
      <c r="A38" s="100" t="str">
        <f>'cash flow EUR'!A38</f>
        <v>Corporate tax (without ERU's)</v>
      </c>
      <c r="B38" s="32"/>
      <c r="C38" s="55">
        <f>C35*Assumptions!$B$22</f>
        <v>0</v>
      </c>
      <c r="D38" s="55">
        <f>D35*Assumptions!$B$22</f>
        <v>0</v>
      </c>
      <c r="E38" s="55">
        <f>E35*Assumptions!$B$21</f>
        <v>529446.26348928</v>
      </c>
      <c r="F38" s="55">
        <f>F35*Assumptions!$B$21</f>
        <v>569795.7845658478</v>
      </c>
      <c r="G38" s="55">
        <f>G35*Assumptions!$B$21</f>
        <v>612364.5293016272</v>
      </c>
      <c r="H38" s="55">
        <f>H35*Assumptions!$B$21</f>
        <v>657274.5549978741</v>
      </c>
      <c r="I38" s="55">
        <f>I35*Assumptions!$B$21</f>
        <v>704654.6321074147</v>
      </c>
      <c r="J38" s="55">
        <f>J35*Assumptions!$B$21</f>
        <v>607033.4134579799</v>
      </c>
      <c r="K38" s="55">
        <f>K35*Assumptions!$B$21</f>
        <v>659768.6237828264</v>
      </c>
      <c r="L38" s="55">
        <f>L35*Assumptions!$B$21</f>
        <v>715404.2706755393</v>
      </c>
      <c r="M38" s="55">
        <f>M35*Assumptions!$B$21</f>
        <v>774099.8781473513</v>
      </c>
      <c r="N38" s="55">
        <f>N35*Assumptions!$B$21</f>
        <v>836023.7440301131</v>
      </c>
      <c r="O38" s="55">
        <f>O35*Assumptions!$B$21</f>
        <v>901353.4225364266</v>
      </c>
      <c r="P38" s="55">
        <f>P35*Assumptions!$B$21</f>
        <v>970276.2333605876</v>
      </c>
      <c r="Q38" s="55">
        <f>Q35*Assumptions!$B$21</f>
        <v>977731.8787800771</v>
      </c>
      <c r="R38" s="55">
        <f>R35*Assumptions!$B$21</f>
        <v>1054444.6902976388</v>
      </c>
      <c r="S38" s="55">
        <f>S35*Assumptions!$B$21</f>
        <v>1135376.706448666</v>
      </c>
      <c r="T38" s="55">
        <f>T35*Assumptions!$B$21</f>
        <v>1220759.983488</v>
      </c>
      <c r="U38" s="55">
        <f>U35*Assumptions!$B$21</f>
        <v>1220759.983488</v>
      </c>
      <c r="V38" s="55">
        <f>V35*Assumptions!$B$21</f>
        <v>1220759.983488</v>
      </c>
      <c r="W38" s="55">
        <f>W35*Assumptions!$B$21</f>
        <v>1220759.983488</v>
      </c>
      <c r="X38" s="55">
        <f>X35*Assumptions!$B$21</f>
        <v>1220759.983488</v>
      </c>
    </row>
    <row r="39" spans="1:24" ht="11.25">
      <c r="A39" s="100"/>
      <c r="B39" s="32"/>
      <c r="C39" s="55"/>
      <c r="D39" s="55"/>
      <c r="E39" s="55"/>
      <c r="F39" s="55"/>
      <c r="G39" s="55"/>
      <c r="H39" s="55"/>
      <c r="I39" s="55"/>
      <c r="J39" s="55"/>
      <c r="K39" s="55"/>
      <c r="L39" s="55"/>
      <c r="M39" s="55"/>
      <c r="N39" s="34"/>
      <c r="O39" s="34"/>
      <c r="P39" s="34"/>
      <c r="Q39" s="34"/>
      <c r="R39" s="34"/>
      <c r="S39" s="34"/>
      <c r="T39" s="34"/>
      <c r="U39" s="34"/>
      <c r="V39" s="34"/>
      <c r="W39" s="34"/>
      <c r="X39" s="34"/>
    </row>
    <row r="40" spans="1:24" ht="11.25">
      <c r="A40" s="100" t="s">
        <v>47</v>
      </c>
      <c r="B40" s="55">
        <f>0-Assumptions!B15*1000</f>
        <v>-128938159.00159998</v>
      </c>
      <c r="C40" s="55">
        <v>0</v>
      </c>
      <c r="D40" s="55">
        <v>0</v>
      </c>
      <c r="E40" s="55">
        <f>E14-E23-E37</f>
        <v>16771315.30783872</v>
      </c>
      <c r="F40" s="55">
        <f aca="true" t="shared" si="9" ref="F40:X40">F14-F23-F37</f>
        <v>16730965.786762152</v>
      </c>
      <c r="G40" s="55">
        <f t="shared" si="9"/>
        <v>15392044.110698374</v>
      </c>
      <c r="H40" s="55">
        <f t="shared" si="9"/>
        <v>15347134.085002126</v>
      </c>
      <c r="I40" s="55">
        <f t="shared" si="9"/>
        <v>15299754.007892586</v>
      </c>
      <c r="J40" s="55">
        <f t="shared" si="9"/>
        <v>14413327.22654202</v>
      </c>
      <c r="K40" s="55">
        <f t="shared" si="9"/>
        <v>14360592.016217174</v>
      </c>
      <c r="L40" s="55">
        <f t="shared" si="9"/>
        <v>14304956.36932446</v>
      </c>
      <c r="M40" s="55">
        <f t="shared" si="9"/>
        <v>14246260.76185265</v>
      </c>
      <c r="N40" s="55">
        <f t="shared" si="9"/>
        <v>14184336.895969888</v>
      </c>
      <c r="O40" s="55">
        <f t="shared" si="9"/>
        <v>14119007.217463573</v>
      </c>
      <c r="P40" s="55">
        <f t="shared" si="9"/>
        <v>14050084.406639412</v>
      </c>
      <c r="Q40" s="55">
        <f t="shared" si="9"/>
        <v>13607575.961219924</v>
      </c>
      <c r="R40" s="55">
        <f t="shared" si="9"/>
        <v>13530863.14970236</v>
      </c>
      <c r="S40" s="55">
        <f t="shared" si="9"/>
        <v>13449931.133551333</v>
      </c>
      <c r="T40" s="55">
        <f t="shared" si="9"/>
        <v>13364547.856511999</v>
      </c>
      <c r="U40" s="55">
        <f t="shared" si="9"/>
        <v>13364547.856511999</v>
      </c>
      <c r="V40" s="55">
        <f t="shared" si="9"/>
        <v>13364547.856511999</v>
      </c>
      <c r="W40" s="55">
        <f t="shared" si="9"/>
        <v>13364547.856511999</v>
      </c>
      <c r="X40" s="55">
        <f t="shared" si="9"/>
        <v>13364547.856511999</v>
      </c>
    </row>
    <row r="41" spans="1:24" ht="12" thickBot="1">
      <c r="A41" s="148" t="s">
        <v>48</v>
      </c>
      <c r="B41" s="149">
        <f>0-Assumptions!B15*1000</f>
        <v>-128938159.00159998</v>
      </c>
      <c r="C41" s="149">
        <v>0</v>
      </c>
      <c r="D41" s="149">
        <v>0</v>
      </c>
      <c r="E41" s="149">
        <f>E14-E23-E13-E38</f>
        <v>15474962.376510719</v>
      </c>
      <c r="F41" s="149">
        <f aca="true" t="shared" si="10" ref="F41:X41">F14-F23-F13-F38</f>
        <v>15434612.855434151</v>
      </c>
      <c r="G41" s="149">
        <f t="shared" si="10"/>
        <v>15392044.110698374</v>
      </c>
      <c r="H41" s="149">
        <f t="shared" si="10"/>
        <v>15347134.085002126</v>
      </c>
      <c r="I41" s="149">
        <f t="shared" si="10"/>
        <v>15299754.007892586</v>
      </c>
      <c r="J41" s="149">
        <f t="shared" si="10"/>
        <v>14413327.22654202</v>
      </c>
      <c r="K41" s="149">
        <f t="shared" si="10"/>
        <v>14360592.016217174</v>
      </c>
      <c r="L41" s="149">
        <f t="shared" si="10"/>
        <v>14304956.36932446</v>
      </c>
      <c r="M41" s="149">
        <f t="shared" si="10"/>
        <v>14246260.76185265</v>
      </c>
      <c r="N41" s="149">
        <f t="shared" si="10"/>
        <v>14184336.895969888</v>
      </c>
      <c r="O41" s="149">
        <f t="shared" si="10"/>
        <v>14119007.217463573</v>
      </c>
      <c r="P41" s="149">
        <f t="shared" si="10"/>
        <v>14050084.406639412</v>
      </c>
      <c r="Q41" s="149">
        <f t="shared" si="10"/>
        <v>13607575.961219924</v>
      </c>
      <c r="R41" s="149">
        <f t="shared" si="10"/>
        <v>13530863.14970236</v>
      </c>
      <c r="S41" s="149">
        <f t="shared" si="10"/>
        <v>13449931.133551333</v>
      </c>
      <c r="T41" s="149">
        <f t="shared" si="10"/>
        <v>13364547.856511999</v>
      </c>
      <c r="U41" s="149">
        <f t="shared" si="10"/>
        <v>13364547.856511999</v>
      </c>
      <c r="V41" s="149">
        <f t="shared" si="10"/>
        <v>13364547.856511999</v>
      </c>
      <c r="W41" s="149">
        <f t="shared" si="10"/>
        <v>13364547.856511999</v>
      </c>
      <c r="X41" s="149">
        <f t="shared" si="10"/>
        <v>13364547.856511999</v>
      </c>
    </row>
    <row r="42" spans="1:24" ht="12" thickTop="1">
      <c r="A42" s="100"/>
      <c r="B42" s="6"/>
      <c r="C42" s="6"/>
      <c r="D42" s="6"/>
      <c r="E42" s="6"/>
      <c r="F42" s="6"/>
      <c r="G42" s="6"/>
      <c r="H42" s="6"/>
      <c r="I42" s="6"/>
      <c r="J42" s="6"/>
      <c r="K42" s="6"/>
      <c r="L42" s="6"/>
      <c r="M42" s="6"/>
      <c r="N42" s="6"/>
      <c r="O42" s="6"/>
      <c r="P42" s="6"/>
      <c r="Q42" s="6"/>
      <c r="R42" s="6"/>
      <c r="S42" s="6"/>
      <c r="T42" s="6"/>
      <c r="U42" s="6"/>
      <c r="V42" s="6"/>
      <c r="W42" s="6"/>
      <c r="X42" s="6"/>
    </row>
    <row r="43" spans="1:24" ht="11.25">
      <c r="A43" s="100" t="s">
        <v>51</v>
      </c>
      <c r="B43" s="6">
        <f>AVERAGE(E40:X40)</f>
        <v>14331544.385961842</v>
      </c>
      <c r="C43" s="6">
        <f>'cash flow EUR'!B43*Assumptions!$B$17</f>
        <v>14331544.385961842</v>
      </c>
      <c r="D43" s="6"/>
      <c r="E43" s="6"/>
      <c r="F43" s="6"/>
      <c r="G43" s="6"/>
      <c r="H43" s="6"/>
      <c r="I43" s="6"/>
      <c r="J43" s="6"/>
      <c r="K43" s="6"/>
      <c r="L43" s="6"/>
      <c r="M43" s="6"/>
      <c r="N43" s="6"/>
      <c r="O43" s="6"/>
      <c r="P43" s="6"/>
      <c r="Q43" s="6"/>
      <c r="R43" s="6"/>
      <c r="S43" s="6"/>
      <c r="T43" s="6"/>
      <c r="U43" s="6"/>
      <c r="V43" s="6"/>
      <c r="W43" s="6"/>
      <c r="X43" s="6"/>
    </row>
    <row r="44" spans="1:24" ht="11.25">
      <c r="A44" s="100" t="s">
        <v>52</v>
      </c>
      <c r="B44" s="6">
        <f>AVERAGE(E41:X41)</f>
        <v>14201909.092829043</v>
      </c>
      <c r="C44" s="6">
        <f>'cash flow EUR'!B44*Assumptions!$B$17</f>
        <v>14201909.092829041</v>
      </c>
      <c r="D44" s="6"/>
      <c r="E44" s="6"/>
      <c r="F44" s="6"/>
      <c r="G44" s="6"/>
      <c r="H44" s="10"/>
      <c r="I44" s="10"/>
      <c r="J44" s="10"/>
      <c r="K44" s="10"/>
      <c r="L44" s="10"/>
      <c r="M44" s="10"/>
      <c r="N44" s="10"/>
      <c r="O44" s="10"/>
      <c r="P44" s="10"/>
      <c r="Q44" s="10"/>
      <c r="R44" s="10"/>
      <c r="S44" s="10"/>
      <c r="T44" s="10"/>
      <c r="U44" s="10"/>
      <c r="V44" s="10"/>
      <c r="W44" s="10"/>
      <c r="X44" s="10"/>
    </row>
    <row r="45" spans="1:24" ht="11.25">
      <c r="A45" s="100"/>
      <c r="B45" s="6"/>
      <c r="C45" s="6"/>
      <c r="D45" s="6"/>
      <c r="E45" s="6"/>
      <c r="F45" s="6"/>
      <c r="G45" s="6"/>
      <c r="H45" s="6"/>
      <c r="I45" s="6"/>
      <c r="J45" s="6"/>
      <c r="K45" s="6"/>
      <c r="L45" s="6"/>
      <c r="M45" s="6"/>
      <c r="N45" s="6"/>
      <c r="O45" s="6"/>
      <c r="P45" s="6"/>
      <c r="Q45" s="6"/>
      <c r="R45" s="6"/>
      <c r="S45" s="6"/>
      <c r="T45" s="6"/>
      <c r="U45" s="6"/>
      <c r="V45" s="6"/>
      <c r="W45" s="6"/>
      <c r="X45" s="6"/>
    </row>
    <row r="46" spans="1:24" ht="11.25">
      <c r="A46" s="100" t="s">
        <v>49</v>
      </c>
      <c r="B46" s="164">
        <f>Assumptions!B$15*1000/'Cash flow LT'!B43</f>
        <v>8.996808405931366</v>
      </c>
      <c r="C46" s="6"/>
      <c r="D46" s="6"/>
      <c r="E46" s="6"/>
      <c r="F46" s="6"/>
      <c r="G46" s="6"/>
      <c r="H46" s="6"/>
      <c r="I46" s="6"/>
      <c r="J46" s="6"/>
      <c r="K46" s="6"/>
      <c r="L46" s="6"/>
      <c r="M46" s="6"/>
      <c r="N46" s="6"/>
      <c r="O46" s="6"/>
      <c r="P46" s="6"/>
      <c r="Q46" s="6"/>
      <c r="R46" s="6"/>
      <c r="S46" s="6"/>
      <c r="T46" s="6"/>
      <c r="U46" s="6"/>
      <c r="V46" s="6"/>
      <c r="W46" s="6"/>
      <c r="X46" s="6"/>
    </row>
    <row r="47" spans="1:24" ht="11.25">
      <c r="A47" s="100" t="s">
        <v>50</v>
      </c>
      <c r="B47" s="164">
        <f>Assumptions!B$15*1000/'Cash flow LT'!B44</f>
        <v>9.078931442161153</v>
      </c>
      <c r="C47" s="6"/>
      <c r="D47" s="6"/>
      <c r="E47" s="6"/>
      <c r="F47" s="6"/>
      <c r="G47" s="6"/>
      <c r="H47" s="6"/>
      <c r="I47" s="6"/>
      <c r="J47" s="6"/>
      <c r="K47" s="6"/>
      <c r="L47" s="6"/>
      <c r="M47" s="6"/>
      <c r="N47" s="6"/>
      <c r="O47" s="6"/>
      <c r="P47" s="6"/>
      <c r="Q47" s="6"/>
      <c r="R47" s="6"/>
      <c r="S47" s="6"/>
      <c r="T47" s="6"/>
      <c r="U47" s="6"/>
      <c r="V47" s="6"/>
      <c r="W47" s="6"/>
      <c r="X47" s="6"/>
    </row>
    <row r="48" spans="1:24" ht="11.25">
      <c r="A48" s="100"/>
      <c r="B48" s="6"/>
      <c r="C48" s="6"/>
      <c r="D48" s="6"/>
      <c r="E48" s="6"/>
      <c r="F48" s="6"/>
      <c r="G48" s="6"/>
      <c r="H48" s="6"/>
      <c r="I48" s="6"/>
      <c r="J48" s="6"/>
      <c r="K48" s="6"/>
      <c r="L48" s="6"/>
      <c r="M48" s="6"/>
      <c r="N48" s="6"/>
      <c r="O48" s="6"/>
      <c r="P48" s="6"/>
      <c r="Q48" s="6"/>
      <c r="R48" s="6"/>
      <c r="S48" s="6"/>
      <c r="T48" s="6"/>
      <c r="U48" s="6"/>
      <c r="V48" s="6"/>
      <c r="W48" s="6"/>
      <c r="X48" s="6"/>
    </row>
    <row r="49" spans="1:22" ht="11.25">
      <c r="A49" s="146" t="s">
        <v>53</v>
      </c>
      <c r="B49" s="29">
        <f>IRR(B40:X40,0.1)</f>
        <v>0.07592963803634052</v>
      </c>
      <c r="C49" s="6"/>
      <c r="D49" s="6"/>
      <c r="E49" s="6"/>
      <c r="F49" s="6"/>
      <c r="G49" s="6"/>
      <c r="H49" s="6"/>
      <c r="I49" s="6"/>
      <c r="J49" s="6"/>
      <c r="K49" s="6"/>
      <c r="L49" s="6"/>
      <c r="M49" s="6"/>
      <c r="N49" s="6"/>
      <c r="O49" s="6"/>
      <c r="P49" s="6"/>
      <c r="Q49" s="6"/>
      <c r="R49" s="6"/>
      <c r="S49" s="6"/>
      <c r="T49" s="6"/>
      <c r="U49" s="6"/>
      <c r="V49" s="6"/>
    </row>
    <row r="50" spans="1:22" ht="11.25">
      <c r="A50" s="146" t="s">
        <v>19</v>
      </c>
      <c r="B50" s="29">
        <f>IRR(B41:X41,0.1)</f>
        <v>0.07422299584947334</v>
      </c>
      <c r="C50" s="6"/>
      <c r="D50" s="6"/>
      <c r="E50" s="6"/>
      <c r="F50" s="6"/>
      <c r="G50" s="6"/>
      <c r="H50" s="6"/>
      <c r="I50" s="6"/>
      <c r="J50" s="6"/>
      <c r="K50" s="6"/>
      <c r="L50" s="6"/>
      <c r="M50" s="6"/>
      <c r="N50" s="6"/>
      <c r="O50" s="6"/>
      <c r="P50" s="6"/>
      <c r="Q50" s="6"/>
      <c r="R50" s="6"/>
      <c r="S50" s="6"/>
      <c r="T50" s="6"/>
      <c r="U50" s="6"/>
      <c r="V50" s="6"/>
    </row>
    <row r="51" spans="1:22" ht="11.25">
      <c r="A51" s="146"/>
      <c r="B51" s="29"/>
      <c r="C51" s="6"/>
      <c r="D51" s="6"/>
      <c r="E51" s="6"/>
      <c r="F51" s="6"/>
      <c r="G51" s="6"/>
      <c r="H51" s="6"/>
      <c r="I51" s="6"/>
      <c r="J51" s="6"/>
      <c r="K51" s="6"/>
      <c r="L51" s="6"/>
      <c r="M51" s="6"/>
      <c r="N51" s="6"/>
      <c r="O51" s="6"/>
      <c r="P51" s="6"/>
      <c r="Q51" s="6"/>
      <c r="R51" s="6"/>
      <c r="S51" s="6"/>
      <c r="T51" s="6"/>
      <c r="U51" s="6"/>
      <c r="V51" s="6"/>
    </row>
    <row r="52" spans="1:22" ht="11.25">
      <c r="A52" s="146" t="str">
        <f>'cash flow EUR'!A52</f>
        <v>IRR (on equity), with ERUs</v>
      </c>
      <c r="B52" s="29">
        <f>(B49-Assumptions!$B$18*Assumptions!$B$19)/(1-Assumptions!$B$18)</f>
        <v>0.19453092024227012</v>
      </c>
      <c r="C52" s="6"/>
      <c r="D52" s="6"/>
      <c r="E52" s="6"/>
      <c r="F52" s="6"/>
      <c r="G52" s="6"/>
      <c r="H52" s="6"/>
      <c r="I52" s="6"/>
      <c r="J52" s="6"/>
      <c r="K52" s="6"/>
      <c r="L52" s="6"/>
      <c r="M52" s="6"/>
      <c r="N52" s="6"/>
      <c r="O52" s="6"/>
      <c r="P52" s="6"/>
      <c r="Q52" s="6"/>
      <c r="R52" s="6"/>
      <c r="S52" s="6"/>
      <c r="T52" s="6"/>
      <c r="U52" s="6"/>
      <c r="V52" s="6"/>
    </row>
    <row r="53" spans="1:22" ht="11.25">
      <c r="A53" s="146" t="str">
        <f>'cash flow EUR'!A53</f>
        <v>IRR (on equity), without ERUs</v>
      </c>
      <c r="B53" s="29">
        <f>(B50-Assumptions!$B$18*Assumptions!$B$19)/(1-Assumptions!$B$18)</f>
        <v>0.18315330566315557</v>
      </c>
      <c r="C53" s="6"/>
      <c r="D53" s="6"/>
      <c r="E53" s="6"/>
      <c r="F53" s="6"/>
      <c r="G53" s="6"/>
      <c r="H53" s="6"/>
      <c r="I53" s="6"/>
      <c r="J53" s="6"/>
      <c r="K53" s="6"/>
      <c r="L53" s="6"/>
      <c r="M53" s="6"/>
      <c r="N53" s="6"/>
      <c r="O53" s="6"/>
      <c r="P53" s="6"/>
      <c r="Q53" s="6"/>
      <c r="R53" s="6"/>
      <c r="S53" s="6"/>
      <c r="T53" s="6"/>
      <c r="U53" s="6"/>
      <c r="V53" s="6"/>
    </row>
    <row r="54" spans="1:2" ht="11.25">
      <c r="A54" s="147"/>
      <c r="B54" s="165"/>
    </row>
    <row r="55" spans="1:2" ht="11.25">
      <c r="A55" s="100" t="s">
        <v>11</v>
      </c>
      <c r="B55" s="6">
        <f>'cash flow EUR'!B55</f>
        <v>73617.6</v>
      </c>
    </row>
    <row r="56" spans="1:2" ht="11.25">
      <c r="A56" s="100" t="s">
        <v>12</v>
      </c>
      <c r="B56" s="6">
        <f>B9:X9*20</f>
        <v>736176</v>
      </c>
    </row>
    <row r="57" spans="1:2" ht="11.25">
      <c r="A57" s="100" t="s">
        <v>54</v>
      </c>
      <c r="B57" s="26">
        <f>SUM(C13:F13)</f>
        <v>3050242.19136</v>
      </c>
    </row>
    <row r="58" spans="1:2" ht="11.25">
      <c r="A58" s="100"/>
      <c r="B58" s="26"/>
    </row>
    <row r="59" spans="1:2" ht="11.25">
      <c r="A59" s="100" t="s">
        <v>20</v>
      </c>
      <c r="B59" s="1">
        <f>'cash flow EUR'!B59</f>
        <v>0.626</v>
      </c>
    </row>
    <row r="60" spans="1:2" ht="11.25">
      <c r="A60" s="100" t="s">
        <v>69</v>
      </c>
      <c r="B60" s="192">
        <f>Assumptions!B25*Assumptions!B17</f>
        <v>0.3</v>
      </c>
    </row>
    <row r="61" spans="1:2" ht="11.25">
      <c r="A61" s="102" t="s">
        <v>38</v>
      </c>
      <c r="B61" s="25">
        <f>Assumptions!B26*B1</f>
        <v>41.4336</v>
      </c>
    </row>
    <row r="62" ht="11.25">
      <c r="B62" s="68"/>
    </row>
    <row r="63" ht="11.25">
      <c r="B63" s="150"/>
    </row>
    <row r="64" ht="11.25">
      <c r="B64" s="150"/>
    </row>
    <row r="65" ht="11.25">
      <c r="B65" s="26"/>
    </row>
    <row r="66" ht="11.25">
      <c r="B66" s="6"/>
    </row>
    <row r="67" ht="11.25">
      <c r="B67" s="6"/>
    </row>
    <row r="68" ht="11.25">
      <c r="B68" s="6"/>
    </row>
    <row r="70" ht="11.25">
      <c r="B70" s="20"/>
    </row>
  </sheetData>
  <sheetProtection/>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41"/>
  <sheetViews>
    <sheetView zoomScalePageLayoutView="0" workbookViewId="0" topLeftCell="A4">
      <selection activeCell="D25" sqref="D25"/>
    </sheetView>
  </sheetViews>
  <sheetFormatPr defaultColWidth="9.140625" defaultRowHeight="12.75"/>
  <cols>
    <col min="1" max="1" width="12.140625" style="0" customWidth="1"/>
  </cols>
  <sheetData>
    <row r="1" ht="12.75">
      <c r="A1" t="s">
        <v>85</v>
      </c>
    </row>
    <row r="3" ht="12.75">
      <c r="A3" t="s">
        <v>15</v>
      </c>
    </row>
    <row r="5" spans="2:4" ht="12.75">
      <c r="B5" t="s">
        <v>16</v>
      </c>
      <c r="D5" t="s">
        <v>68</v>
      </c>
    </row>
    <row r="6" spans="2:7" ht="12.75">
      <c r="B6" s="11" t="s">
        <v>13</v>
      </c>
      <c r="C6" s="11" t="s">
        <v>14</v>
      </c>
      <c r="D6" s="11" t="s">
        <v>13</v>
      </c>
      <c r="E6" s="11" t="s">
        <v>14</v>
      </c>
      <c r="G6" s="11"/>
    </row>
    <row r="7" spans="1:7" ht="12.75">
      <c r="A7">
        <v>2009</v>
      </c>
      <c r="B7" s="49">
        <v>935651</v>
      </c>
      <c r="C7" s="16">
        <f>B7*'cash flow EUR'!$B$59</f>
        <v>585717.526</v>
      </c>
      <c r="D7" s="12">
        <v>0</v>
      </c>
      <c r="E7" s="12">
        <v>0</v>
      </c>
      <c r="G7" s="54"/>
    </row>
    <row r="8" spans="1:7" ht="12.75">
      <c r="A8">
        <v>2010</v>
      </c>
      <c r="B8" s="49">
        <v>3000000</v>
      </c>
      <c r="C8" s="16">
        <f>B8*'cash flow EUR'!$B$59</f>
        <v>1878000</v>
      </c>
      <c r="D8" s="12">
        <v>0</v>
      </c>
      <c r="E8" s="12">
        <v>0</v>
      </c>
      <c r="G8" s="54"/>
    </row>
    <row r="9" spans="1:7" ht="12.75">
      <c r="A9">
        <v>2011</v>
      </c>
      <c r="B9" s="49">
        <v>3000000</v>
      </c>
      <c r="C9" s="16">
        <f>B9*'cash flow EUR'!$B$59</f>
        <v>1878000</v>
      </c>
      <c r="D9" s="12">
        <v>0</v>
      </c>
      <c r="E9" s="12">
        <v>0</v>
      </c>
      <c r="G9" s="54"/>
    </row>
    <row r="10" spans="1:7" ht="12.75">
      <c r="A10">
        <v>2012</v>
      </c>
      <c r="B10" s="49">
        <v>3000000</v>
      </c>
      <c r="C10" s="16">
        <f>B10*'cash flow EUR'!$B$59</f>
        <v>1878000</v>
      </c>
      <c r="D10" s="12">
        <v>0</v>
      </c>
      <c r="E10" s="12">
        <v>0</v>
      </c>
      <c r="G10" s="52"/>
    </row>
    <row r="11" spans="2:5" ht="12.75">
      <c r="B11" s="12"/>
      <c r="C11" s="12"/>
      <c r="D11" s="12"/>
      <c r="E11" s="12"/>
    </row>
    <row r="12" spans="1:5" ht="12.75">
      <c r="A12" t="s">
        <v>17</v>
      </c>
      <c r="B12" s="12"/>
      <c r="C12" s="12"/>
      <c r="D12" s="12"/>
      <c r="E12" s="12"/>
    </row>
    <row r="13" spans="2:5" ht="12.75">
      <c r="B13" s="12"/>
      <c r="C13" s="12"/>
      <c r="D13" s="12"/>
      <c r="E13" s="12"/>
    </row>
    <row r="14" spans="2:5" ht="12.75">
      <c r="B14" s="12" t="s">
        <v>16</v>
      </c>
      <c r="C14" s="12"/>
      <c r="D14" s="12" t="s">
        <v>68</v>
      </c>
      <c r="E14" s="12"/>
    </row>
    <row r="15" spans="2:5" ht="12.75">
      <c r="B15" s="13" t="s">
        <v>13</v>
      </c>
      <c r="C15" s="13" t="s">
        <v>14</v>
      </c>
      <c r="D15" s="13" t="s">
        <v>13</v>
      </c>
      <c r="E15" s="13" t="s">
        <v>14</v>
      </c>
    </row>
    <row r="16" spans="1:5" ht="12.75">
      <c r="A16">
        <v>2009</v>
      </c>
      <c r="B16" s="16">
        <f>B7-D16</f>
        <v>935651</v>
      </c>
      <c r="C16" s="16">
        <f>B16*'cash flow EUR'!$B$59</f>
        <v>585717.526</v>
      </c>
      <c r="D16" s="12">
        <v>0</v>
      </c>
      <c r="E16" s="12">
        <v>0</v>
      </c>
    </row>
    <row r="17" spans="1:5" ht="12.75">
      <c r="A17">
        <v>2010</v>
      </c>
      <c r="B17" s="16">
        <f>B8-D17</f>
        <v>3000000</v>
      </c>
      <c r="C17" s="16">
        <f>B17*'cash flow EUR'!$B$59</f>
        <v>1878000</v>
      </c>
      <c r="D17" s="16">
        <v>0</v>
      </c>
      <c r="E17" s="12">
        <v>0</v>
      </c>
    </row>
    <row r="18" spans="1:5" ht="12.75">
      <c r="A18">
        <v>2011</v>
      </c>
      <c r="B18" s="16">
        <f>B9-D18</f>
        <v>2941200</v>
      </c>
      <c r="C18" s="16">
        <f>B18*'cash flow EUR'!$B$59</f>
        <v>1841191.2</v>
      </c>
      <c r="D18" s="16">
        <f>'cash flow EUR'!$B$8/1000</f>
        <v>58800</v>
      </c>
      <c r="E18" s="12">
        <v>0</v>
      </c>
    </row>
    <row r="19" spans="1:5" ht="12.75">
      <c r="A19">
        <v>2012</v>
      </c>
      <c r="B19" s="16">
        <f>B10-D19</f>
        <v>2941200</v>
      </c>
      <c r="C19" s="16">
        <f>B19*'cash flow EUR'!$B$59</f>
        <v>1841191.2</v>
      </c>
      <c r="D19" s="16">
        <f>'cash flow EUR'!$B$8/1000</f>
        <v>58800</v>
      </c>
      <c r="E19" s="12">
        <v>0</v>
      </c>
    </row>
    <row r="22" ht="12.75">
      <c r="A22" t="s">
        <v>18</v>
      </c>
    </row>
    <row r="24" spans="1:2" ht="12.75">
      <c r="A24">
        <v>2009</v>
      </c>
      <c r="B24" s="12">
        <f>C7-C16</f>
        <v>0</v>
      </c>
    </row>
    <row r="25" spans="1:2" ht="12.75">
      <c r="A25">
        <v>2010</v>
      </c>
      <c r="B25" s="12">
        <f>C8-C17</f>
        <v>0</v>
      </c>
    </row>
    <row r="26" spans="1:2" ht="12.75">
      <c r="A26">
        <v>2011</v>
      </c>
      <c r="B26" s="12">
        <f>C9-C18</f>
        <v>36808.80000000005</v>
      </c>
    </row>
    <row r="27" spans="1:2" ht="12.75">
      <c r="A27">
        <v>2012</v>
      </c>
      <c r="B27" s="12">
        <f>C10-C19</f>
        <v>36808.80000000005</v>
      </c>
    </row>
    <row r="28" spans="1:2" ht="12.75">
      <c r="A28" s="11" t="s">
        <v>0</v>
      </c>
      <c r="B28" s="13">
        <f>SUM(B24:B27)</f>
        <v>73617.6000000001</v>
      </c>
    </row>
    <row r="37" spans="1:2" ht="12.75">
      <c r="A37" t="s">
        <v>80</v>
      </c>
      <c r="B37">
        <v>0.45</v>
      </c>
    </row>
    <row r="38" spans="1:2" ht="12.75">
      <c r="A38" t="s">
        <v>81</v>
      </c>
      <c r="B38">
        <v>0.95</v>
      </c>
    </row>
    <row r="40" spans="1:2" ht="12.75">
      <c r="A40" t="s">
        <v>82</v>
      </c>
      <c r="B40">
        <f>D19*B37</f>
        <v>26460</v>
      </c>
    </row>
    <row r="41" spans="1:2" ht="12.75">
      <c r="A41" t="s">
        <v>83</v>
      </c>
      <c r="B41">
        <f>D19*B38</f>
        <v>55860</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Y216"/>
  <sheetViews>
    <sheetView zoomScalePageLayoutView="0" workbookViewId="0" topLeftCell="A1">
      <selection activeCell="E21" sqref="E21"/>
    </sheetView>
  </sheetViews>
  <sheetFormatPr defaultColWidth="9.140625" defaultRowHeight="12.75"/>
  <cols>
    <col min="1" max="1" width="36.7109375" style="0" customWidth="1"/>
    <col min="2" max="2" width="14.00390625" style="0" customWidth="1"/>
    <col min="3" max="3" width="11.421875" style="0" customWidth="1"/>
    <col min="4" max="15" width="11.57421875" style="0" bestFit="1" customWidth="1"/>
    <col min="16" max="16" width="9.28125" style="0" bestFit="1" customWidth="1"/>
  </cols>
  <sheetData>
    <row r="2" spans="1:8" ht="12.75">
      <c r="A2" t="s">
        <v>22</v>
      </c>
      <c r="B2" s="53">
        <v>-0.3</v>
      </c>
      <c r="C2" s="53">
        <v>-0.2</v>
      </c>
      <c r="D2" s="53">
        <v>-0.1</v>
      </c>
      <c r="E2" s="53">
        <v>0</v>
      </c>
      <c r="F2" s="53">
        <v>0.1</v>
      </c>
      <c r="G2" s="53">
        <v>0.2</v>
      </c>
      <c r="H2" s="53">
        <v>0.3</v>
      </c>
    </row>
    <row r="3" spans="2:8" ht="12.75">
      <c r="B3" s="15"/>
      <c r="C3" s="15"/>
      <c r="D3" s="15"/>
      <c r="E3" s="41"/>
      <c r="F3" s="15"/>
      <c r="G3" s="15"/>
      <c r="H3" s="15"/>
    </row>
    <row r="4" spans="1:10" ht="12.75">
      <c r="A4" s="11" t="s">
        <v>67</v>
      </c>
      <c r="B4" s="16">
        <f>$E$4+($E$4*B2)</f>
        <v>41160000</v>
      </c>
      <c r="C4" s="16">
        <f>$E$4+($E$4*C2)</f>
        <v>47040000</v>
      </c>
      <c r="D4" s="16">
        <f>$E$4+($E$4*D2)</f>
        <v>52920000</v>
      </c>
      <c r="E4" s="16">
        <f>'cash flow EUR'!B8</f>
        <v>58800000</v>
      </c>
      <c r="F4" s="16">
        <f>$E$4+($E$4*F2)</f>
        <v>64680000</v>
      </c>
      <c r="G4" s="16">
        <f>$E$4+($E$4*G2)</f>
        <v>70560000</v>
      </c>
      <c r="H4" s="16">
        <f>$E$4+($E$4*H2)</f>
        <v>76440000</v>
      </c>
      <c r="I4" s="12"/>
      <c r="J4" s="12"/>
    </row>
    <row r="5" spans="1:10" ht="12.75">
      <c r="A5" s="19" t="s">
        <v>21</v>
      </c>
      <c r="B5" s="16">
        <f>B4/1000</f>
        <v>41160</v>
      </c>
      <c r="C5" s="16">
        <f aca="true" t="shared" si="0" ref="C5:H5">C4/1000</f>
        <v>47040</v>
      </c>
      <c r="D5" s="16">
        <f t="shared" si="0"/>
        <v>52920</v>
      </c>
      <c r="E5" s="16">
        <f t="shared" si="0"/>
        <v>58800</v>
      </c>
      <c r="F5" s="16">
        <f t="shared" si="0"/>
        <v>64680</v>
      </c>
      <c r="G5" s="16">
        <f t="shared" si="0"/>
        <v>70560</v>
      </c>
      <c r="H5" s="16">
        <f t="shared" si="0"/>
        <v>76440</v>
      </c>
      <c r="I5" s="12"/>
      <c r="J5" s="12"/>
    </row>
    <row r="6" spans="1:8" ht="12.75">
      <c r="A6" t="s">
        <v>24</v>
      </c>
      <c r="B6" s="17">
        <f>C52</f>
        <v>0.03748940236094296</v>
      </c>
      <c r="C6" s="17">
        <f>C64</f>
        <v>0.05142097729295669</v>
      </c>
      <c r="D6" s="17">
        <f>C76</f>
        <v>0.06414753410696065</v>
      </c>
      <c r="E6" s="195">
        <f>'cash flow EUR'!B49</f>
        <v>0.0759296380363406</v>
      </c>
      <c r="F6" s="17">
        <f>C88</f>
        <v>0.08694869409428936</v>
      </c>
      <c r="G6" s="17">
        <f>C100</f>
        <v>0.0973363455123296</v>
      </c>
      <c r="H6" s="17">
        <f>C112</f>
        <v>0.10719131683583942</v>
      </c>
    </row>
    <row r="7" spans="1:8" ht="12.75">
      <c r="A7" t="s">
        <v>190</v>
      </c>
      <c r="B7" s="17">
        <f>C53</f>
        <v>0.03630112651778552</v>
      </c>
      <c r="C7" s="17">
        <f>C65</f>
        <v>0.05006142287442171</v>
      </c>
      <c r="D7" s="17">
        <f>C77</f>
        <v>0.06261510673541607</v>
      </c>
      <c r="E7" s="195">
        <f>'cash flow EUR'!B50</f>
        <v>0.07422299584947337</v>
      </c>
      <c r="F7" s="17">
        <f>C89</f>
        <v>0.08506672467916843</v>
      </c>
      <c r="G7" s="17">
        <f>C101</f>
        <v>0.0952781467234821</v>
      </c>
      <c r="H7" s="17">
        <f>C113</f>
        <v>0.1049561797890716</v>
      </c>
    </row>
    <row r="8" spans="1:8" ht="12.75">
      <c r="A8" t="s">
        <v>23</v>
      </c>
      <c r="B8" s="44">
        <f>C51</f>
        <v>13.822625512718346</v>
      </c>
      <c r="C8" s="44">
        <f>C63</f>
        <v>11.97375556995814</v>
      </c>
      <c r="D8" s="44">
        <f>C75</f>
        <v>10.561132451880786</v>
      </c>
      <c r="E8" s="45">
        <f>'cash flow EUR'!B46</f>
        <v>8.996808405931368</v>
      </c>
      <c r="F8" s="44">
        <f>C87</f>
        <v>8.138027542894935</v>
      </c>
      <c r="G8" s="44">
        <f>C99</f>
        <v>7.428908876727799</v>
      </c>
      <c r="H8" s="44">
        <f>C111</f>
        <v>6.833465122407738</v>
      </c>
    </row>
    <row r="9" ht="12.75">
      <c r="E9" s="43"/>
    </row>
    <row r="10" spans="1:8" ht="12.75">
      <c r="A10" s="11" t="s">
        <v>25</v>
      </c>
      <c r="B10" s="46">
        <f>$E$10+($E$10*B2)</f>
        <v>8.4</v>
      </c>
      <c r="C10" s="46">
        <f>$E$10+($E$10*C2)</f>
        <v>9.6</v>
      </c>
      <c r="D10" s="46">
        <f>$E$10+($E$10*D2)</f>
        <v>10.8</v>
      </c>
      <c r="E10" s="46">
        <f>'cash flow EUR'!B61</f>
        <v>12</v>
      </c>
      <c r="F10" s="46">
        <f>$E$10+($E$10*F2)</f>
        <v>13.2</v>
      </c>
      <c r="G10" s="46">
        <f>$E$10+($E$10*G2)</f>
        <v>14.4</v>
      </c>
      <c r="H10" s="46">
        <f>$E$10+($E$10*H2)</f>
        <v>15.6</v>
      </c>
    </row>
    <row r="11" spans="1:10" ht="12.75">
      <c r="A11" t="s">
        <v>24</v>
      </c>
      <c r="B11" s="17">
        <f>C124</f>
        <v>0.07541568972759742</v>
      </c>
      <c r="C11" s="17">
        <f>C134</f>
        <v>0.07558681928392391</v>
      </c>
      <c r="D11" s="17">
        <f>C145</f>
        <v>0.07575813535068299</v>
      </c>
      <c r="E11" s="195">
        <f>'cash flow EUR'!B49</f>
        <v>0.0759296380363406</v>
      </c>
      <c r="F11" s="17">
        <f>C156</f>
        <v>0.07610132744856844</v>
      </c>
      <c r="G11" s="17">
        <f>C167</f>
        <v>0.07627320369423922</v>
      </c>
      <c r="H11" s="17">
        <f>C178</f>
        <v>0.07644526687942205</v>
      </c>
      <c r="I11" s="17"/>
      <c r="J11" s="17"/>
    </row>
    <row r="12" spans="1:10" ht="12.75">
      <c r="A12" t="s">
        <v>190</v>
      </c>
      <c r="B12" s="17">
        <f>C125</f>
        <v>0.07422299584947344</v>
      </c>
      <c r="C12" s="17">
        <f>C135</f>
        <v>0.07422299584947344</v>
      </c>
      <c r="D12" s="17">
        <f>C146</f>
        <v>0.07422299584947344</v>
      </c>
      <c r="E12" s="195">
        <f>'cash flow EUR'!B50</f>
        <v>0.07422299584947337</v>
      </c>
      <c r="F12" s="17">
        <f>C157</f>
        <v>0.07422299584947344</v>
      </c>
      <c r="G12" s="17">
        <f>C168</f>
        <v>0.07422299584947344</v>
      </c>
      <c r="H12" s="17">
        <f>C179</f>
        <v>0.07422299584947344</v>
      </c>
      <c r="I12" s="17"/>
      <c r="J12" s="17"/>
    </row>
    <row r="13" spans="1:9" ht="12.75">
      <c r="A13" t="s">
        <v>23</v>
      </c>
      <c r="B13" s="18">
        <f>C123</f>
        <v>9.472353340736223</v>
      </c>
      <c r="C13" s="18">
        <f>C133</f>
        <v>9.46376964054429</v>
      </c>
      <c r="D13" s="18">
        <f>C144</f>
        <v>9.455201483100645</v>
      </c>
      <c r="E13" s="42">
        <f>'cash flow EUR'!B46</f>
        <v>8.996808405931368</v>
      </c>
      <c r="F13" s="18">
        <f>C155</f>
        <v>9.438111627901275</v>
      </c>
      <c r="G13" s="18">
        <f>C166</f>
        <v>9.429589846247554</v>
      </c>
      <c r="H13" s="18">
        <f>C177</f>
        <v>9.421083439544761</v>
      </c>
      <c r="I13" s="18"/>
    </row>
    <row r="15" spans="1:5" ht="12.75">
      <c r="A15" s="187" t="s">
        <v>170</v>
      </c>
      <c r="B15" s="193">
        <f>$E$15*(1+B2)</f>
        <v>0.06082020389249305</v>
      </c>
      <c r="C15" s="193">
        <f>$E$15*(1+C2)</f>
        <v>0.06950880444856349</v>
      </c>
      <c r="D15" s="193">
        <f>$E$15*(1+D2)</f>
        <v>0.07819740500463393</v>
      </c>
      <c r="E15" s="193">
        <f>'cash flow EUR'!B60</f>
        <v>0.08688600556070436</v>
      </c>
    </row>
    <row r="16" spans="1:5" ht="12.75">
      <c r="A16" t="s">
        <v>171</v>
      </c>
      <c r="B16" s="17">
        <f>C192</f>
        <v>0.06370301658494512</v>
      </c>
      <c r="C16" s="17">
        <f>C203</f>
        <v>0.06810367361581325</v>
      </c>
      <c r="D16" s="17">
        <f>C214</f>
        <v>0.07216114296466</v>
      </c>
      <c r="E16" s="195">
        <f>'cash flow EUR'!B49</f>
        <v>0.0759296380363406</v>
      </c>
    </row>
    <row r="17" spans="1:5" ht="12.75">
      <c r="A17" t="s">
        <v>190</v>
      </c>
      <c r="B17" s="17">
        <f>C193</f>
        <v>0.0618554925662864</v>
      </c>
      <c r="C17" s="17">
        <f>C204</f>
        <v>0.06631005140402252</v>
      </c>
      <c r="D17" s="17">
        <f>C215</f>
        <v>0.07041393707609221</v>
      </c>
      <c r="E17" s="195">
        <f>'cash flow EUR'!B50</f>
        <v>0.07422299584947337</v>
      </c>
    </row>
    <row r="18" spans="1:5" ht="12.75">
      <c r="A18" t="s">
        <v>172</v>
      </c>
      <c r="B18" s="44">
        <f>C191</f>
        <v>11.205105740770394</v>
      </c>
      <c r="C18" s="44">
        <f>C202</f>
        <v>10.550463186791221</v>
      </c>
      <c r="D18" s="44">
        <f>C213</f>
        <v>9.96809145388337</v>
      </c>
      <c r="E18" s="18">
        <f>'cash flow EUR'!B46</f>
        <v>8.996808405931368</v>
      </c>
    </row>
    <row r="42" spans="1:25" ht="12.75">
      <c r="A42" s="5"/>
      <c r="B42" s="5"/>
      <c r="C42" s="5" t="s">
        <v>169</v>
      </c>
      <c r="D42" s="5">
        <f>2008+1</f>
        <v>2009</v>
      </c>
      <c r="E42" s="5">
        <f aca="true" t="shared" si="1" ref="E42:Y42">D42+1</f>
        <v>2010</v>
      </c>
      <c r="F42" s="5">
        <f t="shared" si="1"/>
        <v>2011</v>
      </c>
      <c r="G42" s="5">
        <f t="shared" si="1"/>
        <v>2012</v>
      </c>
      <c r="H42" s="5">
        <f t="shared" si="1"/>
        <v>2013</v>
      </c>
      <c r="I42" s="5">
        <f t="shared" si="1"/>
        <v>2014</v>
      </c>
      <c r="J42" s="5">
        <f t="shared" si="1"/>
        <v>2015</v>
      </c>
      <c r="K42" s="5">
        <f t="shared" si="1"/>
        <v>2016</v>
      </c>
      <c r="L42" s="5">
        <f t="shared" si="1"/>
        <v>2017</v>
      </c>
      <c r="M42" s="5">
        <f t="shared" si="1"/>
        <v>2018</v>
      </c>
      <c r="N42" s="5">
        <f t="shared" si="1"/>
        <v>2019</v>
      </c>
      <c r="O42" s="5">
        <f t="shared" si="1"/>
        <v>2020</v>
      </c>
      <c r="P42" s="5">
        <f t="shared" si="1"/>
        <v>2021</v>
      </c>
      <c r="Q42" s="5">
        <f t="shared" si="1"/>
        <v>2022</v>
      </c>
      <c r="R42" s="5">
        <f t="shared" si="1"/>
        <v>2023</v>
      </c>
      <c r="S42" s="5">
        <f t="shared" si="1"/>
        <v>2024</v>
      </c>
      <c r="T42" s="5">
        <f t="shared" si="1"/>
        <v>2025</v>
      </c>
      <c r="U42" s="5">
        <f t="shared" si="1"/>
        <v>2026</v>
      </c>
      <c r="V42" s="5">
        <f t="shared" si="1"/>
        <v>2027</v>
      </c>
      <c r="W42" s="5">
        <f t="shared" si="1"/>
        <v>2028</v>
      </c>
      <c r="X42" s="5">
        <f t="shared" si="1"/>
        <v>2029</v>
      </c>
      <c r="Y42" s="5">
        <f t="shared" si="1"/>
        <v>2030</v>
      </c>
    </row>
    <row r="43" spans="1:25" ht="12.75">
      <c r="A43" s="22" t="s">
        <v>59</v>
      </c>
      <c r="C43" s="38">
        <f>B2</f>
        <v>-0.3</v>
      </c>
      <c r="D43" s="6">
        <v>0</v>
      </c>
      <c r="E43" s="6">
        <v>0</v>
      </c>
      <c r="F43" s="6">
        <f>$B$4</f>
        <v>41160000</v>
      </c>
      <c r="G43" s="6">
        <f>$B$4</f>
        <v>41160000</v>
      </c>
      <c r="H43" s="6">
        <f>$B$4</f>
        <v>41160000</v>
      </c>
      <c r="I43" s="6">
        <f>$B$4</f>
        <v>41160000</v>
      </c>
      <c r="J43" s="6">
        <f aca="true" t="shared" si="2" ref="J43:Y43">$B$4</f>
        <v>41160000</v>
      </c>
      <c r="K43" s="6">
        <f t="shared" si="2"/>
        <v>41160000</v>
      </c>
      <c r="L43" s="6">
        <f t="shared" si="2"/>
        <v>41160000</v>
      </c>
      <c r="M43" s="6">
        <f t="shared" si="2"/>
        <v>41160000</v>
      </c>
      <c r="N43" s="6">
        <f t="shared" si="2"/>
        <v>41160000</v>
      </c>
      <c r="O43" s="6">
        <f t="shared" si="2"/>
        <v>41160000</v>
      </c>
      <c r="P43" s="6">
        <f t="shared" si="2"/>
        <v>41160000</v>
      </c>
      <c r="Q43" s="6">
        <f t="shared" si="2"/>
        <v>41160000</v>
      </c>
      <c r="R43" s="6">
        <f t="shared" si="2"/>
        <v>41160000</v>
      </c>
      <c r="S43" s="6">
        <f t="shared" si="2"/>
        <v>41160000</v>
      </c>
      <c r="T43" s="6">
        <f t="shared" si="2"/>
        <v>41160000</v>
      </c>
      <c r="U43" s="6">
        <f t="shared" si="2"/>
        <v>41160000</v>
      </c>
      <c r="V43" s="6">
        <f t="shared" si="2"/>
        <v>41160000</v>
      </c>
      <c r="W43" s="6">
        <f t="shared" si="2"/>
        <v>41160000</v>
      </c>
      <c r="X43" s="6">
        <f t="shared" si="2"/>
        <v>41160000</v>
      </c>
      <c r="Y43" s="6">
        <f t="shared" si="2"/>
        <v>41160000</v>
      </c>
    </row>
    <row r="44" spans="1:25" ht="12.75">
      <c r="A44" s="1" t="s">
        <v>60</v>
      </c>
      <c r="B44" s="1"/>
      <c r="C44" s="6"/>
      <c r="D44" s="6">
        <f>'cash flow EUR'!$B$60*D43</f>
        <v>0</v>
      </c>
      <c r="E44" s="6">
        <f>'cash flow EUR'!$B$60*E43</f>
        <v>0</v>
      </c>
      <c r="F44" s="6">
        <f>'cash flow EUR'!$B$60*F43</f>
        <v>3576227.9888785915</v>
      </c>
      <c r="G44" s="6">
        <f>'cash flow EUR'!$B$60*G43</f>
        <v>3576227.9888785915</v>
      </c>
      <c r="H44" s="6">
        <f>'cash flow EUR'!$B$60*H43</f>
        <v>3576227.9888785915</v>
      </c>
      <c r="I44" s="6">
        <f>'cash flow EUR'!$B$60*I43</f>
        <v>3576227.9888785915</v>
      </c>
      <c r="J44" s="6">
        <f>'cash flow EUR'!$B$60*J43</f>
        <v>3576227.9888785915</v>
      </c>
      <c r="K44" s="6">
        <f>'cash flow EUR'!$B$60*K43</f>
        <v>3576227.9888785915</v>
      </c>
      <c r="L44" s="6">
        <f>'cash flow EUR'!$B$60*L43</f>
        <v>3576227.9888785915</v>
      </c>
      <c r="M44" s="6">
        <f>'cash flow EUR'!$B$60*M43</f>
        <v>3576227.9888785915</v>
      </c>
      <c r="N44" s="6">
        <f>'cash flow EUR'!$B$60*N43</f>
        <v>3576227.9888785915</v>
      </c>
      <c r="O44" s="6">
        <f>'cash flow EUR'!$B$60*O43</f>
        <v>3576227.9888785915</v>
      </c>
      <c r="P44" s="6">
        <f>'cash flow EUR'!$B$60*P43</f>
        <v>3576227.9888785915</v>
      </c>
      <c r="Q44" s="6">
        <f>'cash flow EUR'!$B$60*Q43</f>
        <v>3576227.9888785915</v>
      </c>
      <c r="R44" s="6">
        <f>'cash flow EUR'!$B$60*R43</f>
        <v>3576227.9888785915</v>
      </c>
      <c r="S44" s="6">
        <f>'cash flow EUR'!$B$60*S43</f>
        <v>3576227.9888785915</v>
      </c>
      <c r="T44" s="6">
        <f>'cash flow EUR'!$B$60*T43</f>
        <v>3576227.9888785915</v>
      </c>
      <c r="U44" s="6">
        <f>'cash flow EUR'!$B$60*U43</f>
        <v>3576227.9888785915</v>
      </c>
      <c r="V44" s="6">
        <f>'cash flow EUR'!$B$60*V43</f>
        <v>3576227.9888785915</v>
      </c>
      <c r="W44" s="6">
        <f>'cash flow EUR'!$B$60*W43</f>
        <v>3576227.9888785915</v>
      </c>
      <c r="X44" s="6">
        <f>'cash flow EUR'!$B$60*X43</f>
        <v>3576227.9888785915</v>
      </c>
      <c r="Y44" s="6">
        <f>'cash flow EUR'!$B$60*Y43</f>
        <v>3576227.9888785915</v>
      </c>
    </row>
    <row r="45" spans="1:25" ht="12.75">
      <c r="A45" s="1" t="s">
        <v>61</v>
      </c>
      <c r="B45" s="1"/>
      <c r="C45" s="6"/>
      <c r="D45" s="6">
        <f>D43/1000*'cash flow EUR'!$B$59*'cash flow EUR'!$B$61</f>
        <v>0</v>
      </c>
      <c r="E45" s="6">
        <f>E43/1000*'cash flow EUR'!$B$59*'cash flow EUR'!$B$61</f>
        <v>0</v>
      </c>
      <c r="F45" s="6">
        <f>F43/1000*'cash flow EUR'!$B$59*'cash flow EUR'!$B$61</f>
        <v>309193.92</v>
      </c>
      <c r="G45" s="6">
        <f>G43/1000*'cash flow EUR'!$B$59*'cash flow EUR'!$B$61</f>
        <v>309193.92</v>
      </c>
      <c r="H45" s="6"/>
      <c r="I45" s="6"/>
      <c r="J45" s="6"/>
      <c r="K45" s="6"/>
      <c r="L45" s="6"/>
      <c r="M45" s="6"/>
      <c r="N45" s="6"/>
      <c r="O45" s="6"/>
      <c r="P45" s="6"/>
      <c r="Q45" s="6"/>
      <c r="R45" s="6"/>
      <c r="S45" s="6"/>
      <c r="T45" s="6"/>
      <c r="U45" s="6"/>
      <c r="V45" s="6"/>
      <c r="W45" s="6"/>
      <c r="X45" s="6"/>
      <c r="Y45" s="6"/>
    </row>
    <row r="46" spans="1:25" ht="12.75">
      <c r="A46" s="1" t="s">
        <v>62</v>
      </c>
      <c r="B46" s="1"/>
      <c r="C46" s="6"/>
      <c r="D46" s="6">
        <f aca="true" t="shared" si="3" ref="D46:Y46">SUM(D44:D45)</f>
        <v>0</v>
      </c>
      <c r="E46" s="6">
        <f t="shared" si="3"/>
        <v>0</v>
      </c>
      <c r="F46" s="6">
        <f>SUM(F44:F45)</f>
        <v>3885421.9088785914</v>
      </c>
      <c r="G46" s="6">
        <f>SUM(G44:G45)</f>
        <v>3885421.9088785914</v>
      </c>
      <c r="H46" s="6">
        <f>SUM(H44:H45)</f>
        <v>3576227.9888785915</v>
      </c>
      <c r="I46" s="6">
        <f>SUM(I44:I45)</f>
        <v>3576227.9888785915</v>
      </c>
      <c r="J46" s="6">
        <f>SUM(J44:J45)</f>
        <v>3576227.9888785915</v>
      </c>
      <c r="K46" s="6">
        <f t="shared" si="3"/>
        <v>3576227.9888785915</v>
      </c>
      <c r="L46" s="6">
        <f t="shared" si="3"/>
        <v>3576227.9888785915</v>
      </c>
      <c r="M46" s="6">
        <f t="shared" si="3"/>
        <v>3576227.9888785915</v>
      </c>
      <c r="N46" s="6">
        <f t="shared" si="3"/>
        <v>3576227.9888785915</v>
      </c>
      <c r="O46" s="6">
        <f t="shared" si="3"/>
        <v>3576227.9888785915</v>
      </c>
      <c r="P46" s="6">
        <f t="shared" si="3"/>
        <v>3576227.9888785915</v>
      </c>
      <c r="Q46" s="6">
        <f t="shared" si="3"/>
        <v>3576227.9888785915</v>
      </c>
      <c r="R46" s="6">
        <f t="shared" si="3"/>
        <v>3576227.9888785915</v>
      </c>
      <c r="S46" s="6">
        <f t="shared" si="3"/>
        <v>3576227.9888785915</v>
      </c>
      <c r="T46" s="6">
        <f t="shared" si="3"/>
        <v>3576227.9888785915</v>
      </c>
      <c r="U46" s="6">
        <f t="shared" si="3"/>
        <v>3576227.9888785915</v>
      </c>
      <c r="V46" s="6">
        <f t="shared" si="3"/>
        <v>3576227.9888785915</v>
      </c>
      <c r="W46" s="6">
        <f t="shared" si="3"/>
        <v>3576227.9888785915</v>
      </c>
      <c r="X46" s="6">
        <f t="shared" si="3"/>
        <v>3576227.9888785915</v>
      </c>
      <c r="Y46" s="6">
        <f t="shared" si="3"/>
        <v>3576227.9888785915</v>
      </c>
    </row>
    <row r="47" spans="1:25" ht="12.75">
      <c r="A47" s="21" t="s">
        <v>56</v>
      </c>
      <c r="B47" s="2"/>
      <c r="C47" s="6"/>
      <c r="D47" s="6">
        <f>D46-'cash flow EUR'!C23</f>
        <v>0</v>
      </c>
      <c r="E47" s="6">
        <f>E46-'cash flow EUR'!D23</f>
        <v>0</v>
      </c>
      <c r="F47" s="6">
        <f>F46-'cash flow EUR'!E23</f>
        <v>3411721.9088785914</v>
      </c>
      <c r="G47" s="6">
        <f>G46-'cash flow EUR'!F23</f>
        <v>3411721.9088785914</v>
      </c>
      <c r="H47" s="6">
        <f>H46-'cash flow EUR'!G23</f>
        <v>3102527.9888785915</v>
      </c>
      <c r="I47" s="6">
        <f>I46-'cash flow EUR'!H23</f>
        <v>3102527.9888785915</v>
      </c>
      <c r="J47" s="6">
        <f>J46-'cash flow EUR'!I23</f>
        <v>3102527.9888785915</v>
      </c>
      <c r="K47" s="6">
        <f>K46-'cash flow EUR'!J23</f>
        <v>2817527.9888785915</v>
      </c>
      <c r="L47" s="6">
        <f>L46-'cash flow EUR'!K23</f>
        <v>2817527.9888785915</v>
      </c>
      <c r="M47" s="6">
        <f>M46-'cash flow EUR'!L23</f>
        <v>2817527.9888785915</v>
      </c>
      <c r="N47" s="6">
        <f>N46-'cash flow EUR'!M23</f>
        <v>2817527.9888785915</v>
      </c>
      <c r="O47" s="6">
        <f>O46-'cash flow EUR'!N23</f>
        <v>2817527.9888785915</v>
      </c>
      <c r="P47" s="6">
        <f>P46-'cash flow EUR'!O23</f>
        <v>2817527.9888785915</v>
      </c>
      <c r="Q47" s="6">
        <f>Q46-'cash flow EUR'!P23</f>
        <v>2817527.9888785915</v>
      </c>
      <c r="R47" s="6">
        <f>R46-'cash flow EUR'!Q23</f>
        <v>2691527.9888785915</v>
      </c>
      <c r="S47" s="6">
        <f>S46-'cash flow EUR'!R23</f>
        <v>2691527.9888785915</v>
      </c>
      <c r="T47" s="6">
        <f>T46-'cash flow EUR'!S23</f>
        <v>2691527.9888785915</v>
      </c>
      <c r="U47" s="6">
        <f>U46-'cash flow EUR'!T23</f>
        <v>2691527.9888785915</v>
      </c>
      <c r="V47" s="6">
        <f>V46-'cash flow EUR'!U23</f>
        <v>2691527.9888785915</v>
      </c>
      <c r="W47" s="6">
        <f>W46-'cash flow EUR'!V23</f>
        <v>2691527.9888785915</v>
      </c>
      <c r="X47" s="6">
        <f>X46-'cash flow EUR'!W23</f>
        <v>2691527.9888785915</v>
      </c>
      <c r="Y47" s="6">
        <f>Y46-'cash flow EUR'!X23</f>
        <v>2691527.9888785915</v>
      </c>
    </row>
    <row r="48" spans="1:25" ht="12.75">
      <c r="A48" s="1" t="s">
        <v>58</v>
      </c>
      <c r="C48" s="6">
        <f>0-Assumptions!$C$15*1000</f>
        <v>-37343072</v>
      </c>
      <c r="D48" s="6">
        <f>D47-'cash flow EUR'!C28-'cash flow EUR'!C31</f>
        <v>0</v>
      </c>
      <c r="E48" s="6">
        <f>E47-'cash flow EUR'!D28-'cash flow EUR'!D31</f>
        <v>0</v>
      </c>
      <c r="F48" s="6">
        <f>F47-(F46-'cash flow EUR'!E23-'cash flow EUR'!E28-'cash flow EUR'!E31)*0.15</f>
        <v>3441904.954946803</v>
      </c>
      <c r="G48" s="6">
        <f>G47-(G46-'cash flow EUR'!F23-'cash flow EUR'!F28-'cash flow EUR'!F31)*0.15</f>
        <v>3430218.9259047015</v>
      </c>
      <c r="H48" s="6">
        <f>H47-(H46-'cash flow EUR'!G23-'cash flow EUR'!G28-'cash flow EUR'!G31)*0.15</f>
        <v>3155075.333265284</v>
      </c>
      <c r="I48" s="6">
        <f>I47-(I46-'cash flow EUR'!H23-'cash flow EUR'!H28-'cash flow EUR'!H31)*0.15</f>
        <v>3142068.490790699</v>
      </c>
      <c r="J48" s="6">
        <f>J47-(J46-'cash flow EUR'!I23-'cash flow EUR'!I28-'cash flow EUR'!I31)*0.15</f>
        <v>3128346.2719800123</v>
      </c>
      <c r="K48" s="6">
        <f>K47-(K46-'cash flow EUR'!J23-'cash flow EUR'!J28-'cash flow EUR'!J31)*0.15</f>
        <v>2871619.331134737</v>
      </c>
      <c r="L48" s="6">
        <f>L47-(L46-'cash flow EUR'!K23-'cash flow EUR'!K28-'cash flow EUR'!K31)*0.15</f>
        <v>2856346.158542972</v>
      </c>
      <c r="M48" s="6">
        <f>M47-(M46-'cash flow EUR'!L23-'cash flow EUR'!L28-'cash flow EUR'!L31)*0.15</f>
        <v>2840232.96145866</v>
      </c>
      <c r="N48" s="6">
        <f>N47-(N46-'cash flow EUR'!M23-'cash flow EUR'!M28-'cash flow EUR'!M31)*0.15</f>
        <v>2823233.5385347106</v>
      </c>
      <c r="O48" s="6">
        <f>O47-(O46-'cash flow EUR'!N23-'cash flow EUR'!N28-'cash flow EUR'!N31)*0.15</f>
        <v>2805299.1473499443</v>
      </c>
      <c r="P48" s="6">
        <f>P47-(P46-'cash flow EUR'!O23-'cash flow EUR'!O28-'cash flow EUR'!O31)*0.15</f>
        <v>2786378.3646500157</v>
      </c>
      <c r="Q48" s="6">
        <f>Q47-(Q46-'cash flow EUR'!P23-'cash flow EUR'!P28-'cash flow EUR'!P31)*0.15</f>
        <v>2766416.938901591</v>
      </c>
      <c r="R48" s="6">
        <f>R47-(R46-'cash flow EUR'!Q23-'cash flow EUR'!Q28-'cash flow EUR'!Q31)*0.15</f>
        <v>2638257.6347370027</v>
      </c>
      <c r="S48" s="6">
        <f>S47-(S46-'cash flow EUR'!R23-'cash flow EUR'!R28-'cash flow EUR'!R31)*0.15</f>
        <v>2616040.0688433624</v>
      </c>
      <c r="T48" s="6">
        <f>T47-(T46-'cash flow EUR'!S23-'cash flow EUR'!S28-'cash flow EUR'!S31)*0.15</f>
        <v>2592600.5368255717</v>
      </c>
      <c r="U48" s="6">
        <f>U47-(U46-'cash flow EUR'!T23-'cash flow EUR'!T28-'cash flow EUR'!T31)*0.15</f>
        <v>2567871.830546803</v>
      </c>
      <c r="V48" s="6">
        <f>V47-(V46-'cash flow EUR'!U23-'cash flow EUR'!U28-'cash flow EUR'!U31)*0.15</f>
        <v>2567871.830546803</v>
      </c>
      <c r="W48" s="6">
        <f>W47-(W46-'cash flow EUR'!V23-'cash flow EUR'!V28-'cash flow EUR'!V31)*0.15</f>
        <v>2567871.830546803</v>
      </c>
      <c r="X48" s="6">
        <f>X47-(X46-'cash flow EUR'!W23-'cash flow EUR'!W28-'cash flow EUR'!W31)*0.15</f>
        <v>2567871.830546803</v>
      </c>
      <c r="Y48" s="6">
        <f>Y47-(Y46-'cash flow EUR'!X23-'cash flow EUR'!X28-'cash flow EUR'!X31)*0.15</f>
        <v>2567871.830546803</v>
      </c>
    </row>
    <row r="49" spans="1:25" ht="12.75">
      <c r="A49" s="1" t="s">
        <v>191</v>
      </c>
      <c r="B49" s="6"/>
      <c r="C49" s="6">
        <f>C48</f>
        <v>-37343072</v>
      </c>
      <c r="D49" s="6">
        <f>D48-'cash flow EUR'!C29-'cash flow EUR'!C32</f>
        <v>0</v>
      </c>
      <c r="E49" s="6">
        <f>E48-'cash flow EUR'!D29-'cash flow EUR'!D32</f>
        <v>0</v>
      </c>
      <c r="F49" s="6">
        <f>F47-(F46-F45-'cash flow EUR'!E23-'cash flow EUR'!E28-'cash flow EUR'!E31)*0.15-F45</f>
        <v>3179090.122946803</v>
      </c>
      <c r="G49" s="6">
        <f>G47-(G46-G45-'cash flow EUR'!F23-'cash flow EUR'!F28-'cash flow EUR'!F31)*0.15-G45</f>
        <v>3167404.093904701</v>
      </c>
      <c r="H49" s="6">
        <f>H47-(H46-H45-'cash flow EUR'!G23-'cash flow EUR'!G28-'cash flow EUR'!G31)*0.15-H45</f>
        <v>3155075.333265284</v>
      </c>
      <c r="I49" s="6">
        <f>I47-(I46-I45-'cash flow EUR'!H23-'cash flow EUR'!H28-'cash flow EUR'!H31)*0.15-I45</f>
        <v>3142068.490790699</v>
      </c>
      <c r="J49" s="6">
        <f>J47-(J46-J45-'cash flow EUR'!I23-'cash flow EUR'!I28-'cash flow EUR'!I31)*0.15-J45</f>
        <v>3128346.2719800123</v>
      </c>
      <c r="K49" s="6">
        <f>K47-(K46-K45-'cash flow EUR'!J23-'cash flow EUR'!J28-'cash flow EUR'!J31)*0.15-K45</f>
        <v>2871619.331134737</v>
      </c>
      <c r="L49" s="6">
        <f>L47-(L46-L45-'cash flow EUR'!K23-'cash flow EUR'!K28-'cash flow EUR'!K31)*0.15-L45</f>
        <v>2856346.158542972</v>
      </c>
      <c r="M49" s="6">
        <f>M47-(M46-M45-'cash flow EUR'!L23-'cash flow EUR'!L28-'cash flow EUR'!L31)*0.15-M45</f>
        <v>2840232.96145866</v>
      </c>
      <c r="N49" s="6">
        <f>N47-(N46-N45-'cash flow EUR'!M23-'cash flow EUR'!M28-'cash flow EUR'!M31)*0.15-N45</f>
        <v>2823233.5385347106</v>
      </c>
      <c r="O49" s="6">
        <f>O47-(O46-O45-'cash flow EUR'!N23-'cash flow EUR'!N28-'cash flow EUR'!N31)*0.15-O45</f>
        <v>2805299.1473499443</v>
      </c>
      <c r="P49" s="6">
        <f>P47-(P46-P45-'cash flow EUR'!O23-'cash flow EUR'!O28-'cash flow EUR'!O31)*0.15-P45</f>
        <v>2786378.3646500157</v>
      </c>
      <c r="Q49" s="6">
        <f>Q47-(Q46-Q45-'cash flow EUR'!P23-'cash flow EUR'!P28-'cash flow EUR'!P31)*0.15-Q45</f>
        <v>2766416.938901591</v>
      </c>
      <c r="R49" s="6">
        <f>R47-(R46-R45-'cash flow EUR'!Q23-'cash flow EUR'!Q28-'cash flow EUR'!Q31)*0.15-R45</f>
        <v>2638257.6347370027</v>
      </c>
      <c r="S49" s="6">
        <f>S47-(S46-S45-'cash flow EUR'!R23-'cash flow EUR'!R28-'cash flow EUR'!R31)*0.15-S45</f>
        <v>2616040.0688433624</v>
      </c>
      <c r="T49" s="6">
        <f>T47-(T46-T45-'cash flow EUR'!S23-'cash flow EUR'!S28-'cash flow EUR'!S31)*0.15-T45</f>
        <v>2592600.5368255717</v>
      </c>
      <c r="U49" s="6">
        <f>U47-(U46-U45-'cash flow EUR'!T23-'cash flow EUR'!T28-'cash flow EUR'!T31)*0.15-U45</f>
        <v>2567871.830546803</v>
      </c>
      <c r="V49" s="6">
        <f>V47-(V46-V45-'cash flow EUR'!U23-'cash flow EUR'!U28-'cash flow EUR'!U31)*0.15-V45</f>
        <v>2567871.830546803</v>
      </c>
      <c r="W49" s="6">
        <f>W47-(W46-W45-'cash flow EUR'!V23-'cash flow EUR'!V28-'cash flow EUR'!V31)*0.15-W45</f>
        <v>2567871.830546803</v>
      </c>
      <c r="X49" s="6">
        <f>X47-(X46-X45-'cash flow EUR'!W23-'cash flow EUR'!W28-'cash flow EUR'!W31)*0.15-X45</f>
        <v>2567871.830546803</v>
      </c>
      <c r="Y49" s="6">
        <f>Y47-(Y46-Y45-'cash flow EUR'!X23-'cash flow EUR'!X28-'cash flow EUR'!X31)*0.15-Y45</f>
        <v>2567871.830546803</v>
      </c>
    </row>
    <row r="50" spans="1:25" ht="12.75">
      <c r="A50" s="1" t="s">
        <v>63</v>
      </c>
      <c r="C50" s="6">
        <f>AVERAGE(E48:Y48)</f>
        <v>2701590.3719333378</v>
      </c>
      <c r="D50" s="6"/>
      <c r="E50" s="6"/>
      <c r="F50" s="6"/>
      <c r="G50" s="6"/>
      <c r="H50" s="6"/>
      <c r="I50" s="6"/>
      <c r="J50" s="6"/>
      <c r="K50" s="6"/>
      <c r="L50" s="6"/>
      <c r="M50" s="6"/>
      <c r="N50" s="6"/>
      <c r="O50" s="6"/>
      <c r="P50" s="6"/>
      <c r="Q50" s="6"/>
      <c r="R50" s="6"/>
      <c r="S50" s="6"/>
      <c r="T50" s="6"/>
      <c r="U50" s="6"/>
      <c r="V50" s="6"/>
      <c r="W50" s="6"/>
      <c r="X50" s="1"/>
      <c r="Y50" s="1"/>
    </row>
    <row r="51" spans="1:25" ht="12.75">
      <c r="A51" s="1" t="s">
        <v>49</v>
      </c>
      <c r="C51" s="37">
        <f>Assumptions!$C$15*1000/'sensitivity EUR'!C50</f>
        <v>13.822625512718346</v>
      </c>
      <c r="D51" s="6"/>
      <c r="E51" s="6"/>
      <c r="F51" s="6"/>
      <c r="G51" s="6"/>
      <c r="H51" s="6"/>
      <c r="I51" s="6"/>
      <c r="J51" s="6"/>
      <c r="K51" s="6"/>
      <c r="L51" s="6"/>
      <c r="M51" s="6"/>
      <c r="N51" s="6"/>
      <c r="O51" s="6"/>
      <c r="P51" s="6"/>
      <c r="Q51" s="6"/>
      <c r="R51" s="6"/>
      <c r="S51" s="6"/>
      <c r="T51" s="6"/>
      <c r="U51" s="6"/>
      <c r="V51" s="6"/>
      <c r="W51" s="6"/>
      <c r="X51" s="1"/>
      <c r="Y51" s="1"/>
    </row>
    <row r="52" spans="1:25" ht="12.75">
      <c r="A52" s="28" t="s">
        <v>53</v>
      </c>
      <c r="C52" s="29">
        <f>IRR(C48:Y48,0.01)</f>
        <v>0.03748940236094296</v>
      </c>
      <c r="D52" s="6"/>
      <c r="E52" s="6"/>
      <c r="F52" s="6"/>
      <c r="G52" s="6"/>
      <c r="H52" s="6"/>
      <c r="I52" s="6"/>
      <c r="J52" s="6"/>
      <c r="K52" s="6"/>
      <c r="L52" s="6"/>
      <c r="M52" s="6"/>
      <c r="N52" s="6"/>
      <c r="O52" s="6"/>
      <c r="P52" s="6"/>
      <c r="Q52" s="6"/>
      <c r="R52" s="6"/>
      <c r="S52" s="6"/>
      <c r="T52" s="6"/>
      <c r="U52" s="6"/>
      <c r="V52" s="6"/>
      <c r="W52" s="6"/>
      <c r="X52" s="1"/>
      <c r="Y52" s="1"/>
    </row>
    <row r="53" spans="1:25" ht="12.75">
      <c r="A53" s="28" t="s">
        <v>19</v>
      </c>
      <c r="B53" s="29"/>
      <c r="C53" s="29">
        <f>IRR(C49:Y49,0.01)</f>
        <v>0.03630112651778552</v>
      </c>
      <c r="D53" s="6"/>
      <c r="E53" s="6"/>
      <c r="F53" s="6"/>
      <c r="G53" s="6"/>
      <c r="H53" s="6"/>
      <c r="I53" s="6"/>
      <c r="J53" s="6"/>
      <c r="K53" s="6"/>
      <c r="L53" s="6"/>
      <c r="M53" s="6"/>
      <c r="N53" s="6"/>
      <c r="O53" s="6"/>
      <c r="P53" s="6"/>
      <c r="Q53" s="6"/>
      <c r="R53" s="6"/>
      <c r="S53" s="6"/>
      <c r="T53" s="6"/>
      <c r="U53" s="6"/>
      <c r="V53" s="6"/>
      <c r="W53" s="6"/>
      <c r="X53" s="1"/>
      <c r="Y53" s="1"/>
    </row>
    <row r="54" spans="1:25" ht="12.75">
      <c r="A54" s="39"/>
      <c r="B54" s="40"/>
      <c r="C54" s="23"/>
      <c r="D54" s="23"/>
      <c r="E54" s="23"/>
      <c r="F54" s="23"/>
      <c r="G54" s="23"/>
      <c r="H54" s="23"/>
      <c r="I54" s="23"/>
      <c r="J54" s="23"/>
      <c r="K54" s="23"/>
      <c r="L54" s="23"/>
      <c r="M54" s="23"/>
      <c r="N54" s="23"/>
      <c r="O54" s="23"/>
      <c r="P54" s="23"/>
      <c r="Q54" s="23"/>
      <c r="R54" s="23"/>
      <c r="S54" s="23"/>
      <c r="T54" s="23"/>
      <c r="U54" s="23"/>
      <c r="V54" s="23"/>
      <c r="W54" s="23"/>
      <c r="X54" s="4"/>
      <c r="Y54" s="4"/>
    </row>
    <row r="55" spans="1:25" ht="12.75">
      <c r="A55" s="22" t="s">
        <v>59</v>
      </c>
      <c r="C55" s="38">
        <f>C2</f>
        <v>-0.2</v>
      </c>
      <c r="D55" s="6">
        <v>0</v>
      </c>
      <c r="E55" s="6">
        <v>0</v>
      </c>
      <c r="F55" s="6">
        <f aca="true" t="shared" si="4" ref="F55:Y55">$C$4</f>
        <v>47040000</v>
      </c>
      <c r="G55" s="6">
        <f t="shared" si="4"/>
        <v>47040000</v>
      </c>
      <c r="H55" s="6">
        <f t="shared" si="4"/>
        <v>47040000</v>
      </c>
      <c r="I55" s="6">
        <f t="shared" si="4"/>
        <v>47040000</v>
      </c>
      <c r="J55" s="6">
        <f t="shared" si="4"/>
        <v>47040000</v>
      </c>
      <c r="K55" s="6">
        <f t="shared" si="4"/>
        <v>47040000</v>
      </c>
      <c r="L55" s="6">
        <f t="shared" si="4"/>
        <v>47040000</v>
      </c>
      <c r="M55" s="6">
        <f t="shared" si="4"/>
        <v>47040000</v>
      </c>
      <c r="N55" s="6">
        <f t="shared" si="4"/>
        <v>47040000</v>
      </c>
      <c r="O55" s="6">
        <f t="shared" si="4"/>
        <v>47040000</v>
      </c>
      <c r="P55" s="6">
        <f t="shared" si="4"/>
        <v>47040000</v>
      </c>
      <c r="Q55" s="6">
        <f t="shared" si="4"/>
        <v>47040000</v>
      </c>
      <c r="R55" s="6">
        <f t="shared" si="4"/>
        <v>47040000</v>
      </c>
      <c r="S55" s="6">
        <f t="shared" si="4"/>
        <v>47040000</v>
      </c>
      <c r="T55" s="6">
        <f t="shared" si="4"/>
        <v>47040000</v>
      </c>
      <c r="U55" s="6">
        <f t="shared" si="4"/>
        <v>47040000</v>
      </c>
      <c r="V55" s="6">
        <f t="shared" si="4"/>
        <v>47040000</v>
      </c>
      <c r="W55" s="6">
        <f t="shared" si="4"/>
        <v>47040000</v>
      </c>
      <c r="X55" s="6">
        <f t="shared" si="4"/>
        <v>47040000</v>
      </c>
      <c r="Y55" s="6">
        <f t="shared" si="4"/>
        <v>47040000</v>
      </c>
    </row>
    <row r="56" spans="1:25" ht="12.75">
      <c r="A56" s="1" t="s">
        <v>60</v>
      </c>
      <c r="B56" s="1"/>
      <c r="C56" s="6"/>
      <c r="D56" s="6">
        <f>'cash flow EUR'!$B$60*D55</f>
        <v>0</v>
      </c>
      <c r="E56" s="6">
        <f>'cash flow EUR'!$B$60*E55</f>
        <v>0</v>
      </c>
      <c r="F56" s="6">
        <f>'cash flow EUR'!$B$60*F55</f>
        <v>4087117.701575533</v>
      </c>
      <c r="G56" s="6">
        <f>'cash flow EUR'!$B$60*G55</f>
        <v>4087117.701575533</v>
      </c>
      <c r="H56" s="6">
        <f>'cash flow EUR'!$B$60*H55</f>
        <v>4087117.701575533</v>
      </c>
      <c r="I56" s="6">
        <f>'cash flow EUR'!$B$60*I55</f>
        <v>4087117.701575533</v>
      </c>
      <c r="J56" s="6">
        <f>'cash flow EUR'!$B$60*J55</f>
        <v>4087117.701575533</v>
      </c>
      <c r="K56" s="6">
        <f>'cash flow EUR'!$B$60*K55</f>
        <v>4087117.701575533</v>
      </c>
      <c r="L56" s="6">
        <f>'cash flow EUR'!$B$60*L55</f>
        <v>4087117.701575533</v>
      </c>
      <c r="M56" s="6">
        <f>'cash flow EUR'!$B$60*M55</f>
        <v>4087117.701575533</v>
      </c>
      <c r="N56" s="6">
        <f>'cash flow EUR'!$B$60*N55</f>
        <v>4087117.701575533</v>
      </c>
      <c r="O56" s="6">
        <f>'cash flow EUR'!$B$60*O55</f>
        <v>4087117.701575533</v>
      </c>
      <c r="P56" s="6">
        <f>'cash flow EUR'!$B$60*P55</f>
        <v>4087117.701575533</v>
      </c>
      <c r="Q56" s="6">
        <f>'cash flow EUR'!$B$60*Q55</f>
        <v>4087117.701575533</v>
      </c>
      <c r="R56" s="6">
        <f>'cash flow EUR'!$B$60*R55</f>
        <v>4087117.701575533</v>
      </c>
      <c r="S56" s="6">
        <f>'cash flow EUR'!$B$60*S55</f>
        <v>4087117.701575533</v>
      </c>
      <c r="T56" s="6">
        <f>'cash flow EUR'!$B$60*T55</f>
        <v>4087117.701575533</v>
      </c>
      <c r="U56" s="6">
        <f>'cash flow EUR'!$B$60*U55</f>
        <v>4087117.701575533</v>
      </c>
      <c r="V56" s="6">
        <f>'cash flow EUR'!$B$60*V55</f>
        <v>4087117.701575533</v>
      </c>
      <c r="W56" s="6">
        <f>'cash flow EUR'!$B$60*W55</f>
        <v>4087117.701575533</v>
      </c>
      <c r="X56" s="6">
        <f>'cash flow EUR'!$B$60*X55</f>
        <v>4087117.701575533</v>
      </c>
      <c r="Y56" s="6">
        <f>'cash flow EUR'!$B$60*Y55</f>
        <v>4087117.701575533</v>
      </c>
    </row>
    <row r="57" spans="1:25" ht="12.75">
      <c r="A57" s="1" t="s">
        <v>61</v>
      </c>
      <c r="B57" s="1"/>
      <c r="C57" s="6"/>
      <c r="D57" s="6">
        <f>D55/1000*'cash flow EUR'!$B$59*'cash flow EUR'!$B$61</f>
        <v>0</v>
      </c>
      <c r="E57" s="6">
        <f>E55/1000*'cash flow EUR'!$B$59*'cash flow EUR'!$B$61</f>
        <v>0</v>
      </c>
      <c r="F57" s="6">
        <f>F55/1000*'cash flow EUR'!$B$59*'cash flow EUR'!$B$61</f>
        <v>353364.48</v>
      </c>
      <c r="G57" s="6">
        <f>G55/1000*'cash flow EUR'!$B$59*'cash flow EUR'!$B$61</f>
        <v>353364.48</v>
      </c>
      <c r="H57" s="6"/>
      <c r="I57" s="6"/>
      <c r="J57" s="6"/>
      <c r="K57" s="6"/>
      <c r="L57" s="6"/>
      <c r="M57" s="6"/>
      <c r="N57" s="6"/>
      <c r="O57" s="6"/>
      <c r="P57" s="6"/>
      <c r="Q57" s="6"/>
      <c r="R57" s="6"/>
      <c r="S57" s="6"/>
      <c r="T57" s="6"/>
      <c r="U57" s="6"/>
      <c r="V57" s="6"/>
      <c r="W57" s="6"/>
      <c r="X57" s="6"/>
      <c r="Y57" s="6"/>
    </row>
    <row r="58" spans="1:25" ht="12.75">
      <c r="A58" s="1" t="s">
        <v>62</v>
      </c>
      <c r="B58" s="1"/>
      <c r="C58" s="6"/>
      <c r="D58" s="6">
        <f aca="true" t="shared" si="5" ref="D58:Y58">SUM(D56:D57)</f>
        <v>0</v>
      </c>
      <c r="E58" s="6">
        <f t="shared" si="5"/>
        <v>0</v>
      </c>
      <c r="F58" s="6">
        <f>SUM(F56:F57)</f>
        <v>4440482.181575533</v>
      </c>
      <c r="G58" s="6">
        <f t="shared" si="5"/>
        <v>4440482.181575533</v>
      </c>
      <c r="H58" s="6">
        <f t="shared" si="5"/>
        <v>4087117.701575533</v>
      </c>
      <c r="I58" s="6">
        <f t="shared" si="5"/>
        <v>4087117.701575533</v>
      </c>
      <c r="J58" s="6">
        <f t="shared" si="5"/>
        <v>4087117.701575533</v>
      </c>
      <c r="K58" s="6">
        <f t="shared" si="5"/>
        <v>4087117.701575533</v>
      </c>
      <c r="L58" s="6">
        <f t="shared" si="5"/>
        <v>4087117.701575533</v>
      </c>
      <c r="M58" s="6">
        <f t="shared" si="5"/>
        <v>4087117.701575533</v>
      </c>
      <c r="N58" s="6">
        <f t="shared" si="5"/>
        <v>4087117.701575533</v>
      </c>
      <c r="O58" s="6">
        <f t="shared" si="5"/>
        <v>4087117.701575533</v>
      </c>
      <c r="P58" s="6">
        <f t="shared" si="5"/>
        <v>4087117.701575533</v>
      </c>
      <c r="Q58" s="6">
        <f t="shared" si="5"/>
        <v>4087117.701575533</v>
      </c>
      <c r="R58" s="6">
        <f t="shared" si="5"/>
        <v>4087117.701575533</v>
      </c>
      <c r="S58" s="6">
        <f t="shared" si="5"/>
        <v>4087117.701575533</v>
      </c>
      <c r="T58" s="6">
        <f t="shared" si="5"/>
        <v>4087117.701575533</v>
      </c>
      <c r="U58" s="6">
        <f t="shared" si="5"/>
        <v>4087117.701575533</v>
      </c>
      <c r="V58" s="6">
        <f t="shared" si="5"/>
        <v>4087117.701575533</v>
      </c>
      <c r="W58" s="6">
        <f t="shared" si="5"/>
        <v>4087117.701575533</v>
      </c>
      <c r="X58" s="6">
        <f t="shared" si="5"/>
        <v>4087117.701575533</v>
      </c>
      <c r="Y58" s="6">
        <f t="shared" si="5"/>
        <v>4087117.701575533</v>
      </c>
    </row>
    <row r="59" spans="1:25" ht="12.75">
      <c r="A59" s="21" t="s">
        <v>56</v>
      </c>
      <c r="B59" s="2"/>
      <c r="C59" s="6"/>
      <c r="D59" s="6">
        <f>D58-'cash flow EUR'!C23</f>
        <v>0</v>
      </c>
      <c r="E59" s="6">
        <f>E58-'cash flow EUR'!D23</f>
        <v>0</v>
      </c>
      <c r="F59" s="6">
        <f>F58-'cash flow EUR'!E23</f>
        <v>3966782.181575533</v>
      </c>
      <c r="G59" s="6">
        <f>G58-'cash flow EUR'!F23</f>
        <v>3966782.181575533</v>
      </c>
      <c r="H59" s="6">
        <f>H58-'cash flow EUR'!G23</f>
        <v>3613417.701575533</v>
      </c>
      <c r="I59" s="6">
        <f>I58-'cash flow EUR'!H23</f>
        <v>3613417.701575533</v>
      </c>
      <c r="J59" s="6">
        <f>J58-'cash flow EUR'!I23</f>
        <v>3613417.701575533</v>
      </c>
      <c r="K59" s="6">
        <f>K58-'cash flow EUR'!J23</f>
        <v>3328417.701575533</v>
      </c>
      <c r="L59" s="6">
        <f>L58-'cash flow EUR'!K23</f>
        <v>3328417.701575533</v>
      </c>
      <c r="M59" s="6">
        <f>M58-'cash flow EUR'!L23</f>
        <v>3328417.701575533</v>
      </c>
      <c r="N59" s="6">
        <f>N58-'cash flow EUR'!M23</f>
        <v>3328417.701575533</v>
      </c>
      <c r="O59" s="6">
        <f>O58-'cash flow EUR'!N23</f>
        <v>3328417.701575533</v>
      </c>
      <c r="P59" s="6">
        <f>P58-'cash flow EUR'!O23</f>
        <v>3328417.701575533</v>
      </c>
      <c r="Q59" s="6">
        <f>Q58-'cash flow EUR'!P23</f>
        <v>3328417.701575533</v>
      </c>
      <c r="R59" s="6">
        <f>R58-'cash flow EUR'!Q23</f>
        <v>3202417.701575533</v>
      </c>
      <c r="S59" s="6">
        <f>S58-'cash flow EUR'!R23</f>
        <v>3202417.701575533</v>
      </c>
      <c r="T59" s="6">
        <f>T58-'cash flow EUR'!S23</f>
        <v>3202417.701575533</v>
      </c>
      <c r="U59" s="6">
        <f>U58-'cash flow EUR'!T23</f>
        <v>3202417.701575533</v>
      </c>
      <c r="V59" s="6">
        <f>V58-'cash flow EUR'!U23</f>
        <v>3202417.701575533</v>
      </c>
      <c r="W59" s="6">
        <f>W58-'cash flow EUR'!V23</f>
        <v>3202417.701575533</v>
      </c>
      <c r="X59" s="6">
        <f>X58-'cash flow EUR'!W23</f>
        <v>3202417.701575533</v>
      </c>
      <c r="Y59" s="6">
        <f>Y58-'cash flow EUR'!X23</f>
        <v>3202417.701575533</v>
      </c>
    </row>
    <row r="60" spans="1:25" ht="12.75">
      <c r="A60" s="1" t="s">
        <v>58</v>
      </c>
      <c r="C60" s="6">
        <f>0-Assumptions!$C$15*1000</f>
        <v>-37343072</v>
      </c>
      <c r="D60" s="6">
        <f>D59-'cash flow EUR'!C28-'cash flow EUR'!C31</f>
        <v>0</v>
      </c>
      <c r="E60" s="6">
        <f>E59-'cash flow EUR'!D28-'cash flow EUR'!D31</f>
        <v>0</v>
      </c>
      <c r="F60" s="6">
        <f>F59-(F58-'cash flow EUR'!E23-'cash flow EUR'!E28-'cash flow EUR'!E31)*0.15</f>
        <v>3913706.186739203</v>
      </c>
      <c r="G60" s="6">
        <f>G59-(G58-'cash flow EUR'!F23-'cash flow EUR'!F28-'cash flow EUR'!F31)*0.15</f>
        <v>3902020.1576971016</v>
      </c>
      <c r="H60" s="6">
        <f>H59-(H58-'cash flow EUR'!G23-'cash flow EUR'!G28-'cash flow EUR'!G31)*0.15</f>
        <v>3589331.5890576844</v>
      </c>
      <c r="I60" s="6">
        <f>I59-(I58-'cash flow EUR'!H23-'cash flow EUR'!H28-'cash flow EUR'!H31)*0.15</f>
        <v>3576324.7465830995</v>
      </c>
      <c r="J60" s="6">
        <f>J59-(J58-'cash flow EUR'!I23-'cash flow EUR'!I28-'cash flow EUR'!I31)*0.15</f>
        <v>3562602.5277724126</v>
      </c>
      <c r="K60" s="6">
        <f>K59-(K58-'cash flow EUR'!J23-'cash flow EUR'!J28-'cash flow EUR'!J31)*0.15</f>
        <v>3305875.5869271373</v>
      </c>
      <c r="L60" s="6">
        <f>L59-(L58-'cash flow EUR'!K23-'cash flow EUR'!K28-'cash flow EUR'!K31)*0.15</f>
        <v>3290602.4143353724</v>
      </c>
      <c r="M60" s="6">
        <f>M59-(M58-'cash flow EUR'!L23-'cash flow EUR'!L28-'cash flow EUR'!L31)*0.15</f>
        <v>3274489.2172510605</v>
      </c>
      <c r="N60" s="6">
        <f>N59-(N58-'cash flow EUR'!M23-'cash flow EUR'!M28-'cash flow EUR'!M31)*0.15</f>
        <v>3257489.794327111</v>
      </c>
      <c r="O60" s="6">
        <f>O59-(O58-'cash flow EUR'!N23-'cash flow EUR'!N28-'cash flow EUR'!N31)*0.15</f>
        <v>3239555.4031423447</v>
      </c>
      <c r="P60" s="6">
        <f>P59-(P58-'cash flow EUR'!O23-'cash flow EUR'!O28-'cash flow EUR'!O31)*0.15</f>
        <v>3220634.620442416</v>
      </c>
      <c r="Q60" s="6">
        <f>Q59-(Q58-'cash flow EUR'!P23-'cash flow EUR'!P28-'cash flow EUR'!P31)*0.15</f>
        <v>3200673.194693991</v>
      </c>
      <c r="R60" s="6">
        <f>R59-(R58-'cash flow EUR'!Q23-'cash flow EUR'!Q28-'cash flow EUR'!Q31)*0.15</f>
        <v>3072513.890529403</v>
      </c>
      <c r="S60" s="6">
        <f>S59-(S58-'cash flow EUR'!R23-'cash flow EUR'!R28-'cash flow EUR'!R31)*0.15</f>
        <v>3050296.3246357627</v>
      </c>
      <c r="T60" s="6">
        <f>T59-(T58-'cash flow EUR'!S23-'cash flow EUR'!S28-'cash flow EUR'!S31)*0.15</f>
        <v>3026856.792617972</v>
      </c>
      <c r="U60" s="6">
        <f>U59-(U58-'cash flow EUR'!T23-'cash flow EUR'!T28-'cash flow EUR'!T31)*0.15</f>
        <v>3002128.086339203</v>
      </c>
      <c r="V60" s="6">
        <f>V59-(V58-'cash flow EUR'!U23-'cash flow EUR'!U28-'cash flow EUR'!U31)*0.15</f>
        <v>3002128.086339203</v>
      </c>
      <c r="W60" s="6">
        <f>W59-(W58-'cash flow EUR'!V23-'cash flow EUR'!V28-'cash flow EUR'!V31)*0.15</f>
        <v>3002128.086339203</v>
      </c>
      <c r="X60" s="6">
        <f>X59-(X58-'cash flow EUR'!W23-'cash flow EUR'!W28-'cash flow EUR'!W31)*0.15</f>
        <v>3002128.086339203</v>
      </c>
      <c r="Y60" s="6">
        <f>Y59-(Y58-'cash flow EUR'!X23-'cash flow EUR'!X28-'cash flow EUR'!X31)*0.15</f>
        <v>3002128.086339203</v>
      </c>
    </row>
    <row r="61" spans="1:25" ht="12.75">
      <c r="A61" s="1" t="s">
        <v>191</v>
      </c>
      <c r="B61" s="6"/>
      <c r="C61" s="6">
        <f>C60</f>
        <v>-37343072</v>
      </c>
      <c r="D61" s="6">
        <f>D60-'cash flow EUR'!C29-'cash flow EUR'!C32</f>
        <v>0</v>
      </c>
      <c r="E61" s="6">
        <f>E60-'cash flow EUR'!D29-'cash flow EUR'!D32</f>
        <v>0</v>
      </c>
      <c r="F61" s="6">
        <f>F59-(F58-F57-'cash flow EUR'!E23-'cash flow EUR'!E28-'cash flow EUR'!E31)*0.15-F57</f>
        <v>3613346.3787392033</v>
      </c>
      <c r="G61" s="6">
        <f>G59-(G58-G57-'cash flow EUR'!F23-'cash flow EUR'!F28-'cash flow EUR'!F31)*0.15-G57</f>
        <v>3601660.3496971014</v>
      </c>
      <c r="H61" s="6">
        <f>H59-(H58-H57-'cash flow EUR'!G23-'cash flow EUR'!G28-'cash flow EUR'!G31)*0.15-H57</f>
        <v>3589331.5890576844</v>
      </c>
      <c r="I61" s="6">
        <f>I59-(I58-I57-'cash flow EUR'!H23-'cash flow EUR'!H28-'cash flow EUR'!H31)*0.15-I57</f>
        <v>3576324.7465830995</v>
      </c>
      <c r="J61" s="6">
        <f>J59-(J58-J57-'cash flow EUR'!I23-'cash flow EUR'!I28-'cash flow EUR'!I31)*0.15-J57</f>
        <v>3562602.5277724126</v>
      </c>
      <c r="K61" s="6">
        <f>K59-(K58-K57-'cash flow EUR'!J23-'cash flow EUR'!J28-'cash flow EUR'!J31)*0.15-K57</f>
        <v>3305875.5869271373</v>
      </c>
      <c r="L61" s="6">
        <f>L59-(L58-L57-'cash flow EUR'!K23-'cash flow EUR'!K28-'cash flow EUR'!K31)*0.15-L57</f>
        <v>3290602.4143353724</v>
      </c>
      <c r="M61" s="6">
        <f>M59-(M58-M57-'cash flow EUR'!L23-'cash flow EUR'!L28-'cash flow EUR'!L31)*0.15-M57</f>
        <v>3274489.2172510605</v>
      </c>
      <c r="N61" s="6">
        <f>N59-(N58-N57-'cash flow EUR'!M23-'cash flow EUR'!M28-'cash flow EUR'!M31)*0.15-N57</f>
        <v>3257489.794327111</v>
      </c>
      <c r="O61" s="6">
        <f>O59-(O58-O57-'cash flow EUR'!N23-'cash flow EUR'!N28-'cash flow EUR'!N31)*0.15-O57</f>
        <v>3239555.4031423447</v>
      </c>
      <c r="P61" s="6">
        <f>P59-(P58-P57-'cash flow EUR'!O23-'cash flow EUR'!O28-'cash flow EUR'!O31)*0.15-P57</f>
        <v>3220634.620442416</v>
      </c>
      <c r="Q61" s="6">
        <f>Q59-(Q58-Q57-'cash flow EUR'!P23-'cash flow EUR'!P28-'cash flow EUR'!P31)*0.15-Q57</f>
        <v>3200673.194693991</v>
      </c>
      <c r="R61" s="6">
        <f>R59-(R58-R57-'cash flow EUR'!Q23-'cash flow EUR'!Q28-'cash flow EUR'!Q31)*0.15-R57</f>
        <v>3072513.890529403</v>
      </c>
      <c r="S61" s="6">
        <f>S59-(S58-S57-'cash flow EUR'!R23-'cash flow EUR'!R28-'cash flow EUR'!R31)*0.15-S57</f>
        <v>3050296.3246357627</v>
      </c>
      <c r="T61" s="6">
        <f>T59-(T58-T57-'cash flow EUR'!S23-'cash flow EUR'!S28-'cash flow EUR'!S31)*0.15-T57</f>
        <v>3026856.792617972</v>
      </c>
      <c r="U61" s="6">
        <f>U59-(U58-U57-'cash flow EUR'!T23-'cash flow EUR'!T28-'cash flow EUR'!T31)*0.15-U57</f>
        <v>3002128.086339203</v>
      </c>
      <c r="V61" s="6">
        <f>V59-(V58-V57-'cash flow EUR'!U23-'cash flow EUR'!U28-'cash flow EUR'!U31)*0.15-V57</f>
        <v>3002128.086339203</v>
      </c>
      <c r="W61" s="6">
        <f>W59-(W58-W57-'cash flow EUR'!V23-'cash flow EUR'!V28-'cash flow EUR'!V31)*0.15-W57</f>
        <v>3002128.086339203</v>
      </c>
      <c r="X61" s="6">
        <f>X59-(X58-X57-'cash flow EUR'!W23-'cash flow EUR'!W28-'cash flow EUR'!W31)*0.15-X57</f>
        <v>3002128.086339203</v>
      </c>
      <c r="Y61" s="6">
        <f>Y59-(Y58-Y57-'cash flow EUR'!X23-'cash flow EUR'!X28-'cash flow EUR'!X31)*0.15-Y57</f>
        <v>3002128.086339203</v>
      </c>
    </row>
    <row r="62" spans="1:25" ht="12.75">
      <c r="A62" s="1" t="s">
        <v>63</v>
      </c>
      <c r="C62" s="6">
        <f>AVERAGE(E60:Y60)</f>
        <v>3118743.47040229</v>
      </c>
      <c r="D62" s="6"/>
      <c r="E62" s="6"/>
      <c r="F62" s="6"/>
      <c r="G62" s="6"/>
      <c r="H62" s="6"/>
      <c r="I62" s="6"/>
      <c r="J62" s="6"/>
      <c r="K62" s="6"/>
      <c r="L62" s="6"/>
      <c r="M62" s="6"/>
      <c r="N62" s="6"/>
      <c r="O62" s="6"/>
      <c r="P62" s="6"/>
      <c r="Q62" s="6"/>
      <c r="R62" s="6"/>
      <c r="S62" s="6"/>
      <c r="T62" s="6"/>
      <c r="U62" s="6"/>
      <c r="V62" s="6"/>
      <c r="W62" s="6"/>
      <c r="X62" s="1"/>
      <c r="Y62" s="1"/>
    </row>
    <row r="63" spans="1:25" ht="12.75">
      <c r="A63" s="1" t="s">
        <v>49</v>
      </c>
      <c r="C63" s="37">
        <f>Assumptions!$C$15*1000/'sensitivity EUR'!C62</f>
        <v>11.97375556995814</v>
      </c>
      <c r="D63" s="6"/>
      <c r="E63" s="6"/>
      <c r="F63" s="6"/>
      <c r="G63" s="6"/>
      <c r="H63" s="6"/>
      <c r="I63" s="6"/>
      <c r="J63" s="6"/>
      <c r="K63" s="6"/>
      <c r="L63" s="6"/>
      <c r="M63" s="6"/>
      <c r="N63" s="6"/>
      <c r="O63" s="6"/>
      <c r="P63" s="6"/>
      <c r="Q63" s="6"/>
      <c r="R63" s="6"/>
      <c r="S63" s="6"/>
      <c r="T63" s="6"/>
      <c r="U63" s="6"/>
      <c r="V63" s="6"/>
      <c r="W63" s="6"/>
      <c r="X63" s="1"/>
      <c r="Y63" s="1"/>
    </row>
    <row r="64" spans="1:25" ht="12.75">
      <c r="A64" s="28" t="s">
        <v>53</v>
      </c>
      <c r="C64" s="29">
        <f>IRR(C60:Y60,0.01)</f>
        <v>0.05142097729295669</v>
      </c>
      <c r="D64" s="6"/>
      <c r="E64" s="6"/>
      <c r="F64" s="6"/>
      <c r="G64" s="6"/>
      <c r="H64" s="6"/>
      <c r="I64" s="6"/>
      <c r="J64" s="6"/>
      <c r="K64" s="6"/>
      <c r="L64" s="6"/>
      <c r="M64" s="6"/>
      <c r="N64" s="6"/>
      <c r="O64" s="6"/>
      <c r="P64" s="6"/>
      <c r="Q64" s="6"/>
      <c r="R64" s="6"/>
      <c r="S64" s="6"/>
      <c r="T64" s="6"/>
      <c r="U64" s="6"/>
      <c r="V64" s="6"/>
      <c r="W64" s="6"/>
      <c r="X64" s="1"/>
      <c r="Y64" s="1"/>
    </row>
    <row r="65" spans="1:25" ht="12.75">
      <c r="A65" s="28" t="s">
        <v>19</v>
      </c>
      <c r="B65" s="29"/>
      <c r="C65" s="29">
        <f>IRR(C61:Y61,0.01)</f>
        <v>0.05006142287442171</v>
      </c>
      <c r="D65" s="6"/>
      <c r="E65" s="6"/>
      <c r="F65" s="6"/>
      <c r="G65" s="6"/>
      <c r="H65" s="6"/>
      <c r="I65" s="6"/>
      <c r="J65" s="6"/>
      <c r="K65" s="6"/>
      <c r="L65" s="6"/>
      <c r="M65" s="6"/>
      <c r="N65" s="6"/>
      <c r="O65" s="6"/>
      <c r="P65" s="6"/>
      <c r="Q65" s="6"/>
      <c r="R65" s="6"/>
      <c r="S65" s="6"/>
      <c r="T65" s="6"/>
      <c r="U65" s="6"/>
      <c r="V65" s="6"/>
      <c r="W65" s="6"/>
      <c r="X65" s="1"/>
      <c r="Y65" s="1"/>
    </row>
    <row r="66" spans="1:25" ht="12.75">
      <c r="A66" s="39"/>
      <c r="B66" s="40"/>
      <c r="C66" s="23"/>
      <c r="D66" s="23"/>
      <c r="E66" s="23"/>
      <c r="F66" s="23"/>
      <c r="G66" s="23"/>
      <c r="H66" s="23"/>
      <c r="I66" s="23"/>
      <c r="J66" s="23"/>
      <c r="K66" s="23"/>
      <c r="L66" s="23"/>
      <c r="M66" s="23"/>
      <c r="N66" s="23"/>
      <c r="O66" s="23"/>
      <c r="P66" s="23"/>
      <c r="Q66" s="23"/>
      <c r="R66" s="23"/>
      <c r="S66" s="23"/>
      <c r="T66" s="23"/>
      <c r="U66" s="23"/>
      <c r="V66" s="23"/>
      <c r="W66" s="23"/>
      <c r="X66" s="4"/>
      <c r="Y66" s="4"/>
    </row>
    <row r="67" spans="1:25" ht="12.75">
      <c r="A67" s="22" t="s">
        <v>59</v>
      </c>
      <c r="C67" s="38">
        <f>D2</f>
        <v>-0.1</v>
      </c>
      <c r="D67" s="6">
        <v>0</v>
      </c>
      <c r="E67" s="6">
        <v>0</v>
      </c>
      <c r="F67" s="6">
        <f>$D$4</f>
        <v>52920000</v>
      </c>
      <c r="G67" s="6">
        <f aca="true" t="shared" si="6" ref="G67:Y67">$D$4</f>
        <v>52920000</v>
      </c>
      <c r="H67" s="6">
        <f t="shared" si="6"/>
        <v>52920000</v>
      </c>
      <c r="I67" s="6">
        <f t="shared" si="6"/>
        <v>52920000</v>
      </c>
      <c r="J67" s="6">
        <f t="shared" si="6"/>
        <v>52920000</v>
      </c>
      <c r="K67" s="6">
        <f t="shared" si="6"/>
        <v>52920000</v>
      </c>
      <c r="L67" s="6">
        <f t="shared" si="6"/>
        <v>52920000</v>
      </c>
      <c r="M67" s="6">
        <f t="shared" si="6"/>
        <v>52920000</v>
      </c>
      <c r="N67" s="6">
        <f t="shared" si="6"/>
        <v>52920000</v>
      </c>
      <c r="O67" s="6">
        <f t="shared" si="6"/>
        <v>52920000</v>
      </c>
      <c r="P67" s="6">
        <f t="shared" si="6"/>
        <v>52920000</v>
      </c>
      <c r="Q67" s="6">
        <f t="shared" si="6"/>
        <v>52920000</v>
      </c>
      <c r="R67" s="6">
        <f t="shared" si="6"/>
        <v>52920000</v>
      </c>
      <c r="S67" s="6">
        <f t="shared" si="6"/>
        <v>52920000</v>
      </c>
      <c r="T67" s="6">
        <f t="shared" si="6"/>
        <v>52920000</v>
      </c>
      <c r="U67" s="6">
        <f t="shared" si="6"/>
        <v>52920000</v>
      </c>
      <c r="V67" s="6">
        <f t="shared" si="6"/>
        <v>52920000</v>
      </c>
      <c r="W67" s="6">
        <f t="shared" si="6"/>
        <v>52920000</v>
      </c>
      <c r="X67" s="6">
        <f t="shared" si="6"/>
        <v>52920000</v>
      </c>
      <c r="Y67" s="6">
        <f t="shared" si="6"/>
        <v>52920000</v>
      </c>
    </row>
    <row r="68" spans="1:25" ht="12.75">
      <c r="A68" s="1" t="s">
        <v>60</v>
      </c>
      <c r="B68" s="1"/>
      <c r="D68" s="6">
        <f>'cash flow EUR'!$B$60*D67</f>
        <v>0</v>
      </c>
      <c r="E68" s="6">
        <f>'cash flow EUR'!$B$60*E67</f>
        <v>0</v>
      </c>
      <c r="F68" s="6">
        <f>'cash flow EUR'!$B$60*F67</f>
        <v>4598007.414272475</v>
      </c>
      <c r="G68" s="6">
        <f>'cash flow EUR'!$B$60*G67</f>
        <v>4598007.414272475</v>
      </c>
      <c r="H68" s="6">
        <f>'cash flow EUR'!$B$60*H67</f>
        <v>4598007.414272475</v>
      </c>
      <c r="I68" s="6">
        <f>'cash flow EUR'!$B$60*I67</f>
        <v>4598007.414272475</v>
      </c>
      <c r="J68" s="6">
        <f>'cash flow EUR'!$B$60*J67</f>
        <v>4598007.414272475</v>
      </c>
      <c r="K68" s="6">
        <f>'cash flow EUR'!$B$60*K67</f>
        <v>4598007.414272475</v>
      </c>
      <c r="L68" s="6">
        <f>'cash flow EUR'!$B$60*L67</f>
        <v>4598007.414272475</v>
      </c>
      <c r="M68" s="6">
        <f>'cash flow EUR'!$B$60*M67</f>
        <v>4598007.414272475</v>
      </c>
      <c r="N68" s="6">
        <f>'cash flow EUR'!$B$60*N67</f>
        <v>4598007.414272475</v>
      </c>
      <c r="O68" s="6">
        <f>'cash flow EUR'!$B$60*O67</f>
        <v>4598007.414272475</v>
      </c>
      <c r="P68" s="6">
        <f>'cash flow EUR'!$B$60*P67</f>
        <v>4598007.414272475</v>
      </c>
      <c r="Q68" s="6">
        <f>'cash flow EUR'!$B$60*Q67</f>
        <v>4598007.414272475</v>
      </c>
      <c r="R68" s="6">
        <f>'cash flow EUR'!$B$60*R67</f>
        <v>4598007.414272475</v>
      </c>
      <c r="S68" s="6">
        <f>'cash flow EUR'!$B$60*S67</f>
        <v>4598007.414272475</v>
      </c>
      <c r="T68" s="6">
        <f>'cash flow EUR'!$B$60*T67</f>
        <v>4598007.414272475</v>
      </c>
      <c r="U68" s="6">
        <f>'cash flow EUR'!$B$60*U67</f>
        <v>4598007.414272475</v>
      </c>
      <c r="V68" s="6">
        <f>'cash flow EUR'!$B$60*V67</f>
        <v>4598007.414272475</v>
      </c>
      <c r="W68" s="6">
        <f>'cash flow EUR'!$B$60*W67</f>
        <v>4598007.414272475</v>
      </c>
      <c r="X68" s="6">
        <f>'cash flow EUR'!$B$60*X67</f>
        <v>4598007.414272475</v>
      </c>
      <c r="Y68" s="6">
        <f>'cash flow EUR'!$B$60*Y67</f>
        <v>4598007.414272475</v>
      </c>
    </row>
    <row r="69" spans="1:25" ht="12.75">
      <c r="A69" s="1" t="s">
        <v>61</v>
      </c>
      <c r="B69" s="1"/>
      <c r="C69" s="6"/>
      <c r="D69" s="6">
        <f>D67/1000*'cash flow EUR'!$B$59*'cash flow EUR'!$B$61</f>
        <v>0</v>
      </c>
      <c r="E69" s="6">
        <f>E67/1000*'cash flow EUR'!$B$59*'cash flow EUR'!$B$61</f>
        <v>0</v>
      </c>
      <c r="F69" s="6">
        <f>F67/1000*'cash flow EUR'!$B$59*'cash flow EUR'!$B$61</f>
        <v>397535.04</v>
      </c>
      <c r="G69" s="6">
        <f>G67/1000*'cash flow EUR'!$B$59*'cash flow EUR'!$B$61</f>
        <v>397535.04</v>
      </c>
      <c r="H69" s="6"/>
      <c r="I69" s="6"/>
      <c r="J69" s="6"/>
      <c r="K69" s="6"/>
      <c r="L69" s="6"/>
      <c r="M69" s="6"/>
      <c r="N69" s="6"/>
      <c r="O69" s="6"/>
      <c r="P69" s="6"/>
      <c r="Q69" s="6"/>
      <c r="R69" s="6"/>
      <c r="S69" s="6"/>
      <c r="T69" s="6"/>
      <c r="U69" s="6"/>
      <c r="V69" s="6"/>
      <c r="W69" s="6"/>
      <c r="X69" s="6"/>
      <c r="Y69" s="6"/>
    </row>
    <row r="70" spans="1:25" ht="12.75">
      <c r="A70" s="1" t="s">
        <v>62</v>
      </c>
      <c r="B70" s="1"/>
      <c r="C70" s="6"/>
      <c r="D70" s="6">
        <f aca="true" t="shared" si="7" ref="D70:Y70">SUM(D68:D69)</f>
        <v>0</v>
      </c>
      <c r="E70" s="6">
        <f t="shared" si="7"/>
        <v>0</v>
      </c>
      <c r="F70" s="6">
        <f t="shared" si="7"/>
        <v>4995542.454272475</v>
      </c>
      <c r="G70" s="6">
        <f t="shared" si="7"/>
        <v>4995542.454272475</v>
      </c>
      <c r="H70" s="6">
        <f t="shared" si="7"/>
        <v>4598007.414272475</v>
      </c>
      <c r="I70" s="6">
        <f t="shared" si="7"/>
        <v>4598007.414272475</v>
      </c>
      <c r="J70" s="6">
        <f t="shared" si="7"/>
        <v>4598007.414272475</v>
      </c>
      <c r="K70" s="6">
        <f t="shared" si="7"/>
        <v>4598007.414272475</v>
      </c>
      <c r="L70" s="6">
        <f t="shared" si="7"/>
        <v>4598007.414272475</v>
      </c>
      <c r="M70" s="6">
        <f t="shared" si="7"/>
        <v>4598007.414272475</v>
      </c>
      <c r="N70" s="6">
        <f t="shared" si="7"/>
        <v>4598007.414272475</v>
      </c>
      <c r="O70" s="6">
        <f t="shared" si="7"/>
        <v>4598007.414272475</v>
      </c>
      <c r="P70" s="6">
        <f t="shared" si="7"/>
        <v>4598007.414272475</v>
      </c>
      <c r="Q70" s="6">
        <f t="shared" si="7"/>
        <v>4598007.414272475</v>
      </c>
      <c r="R70" s="6">
        <f t="shared" si="7"/>
        <v>4598007.414272475</v>
      </c>
      <c r="S70" s="6">
        <f t="shared" si="7"/>
        <v>4598007.414272475</v>
      </c>
      <c r="T70" s="6">
        <f t="shared" si="7"/>
        <v>4598007.414272475</v>
      </c>
      <c r="U70" s="6">
        <f t="shared" si="7"/>
        <v>4598007.414272475</v>
      </c>
      <c r="V70" s="6">
        <f t="shared" si="7"/>
        <v>4598007.414272475</v>
      </c>
      <c r="W70" s="6">
        <f t="shared" si="7"/>
        <v>4598007.414272475</v>
      </c>
      <c r="X70" s="6">
        <f t="shared" si="7"/>
        <v>4598007.414272475</v>
      </c>
      <c r="Y70" s="6">
        <f t="shared" si="7"/>
        <v>4598007.414272475</v>
      </c>
    </row>
    <row r="71" spans="1:25" ht="12.75">
      <c r="A71" s="21" t="s">
        <v>56</v>
      </c>
      <c r="B71" s="2"/>
      <c r="C71" s="6"/>
      <c r="D71" s="6">
        <f>D70-'cash flow EUR'!C23</f>
        <v>0</v>
      </c>
      <c r="E71" s="6">
        <f>E70-'cash flow EUR'!D23</f>
        <v>0</v>
      </c>
      <c r="F71" s="6">
        <f>F70-'cash flow EUR'!E23</f>
        <v>4521842.454272475</v>
      </c>
      <c r="G71" s="6">
        <f>G70-'cash flow EUR'!F23</f>
        <v>4521842.454272475</v>
      </c>
      <c r="H71" s="6">
        <f>H70-'cash flow EUR'!G23</f>
        <v>4124307.414272475</v>
      </c>
      <c r="I71" s="6">
        <f>I70-'cash flow EUR'!H23</f>
        <v>4124307.414272475</v>
      </c>
      <c r="J71" s="6">
        <f>J70-'cash flow EUR'!I23</f>
        <v>4124307.414272475</v>
      </c>
      <c r="K71" s="6">
        <f>K70-'cash flow EUR'!J23</f>
        <v>3839307.414272475</v>
      </c>
      <c r="L71" s="6">
        <f>L70-'cash flow EUR'!K23</f>
        <v>3839307.414272475</v>
      </c>
      <c r="M71" s="6">
        <f>M70-'cash flow EUR'!L23</f>
        <v>3839307.414272475</v>
      </c>
      <c r="N71" s="6">
        <f>N70-'cash flow EUR'!M23</f>
        <v>3839307.414272475</v>
      </c>
      <c r="O71" s="6">
        <f>O70-'cash flow EUR'!N23</f>
        <v>3839307.414272475</v>
      </c>
      <c r="P71" s="6">
        <f>P70-'cash flow EUR'!O23</f>
        <v>3839307.414272475</v>
      </c>
      <c r="Q71" s="6">
        <f>Q70-'cash flow EUR'!P23</f>
        <v>3839307.414272475</v>
      </c>
      <c r="R71" s="6">
        <f>R70-'cash flow EUR'!Q23</f>
        <v>3713307.414272475</v>
      </c>
      <c r="S71" s="6">
        <f>S70-'cash flow EUR'!R23</f>
        <v>3713307.414272475</v>
      </c>
      <c r="T71" s="6">
        <f>T70-'cash flow EUR'!S23</f>
        <v>3713307.414272475</v>
      </c>
      <c r="U71" s="6">
        <f>U70-'cash flow EUR'!T23</f>
        <v>3713307.414272475</v>
      </c>
      <c r="V71" s="6">
        <f>V70-'cash flow EUR'!U23</f>
        <v>3713307.414272475</v>
      </c>
      <c r="W71" s="6">
        <f>W70-'cash flow EUR'!V23</f>
        <v>3713307.414272475</v>
      </c>
      <c r="X71" s="6">
        <f>X70-'cash flow EUR'!W23</f>
        <v>3713307.414272475</v>
      </c>
      <c r="Y71" s="6">
        <f>Y70-'cash flow EUR'!X23</f>
        <v>3713307.414272475</v>
      </c>
    </row>
    <row r="72" spans="1:25" ht="12.75">
      <c r="A72" s="1" t="s">
        <v>58</v>
      </c>
      <c r="C72" s="6">
        <f>0-Assumptions!$C$15*1000</f>
        <v>-37343072</v>
      </c>
      <c r="D72" s="6">
        <f>D71-'cash flow EUR'!C28-'cash flow EUR'!C31</f>
        <v>0</v>
      </c>
      <c r="E72" s="6">
        <f>E71-'cash flow EUR'!D28-'cash flow EUR'!D31</f>
        <v>0</v>
      </c>
      <c r="F72" s="6">
        <f>F71-(F70-'cash flow EUR'!E23-'cash flow EUR'!E28-'cash flow EUR'!E31)*0.15</f>
        <v>4385507.418531604</v>
      </c>
      <c r="G72" s="6">
        <f>G71-(G70-'cash flow EUR'!F23-'cash flow EUR'!F28-'cash flow EUR'!F31)*0.15</f>
        <v>4373821.389489503</v>
      </c>
      <c r="H72" s="6">
        <f>H71-(H70-'cash flow EUR'!G23-'cash flow EUR'!G28-'cash flow EUR'!G31)*0.15</f>
        <v>4023587.844850085</v>
      </c>
      <c r="I72" s="6">
        <f>I71-(I70-'cash flow EUR'!H23-'cash flow EUR'!H28-'cash flow EUR'!H31)*0.15</f>
        <v>4010581.0023755003</v>
      </c>
      <c r="J72" s="6">
        <f>J71-(J70-'cash flow EUR'!I23-'cash flow EUR'!I28-'cash flow EUR'!I31)*0.15</f>
        <v>3996858.7835648134</v>
      </c>
      <c r="K72" s="6">
        <f>K71-(K70-'cash flow EUR'!J23-'cash flow EUR'!J28-'cash flow EUR'!J31)*0.15</f>
        <v>3740131.842719538</v>
      </c>
      <c r="L72" s="6">
        <f>L71-(L70-'cash flow EUR'!K23-'cash flow EUR'!K28-'cash flow EUR'!K31)*0.15</f>
        <v>3724858.670127773</v>
      </c>
      <c r="M72" s="6">
        <f>M71-(M70-'cash flow EUR'!L23-'cash flow EUR'!L28-'cash flow EUR'!L31)*0.15</f>
        <v>3708745.473043461</v>
      </c>
      <c r="N72" s="6">
        <f>N71-(N70-'cash flow EUR'!M23-'cash flow EUR'!M28-'cash flow EUR'!M31)*0.15</f>
        <v>3691746.050119512</v>
      </c>
      <c r="O72" s="6">
        <f>O71-(O70-'cash flow EUR'!N23-'cash flow EUR'!N28-'cash flow EUR'!N31)*0.15</f>
        <v>3673811.6589347455</v>
      </c>
      <c r="P72" s="6">
        <f>P71-(P70-'cash flow EUR'!O23-'cash flow EUR'!O28-'cash flow EUR'!O31)*0.15</f>
        <v>3654890.876234817</v>
      </c>
      <c r="Q72" s="6">
        <f>Q71-(Q70-'cash flow EUR'!P23-'cash flow EUR'!P28-'cash flow EUR'!P31)*0.15</f>
        <v>3634929.450486392</v>
      </c>
      <c r="R72" s="6">
        <f>R71-(R70-'cash flow EUR'!Q23-'cash flow EUR'!Q28-'cash flow EUR'!Q31)*0.15</f>
        <v>3506770.146321804</v>
      </c>
      <c r="S72" s="6">
        <f>S71-(S70-'cash flow EUR'!R23-'cash flow EUR'!R28-'cash flow EUR'!R31)*0.15</f>
        <v>3484552.5804281635</v>
      </c>
      <c r="T72" s="6">
        <f>T71-(T70-'cash flow EUR'!S23-'cash flow EUR'!S28-'cash flow EUR'!S31)*0.15</f>
        <v>3461113.048410373</v>
      </c>
      <c r="U72" s="6">
        <f>U71-(U70-'cash flow EUR'!T23-'cash flow EUR'!T28-'cash flow EUR'!T31)*0.15</f>
        <v>3436384.342131604</v>
      </c>
      <c r="V72" s="6">
        <f>V71-(V70-'cash flow EUR'!U23-'cash flow EUR'!U28-'cash flow EUR'!U31)*0.15</f>
        <v>3436384.342131604</v>
      </c>
      <c r="W72" s="6">
        <f>W71-(W70-'cash flow EUR'!V23-'cash flow EUR'!V28-'cash flow EUR'!V31)*0.15</f>
        <v>3436384.342131604</v>
      </c>
      <c r="X72" s="6">
        <f>X71-(X70-'cash flow EUR'!W23-'cash flow EUR'!W28-'cash flow EUR'!W31)*0.15</f>
        <v>3436384.342131604</v>
      </c>
      <c r="Y72" s="6">
        <f>Y71-(Y70-'cash flow EUR'!X23-'cash flow EUR'!X28-'cash flow EUR'!X31)*0.15</f>
        <v>3436384.342131604</v>
      </c>
    </row>
    <row r="73" spans="1:25" ht="12.75">
      <c r="A73" s="1" t="s">
        <v>191</v>
      </c>
      <c r="B73" s="6"/>
      <c r="C73" s="6">
        <f>C72</f>
        <v>-37343072</v>
      </c>
      <c r="D73" s="6">
        <f>D72-'cash flow EUR'!C29-'cash flow EUR'!C32</f>
        <v>0</v>
      </c>
      <c r="E73" s="6">
        <f>E72-'cash flow EUR'!D29-'cash flow EUR'!D32</f>
        <v>0</v>
      </c>
      <c r="F73" s="6">
        <f>F71-(F70-F69-'cash flow EUR'!E23-'cash flow EUR'!E28-'cash flow EUR'!E31)*0.15-F69</f>
        <v>4047602.634531604</v>
      </c>
      <c r="G73" s="6">
        <f>G71-(G70-G69-'cash flow EUR'!F23-'cash flow EUR'!F28-'cash flow EUR'!F31)*0.15-G69</f>
        <v>4035916.6054895027</v>
      </c>
      <c r="H73" s="6">
        <f>H71-(H70-H69-'cash flow EUR'!G23-'cash flow EUR'!G28-'cash flow EUR'!G31)*0.15-H69</f>
        <v>4023587.844850085</v>
      </c>
      <c r="I73" s="6">
        <f>I71-(I70-I69-'cash flow EUR'!H23-'cash flow EUR'!H28-'cash flow EUR'!H31)*0.15-I69</f>
        <v>4010581.0023755003</v>
      </c>
      <c r="J73" s="6">
        <f>J71-(J70-J69-'cash flow EUR'!I23-'cash flow EUR'!I28-'cash flow EUR'!I31)*0.15-J69</f>
        <v>3996858.7835648134</v>
      </c>
      <c r="K73" s="6">
        <f>K71-(K70-K69-'cash flow EUR'!J23-'cash flow EUR'!J28-'cash flow EUR'!J31)*0.15-K69</f>
        <v>3740131.842719538</v>
      </c>
      <c r="L73" s="6">
        <f>L71-(L70-L69-'cash flow EUR'!K23-'cash flow EUR'!K28-'cash flow EUR'!K31)*0.15-L69</f>
        <v>3724858.670127773</v>
      </c>
      <c r="M73" s="6">
        <f>M71-(M70-M69-'cash flow EUR'!L23-'cash flow EUR'!L28-'cash flow EUR'!L31)*0.15-M69</f>
        <v>3708745.473043461</v>
      </c>
      <c r="N73" s="6">
        <f>N71-(N70-N69-'cash flow EUR'!M23-'cash flow EUR'!M28-'cash flow EUR'!M31)*0.15-N69</f>
        <v>3691746.050119512</v>
      </c>
      <c r="O73" s="6">
        <f>O71-(O70-O69-'cash flow EUR'!N23-'cash flow EUR'!N28-'cash flow EUR'!N31)*0.15-O69</f>
        <v>3673811.6589347455</v>
      </c>
      <c r="P73" s="6">
        <f>P71-(P70-P69-'cash flow EUR'!O23-'cash flow EUR'!O28-'cash flow EUR'!O31)*0.15-P69</f>
        <v>3654890.876234817</v>
      </c>
      <c r="Q73" s="6">
        <f>Q71-(Q70-Q69-'cash flow EUR'!P23-'cash flow EUR'!P28-'cash flow EUR'!P31)*0.15-Q69</f>
        <v>3634929.450486392</v>
      </c>
      <c r="R73" s="6">
        <f>R71-(R70-R69-'cash flow EUR'!Q23-'cash flow EUR'!Q28-'cash flow EUR'!Q31)*0.15-R69</f>
        <v>3506770.146321804</v>
      </c>
      <c r="S73" s="6">
        <f>S71-(S70-S69-'cash flow EUR'!R23-'cash flow EUR'!R28-'cash flow EUR'!R31)*0.15-S69</f>
        <v>3484552.5804281635</v>
      </c>
      <c r="T73" s="6">
        <f>T71-(T70-T69-'cash flow EUR'!S23-'cash flow EUR'!S28-'cash flow EUR'!S31)*0.15-T69</f>
        <v>3461113.048410373</v>
      </c>
      <c r="U73" s="6">
        <f>U71-(U70-U69-'cash flow EUR'!T23-'cash flow EUR'!T28-'cash flow EUR'!T31)*0.15-U69</f>
        <v>3436384.342131604</v>
      </c>
      <c r="V73" s="6">
        <f>V71-(V70-V69-'cash flow EUR'!U23-'cash flow EUR'!U28-'cash flow EUR'!U31)*0.15-V69</f>
        <v>3436384.342131604</v>
      </c>
      <c r="W73" s="6">
        <f>W71-(W70-W69-'cash flow EUR'!V23-'cash flow EUR'!V28-'cash flow EUR'!V31)*0.15-W69</f>
        <v>3436384.342131604</v>
      </c>
      <c r="X73" s="6">
        <f>X71-(X70-X69-'cash flow EUR'!W23-'cash flow EUR'!W28-'cash flow EUR'!W31)*0.15-X69</f>
        <v>3436384.342131604</v>
      </c>
      <c r="Y73" s="6">
        <f>Y71-(Y70-Y69-'cash flow EUR'!X23-'cash flow EUR'!X28-'cash flow EUR'!X31)*0.15-Y69</f>
        <v>3436384.342131604</v>
      </c>
    </row>
    <row r="74" spans="1:25" ht="12.75">
      <c r="A74" s="1" t="s">
        <v>63</v>
      </c>
      <c r="C74" s="6">
        <f>AVERAGE(E72:Y72)</f>
        <v>3535896.5688712425</v>
      </c>
      <c r="D74" s="6"/>
      <c r="E74" s="6"/>
      <c r="F74" s="6"/>
      <c r="G74" s="6"/>
      <c r="H74" s="6"/>
      <c r="I74" s="6"/>
      <c r="J74" s="6"/>
      <c r="K74" s="6"/>
      <c r="L74" s="6"/>
      <c r="M74" s="6"/>
      <c r="N74" s="6"/>
      <c r="O74" s="6"/>
      <c r="P74" s="6"/>
      <c r="Q74" s="6"/>
      <c r="R74" s="6"/>
      <c r="S74" s="6"/>
      <c r="T74" s="6"/>
      <c r="U74" s="6"/>
      <c r="V74" s="6"/>
      <c r="W74" s="6"/>
      <c r="X74" s="1"/>
      <c r="Y74" s="1"/>
    </row>
    <row r="75" spans="1:25" ht="12.75">
      <c r="A75" s="1" t="s">
        <v>49</v>
      </c>
      <c r="C75" s="37">
        <f>Assumptions!$C$15*1000/'sensitivity EUR'!C74</f>
        <v>10.561132451880786</v>
      </c>
      <c r="D75" s="6"/>
      <c r="E75" s="6"/>
      <c r="F75" s="6"/>
      <c r="G75" s="6"/>
      <c r="H75" s="6"/>
      <c r="I75" s="6"/>
      <c r="J75" s="6"/>
      <c r="K75" s="6"/>
      <c r="L75" s="6"/>
      <c r="M75" s="6"/>
      <c r="N75" s="6"/>
      <c r="O75" s="6"/>
      <c r="P75" s="6"/>
      <c r="Q75" s="6"/>
      <c r="R75" s="6"/>
      <c r="S75" s="6"/>
      <c r="T75" s="6"/>
      <c r="U75" s="6"/>
      <c r="V75" s="6"/>
      <c r="W75" s="6"/>
      <c r="X75" s="1"/>
      <c r="Y75" s="1"/>
    </row>
    <row r="76" spans="1:25" ht="12.75">
      <c r="A76" s="28" t="s">
        <v>53</v>
      </c>
      <c r="C76" s="29">
        <f>IRR(C72:Y72,0.01)</f>
        <v>0.06414753410696065</v>
      </c>
      <c r="D76" s="6"/>
      <c r="E76" s="6"/>
      <c r="F76" s="6"/>
      <c r="G76" s="6"/>
      <c r="H76" s="6"/>
      <c r="I76" s="6"/>
      <c r="J76" s="6"/>
      <c r="K76" s="6"/>
      <c r="L76" s="6"/>
      <c r="M76" s="6"/>
      <c r="N76" s="6"/>
      <c r="O76" s="6"/>
      <c r="P76" s="6"/>
      <c r="Q76" s="6"/>
      <c r="R76" s="6"/>
      <c r="S76" s="6"/>
      <c r="T76" s="6"/>
      <c r="U76" s="6"/>
      <c r="V76" s="6"/>
      <c r="W76" s="6"/>
      <c r="X76" s="1"/>
      <c r="Y76" s="1"/>
    </row>
    <row r="77" spans="1:3" ht="12.75">
      <c r="A77" s="28" t="s">
        <v>19</v>
      </c>
      <c r="C77" s="29">
        <f>IRR(C73:Y73,0.01)</f>
        <v>0.06261510673541607</v>
      </c>
    </row>
    <row r="78" spans="1:25" ht="12.75">
      <c r="A78" s="39"/>
      <c r="B78" s="40"/>
      <c r="C78" s="23"/>
      <c r="D78" s="23"/>
      <c r="E78" s="23"/>
      <c r="F78" s="23"/>
      <c r="G78" s="23"/>
      <c r="H78" s="23"/>
      <c r="I78" s="23"/>
      <c r="J78" s="23"/>
      <c r="K78" s="23"/>
      <c r="L78" s="23"/>
      <c r="M78" s="23"/>
      <c r="N78" s="23"/>
      <c r="O78" s="23"/>
      <c r="P78" s="23"/>
      <c r="Q78" s="23"/>
      <c r="R78" s="23"/>
      <c r="S78" s="23"/>
      <c r="T78" s="23"/>
      <c r="U78" s="23"/>
      <c r="V78" s="23"/>
      <c r="W78" s="23"/>
      <c r="X78" s="4"/>
      <c r="Y78" s="4"/>
    </row>
    <row r="79" spans="1:25" ht="12.75">
      <c r="A79" s="22" t="s">
        <v>59</v>
      </c>
      <c r="C79" s="38">
        <f>F2</f>
        <v>0.1</v>
      </c>
      <c r="D79" s="6">
        <v>0</v>
      </c>
      <c r="E79" s="6">
        <v>0</v>
      </c>
      <c r="F79" s="6">
        <f aca="true" t="shared" si="8" ref="F79:Y79">$F$4</f>
        <v>64680000</v>
      </c>
      <c r="G79" s="6">
        <f t="shared" si="8"/>
        <v>64680000</v>
      </c>
      <c r="H79" s="6">
        <f t="shared" si="8"/>
        <v>64680000</v>
      </c>
      <c r="I79" s="6">
        <f t="shared" si="8"/>
        <v>64680000</v>
      </c>
      <c r="J79" s="6">
        <f t="shared" si="8"/>
        <v>64680000</v>
      </c>
      <c r="K79" s="6">
        <f t="shared" si="8"/>
        <v>64680000</v>
      </c>
      <c r="L79" s="6">
        <f t="shared" si="8"/>
        <v>64680000</v>
      </c>
      <c r="M79" s="6">
        <f t="shared" si="8"/>
        <v>64680000</v>
      </c>
      <c r="N79" s="6">
        <f t="shared" si="8"/>
        <v>64680000</v>
      </c>
      <c r="O79" s="6">
        <f t="shared" si="8"/>
        <v>64680000</v>
      </c>
      <c r="P79" s="6">
        <f t="shared" si="8"/>
        <v>64680000</v>
      </c>
      <c r="Q79" s="6">
        <f t="shared" si="8"/>
        <v>64680000</v>
      </c>
      <c r="R79" s="6">
        <f t="shared" si="8"/>
        <v>64680000</v>
      </c>
      <c r="S79" s="6">
        <f t="shared" si="8"/>
        <v>64680000</v>
      </c>
      <c r="T79" s="6">
        <f t="shared" si="8"/>
        <v>64680000</v>
      </c>
      <c r="U79" s="6">
        <f t="shared" si="8"/>
        <v>64680000</v>
      </c>
      <c r="V79" s="6">
        <f t="shared" si="8"/>
        <v>64680000</v>
      </c>
      <c r="W79" s="6">
        <f t="shared" si="8"/>
        <v>64680000</v>
      </c>
      <c r="X79" s="6">
        <f t="shared" si="8"/>
        <v>64680000</v>
      </c>
      <c r="Y79" s="6">
        <f t="shared" si="8"/>
        <v>64680000</v>
      </c>
    </row>
    <row r="80" spans="1:25" ht="12.75">
      <c r="A80" s="1" t="s">
        <v>60</v>
      </c>
      <c r="B80" s="1"/>
      <c r="C80" s="6"/>
      <c r="D80" s="6">
        <f>'cash flow EUR'!$B$60*D79</f>
        <v>0</v>
      </c>
      <c r="E80" s="6">
        <f>'cash flow EUR'!$B$60*E79</f>
        <v>0</v>
      </c>
      <c r="F80" s="6">
        <f>'cash flow EUR'!$B$60*F79</f>
        <v>5619786.839666358</v>
      </c>
      <c r="G80" s="6">
        <f>'cash flow EUR'!$B$60*G79</f>
        <v>5619786.839666358</v>
      </c>
      <c r="H80" s="6">
        <f>'cash flow EUR'!$B$60*H79</f>
        <v>5619786.839666358</v>
      </c>
      <c r="I80" s="6">
        <f>'cash flow EUR'!$B$60*I79</f>
        <v>5619786.839666358</v>
      </c>
      <c r="J80" s="6">
        <f>'cash flow EUR'!$B$60*J79</f>
        <v>5619786.839666358</v>
      </c>
      <c r="K80" s="6">
        <f>'cash flow EUR'!$B$60*K79</f>
        <v>5619786.839666358</v>
      </c>
      <c r="L80" s="6">
        <f>'cash flow EUR'!$B$60*L79</f>
        <v>5619786.839666358</v>
      </c>
      <c r="M80" s="6">
        <f>'cash flow EUR'!$B$60*M79</f>
        <v>5619786.839666358</v>
      </c>
      <c r="N80" s="6">
        <f>'cash flow EUR'!$B$60*N79</f>
        <v>5619786.839666358</v>
      </c>
      <c r="O80" s="6">
        <f>'cash flow EUR'!$B$60*O79</f>
        <v>5619786.839666358</v>
      </c>
      <c r="P80" s="6">
        <f>'cash flow EUR'!$B$60*P79</f>
        <v>5619786.839666358</v>
      </c>
      <c r="Q80" s="6">
        <f>'cash flow EUR'!$B$60*Q79</f>
        <v>5619786.839666358</v>
      </c>
      <c r="R80" s="6">
        <f>'cash flow EUR'!$B$60*R79</f>
        <v>5619786.839666358</v>
      </c>
      <c r="S80" s="6">
        <f>'cash flow EUR'!$B$60*S79</f>
        <v>5619786.839666358</v>
      </c>
      <c r="T80" s="6">
        <f>'cash flow EUR'!$B$60*T79</f>
        <v>5619786.839666358</v>
      </c>
      <c r="U80" s="6">
        <f>'cash flow EUR'!$B$60*U79</f>
        <v>5619786.839666358</v>
      </c>
      <c r="V80" s="6">
        <f>'cash flow EUR'!$B$60*V79</f>
        <v>5619786.839666358</v>
      </c>
      <c r="W80" s="6">
        <f>'cash flow EUR'!$B$60*W79</f>
        <v>5619786.839666358</v>
      </c>
      <c r="X80" s="6">
        <f>'cash flow EUR'!$B$60*X79</f>
        <v>5619786.839666358</v>
      </c>
      <c r="Y80" s="6">
        <f>'cash flow EUR'!$B$60*Y79</f>
        <v>5619786.839666358</v>
      </c>
    </row>
    <row r="81" spans="1:25" ht="12.75">
      <c r="A81" s="1" t="s">
        <v>61</v>
      </c>
      <c r="B81" s="1"/>
      <c r="C81" s="6"/>
      <c r="D81" s="6">
        <f>D79/1000*'cash flow EUR'!$B$59*'cash flow EUR'!$B$61</f>
        <v>0</v>
      </c>
      <c r="E81" s="6">
        <f>E79/1000*'cash flow EUR'!$B$59*'cash flow EUR'!$B$61</f>
        <v>0</v>
      </c>
      <c r="F81" s="6">
        <f>F79/1000*'cash flow EUR'!$B$59*'cash flow EUR'!$B$61</f>
        <v>485876.16000000003</v>
      </c>
      <c r="G81" s="6">
        <f>G79/1000*'cash flow EUR'!$B$59*'cash flow EUR'!$B$61</f>
        <v>485876.16000000003</v>
      </c>
      <c r="H81" s="6"/>
      <c r="I81" s="6"/>
      <c r="J81" s="6"/>
      <c r="K81" s="6"/>
      <c r="L81" s="6"/>
      <c r="M81" s="6"/>
      <c r="N81" s="6"/>
      <c r="O81" s="6"/>
      <c r="P81" s="6"/>
      <c r="Q81" s="6"/>
      <c r="R81" s="6"/>
      <c r="S81" s="6"/>
      <c r="T81" s="6"/>
      <c r="U81" s="6"/>
      <c r="V81" s="6"/>
      <c r="W81" s="6"/>
      <c r="X81" s="6"/>
      <c r="Y81" s="6"/>
    </row>
    <row r="82" spans="1:25" ht="12.75">
      <c r="A82" s="1" t="s">
        <v>62</v>
      </c>
      <c r="B82" s="1"/>
      <c r="C82" s="6"/>
      <c r="D82" s="6">
        <f aca="true" t="shared" si="9" ref="D82:Y82">SUM(D80:D81)</f>
        <v>0</v>
      </c>
      <c r="E82" s="6">
        <f t="shared" si="9"/>
        <v>0</v>
      </c>
      <c r="F82" s="6">
        <f t="shared" si="9"/>
        <v>6105662.999666358</v>
      </c>
      <c r="G82" s="6">
        <f t="shared" si="9"/>
        <v>6105662.999666358</v>
      </c>
      <c r="H82" s="6">
        <f t="shared" si="9"/>
        <v>5619786.839666358</v>
      </c>
      <c r="I82" s="6">
        <f t="shared" si="9"/>
        <v>5619786.839666358</v>
      </c>
      <c r="J82" s="6">
        <f t="shared" si="9"/>
        <v>5619786.839666358</v>
      </c>
      <c r="K82" s="6">
        <f t="shared" si="9"/>
        <v>5619786.839666358</v>
      </c>
      <c r="L82" s="6">
        <f t="shared" si="9"/>
        <v>5619786.839666358</v>
      </c>
      <c r="M82" s="6">
        <f t="shared" si="9"/>
        <v>5619786.839666358</v>
      </c>
      <c r="N82" s="6">
        <f t="shared" si="9"/>
        <v>5619786.839666358</v>
      </c>
      <c r="O82" s="6">
        <f t="shared" si="9"/>
        <v>5619786.839666358</v>
      </c>
      <c r="P82" s="6">
        <f t="shared" si="9"/>
        <v>5619786.839666358</v>
      </c>
      <c r="Q82" s="6">
        <f t="shared" si="9"/>
        <v>5619786.839666358</v>
      </c>
      <c r="R82" s="6">
        <f t="shared" si="9"/>
        <v>5619786.839666358</v>
      </c>
      <c r="S82" s="6">
        <f t="shared" si="9"/>
        <v>5619786.839666358</v>
      </c>
      <c r="T82" s="6">
        <f t="shared" si="9"/>
        <v>5619786.839666358</v>
      </c>
      <c r="U82" s="6">
        <f t="shared" si="9"/>
        <v>5619786.839666358</v>
      </c>
      <c r="V82" s="6">
        <f t="shared" si="9"/>
        <v>5619786.839666358</v>
      </c>
      <c r="W82" s="6">
        <f t="shared" si="9"/>
        <v>5619786.839666358</v>
      </c>
      <c r="X82" s="6">
        <f t="shared" si="9"/>
        <v>5619786.839666358</v>
      </c>
      <c r="Y82" s="6">
        <f t="shared" si="9"/>
        <v>5619786.839666358</v>
      </c>
    </row>
    <row r="83" spans="1:25" ht="12.75">
      <c r="A83" s="21" t="s">
        <v>56</v>
      </c>
      <c r="B83" s="2"/>
      <c r="C83" s="6"/>
      <c r="D83" s="6">
        <f>D82-'cash flow EUR'!C23</f>
        <v>0</v>
      </c>
      <c r="E83" s="6">
        <f>E82-'cash flow EUR'!D23</f>
        <v>0</v>
      </c>
      <c r="F83" s="6">
        <f>F82-'cash flow EUR'!E23</f>
        <v>5631962.999666358</v>
      </c>
      <c r="G83" s="6">
        <f>G82-'cash flow EUR'!F23</f>
        <v>5631962.999666358</v>
      </c>
      <c r="H83" s="6">
        <f>H82-'cash flow EUR'!G23</f>
        <v>5146086.839666358</v>
      </c>
      <c r="I83" s="6">
        <f>I82-'cash flow EUR'!H23</f>
        <v>5146086.839666358</v>
      </c>
      <c r="J83" s="6">
        <f>J82-'cash flow EUR'!I23</f>
        <v>5146086.839666358</v>
      </c>
      <c r="K83" s="6">
        <f>K82-'cash flow EUR'!J23</f>
        <v>4861086.839666358</v>
      </c>
      <c r="L83" s="6">
        <f>L82-'cash flow EUR'!K23</f>
        <v>4861086.839666358</v>
      </c>
      <c r="M83" s="6">
        <f>M82-'cash flow EUR'!L23</f>
        <v>4861086.839666358</v>
      </c>
      <c r="N83" s="6">
        <f>N82-'cash flow EUR'!M23</f>
        <v>4861086.839666358</v>
      </c>
      <c r="O83" s="6">
        <f>O82-'cash flow EUR'!N23</f>
        <v>4861086.839666358</v>
      </c>
      <c r="P83" s="6">
        <f>P82-'cash flow EUR'!O23</f>
        <v>4861086.839666358</v>
      </c>
      <c r="Q83" s="6">
        <f>Q82-'cash flow EUR'!P23</f>
        <v>4861086.839666358</v>
      </c>
      <c r="R83" s="6">
        <f>R82-'cash flow EUR'!Q23</f>
        <v>4735086.839666358</v>
      </c>
      <c r="S83" s="6">
        <f>S82-'cash flow EUR'!R23</f>
        <v>4735086.839666358</v>
      </c>
      <c r="T83" s="6">
        <f>T82-'cash flow EUR'!S23</f>
        <v>4735086.839666358</v>
      </c>
      <c r="U83" s="6">
        <f>U82-'cash flow EUR'!T23</f>
        <v>4735086.839666358</v>
      </c>
      <c r="V83" s="6">
        <f>V82-'cash flow EUR'!U23</f>
        <v>4735086.839666358</v>
      </c>
      <c r="W83" s="6">
        <f>W82-'cash flow EUR'!V23</f>
        <v>4735086.839666358</v>
      </c>
      <c r="X83" s="6">
        <f>X82-'cash flow EUR'!W23</f>
        <v>4735086.839666358</v>
      </c>
      <c r="Y83" s="6">
        <f>Y82-'cash flow EUR'!X23</f>
        <v>4735086.839666358</v>
      </c>
    </row>
    <row r="84" spans="1:25" ht="12.75">
      <c r="A84" s="1" t="s">
        <v>58</v>
      </c>
      <c r="C84" s="6">
        <f>0-Assumptions!$C$15*1000</f>
        <v>-37343072</v>
      </c>
      <c r="D84" s="6">
        <f>D83-'cash flow EUR'!C28-'cash flow EUR'!C31</f>
        <v>0</v>
      </c>
      <c r="E84" s="6">
        <f>E83-'cash flow EUR'!D28-'cash flow EUR'!D31</f>
        <v>0</v>
      </c>
      <c r="F84" s="6">
        <f>F83-(F82-'cash flow EUR'!E23-'cash flow EUR'!E28-'cash flow EUR'!E31)*0.15</f>
        <v>5329109.882116404</v>
      </c>
      <c r="G84" s="6">
        <f>G83-(G82-'cash flow EUR'!F23-'cash flow EUR'!F28-'cash flow EUR'!F31)*0.15</f>
        <v>5317423.853074303</v>
      </c>
      <c r="H84" s="6">
        <f>H83-(H82-'cash flow EUR'!G23-'cash flow EUR'!G28-'cash flow EUR'!G31)*0.15</f>
        <v>4892100.356434886</v>
      </c>
      <c r="I84" s="6">
        <f>I83-(I82-'cash flow EUR'!H23-'cash flow EUR'!H28-'cash flow EUR'!H31)*0.15</f>
        <v>4879093.513960301</v>
      </c>
      <c r="J84" s="6">
        <f>J83-(J82-'cash flow EUR'!I23-'cash flow EUR'!I28-'cash flow EUR'!I31)*0.15</f>
        <v>4865371.295149614</v>
      </c>
      <c r="K84" s="6">
        <f>K83-(K82-'cash flow EUR'!J23-'cash flow EUR'!J28-'cash flow EUR'!J31)*0.15</f>
        <v>4608644.354304339</v>
      </c>
      <c r="L84" s="6">
        <f>L83-(L82-'cash flow EUR'!K23-'cash flow EUR'!K28-'cash flow EUR'!K31)*0.15</f>
        <v>4593371.181712574</v>
      </c>
      <c r="M84" s="6">
        <f>M83-(M82-'cash flow EUR'!L23-'cash flow EUR'!L28-'cash flow EUR'!L31)*0.15</f>
        <v>4577257.984628262</v>
      </c>
      <c r="N84" s="6">
        <f>N83-(N82-'cash flow EUR'!M23-'cash flow EUR'!M28-'cash flow EUR'!M31)*0.15</f>
        <v>4560258.561704312</v>
      </c>
      <c r="O84" s="6">
        <f>O83-(O82-'cash flow EUR'!N23-'cash flow EUR'!N28-'cash flow EUR'!N31)*0.15</f>
        <v>4542324.170519546</v>
      </c>
      <c r="P84" s="6">
        <f>P83-(P82-'cash flow EUR'!O23-'cash flow EUR'!O28-'cash flow EUR'!O31)*0.15</f>
        <v>4523403.387819617</v>
      </c>
      <c r="Q84" s="6">
        <f>Q83-(Q82-'cash flow EUR'!P23-'cash flow EUR'!P28-'cash flow EUR'!P31)*0.15</f>
        <v>4503441.962071192</v>
      </c>
      <c r="R84" s="6">
        <f>R83-(R82-'cash flow EUR'!Q23-'cash flow EUR'!Q28-'cash flow EUR'!Q31)*0.15</f>
        <v>4375282.657906605</v>
      </c>
      <c r="S84" s="6">
        <f>S83-(S82-'cash flow EUR'!R23-'cash flow EUR'!R28-'cash flow EUR'!R31)*0.15</f>
        <v>4353065.092012964</v>
      </c>
      <c r="T84" s="6">
        <f>T83-(T82-'cash flow EUR'!S23-'cash flow EUR'!S28-'cash flow EUR'!S31)*0.15</f>
        <v>4329625.5599951735</v>
      </c>
      <c r="U84" s="6">
        <f>U83-(U82-'cash flow EUR'!T23-'cash flow EUR'!T28-'cash flow EUR'!T31)*0.15</f>
        <v>4304896.853716404</v>
      </c>
      <c r="V84" s="6">
        <f>V83-(V82-'cash flow EUR'!U23-'cash flow EUR'!U28-'cash flow EUR'!U31)*0.15</f>
        <v>4304896.853716404</v>
      </c>
      <c r="W84" s="6">
        <f>W83-(W82-'cash flow EUR'!V23-'cash flow EUR'!V28-'cash flow EUR'!V31)*0.15</f>
        <v>4304896.853716404</v>
      </c>
      <c r="X84" s="6">
        <f>X83-(X82-'cash flow EUR'!W23-'cash flow EUR'!W28-'cash flow EUR'!W31)*0.15</f>
        <v>4304896.853716404</v>
      </c>
      <c r="Y84" s="6">
        <f>Y83-(Y82-'cash flow EUR'!X23-'cash flow EUR'!X28-'cash flow EUR'!X31)*0.15</f>
        <v>4304896.853716404</v>
      </c>
    </row>
    <row r="85" spans="1:25" ht="12.75">
      <c r="A85" s="1" t="s">
        <v>191</v>
      </c>
      <c r="B85" s="6"/>
      <c r="C85" s="6">
        <f>C84</f>
        <v>-37343072</v>
      </c>
      <c r="D85" s="6">
        <f>D84-'cash flow EUR'!C29-'cash flow EUR'!C32</f>
        <v>0</v>
      </c>
      <c r="E85" s="6">
        <f>E84-'cash flow EUR'!D29-'cash flow EUR'!D32</f>
        <v>0</v>
      </c>
      <c r="F85" s="6">
        <f>F83-(F82-F81-'cash flow EUR'!E23-'cash flow EUR'!E28-'cash flow EUR'!E31)*0.15-F81</f>
        <v>4916115.146116405</v>
      </c>
      <c r="G85" s="6">
        <f>G83-(G82-G81-'cash flow EUR'!F23-'cash flow EUR'!F28-'cash flow EUR'!F31)*0.15-G81</f>
        <v>4904429.117074303</v>
      </c>
      <c r="H85" s="6">
        <f>H83-(H82-H81-'cash flow EUR'!G23-'cash flow EUR'!G28-'cash flow EUR'!G31)*0.15-H81</f>
        <v>4892100.356434886</v>
      </c>
      <c r="I85" s="6">
        <f>I83-(I82-I81-'cash flow EUR'!H23-'cash flow EUR'!H28-'cash flow EUR'!H31)*0.15-I81</f>
        <v>4879093.513960301</v>
      </c>
      <c r="J85" s="6">
        <f>J83-(J82-J81-'cash flow EUR'!I23-'cash flow EUR'!I28-'cash flow EUR'!I31)*0.15-J81</f>
        <v>4865371.295149614</v>
      </c>
      <c r="K85" s="6">
        <f>K83-(K82-K81-'cash flow EUR'!J23-'cash flow EUR'!J28-'cash flow EUR'!J31)*0.15-K81</f>
        <v>4608644.354304339</v>
      </c>
      <c r="L85" s="6">
        <f>L83-(L82-L81-'cash flow EUR'!K23-'cash flow EUR'!K28-'cash flow EUR'!K31)*0.15-L81</f>
        <v>4593371.181712574</v>
      </c>
      <c r="M85" s="6">
        <f>M83-(M82-M81-'cash flow EUR'!L23-'cash flow EUR'!L28-'cash flow EUR'!L31)*0.15-M81</f>
        <v>4577257.984628262</v>
      </c>
      <c r="N85" s="6">
        <f>N83-(N82-N81-'cash flow EUR'!M23-'cash flow EUR'!M28-'cash flow EUR'!M31)*0.15-N81</f>
        <v>4560258.561704312</v>
      </c>
      <c r="O85" s="6">
        <f>O83-(O82-O81-'cash flow EUR'!N23-'cash flow EUR'!N28-'cash flow EUR'!N31)*0.15-O81</f>
        <v>4542324.170519546</v>
      </c>
      <c r="P85" s="6">
        <f>P83-(P82-P81-'cash flow EUR'!O23-'cash flow EUR'!O28-'cash flow EUR'!O31)*0.15-P81</f>
        <v>4523403.387819617</v>
      </c>
      <c r="Q85" s="6">
        <f>Q83-(Q82-Q81-'cash flow EUR'!P23-'cash flow EUR'!P28-'cash flow EUR'!P31)*0.15-Q81</f>
        <v>4503441.962071192</v>
      </c>
      <c r="R85" s="6">
        <f>R83-(R82-R81-'cash flow EUR'!Q23-'cash flow EUR'!Q28-'cash flow EUR'!Q31)*0.15-R81</f>
        <v>4375282.657906605</v>
      </c>
      <c r="S85" s="6">
        <f>S83-(S82-S81-'cash flow EUR'!R23-'cash flow EUR'!R28-'cash flow EUR'!R31)*0.15-S81</f>
        <v>4353065.092012964</v>
      </c>
      <c r="T85" s="6">
        <f>T83-(T82-T81-'cash flow EUR'!S23-'cash flow EUR'!S28-'cash flow EUR'!S31)*0.15-T81</f>
        <v>4329625.5599951735</v>
      </c>
      <c r="U85" s="6">
        <f>U83-(U82-U81-'cash flow EUR'!T23-'cash flow EUR'!T28-'cash flow EUR'!T31)*0.15-U81</f>
        <v>4304896.853716404</v>
      </c>
      <c r="V85" s="6">
        <f>V83-(V82-V81-'cash flow EUR'!U23-'cash flow EUR'!U28-'cash flow EUR'!U31)*0.15-V81</f>
        <v>4304896.853716404</v>
      </c>
      <c r="W85" s="6">
        <f>W83-(W82-W81-'cash flow EUR'!V23-'cash flow EUR'!V28-'cash flow EUR'!V31)*0.15-W81</f>
        <v>4304896.853716404</v>
      </c>
      <c r="X85" s="6">
        <f>X83-(X82-X81-'cash flow EUR'!W23-'cash flow EUR'!W28-'cash flow EUR'!W31)*0.15-X81</f>
        <v>4304896.853716404</v>
      </c>
      <c r="Y85" s="6">
        <f>Y83-(Y82-Y81-'cash flow EUR'!X23-'cash flow EUR'!X28-'cash flow EUR'!X31)*0.15-Y81</f>
        <v>4304896.853716404</v>
      </c>
    </row>
    <row r="86" spans="1:25" ht="12.75">
      <c r="A86" s="1" t="s">
        <v>63</v>
      </c>
      <c r="C86" s="6">
        <f>AVERAGE(F84:Y84)</f>
        <v>4588712.904099606</v>
      </c>
      <c r="D86" s="6"/>
      <c r="E86" s="6"/>
      <c r="F86" s="6"/>
      <c r="G86" s="6"/>
      <c r="H86" s="6"/>
      <c r="I86" s="6"/>
      <c r="J86" s="6"/>
      <c r="K86" s="6"/>
      <c r="L86" s="6"/>
      <c r="M86" s="6"/>
      <c r="N86" s="6"/>
      <c r="O86" s="6"/>
      <c r="P86" s="6"/>
      <c r="Q86" s="6"/>
      <c r="R86" s="6"/>
      <c r="S86" s="6"/>
      <c r="T86" s="6"/>
      <c r="U86" s="6"/>
      <c r="V86" s="6"/>
      <c r="W86" s="6"/>
      <c r="X86" s="1"/>
      <c r="Y86" s="1"/>
    </row>
    <row r="87" spans="1:25" ht="12.75">
      <c r="A87" s="1" t="s">
        <v>49</v>
      </c>
      <c r="C87" s="37">
        <f>Assumptions!$C$15*1000/'sensitivity EUR'!C86</f>
        <v>8.138027542894935</v>
      </c>
      <c r="D87" s="6"/>
      <c r="E87" s="6"/>
      <c r="F87" s="6"/>
      <c r="G87" s="6"/>
      <c r="H87" s="6"/>
      <c r="I87" s="6"/>
      <c r="J87" s="6"/>
      <c r="K87" s="6"/>
      <c r="L87" s="6"/>
      <c r="M87" s="6"/>
      <c r="N87" s="6"/>
      <c r="O87" s="6"/>
      <c r="P87" s="6"/>
      <c r="Q87" s="6"/>
      <c r="R87" s="6"/>
      <c r="S87" s="6"/>
      <c r="T87" s="6"/>
      <c r="U87" s="6"/>
      <c r="V87" s="6"/>
      <c r="W87" s="6"/>
      <c r="X87" s="1"/>
      <c r="Y87" s="1"/>
    </row>
    <row r="88" spans="1:25" ht="12.75">
      <c r="A88" s="28" t="s">
        <v>53</v>
      </c>
      <c r="C88" s="29">
        <f>IRR(C84:Y84,0.01)</f>
        <v>0.08694869409428936</v>
      </c>
      <c r="D88" s="6"/>
      <c r="E88" s="6"/>
      <c r="F88" s="6"/>
      <c r="G88" s="6"/>
      <c r="H88" s="6"/>
      <c r="I88" s="6"/>
      <c r="J88" s="6"/>
      <c r="K88" s="6"/>
      <c r="L88" s="6"/>
      <c r="M88" s="6"/>
      <c r="N88" s="6"/>
      <c r="O88" s="6"/>
      <c r="P88" s="6"/>
      <c r="Q88" s="6"/>
      <c r="R88" s="6"/>
      <c r="S88" s="6"/>
      <c r="T88" s="6"/>
      <c r="U88" s="6"/>
      <c r="V88" s="6"/>
      <c r="W88" s="6"/>
      <c r="X88" s="1"/>
      <c r="Y88" s="1"/>
    </row>
    <row r="89" spans="1:3" ht="12.75">
      <c r="A89" s="28" t="s">
        <v>19</v>
      </c>
      <c r="C89" s="29">
        <f>IRR(C85:Y85,0.01)</f>
        <v>0.08506672467916843</v>
      </c>
    </row>
    <row r="90" spans="1:25" ht="12.75">
      <c r="A90" s="39"/>
      <c r="B90" s="40"/>
      <c r="C90" s="23"/>
      <c r="D90" s="23"/>
      <c r="E90" s="23"/>
      <c r="F90" s="23"/>
      <c r="G90" s="23"/>
      <c r="H90" s="23"/>
      <c r="I90" s="23"/>
      <c r="J90" s="23"/>
      <c r="K90" s="23"/>
      <c r="L90" s="23"/>
      <c r="M90" s="23"/>
      <c r="N90" s="23"/>
      <c r="O90" s="23"/>
      <c r="P90" s="23"/>
      <c r="Q90" s="23"/>
      <c r="R90" s="23"/>
      <c r="S90" s="23"/>
      <c r="T90" s="23"/>
      <c r="U90" s="23"/>
      <c r="V90" s="23"/>
      <c r="W90" s="23"/>
      <c r="X90" s="4"/>
      <c r="Y90" s="4"/>
    </row>
    <row r="91" spans="1:25" ht="12.75">
      <c r="A91" s="22" t="s">
        <v>59</v>
      </c>
      <c r="C91" s="38">
        <f>G2</f>
        <v>0.2</v>
      </c>
      <c r="D91" s="6">
        <v>0</v>
      </c>
      <c r="E91" s="6">
        <v>0</v>
      </c>
      <c r="F91" s="6">
        <f aca="true" t="shared" si="10" ref="F91:Y91">$G$4</f>
        <v>70560000</v>
      </c>
      <c r="G91" s="6">
        <f t="shared" si="10"/>
        <v>70560000</v>
      </c>
      <c r="H91" s="6">
        <f t="shared" si="10"/>
        <v>70560000</v>
      </c>
      <c r="I91" s="6">
        <f t="shared" si="10"/>
        <v>70560000</v>
      </c>
      <c r="J91" s="6">
        <f t="shared" si="10"/>
        <v>70560000</v>
      </c>
      <c r="K91" s="6">
        <f t="shared" si="10"/>
        <v>70560000</v>
      </c>
      <c r="L91" s="6">
        <f t="shared" si="10"/>
        <v>70560000</v>
      </c>
      <c r="M91" s="6">
        <f t="shared" si="10"/>
        <v>70560000</v>
      </c>
      <c r="N91" s="6">
        <f t="shared" si="10"/>
        <v>70560000</v>
      </c>
      <c r="O91" s="6">
        <f t="shared" si="10"/>
        <v>70560000</v>
      </c>
      <c r="P91" s="6">
        <f t="shared" si="10"/>
        <v>70560000</v>
      </c>
      <c r="Q91" s="6">
        <f t="shared" si="10"/>
        <v>70560000</v>
      </c>
      <c r="R91" s="6">
        <f t="shared" si="10"/>
        <v>70560000</v>
      </c>
      <c r="S91" s="6">
        <f t="shared" si="10"/>
        <v>70560000</v>
      </c>
      <c r="T91" s="6">
        <f t="shared" si="10"/>
        <v>70560000</v>
      </c>
      <c r="U91" s="6">
        <f t="shared" si="10"/>
        <v>70560000</v>
      </c>
      <c r="V91" s="6">
        <f t="shared" si="10"/>
        <v>70560000</v>
      </c>
      <c r="W91" s="6">
        <f t="shared" si="10"/>
        <v>70560000</v>
      </c>
      <c r="X91" s="6">
        <f t="shared" si="10"/>
        <v>70560000</v>
      </c>
      <c r="Y91" s="6">
        <f t="shared" si="10"/>
        <v>70560000</v>
      </c>
    </row>
    <row r="92" spans="1:25" ht="12.75">
      <c r="A92" s="1" t="s">
        <v>60</v>
      </c>
      <c r="B92" s="1"/>
      <c r="C92" s="6"/>
      <c r="D92" s="6">
        <f>'cash flow EUR'!$B$60*D91</f>
        <v>0</v>
      </c>
      <c r="E92" s="6">
        <f>'cash flow EUR'!$B$60*E91</f>
        <v>0</v>
      </c>
      <c r="F92" s="6">
        <f>'cash flow EUR'!$B$60*F91</f>
        <v>6130676.5523633</v>
      </c>
      <c r="G92" s="6">
        <f>'cash flow EUR'!$B$60*G91</f>
        <v>6130676.5523633</v>
      </c>
      <c r="H92" s="6">
        <f>'cash flow EUR'!$B$60*H91</f>
        <v>6130676.5523633</v>
      </c>
      <c r="I92" s="6">
        <f>'cash flow EUR'!$B$60*I91</f>
        <v>6130676.5523633</v>
      </c>
      <c r="J92" s="6">
        <f>'cash flow EUR'!$B$60*J91</f>
        <v>6130676.5523633</v>
      </c>
      <c r="K92" s="6">
        <f>'cash flow EUR'!$B$60*K91</f>
        <v>6130676.5523633</v>
      </c>
      <c r="L92" s="6">
        <f>'cash flow EUR'!$B$60*L91</f>
        <v>6130676.5523633</v>
      </c>
      <c r="M92" s="6">
        <f>'cash flow EUR'!$B$60*M91</f>
        <v>6130676.5523633</v>
      </c>
      <c r="N92" s="6">
        <f>'cash flow EUR'!$B$60*N91</f>
        <v>6130676.5523633</v>
      </c>
      <c r="O92" s="6">
        <f>'cash flow EUR'!$B$60*O91</f>
        <v>6130676.5523633</v>
      </c>
      <c r="P92" s="6">
        <f>'cash flow EUR'!$B$60*P91</f>
        <v>6130676.5523633</v>
      </c>
      <c r="Q92" s="6">
        <f>'cash flow EUR'!$B$60*Q91</f>
        <v>6130676.5523633</v>
      </c>
      <c r="R92" s="6">
        <f>'cash flow EUR'!$B$60*R91</f>
        <v>6130676.5523633</v>
      </c>
      <c r="S92" s="6">
        <f>'cash flow EUR'!$B$60*S91</f>
        <v>6130676.5523633</v>
      </c>
      <c r="T92" s="6">
        <f>'cash flow EUR'!$B$60*T91</f>
        <v>6130676.5523633</v>
      </c>
      <c r="U92" s="6">
        <f>'cash flow EUR'!$B$60*U91</f>
        <v>6130676.5523633</v>
      </c>
      <c r="V92" s="6">
        <f>'cash flow EUR'!$B$60*V91</f>
        <v>6130676.5523633</v>
      </c>
      <c r="W92" s="6">
        <f>'cash flow EUR'!$B$60*W91</f>
        <v>6130676.5523633</v>
      </c>
      <c r="X92" s="6">
        <f>'cash flow EUR'!$B$60*X91</f>
        <v>6130676.5523633</v>
      </c>
      <c r="Y92" s="6">
        <f>'cash flow EUR'!$B$60*Y91</f>
        <v>6130676.5523633</v>
      </c>
    </row>
    <row r="93" spans="1:25" ht="12.75">
      <c r="A93" s="1" t="s">
        <v>61</v>
      </c>
      <c r="B93" s="1"/>
      <c r="C93" s="6"/>
      <c r="D93" s="6">
        <f>D91/1000*'cash flow EUR'!$B$59*'cash flow EUR'!$B$61</f>
        <v>0</v>
      </c>
      <c r="E93" s="6">
        <f>E91/1000*'cash flow EUR'!$B$59*'cash flow EUR'!$B$61</f>
        <v>0</v>
      </c>
      <c r="F93" s="6">
        <f>F91/1000*'cash flow EUR'!$B$59*'cash flow EUR'!$B$61</f>
        <v>530046.72</v>
      </c>
      <c r="G93" s="6">
        <f>G91/1000*'cash flow EUR'!$B$59*'cash flow EUR'!$B$61</f>
        <v>530046.72</v>
      </c>
      <c r="H93" s="6"/>
      <c r="I93" s="6"/>
      <c r="J93" s="6"/>
      <c r="K93" s="6"/>
      <c r="L93" s="6"/>
      <c r="M93" s="6"/>
      <c r="N93" s="6"/>
      <c r="O93" s="6"/>
      <c r="P93" s="6"/>
      <c r="Q93" s="6"/>
      <c r="R93" s="6"/>
      <c r="S93" s="6"/>
      <c r="T93" s="6"/>
      <c r="U93" s="6"/>
      <c r="V93" s="6"/>
      <c r="W93" s="6"/>
      <c r="X93" s="6"/>
      <c r="Y93" s="6"/>
    </row>
    <row r="94" spans="1:25" ht="12.75">
      <c r="A94" s="1" t="s">
        <v>62</v>
      </c>
      <c r="B94" s="1"/>
      <c r="C94" s="6"/>
      <c r="D94" s="6">
        <f aca="true" t="shared" si="11" ref="D94:Y94">SUM(D92:D93)</f>
        <v>0</v>
      </c>
      <c r="E94" s="6">
        <f t="shared" si="11"/>
        <v>0</v>
      </c>
      <c r="F94" s="6">
        <f>SUM(F92:F93)</f>
        <v>6660723.2723632995</v>
      </c>
      <c r="G94" s="6">
        <f t="shared" si="11"/>
        <v>6660723.2723632995</v>
      </c>
      <c r="H94" s="6">
        <f t="shared" si="11"/>
        <v>6130676.5523633</v>
      </c>
      <c r="I94" s="6">
        <f t="shared" si="11"/>
        <v>6130676.5523633</v>
      </c>
      <c r="J94" s="6">
        <f t="shared" si="11"/>
        <v>6130676.5523633</v>
      </c>
      <c r="K94" s="6">
        <f t="shared" si="11"/>
        <v>6130676.5523633</v>
      </c>
      <c r="L94" s="6">
        <f t="shared" si="11"/>
        <v>6130676.5523633</v>
      </c>
      <c r="M94" s="6">
        <f t="shared" si="11"/>
        <v>6130676.5523633</v>
      </c>
      <c r="N94" s="6">
        <f t="shared" si="11"/>
        <v>6130676.5523633</v>
      </c>
      <c r="O94" s="6">
        <f t="shared" si="11"/>
        <v>6130676.5523633</v>
      </c>
      <c r="P94" s="6">
        <f t="shared" si="11"/>
        <v>6130676.5523633</v>
      </c>
      <c r="Q94" s="6">
        <f t="shared" si="11"/>
        <v>6130676.5523633</v>
      </c>
      <c r="R94" s="6">
        <f t="shared" si="11"/>
        <v>6130676.5523633</v>
      </c>
      <c r="S94" s="6">
        <f t="shared" si="11"/>
        <v>6130676.5523633</v>
      </c>
      <c r="T94" s="6">
        <f t="shared" si="11"/>
        <v>6130676.5523633</v>
      </c>
      <c r="U94" s="6">
        <f t="shared" si="11"/>
        <v>6130676.5523633</v>
      </c>
      <c r="V94" s="6">
        <f t="shared" si="11"/>
        <v>6130676.5523633</v>
      </c>
      <c r="W94" s="6">
        <f t="shared" si="11"/>
        <v>6130676.5523633</v>
      </c>
      <c r="X94" s="6">
        <f t="shared" si="11"/>
        <v>6130676.5523633</v>
      </c>
      <c r="Y94" s="6">
        <f t="shared" si="11"/>
        <v>6130676.5523633</v>
      </c>
    </row>
    <row r="95" spans="1:25" ht="12.75">
      <c r="A95" s="21" t="s">
        <v>56</v>
      </c>
      <c r="B95" s="2"/>
      <c r="C95" s="6"/>
      <c r="D95" s="6">
        <f>D94-'cash flow EUR'!C23</f>
        <v>0</v>
      </c>
      <c r="E95" s="6">
        <f>E94-'cash flow EUR'!D23</f>
        <v>0</v>
      </c>
      <c r="F95" s="6">
        <f>F94-'cash flow EUR'!E23</f>
        <v>6187023.2723632995</v>
      </c>
      <c r="G95" s="6">
        <f>G94-'cash flow EUR'!F23</f>
        <v>6187023.2723632995</v>
      </c>
      <c r="H95" s="6">
        <f>H94-'cash flow EUR'!G23</f>
        <v>5656976.5523633</v>
      </c>
      <c r="I95" s="6">
        <f>I94-'cash flow EUR'!H23</f>
        <v>5656976.5523633</v>
      </c>
      <c r="J95" s="6">
        <f>J94-'cash flow EUR'!I23</f>
        <v>5656976.5523633</v>
      </c>
      <c r="K95" s="6">
        <f>K94-'cash flow EUR'!J23</f>
        <v>5371976.5523633</v>
      </c>
      <c r="L95" s="6">
        <f>L94-'cash flow EUR'!K23</f>
        <v>5371976.5523633</v>
      </c>
      <c r="M95" s="6">
        <f>M94-'cash flow EUR'!L23</f>
        <v>5371976.5523633</v>
      </c>
      <c r="N95" s="6">
        <f>N94-'cash flow EUR'!M23</f>
        <v>5371976.5523633</v>
      </c>
      <c r="O95" s="6">
        <f>O94-'cash flow EUR'!N23</f>
        <v>5371976.5523633</v>
      </c>
      <c r="P95" s="6">
        <f>P94-'cash flow EUR'!O23</f>
        <v>5371976.5523633</v>
      </c>
      <c r="Q95" s="6">
        <f>Q94-'cash flow EUR'!P23</f>
        <v>5371976.5523633</v>
      </c>
      <c r="R95" s="6">
        <f>R94-'cash flow EUR'!Q23</f>
        <v>5245976.5523633</v>
      </c>
      <c r="S95" s="6">
        <f>S94-'cash flow EUR'!R23</f>
        <v>5245976.5523633</v>
      </c>
      <c r="T95" s="6">
        <f>T94-'cash flow EUR'!S23</f>
        <v>5245976.5523633</v>
      </c>
      <c r="U95" s="6">
        <f>U94-'cash flow EUR'!T23</f>
        <v>5245976.5523633</v>
      </c>
      <c r="V95" s="6">
        <f>V94-'cash flow EUR'!U23</f>
        <v>5245976.5523633</v>
      </c>
      <c r="W95" s="6">
        <f>W94-'cash flow EUR'!V23</f>
        <v>5245976.5523633</v>
      </c>
      <c r="X95" s="6">
        <f>X94-'cash flow EUR'!W23</f>
        <v>5245976.5523633</v>
      </c>
      <c r="Y95" s="6">
        <f>Y94-'cash flow EUR'!X23</f>
        <v>5245976.5523633</v>
      </c>
    </row>
    <row r="96" spans="1:25" ht="12.75">
      <c r="A96" s="1" t="s">
        <v>58</v>
      </c>
      <c r="C96" s="6">
        <f>0-Assumptions!$C$15*1000</f>
        <v>-37343072</v>
      </c>
      <c r="D96" s="6">
        <f>D95-'cash flow EUR'!C28-'cash flow EUR'!C31</f>
        <v>0</v>
      </c>
      <c r="E96" s="6">
        <f>E95-'cash flow EUR'!D28-'cash flow EUR'!D31</f>
        <v>0</v>
      </c>
      <c r="F96" s="6">
        <f>F95-(F94-'cash flow EUR'!E23-'cash flow EUR'!E28-'cash flow EUR'!E31)*0.15</f>
        <v>5800911.113908805</v>
      </c>
      <c r="G96" s="6">
        <f>G95-(G94-'cash flow EUR'!F23-'cash flow EUR'!F28-'cash flow EUR'!F31)*0.15</f>
        <v>5789225.0848667035</v>
      </c>
      <c r="H96" s="6">
        <f>H95-(H94-'cash flow EUR'!G23-'cash flow EUR'!G28-'cash flow EUR'!G31)*0.15</f>
        <v>5326356.612227286</v>
      </c>
      <c r="I96" s="6">
        <f>I95-(I94-'cash flow EUR'!H23-'cash flow EUR'!H28-'cash flow EUR'!H31)*0.15</f>
        <v>5313349.769752702</v>
      </c>
      <c r="J96" s="6">
        <f>J95-(J94-'cash flow EUR'!I23-'cash flow EUR'!I28-'cash flow EUR'!I31)*0.15</f>
        <v>5299627.550942014</v>
      </c>
      <c r="K96" s="6">
        <f>K95-(K94-'cash flow EUR'!J23-'cash flow EUR'!J28-'cash flow EUR'!J31)*0.15</f>
        <v>5042900.61009674</v>
      </c>
      <c r="L96" s="6">
        <f>L95-(L94-'cash flow EUR'!K23-'cash flow EUR'!K28-'cash flow EUR'!K31)*0.15</f>
        <v>5027627.437504974</v>
      </c>
      <c r="M96" s="6">
        <f>M95-(M94-'cash flow EUR'!L23-'cash flow EUR'!L28-'cash flow EUR'!L31)*0.15</f>
        <v>5011514.240420662</v>
      </c>
      <c r="N96" s="6">
        <f>N95-(N94-'cash flow EUR'!M23-'cash flow EUR'!M28-'cash flow EUR'!M31)*0.15</f>
        <v>4994514.817496713</v>
      </c>
      <c r="O96" s="6">
        <f>O95-(O94-'cash flow EUR'!N23-'cash flow EUR'!N28-'cash flow EUR'!N31)*0.15</f>
        <v>4976580.4263119465</v>
      </c>
      <c r="P96" s="6">
        <f>P95-(P94-'cash flow EUR'!O23-'cash flow EUR'!O28-'cash flow EUR'!O31)*0.15</f>
        <v>4957659.643612018</v>
      </c>
      <c r="Q96" s="6">
        <f>Q95-(Q94-'cash flow EUR'!P23-'cash flow EUR'!P28-'cash flow EUR'!P31)*0.15</f>
        <v>4937698.217863593</v>
      </c>
      <c r="R96" s="6">
        <f>R95-(R94-'cash flow EUR'!Q23-'cash flow EUR'!Q28-'cash flow EUR'!Q31)*0.15</f>
        <v>4809538.913699005</v>
      </c>
      <c r="S96" s="6">
        <f>S95-(S94-'cash flow EUR'!R23-'cash flow EUR'!R28-'cash flow EUR'!R31)*0.15</f>
        <v>4787321.347805365</v>
      </c>
      <c r="T96" s="6">
        <f>T95-(T94-'cash flow EUR'!S23-'cash flow EUR'!S28-'cash flow EUR'!S31)*0.15</f>
        <v>4763881.815787574</v>
      </c>
      <c r="U96" s="6">
        <f>U95-(U94-'cash flow EUR'!T23-'cash flow EUR'!T28-'cash flow EUR'!T31)*0.15</f>
        <v>4739153.109508805</v>
      </c>
      <c r="V96" s="6">
        <f>V95-(V94-'cash flow EUR'!U23-'cash flow EUR'!U28-'cash flow EUR'!U31)*0.15</f>
        <v>4739153.109508805</v>
      </c>
      <c r="W96" s="6">
        <f>W95-(W94-'cash flow EUR'!V23-'cash flow EUR'!V28-'cash flow EUR'!V31)*0.15</f>
        <v>4739153.109508805</v>
      </c>
      <c r="X96" s="6">
        <f>X95-(X94-'cash flow EUR'!W23-'cash flow EUR'!W28-'cash flow EUR'!W31)*0.15</f>
        <v>4739153.109508805</v>
      </c>
      <c r="Y96" s="6">
        <f>Y95-(Y94-'cash flow EUR'!X23-'cash flow EUR'!X28-'cash flow EUR'!X31)*0.15</f>
        <v>4739153.109508805</v>
      </c>
    </row>
    <row r="97" spans="1:25" ht="12.75">
      <c r="A97" s="1" t="s">
        <v>191</v>
      </c>
      <c r="B97" s="6"/>
      <c r="C97" s="6">
        <f>C96</f>
        <v>-37343072</v>
      </c>
      <c r="D97" s="6">
        <f>D96-'cash flow EUR'!C29-'cash flow EUR'!C32</f>
        <v>0</v>
      </c>
      <c r="E97" s="6">
        <f>E96-'cash flow EUR'!D29-'cash flow EUR'!D32</f>
        <v>0</v>
      </c>
      <c r="F97" s="6">
        <f>F95-(F94-F93-'cash flow EUR'!E23-'cash flow EUR'!E28-'cash flow EUR'!E31)*0.15-F93</f>
        <v>5350371.401908805</v>
      </c>
      <c r="G97" s="6">
        <f>G95-(G94-G93-'cash flow EUR'!F23-'cash flow EUR'!F28-'cash flow EUR'!F31)*0.15-G93</f>
        <v>5338685.372866703</v>
      </c>
      <c r="H97" s="6">
        <f>H95-(H94-H93-'cash flow EUR'!G23-'cash flow EUR'!G28-'cash flow EUR'!G31)*0.15-H93</f>
        <v>5326356.612227286</v>
      </c>
      <c r="I97" s="6">
        <f>I95-(I94-I93-'cash flow EUR'!H23-'cash flow EUR'!H28-'cash flow EUR'!H31)*0.15-I93</f>
        <v>5313349.769752702</v>
      </c>
      <c r="J97" s="6">
        <f>J95-(J94-J93-'cash flow EUR'!I23-'cash flow EUR'!I28-'cash flow EUR'!I31)*0.15-J93</f>
        <v>5299627.550942014</v>
      </c>
      <c r="K97" s="6">
        <f>K95-(K94-K93-'cash flow EUR'!J23-'cash flow EUR'!J28-'cash flow EUR'!J31)*0.15-K93</f>
        <v>5042900.61009674</v>
      </c>
      <c r="L97" s="6">
        <f>L95-(L94-L93-'cash flow EUR'!K23-'cash flow EUR'!K28-'cash flow EUR'!K31)*0.15-L93</f>
        <v>5027627.437504974</v>
      </c>
      <c r="M97" s="6">
        <f>M95-(M94-M93-'cash flow EUR'!L23-'cash flow EUR'!L28-'cash flow EUR'!L31)*0.15-M93</f>
        <v>5011514.240420662</v>
      </c>
      <c r="N97" s="6">
        <f>N95-(N94-N93-'cash flow EUR'!M23-'cash flow EUR'!M28-'cash flow EUR'!M31)*0.15-N93</f>
        <v>4994514.817496713</v>
      </c>
      <c r="O97" s="6">
        <f>O95-(O94-O93-'cash flow EUR'!N23-'cash flow EUR'!N28-'cash flow EUR'!N31)*0.15-O93</f>
        <v>4976580.4263119465</v>
      </c>
      <c r="P97" s="6">
        <f>P95-(P94-P93-'cash flow EUR'!O23-'cash flow EUR'!O28-'cash flow EUR'!O31)*0.15-P93</f>
        <v>4957659.643612018</v>
      </c>
      <c r="Q97" s="6">
        <f>Q95-(Q94-Q93-'cash flow EUR'!P23-'cash flow EUR'!P28-'cash flow EUR'!P31)*0.15-Q93</f>
        <v>4937698.217863593</v>
      </c>
      <c r="R97" s="6">
        <f>R95-(R94-R93-'cash flow EUR'!Q23-'cash flow EUR'!Q28-'cash flow EUR'!Q31)*0.15-R93</f>
        <v>4809538.913699005</v>
      </c>
      <c r="S97" s="6">
        <f>S95-(S94-S93-'cash flow EUR'!R23-'cash flow EUR'!R28-'cash flow EUR'!R31)*0.15-S93</f>
        <v>4787321.347805365</v>
      </c>
      <c r="T97" s="6">
        <f>T95-(T94-T93-'cash flow EUR'!S23-'cash flow EUR'!S28-'cash flow EUR'!S31)*0.15-T93</f>
        <v>4763881.815787574</v>
      </c>
      <c r="U97" s="6">
        <f>U95-(U94-U93-'cash flow EUR'!T23-'cash flow EUR'!T28-'cash flow EUR'!T31)*0.15-U93</f>
        <v>4739153.109508805</v>
      </c>
      <c r="V97" s="6">
        <f>V95-(V94-V93-'cash flow EUR'!U23-'cash flow EUR'!U28-'cash flow EUR'!U31)*0.15-V93</f>
        <v>4739153.109508805</v>
      </c>
      <c r="W97" s="6">
        <f>W95-(W94-W93-'cash flow EUR'!V23-'cash flow EUR'!V28-'cash flow EUR'!V31)*0.15-W93</f>
        <v>4739153.109508805</v>
      </c>
      <c r="X97" s="6">
        <f>X95-(X94-X93-'cash flow EUR'!W23-'cash flow EUR'!W28-'cash flow EUR'!W31)*0.15-X93</f>
        <v>4739153.109508805</v>
      </c>
      <c r="Y97" s="6">
        <f>Y95-(Y94-Y93-'cash flow EUR'!X23-'cash flow EUR'!X28-'cash flow EUR'!X31)*0.15-Y93</f>
        <v>4739153.109508805</v>
      </c>
    </row>
    <row r="98" spans="1:25" ht="12.75">
      <c r="A98" s="1" t="s">
        <v>63</v>
      </c>
      <c r="C98" s="6">
        <f>AVERAGE(F96:Y96)</f>
        <v>5026723.657492007</v>
      </c>
      <c r="D98" s="6"/>
      <c r="E98" s="6"/>
      <c r="F98" s="6"/>
      <c r="G98" s="6"/>
      <c r="H98" s="6"/>
      <c r="I98" s="6"/>
      <c r="J98" s="6"/>
      <c r="K98" s="6"/>
      <c r="L98" s="6"/>
      <c r="M98" s="6"/>
      <c r="N98" s="6"/>
      <c r="O98" s="6"/>
      <c r="P98" s="6"/>
      <c r="Q98" s="6"/>
      <c r="R98" s="6"/>
      <c r="S98" s="6"/>
      <c r="T98" s="6"/>
      <c r="U98" s="6"/>
      <c r="V98" s="6"/>
      <c r="W98" s="6"/>
      <c r="X98" s="1"/>
      <c r="Y98" s="1"/>
    </row>
    <row r="99" spans="1:25" ht="12.75">
      <c r="A99" s="1" t="s">
        <v>49</v>
      </c>
      <c r="C99" s="37">
        <f>Assumptions!$C$15*1000/'sensitivity EUR'!C98</f>
        <v>7.428908876727799</v>
      </c>
      <c r="D99" s="6"/>
      <c r="E99" s="6"/>
      <c r="F99" s="6"/>
      <c r="G99" s="6"/>
      <c r="H99" s="6"/>
      <c r="I99" s="6"/>
      <c r="J99" s="6"/>
      <c r="K99" s="6"/>
      <c r="L99" s="6"/>
      <c r="M99" s="6"/>
      <c r="N99" s="6"/>
      <c r="O99" s="6"/>
      <c r="P99" s="6"/>
      <c r="Q99" s="6"/>
      <c r="R99" s="6"/>
      <c r="S99" s="6"/>
      <c r="T99" s="6"/>
      <c r="U99" s="6"/>
      <c r="V99" s="6"/>
      <c r="W99" s="6"/>
      <c r="X99" s="1"/>
      <c r="Y99" s="1"/>
    </row>
    <row r="100" spans="1:25" ht="12.75">
      <c r="A100" s="28" t="s">
        <v>53</v>
      </c>
      <c r="C100" s="29">
        <f>IRR(C96:Y96,0.01)</f>
        <v>0.0973363455123296</v>
      </c>
      <c r="D100" s="6"/>
      <c r="E100" s="6"/>
      <c r="F100" s="6"/>
      <c r="G100" s="6"/>
      <c r="H100" s="6"/>
      <c r="I100" s="6"/>
      <c r="J100" s="6"/>
      <c r="K100" s="6"/>
      <c r="L100" s="6"/>
      <c r="M100" s="6"/>
      <c r="N100" s="6"/>
      <c r="O100" s="6"/>
      <c r="P100" s="6"/>
      <c r="Q100" s="6"/>
      <c r="R100" s="6"/>
      <c r="S100" s="6"/>
      <c r="T100" s="6"/>
      <c r="U100" s="6"/>
      <c r="V100" s="6"/>
      <c r="W100" s="6"/>
      <c r="X100" s="1"/>
      <c r="Y100" s="1"/>
    </row>
    <row r="101" spans="1:3" ht="12.75">
      <c r="A101" s="28" t="s">
        <v>19</v>
      </c>
      <c r="C101" s="29">
        <f>IRR(C97:Y97,0.01)</f>
        <v>0.0952781467234821</v>
      </c>
    </row>
    <row r="102" spans="1:25" ht="12.75">
      <c r="A102" s="39"/>
      <c r="B102" s="40"/>
      <c r="C102" s="23"/>
      <c r="D102" s="23"/>
      <c r="E102" s="23"/>
      <c r="F102" s="23"/>
      <c r="G102" s="23"/>
      <c r="H102" s="23"/>
      <c r="I102" s="23"/>
      <c r="J102" s="23"/>
      <c r="K102" s="23"/>
      <c r="L102" s="23"/>
      <c r="M102" s="23"/>
      <c r="N102" s="23"/>
      <c r="O102" s="23"/>
      <c r="P102" s="23"/>
      <c r="Q102" s="23"/>
      <c r="R102" s="23"/>
      <c r="S102" s="23"/>
      <c r="T102" s="23"/>
      <c r="U102" s="23"/>
      <c r="V102" s="23"/>
      <c r="W102" s="23"/>
      <c r="X102" s="4"/>
      <c r="Y102" s="4"/>
    </row>
    <row r="103" spans="1:25" ht="12.75">
      <c r="A103" s="22" t="s">
        <v>59</v>
      </c>
      <c r="C103" s="38">
        <f>H2</f>
        <v>0.3</v>
      </c>
      <c r="D103" s="6">
        <v>0</v>
      </c>
      <c r="E103" s="6">
        <v>0</v>
      </c>
      <c r="F103" s="6">
        <f aca="true" t="shared" si="12" ref="F103:Y103">$H$4</f>
        <v>76440000</v>
      </c>
      <c r="G103" s="6">
        <f t="shared" si="12"/>
        <v>76440000</v>
      </c>
      <c r="H103" s="6">
        <f t="shared" si="12"/>
        <v>76440000</v>
      </c>
      <c r="I103" s="6">
        <f t="shared" si="12"/>
        <v>76440000</v>
      </c>
      <c r="J103" s="6">
        <f t="shared" si="12"/>
        <v>76440000</v>
      </c>
      <c r="K103" s="6">
        <f t="shared" si="12"/>
        <v>76440000</v>
      </c>
      <c r="L103" s="6">
        <f t="shared" si="12"/>
        <v>76440000</v>
      </c>
      <c r="M103" s="6">
        <f t="shared" si="12"/>
        <v>76440000</v>
      </c>
      <c r="N103" s="6">
        <f t="shared" si="12"/>
        <v>76440000</v>
      </c>
      <c r="O103" s="6">
        <f t="shared" si="12"/>
        <v>76440000</v>
      </c>
      <c r="P103" s="6">
        <f t="shared" si="12"/>
        <v>76440000</v>
      </c>
      <c r="Q103" s="6">
        <f t="shared" si="12"/>
        <v>76440000</v>
      </c>
      <c r="R103" s="6">
        <f t="shared" si="12"/>
        <v>76440000</v>
      </c>
      <c r="S103" s="6">
        <f t="shared" si="12"/>
        <v>76440000</v>
      </c>
      <c r="T103" s="6">
        <f t="shared" si="12"/>
        <v>76440000</v>
      </c>
      <c r="U103" s="6">
        <f t="shared" si="12"/>
        <v>76440000</v>
      </c>
      <c r="V103" s="6">
        <f t="shared" si="12"/>
        <v>76440000</v>
      </c>
      <c r="W103" s="6">
        <f t="shared" si="12"/>
        <v>76440000</v>
      </c>
      <c r="X103" s="6">
        <f t="shared" si="12"/>
        <v>76440000</v>
      </c>
      <c r="Y103" s="6">
        <f t="shared" si="12"/>
        <v>76440000</v>
      </c>
    </row>
    <row r="104" spans="1:25" ht="12.75">
      <c r="A104" s="1" t="s">
        <v>60</v>
      </c>
      <c r="C104" s="1"/>
      <c r="D104" s="6">
        <f>'cash flow EUR'!$B$60*D103</f>
        <v>0</v>
      </c>
      <c r="E104" s="6">
        <f>'cash flow EUR'!$B$60*E103</f>
        <v>0</v>
      </c>
      <c r="F104" s="6">
        <f>'cash flow EUR'!$B$60*F103</f>
        <v>6641566.265060241</v>
      </c>
      <c r="G104" s="6">
        <f>'cash flow EUR'!$B$60*G103</f>
        <v>6641566.265060241</v>
      </c>
      <c r="H104" s="6">
        <f>'cash flow EUR'!$B$60*H103</f>
        <v>6641566.265060241</v>
      </c>
      <c r="I104" s="6">
        <f>'cash flow EUR'!$B$60*I103</f>
        <v>6641566.265060241</v>
      </c>
      <c r="J104" s="6">
        <f>'cash flow EUR'!$B$60*J103</f>
        <v>6641566.265060241</v>
      </c>
      <c r="K104" s="6">
        <f>'cash flow EUR'!$B$60*K103</f>
        <v>6641566.265060241</v>
      </c>
      <c r="L104" s="6">
        <f>'cash flow EUR'!$B$60*L103</f>
        <v>6641566.265060241</v>
      </c>
      <c r="M104" s="6">
        <f>'cash flow EUR'!$B$60*M103</f>
        <v>6641566.265060241</v>
      </c>
      <c r="N104" s="6">
        <f>'cash flow EUR'!$B$60*N103</f>
        <v>6641566.265060241</v>
      </c>
      <c r="O104" s="6">
        <f>'cash flow EUR'!$B$60*O103</f>
        <v>6641566.265060241</v>
      </c>
      <c r="P104" s="6">
        <f>'cash flow EUR'!$B$60*P103</f>
        <v>6641566.265060241</v>
      </c>
      <c r="Q104" s="6">
        <f>'cash flow EUR'!$B$60*Q103</f>
        <v>6641566.265060241</v>
      </c>
      <c r="R104" s="6">
        <f>'cash flow EUR'!$B$60*R103</f>
        <v>6641566.265060241</v>
      </c>
      <c r="S104" s="6">
        <f>'cash flow EUR'!$B$60*S103</f>
        <v>6641566.265060241</v>
      </c>
      <c r="T104" s="6">
        <f>'cash flow EUR'!$B$60*T103</f>
        <v>6641566.265060241</v>
      </c>
      <c r="U104" s="6">
        <f>'cash flow EUR'!$B$60*U103</f>
        <v>6641566.265060241</v>
      </c>
      <c r="V104" s="6">
        <f>'cash flow EUR'!$B$60*V103</f>
        <v>6641566.265060241</v>
      </c>
      <c r="W104" s="6">
        <f>'cash flow EUR'!$B$60*W103</f>
        <v>6641566.265060241</v>
      </c>
      <c r="X104" s="6">
        <f>'cash flow EUR'!$B$60*X103</f>
        <v>6641566.265060241</v>
      </c>
      <c r="Y104" s="6">
        <f>'cash flow EUR'!$B$60*Y103</f>
        <v>6641566.265060241</v>
      </c>
    </row>
    <row r="105" spans="1:25" ht="12.75">
      <c r="A105" s="1" t="s">
        <v>61</v>
      </c>
      <c r="C105" s="1"/>
      <c r="D105" s="6">
        <f>D103/1000*'cash flow EUR'!$B$59*'cash flow EUR'!$B$61</f>
        <v>0</v>
      </c>
      <c r="E105" s="6">
        <f>E103/1000*'cash flow EUR'!$B$59*'cash flow EUR'!$B$61</f>
        <v>0</v>
      </c>
      <c r="F105" s="6">
        <f>F103/1000*'cash flow EUR'!$B$59*'cash flow EUR'!$B$61</f>
        <v>574217.28</v>
      </c>
      <c r="G105" s="6">
        <f>G103/1000*'cash flow EUR'!$B$59*'cash flow EUR'!$B$61</f>
        <v>574217.28</v>
      </c>
      <c r="H105" s="6"/>
      <c r="I105" s="6"/>
      <c r="J105" s="6"/>
      <c r="K105" s="6"/>
      <c r="L105" s="6"/>
      <c r="M105" s="6"/>
      <c r="N105" s="6"/>
      <c r="O105" s="6"/>
      <c r="P105" s="6"/>
      <c r="Q105" s="6"/>
      <c r="R105" s="6"/>
      <c r="S105" s="6"/>
      <c r="T105" s="6"/>
      <c r="U105" s="6"/>
      <c r="V105" s="6"/>
      <c r="W105" s="6"/>
      <c r="X105" s="6"/>
      <c r="Y105" s="6"/>
    </row>
    <row r="106" spans="1:25" ht="12.75">
      <c r="A106" s="1" t="s">
        <v>62</v>
      </c>
      <c r="C106" s="1"/>
      <c r="D106" s="6">
        <f aca="true" t="shared" si="13" ref="D106:Y106">SUM(D104:D105)</f>
        <v>0</v>
      </c>
      <c r="E106" s="6">
        <f t="shared" si="13"/>
        <v>0</v>
      </c>
      <c r="F106" s="6">
        <f>SUM(F104:F105)</f>
        <v>7215783.545060242</v>
      </c>
      <c r="G106" s="6">
        <f t="shared" si="13"/>
        <v>7215783.545060242</v>
      </c>
      <c r="H106" s="6">
        <f t="shared" si="13"/>
        <v>6641566.265060241</v>
      </c>
      <c r="I106" s="6">
        <f t="shared" si="13"/>
        <v>6641566.265060241</v>
      </c>
      <c r="J106" s="6">
        <f t="shared" si="13"/>
        <v>6641566.265060241</v>
      </c>
      <c r="K106" s="6">
        <f t="shared" si="13"/>
        <v>6641566.265060241</v>
      </c>
      <c r="L106" s="6">
        <f t="shared" si="13"/>
        <v>6641566.265060241</v>
      </c>
      <c r="M106" s="6">
        <f t="shared" si="13"/>
        <v>6641566.265060241</v>
      </c>
      <c r="N106" s="6">
        <f t="shared" si="13"/>
        <v>6641566.265060241</v>
      </c>
      <c r="O106" s="6">
        <f t="shared" si="13"/>
        <v>6641566.265060241</v>
      </c>
      <c r="P106" s="6">
        <f t="shared" si="13"/>
        <v>6641566.265060241</v>
      </c>
      <c r="Q106" s="6">
        <f t="shared" si="13"/>
        <v>6641566.265060241</v>
      </c>
      <c r="R106" s="6">
        <f t="shared" si="13"/>
        <v>6641566.265060241</v>
      </c>
      <c r="S106" s="6">
        <f t="shared" si="13"/>
        <v>6641566.265060241</v>
      </c>
      <c r="T106" s="6">
        <f t="shared" si="13"/>
        <v>6641566.265060241</v>
      </c>
      <c r="U106" s="6">
        <f t="shared" si="13"/>
        <v>6641566.265060241</v>
      </c>
      <c r="V106" s="6">
        <f t="shared" si="13"/>
        <v>6641566.265060241</v>
      </c>
      <c r="W106" s="6">
        <f t="shared" si="13"/>
        <v>6641566.265060241</v>
      </c>
      <c r="X106" s="6">
        <f t="shared" si="13"/>
        <v>6641566.265060241</v>
      </c>
      <c r="Y106" s="6">
        <f t="shared" si="13"/>
        <v>6641566.265060241</v>
      </c>
    </row>
    <row r="107" spans="1:25" ht="12.75">
      <c r="A107" s="21" t="s">
        <v>56</v>
      </c>
      <c r="C107" s="2"/>
      <c r="D107" s="6">
        <f>D106-'cash flow EUR'!C23</f>
        <v>0</v>
      </c>
      <c r="E107" s="6">
        <f>E106-'cash flow EUR'!D23</f>
        <v>0</v>
      </c>
      <c r="F107" s="6">
        <f>F106-'cash flow EUR'!E23</f>
        <v>6742083.545060242</v>
      </c>
      <c r="G107" s="6">
        <f>G106-'cash flow EUR'!F23</f>
        <v>6742083.545060242</v>
      </c>
      <c r="H107" s="6">
        <f>H106-'cash flow EUR'!G23</f>
        <v>6167866.265060241</v>
      </c>
      <c r="I107" s="6">
        <f>I106-'cash flow EUR'!H23</f>
        <v>6167866.265060241</v>
      </c>
      <c r="J107" s="6">
        <f>J106-'cash flow EUR'!I23</f>
        <v>6167866.265060241</v>
      </c>
      <c r="K107" s="6">
        <f>K106-'cash flow EUR'!J23</f>
        <v>5882866.265060241</v>
      </c>
      <c r="L107" s="6">
        <f>L106-'cash flow EUR'!K23</f>
        <v>5882866.265060241</v>
      </c>
      <c r="M107" s="6">
        <f>M106-'cash flow EUR'!L23</f>
        <v>5882866.265060241</v>
      </c>
      <c r="N107" s="6">
        <f>N106-'cash flow EUR'!M23</f>
        <v>5882866.265060241</v>
      </c>
      <c r="O107" s="6">
        <f>O106-'cash flow EUR'!N23</f>
        <v>5882866.265060241</v>
      </c>
      <c r="P107" s="6">
        <f>P106-'cash flow EUR'!O23</f>
        <v>5882866.265060241</v>
      </c>
      <c r="Q107" s="6">
        <f>Q106-'cash flow EUR'!P23</f>
        <v>5882866.265060241</v>
      </c>
      <c r="R107" s="6">
        <f>R106-'cash flow EUR'!Q23</f>
        <v>5756866.265060241</v>
      </c>
      <c r="S107" s="6">
        <f>S106-'cash flow EUR'!R23</f>
        <v>5756866.265060241</v>
      </c>
      <c r="T107" s="6">
        <f>T106-'cash flow EUR'!S23</f>
        <v>5756866.265060241</v>
      </c>
      <c r="U107" s="6">
        <f>U106-'cash flow EUR'!T23</f>
        <v>5756866.265060241</v>
      </c>
      <c r="V107" s="6">
        <f>V106-'cash flow EUR'!U23</f>
        <v>5756866.265060241</v>
      </c>
      <c r="W107" s="6">
        <f>W106-'cash flow EUR'!V23</f>
        <v>5756866.265060241</v>
      </c>
      <c r="X107" s="6">
        <f>X106-'cash flow EUR'!W23</f>
        <v>5756866.265060241</v>
      </c>
      <c r="Y107" s="6">
        <f>Y106-'cash flow EUR'!X23</f>
        <v>5756866.265060241</v>
      </c>
    </row>
    <row r="108" spans="1:25" ht="12.75">
      <c r="A108" s="1" t="s">
        <v>58</v>
      </c>
      <c r="C108" s="6">
        <f>0-Assumptions!$C$15*1000</f>
        <v>-37343072</v>
      </c>
      <c r="D108" s="6">
        <f>D107-'cash flow EUR'!C28-'cash flow EUR'!C31</f>
        <v>0</v>
      </c>
      <c r="E108" s="6">
        <f>E107-'cash flow EUR'!D28-'cash flow EUR'!D31</f>
        <v>0</v>
      </c>
      <c r="F108" s="6">
        <f>F107-(F106-'cash flow EUR'!E23-'cash flow EUR'!E28-'cash flow EUR'!E31)*0.15</f>
        <v>6272712.345701206</v>
      </c>
      <c r="G108" s="6">
        <f>G107-(G106-'cash flow EUR'!F23-'cash flow EUR'!F28-'cash flow EUR'!F31)*0.15</f>
        <v>6261026.316659104</v>
      </c>
      <c r="H108" s="6">
        <f>H107-(H106-'cash flow EUR'!G23-'cash flow EUR'!G28-'cash flow EUR'!G31)*0.15</f>
        <v>5760612.868019687</v>
      </c>
      <c r="I108" s="6">
        <f>I107-(I106-'cash flow EUR'!H23-'cash flow EUR'!H28-'cash flow EUR'!H31)*0.15</f>
        <v>5747606.025545102</v>
      </c>
      <c r="J108" s="6">
        <f>J107-(J106-'cash flow EUR'!I23-'cash flow EUR'!I28-'cash flow EUR'!I31)*0.15</f>
        <v>5733883.806734415</v>
      </c>
      <c r="K108" s="6">
        <f>K107-(K106-'cash flow EUR'!J23-'cash flow EUR'!J28-'cash flow EUR'!J31)*0.15</f>
        <v>5477156.8658891395</v>
      </c>
      <c r="L108" s="6">
        <f>L107-(L106-'cash flow EUR'!K23-'cash flow EUR'!K28-'cash flow EUR'!K31)*0.15</f>
        <v>5461883.693297375</v>
      </c>
      <c r="M108" s="6">
        <f>M107-(M106-'cash flow EUR'!L23-'cash flow EUR'!L28-'cash flow EUR'!L31)*0.15</f>
        <v>5445770.496213063</v>
      </c>
      <c r="N108" s="6">
        <f>N107-(N106-'cash flow EUR'!M23-'cash flow EUR'!M28-'cash flow EUR'!M31)*0.15</f>
        <v>5428771.073289113</v>
      </c>
      <c r="O108" s="6">
        <f>O107-(O106-'cash flow EUR'!N23-'cash flow EUR'!N28-'cash flow EUR'!N31)*0.15</f>
        <v>5410836.682104346</v>
      </c>
      <c r="P108" s="6">
        <f>P107-(P106-'cash flow EUR'!O23-'cash flow EUR'!O28-'cash flow EUR'!O31)*0.15</f>
        <v>5391915.899404418</v>
      </c>
      <c r="Q108" s="6">
        <f>Q107-(Q106-'cash flow EUR'!P23-'cash flow EUR'!P28-'cash flow EUR'!P31)*0.15</f>
        <v>5371954.473655993</v>
      </c>
      <c r="R108" s="6">
        <f>R107-(R106-'cash flow EUR'!Q23-'cash flow EUR'!Q28-'cash flow EUR'!Q31)*0.15</f>
        <v>5243795.169491406</v>
      </c>
      <c r="S108" s="6">
        <f>S107-(S106-'cash flow EUR'!R23-'cash flow EUR'!R28-'cash flow EUR'!R31)*0.15</f>
        <v>5221577.603597765</v>
      </c>
      <c r="T108" s="6">
        <f>T107-(T106-'cash flow EUR'!S23-'cash flow EUR'!S28-'cash flow EUR'!S31)*0.15</f>
        <v>5198138.071579974</v>
      </c>
      <c r="U108" s="6">
        <f>U107-(U106-'cash flow EUR'!T23-'cash flow EUR'!T28-'cash flow EUR'!T31)*0.15</f>
        <v>5173409.365301205</v>
      </c>
      <c r="V108" s="6">
        <f>V107-(V106-'cash flow EUR'!U23-'cash flow EUR'!U28-'cash flow EUR'!U31)*0.15</f>
        <v>5173409.365301205</v>
      </c>
      <c r="W108" s="6">
        <f>W107-(W106-'cash flow EUR'!V23-'cash flow EUR'!V28-'cash flow EUR'!V31)*0.15</f>
        <v>5173409.365301205</v>
      </c>
      <c r="X108" s="6">
        <f>X107-(X106-'cash flow EUR'!W23-'cash flow EUR'!W28-'cash flow EUR'!W31)*0.15</f>
        <v>5173409.365301205</v>
      </c>
      <c r="Y108" s="6">
        <f>Y107-(Y106-'cash flow EUR'!X23-'cash flow EUR'!X28-'cash flow EUR'!X31)*0.15</f>
        <v>5173409.365301205</v>
      </c>
    </row>
    <row r="109" spans="1:25" ht="12.75">
      <c r="A109" s="1" t="s">
        <v>191</v>
      </c>
      <c r="C109" s="6">
        <f>C108</f>
        <v>-37343072</v>
      </c>
      <c r="D109" s="6">
        <f>D108-'cash flow EUR'!C29-'cash flow EUR'!C32</f>
        <v>0</v>
      </c>
      <c r="E109" s="6">
        <f>E108-'cash flow EUR'!D29-'cash flow EUR'!D32</f>
        <v>0</v>
      </c>
      <c r="F109" s="6">
        <f>F107-(F106-F105-'cash flow EUR'!E23-'cash flow EUR'!E28-'cash flow EUR'!E31)*0.15-F105</f>
        <v>5784627.657701205</v>
      </c>
      <c r="G109" s="6">
        <f>G107-(G106-G105-'cash flow EUR'!F23-'cash flow EUR'!F28-'cash flow EUR'!F31)*0.15-G105</f>
        <v>5772941.628659104</v>
      </c>
      <c r="H109" s="6">
        <f>H107-(H106-H105-'cash flow EUR'!G23-'cash flow EUR'!G28-'cash flow EUR'!G31)*0.15-H105</f>
        <v>5760612.868019687</v>
      </c>
      <c r="I109" s="6">
        <f>I107-(I106-I105-'cash flow EUR'!H23-'cash flow EUR'!H28-'cash flow EUR'!H31)*0.15-I105</f>
        <v>5747606.025545102</v>
      </c>
      <c r="J109" s="6">
        <f>J107-(J106-J105-'cash flow EUR'!I23-'cash flow EUR'!I28-'cash flow EUR'!I31)*0.15-J105</f>
        <v>5733883.806734415</v>
      </c>
      <c r="K109" s="6">
        <f>K107-(K106-K105-'cash flow EUR'!J23-'cash flow EUR'!J28-'cash flow EUR'!J31)*0.15-K105</f>
        <v>5477156.8658891395</v>
      </c>
      <c r="L109" s="6">
        <f>L107-(L106-L105-'cash flow EUR'!K23-'cash flow EUR'!K28-'cash flow EUR'!K31)*0.15-L105</f>
        <v>5461883.693297375</v>
      </c>
      <c r="M109" s="6">
        <f>M107-(M106-M105-'cash flow EUR'!L23-'cash flow EUR'!L28-'cash flow EUR'!L31)*0.15-M105</f>
        <v>5445770.496213063</v>
      </c>
      <c r="N109" s="6">
        <f>N107-(N106-N105-'cash flow EUR'!M23-'cash flow EUR'!M28-'cash flow EUR'!M31)*0.15-N105</f>
        <v>5428771.073289113</v>
      </c>
      <c r="O109" s="6">
        <f>O107-(O106-O105-'cash flow EUR'!N23-'cash flow EUR'!N28-'cash flow EUR'!N31)*0.15-O105</f>
        <v>5410836.682104346</v>
      </c>
      <c r="P109" s="6">
        <f>P107-(P106-P105-'cash flow EUR'!O23-'cash flow EUR'!O28-'cash flow EUR'!O31)*0.15-P105</f>
        <v>5391915.899404418</v>
      </c>
      <c r="Q109" s="6">
        <f>Q107-(Q106-Q105-'cash flow EUR'!P23-'cash flow EUR'!P28-'cash flow EUR'!P31)*0.15-Q105</f>
        <v>5371954.473655993</v>
      </c>
      <c r="R109" s="6">
        <f>R107-(R106-R105-'cash flow EUR'!Q23-'cash flow EUR'!Q28-'cash flow EUR'!Q31)*0.15-R105</f>
        <v>5243795.169491406</v>
      </c>
      <c r="S109" s="6">
        <f>S107-(S106-S105-'cash flow EUR'!R23-'cash flow EUR'!R28-'cash flow EUR'!R31)*0.15-S105</f>
        <v>5221577.603597765</v>
      </c>
      <c r="T109" s="6">
        <f>T107-(T106-T105-'cash flow EUR'!S23-'cash flow EUR'!S28-'cash flow EUR'!S31)*0.15-T105</f>
        <v>5198138.071579974</v>
      </c>
      <c r="U109" s="6">
        <f>U107-(U106-U105-'cash flow EUR'!T23-'cash flow EUR'!T28-'cash flow EUR'!T31)*0.15-U105</f>
        <v>5173409.365301205</v>
      </c>
      <c r="V109" s="6">
        <f>V107-(V106-V105-'cash flow EUR'!U23-'cash flow EUR'!U28-'cash flow EUR'!U31)*0.15-V105</f>
        <v>5173409.365301205</v>
      </c>
      <c r="W109" s="6">
        <f>W107-(W106-W105-'cash flow EUR'!V23-'cash flow EUR'!V28-'cash flow EUR'!V31)*0.15-W105</f>
        <v>5173409.365301205</v>
      </c>
      <c r="X109" s="6">
        <f>X107-(X106-X105-'cash flow EUR'!W23-'cash flow EUR'!W28-'cash flow EUR'!W31)*0.15-X105</f>
        <v>5173409.365301205</v>
      </c>
      <c r="Y109" s="6">
        <f>Y107-(Y106-Y105-'cash flow EUR'!X23-'cash flow EUR'!X28-'cash flow EUR'!X31)*0.15-Y105</f>
        <v>5173409.365301205</v>
      </c>
    </row>
    <row r="110" spans="1:25" ht="12.75">
      <c r="A110" s="1" t="s">
        <v>63</v>
      </c>
      <c r="C110" s="6">
        <f>AVERAGE(F108:Y108)</f>
        <v>5464734.410884408</v>
      </c>
      <c r="D110" s="6"/>
      <c r="E110" s="6"/>
      <c r="F110" s="6"/>
      <c r="G110" s="6"/>
      <c r="H110" s="6"/>
      <c r="I110" s="6"/>
      <c r="J110" s="6"/>
      <c r="K110" s="6"/>
      <c r="L110" s="6"/>
      <c r="M110" s="6"/>
      <c r="N110" s="6"/>
      <c r="O110" s="6"/>
      <c r="P110" s="6"/>
      <c r="Q110" s="6"/>
      <c r="R110" s="6"/>
      <c r="S110" s="6"/>
      <c r="T110" s="6"/>
      <c r="U110" s="6"/>
      <c r="V110" s="6"/>
      <c r="W110" s="6"/>
      <c r="X110" s="1"/>
      <c r="Y110" s="1"/>
    </row>
    <row r="111" spans="1:25" ht="12.75">
      <c r="A111" s="1" t="s">
        <v>49</v>
      </c>
      <c r="C111" s="37">
        <f>Assumptions!$C$15*1000/'sensitivity EUR'!C110</f>
        <v>6.833465122407738</v>
      </c>
      <c r="D111" s="6"/>
      <c r="E111" s="6"/>
      <c r="F111" s="6"/>
      <c r="G111" s="6"/>
      <c r="H111" s="6"/>
      <c r="I111" s="6"/>
      <c r="J111" s="6"/>
      <c r="K111" s="6"/>
      <c r="L111" s="6"/>
      <c r="M111" s="6"/>
      <c r="N111" s="6"/>
      <c r="O111" s="6"/>
      <c r="P111" s="6"/>
      <c r="Q111" s="6"/>
      <c r="R111" s="6"/>
      <c r="S111" s="6"/>
      <c r="T111" s="6"/>
      <c r="U111" s="6"/>
      <c r="V111" s="6"/>
      <c r="W111" s="6"/>
      <c r="X111" s="1"/>
      <c r="Y111" s="1"/>
    </row>
    <row r="112" spans="1:25" ht="12.75">
      <c r="A112" s="28" t="s">
        <v>53</v>
      </c>
      <c r="C112" s="29">
        <f>IRR(C108:Y108,0.01)</f>
        <v>0.10719131683583942</v>
      </c>
      <c r="D112" s="6"/>
      <c r="E112" s="6"/>
      <c r="F112" s="6"/>
      <c r="G112" s="6"/>
      <c r="H112" s="6"/>
      <c r="I112" s="6"/>
      <c r="J112" s="6"/>
      <c r="K112" s="6"/>
      <c r="L112" s="6"/>
      <c r="M112" s="6"/>
      <c r="N112" s="6"/>
      <c r="O112" s="6"/>
      <c r="P112" s="6"/>
      <c r="Q112" s="6"/>
      <c r="R112" s="6"/>
      <c r="S112" s="6"/>
      <c r="T112" s="6"/>
      <c r="U112" s="6"/>
      <c r="V112" s="6"/>
      <c r="W112" s="6"/>
      <c r="X112" s="1"/>
      <c r="Y112" s="1"/>
    </row>
    <row r="113" spans="1:3" ht="12.75">
      <c r="A113" s="28" t="s">
        <v>19</v>
      </c>
      <c r="C113" s="29">
        <f>IRR(C109:Y109,0.01)</f>
        <v>0.1049561797890716</v>
      </c>
    </row>
    <row r="114" s="183" customFormat="1" ht="12.75"/>
    <row r="116" spans="1:25" ht="12.75">
      <c r="A116" s="22" t="s">
        <v>25</v>
      </c>
      <c r="C116" s="38">
        <f>B2</f>
        <v>-0.3</v>
      </c>
      <c r="D116" s="47">
        <f>B10</f>
        <v>8.4</v>
      </c>
      <c r="E116" s="6"/>
      <c r="F116" s="6"/>
      <c r="G116" s="6"/>
      <c r="H116" s="6"/>
      <c r="I116" s="6"/>
      <c r="J116" s="6"/>
      <c r="K116" s="6"/>
      <c r="L116" s="6"/>
      <c r="M116" s="6"/>
      <c r="N116" s="6"/>
      <c r="O116" s="6"/>
      <c r="P116" s="6"/>
      <c r="Q116" s="6"/>
      <c r="R116" s="6"/>
      <c r="S116" s="6"/>
      <c r="T116" s="6"/>
      <c r="U116" s="6"/>
      <c r="V116" s="6"/>
      <c r="W116" s="6"/>
      <c r="X116" s="6"/>
      <c r="Y116" s="6"/>
    </row>
    <row r="117" spans="1:25" ht="12.75">
      <c r="A117" s="1" t="s">
        <v>61</v>
      </c>
      <c r="C117" s="1"/>
      <c r="D117" s="6">
        <f>'cash flow EUR'!C9*'sensitivity EUR'!$D$116</f>
        <v>0</v>
      </c>
      <c r="E117" s="6">
        <f>'cash flow EUR'!D9*'sensitivity EUR'!$D$116</f>
        <v>0</v>
      </c>
      <c r="F117" s="6">
        <f>'cash flow EUR'!E9*'sensitivity EUR'!$D$116</f>
        <v>309193.92000000004</v>
      </c>
      <c r="G117" s="6">
        <f>'cash flow EUR'!F9*'sensitivity EUR'!$D$116</f>
        <v>309193.92000000004</v>
      </c>
      <c r="H117" s="6"/>
      <c r="I117" s="6"/>
      <c r="J117" s="6"/>
      <c r="K117" s="6"/>
      <c r="L117" s="6"/>
      <c r="M117" s="6"/>
      <c r="N117" s="6"/>
      <c r="O117" s="6"/>
      <c r="P117" s="6"/>
      <c r="Q117" s="6"/>
      <c r="R117" s="6"/>
      <c r="S117" s="6"/>
      <c r="T117" s="6"/>
      <c r="U117" s="6"/>
      <c r="V117" s="6"/>
      <c r="W117" s="6"/>
      <c r="X117" s="6"/>
      <c r="Y117" s="6"/>
    </row>
    <row r="118" spans="1:25" ht="12.75">
      <c r="A118" s="1" t="s">
        <v>62</v>
      </c>
      <c r="C118" s="1"/>
      <c r="D118" s="6">
        <f>'cash flow EUR'!C12+'sensitivity EUR'!D117</f>
        <v>0</v>
      </c>
      <c r="E118" s="6">
        <f>'cash flow EUR'!D12+'sensitivity EUR'!E117</f>
        <v>0</v>
      </c>
      <c r="F118" s="6">
        <f>'cash flow EUR'!E12+'sensitivity EUR'!F117</f>
        <v>5418091.046969417</v>
      </c>
      <c r="G118" s="6">
        <f>'cash flow EUR'!F12+'sensitivity EUR'!G117</f>
        <v>5418091.046969417</v>
      </c>
      <c r="H118" s="6">
        <f>'cash flow EUR'!G12+'sensitivity EUR'!H117</f>
        <v>5108897.126969417</v>
      </c>
      <c r="I118" s="6">
        <f>'cash flow EUR'!H12+'sensitivity EUR'!I117</f>
        <v>5108897.126969417</v>
      </c>
      <c r="J118" s="6">
        <f>'cash flow EUR'!I12+'sensitivity EUR'!J117</f>
        <v>5108897.126969417</v>
      </c>
      <c r="K118" s="6">
        <f>'cash flow EUR'!J12+'sensitivity EUR'!K117</f>
        <v>5108897.126969417</v>
      </c>
      <c r="L118" s="6">
        <f>'cash flow EUR'!K12+'sensitivity EUR'!L117</f>
        <v>5108897.126969417</v>
      </c>
      <c r="M118" s="6">
        <f>'cash flow EUR'!L12+'sensitivity EUR'!M117</f>
        <v>5108897.126969417</v>
      </c>
      <c r="N118" s="6">
        <f>'cash flow EUR'!M12+'sensitivity EUR'!N117</f>
        <v>5108897.126969417</v>
      </c>
      <c r="O118" s="6">
        <f>'cash flow EUR'!N12+'sensitivity EUR'!O117</f>
        <v>5108897.126969417</v>
      </c>
      <c r="P118" s="6">
        <f>'cash flow EUR'!O12+'sensitivity EUR'!P117</f>
        <v>5108897.126969417</v>
      </c>
      <c r="Q118" s="6">
        <f>'cash flow EUR'!P12+'sensitivity EUR'!Q117</f>
        <v>5108897.126969417</v>
      </c>
      <c r="R118" s="6">
        <f>'cash flow EUR'!Q12+'sensitivity EUR'!R117</f>
        <v>5108897.126969417</v>
      </c>
      <c r="S118" s="6">
        <f>'cash flow EUR'!R12+'sensitivity EUR'!S117</f>
        <v>5108897.126969417</v>
      </c>
      <c r="T118" s="6">
        <f>'cash flow EUR'!S12+'sensitivity EUR'!T117</f>
        <v>5108897.126969417</v>
      </c>
      <c r="U118" s="6">
        <f>'cash flow EUR'!T12+'sensitivity EUR'!U117</f>
        <v>5108897.126969417</v>
      </c>
      <c r="V118" s="6">
        <f>'cash flow EUR'!U12+'sensitivity EUR'!V117</f>
        <v>5108897.126969417</v>
      </c>
      <c r="W118" s="6">
        <f>'cash flow EUR'!V12+'sensitivity EUR'!W117</f>
        <v>5108897.126969417</v>
      </c>
      <c r="X118" s="6">
        <f>'cash flow EUR'!W12+'sensitivity EUR'!X117</f>
        <v>5108897.126969417</v>
      </c>
      <c r="Y118" s="6">
        <f>'cash flow EUR'!X12+'sensitivity EUR'!Y117</f>
        <v>5108897.126969417</v>
      </c>
    </row>
    <row r="119" spans="1:25" ht="12.75">
      <c r="A119" s="21" t="s">
        <v>56</v>
      </c>
      <c r="C119" s="2"/>
      <c r="D119" s="6">
        <f>D118-'cash flow EUR'!C23</f>
        <v>0</v>
      </c>
      <c r="E119" s="6">
        <f>E118-'cash flow EUR'!D23</f>
        <v>0</v>
      </c>
      <c r="F119" s="6">
        <f>F118-'cash flow EUR'!E23</f>
        <v>4944391.046969417</v>
      </c>
      <c r="G119" s="6">
        <f>G118-'cash flow EUR'!F23</f>
        <v>4944391.046969417</v>
      </c>
      <c r="H119" s="6">
        <f>H118-'cash flow EUR'!G23</f>
        <v>4635197.126969417</v>
      </c>
      <c r="I119" s="6">
        <f>I118-'cash flow EUR'!H23</f>
        <v>4635197.126969417</v>
      </c>
      <c r="J119" s="6">
        <f>J118-'cash flow EUR'!I23</f>
        <v>4635197.126969417</v>
      </c>
      <c r="K119" s="6">
        <f>K118-'cash flow EUR'!J23</f>
        <v>4350197.126969417</v>
      </c>
      <c r="L119" s="6">
        <f>L118-'cash flow EUR'!K23</f>
        <v>4350197.126969417</v>
      </c>
      <c r="M119" s="6">
        <f>M118-'cash flow EUR'!L23</f>
        <v>4350197.126969417</v>
      </c>
      <c r="N119" s="6">
        <f>N118-'cash flow EUR'!M23</f>
        <v>4350197.126969417</v>
      </c>
      <c r="O119" s="6">
        <f>O118-'cash flow EUR'!N23</f>
        <v>4350197.126969417</v>
      </c>
      <c r="P119" s="6">
        <f>P118-'cash flow EUR'!O23</f>
        <v>4350197.126969417</v>
      </c>
      <c r="Q119" s="6">
        <f>Q118-'cash flow EUR'!P23</f>
        <v>4350197.126969417</v>
      </c>
      <c r="R119" s="6">
        <f>R118-'cash flow EUR'!Q23</f>
        <v>4224197.126969417</v>
      </c>
      <c r="S119" s="6">
        <f>S118-'cash flow EUR'!R23</f>
        <v>4224197.126969417</v>
      </c>
      <c r="T119" s="6">
        <f>T118-'cash flow EUR'!S23</f>
        <v>4224197.126969417</v>
      </c>
      <c r="U119" s="6">
        <f>U118-'cash flow EUR'!T23</f>
        <v>4224197.126969417</v>
      </c>
      <c r="V119" s="6">
        <f>V118-'cash flow EUR'!U23</f>
        <v>4224197.126969417</v>
      </c>
      <c r="W119" s="6">
        <f>W118-'cash flow EUR'!V23</f>
        <v>4224197.126969417</v>
      </c>
      <c r="X119" s="6">
        <f>X118-'cash flow EUR'!W23</f>
        <v>4224197.126969417</v>
      </c>
      <c r="Y119" s="6">
        <f>Y118-'cash flow EUR'!X23</f>
        <v>4224197.126969417</v>
      </c>
    </row>
    <row r="120" spans="1:25" ht="12.75">
      <c r="A120" s="1" t="s">
        <v>58</v>
      </c>
      <c r="C120" s="6">
        <f>0-Assumptions!$C$15*1000</f>
        <v>-37343072</v>
      </c>
      <c r="D120" s="6">
        <f>D119-'cash flow EUR'!C28-'cash flow EUR'!C31</f>
        <v>0</v>
      </c>
      <c r="E120" s="6">
        <f>E119-'cash flow EUR'!D28-'cash flow EUR'!D31</f>
        <v>0</v>
      </c>
      <c r="F120" s="6">
        <f>F119-(F118-'cash flow EUR'!E23-'cash flow EUR'!E28-'cash flow EUR'!E31)*0.15</f>
        <v>4744673.722324004</v>
      </c>
      <c r="G120" s="6">
        <f>G119-(G118-'cash flow EUR'!F23-'cash flow EUR'!F28-'cash flow EUR'!F31)*0.15</f>
        <v>4732987.693281903</v>
      </c>
      <c r="H120" s="6">
        <f>H119-(H118-'cash flow EUR'!G23-'cash flow EUR'!G28-'cash flow EUR'!G31)*0.15</f>
        <v>4457844.100642486</v>
      </c>
      <c r="I120" s="6">
        <f>I119-(I118-'cash flow EUR'!H23-'cash flow EUR'!H28-'cash flow EUR'!H31)*0.15</f>
        <v>4444837.258167901</v>
      </c>
      <c r="J120" s="6">
        <f>J119-(J118-'cash flow EUR'!I23-'cash flow EUR'!I28-'cash flow EUR'!I31)*0.15</f>
        <v>4431115.039357213</v>
      </c>
      <c r="K120" s="6">
        <f>K119-(K118-'cash flow EUR'!J23-'cash flow EUR'!J28-'cash flow EUR'!J31)*0.15</f>
        <v>4174388.0985119385</v>
      </c>
      <c r="L120" s="6">
        <f>L119-(L118-'cash flow EUR'!K23-'cash flow EUR'!K28-'cash flow EUR'!K31)*0.15</f>
        <v>4159114.9259201735</v>
      </c>
      <c r="M120" s="6">
        <f>M119-(M118-'cash flow EUR'!L23-'cash flow EUR'!L28-'cash flow EUR'!L31)*0.15</f>
        <v>4143001.728835861</v>
      </c>
      <c r="N120" s="6">
        <f>N119-(N118-'cash flow EUR'!M23-'cash flow EUR'!M28-'cash flow EUR'!M31)*0.15</f>
        <v>4126002.305911912</v>
      </c>
      <c r="O120" s="6">
        <f>O119-(O118-'cash flow EUR'!N23-'cash flow EUR'!N28-'cash flow EUR'!N31)*0.15</f>
        <v>4108067.914727146</v>
      </c>
      <c r="P120" s="6">
        <f>P119-(P118-'cash flow EUR'!O23-'cash flow EUR'!O28-'cash flow EUR'!O31)*0.15</f>
        <v>4089147.132027217</v>
      </c>
      <c r="Q120" s="6">
        <f>Q119-(Q118-'cash flow EUR'!P23-'cash flow EUR'!P28-'cash flow EUR'!P31)*0.15</f>
        <v>4069185.706278792</v>
      </c>
      <c r="R120" s="6">
        <f>R119-(R118-'cash flow EUR'!Q23-'cash flow EUR'!Q28-'cash flow EUR'!Q31)*0.15</f>
        <v>3941026.402114204</v>
      </c>
      <c r="S120" s="6">
        <f>S119-(S118-'cash flow EUR'!R23-'cash flow EUR'!R28-'cash flow EUR'!R31)*0.15</f>
        <v>3918808.836220564</v>
      </c>
      <c r="T120" s="6">
        <f>T119-(T118-'cash flow EUR'!S23-'cash flow EUR'!S28-'cash flow EUR'!S31)*0.15</f>
        <v>3895369.304202773</v>
      </c>
      <c r="U120" s="6">
        <f>U119-(U118-'cash flow EUR'!T23-'cash flow EUR'!T28-'cash flow EUR'!T31)*0.15</f>
        <v>3870640.5979240043</v>
      </c>
      <c r="V120" s="6">
        <f>V119-(V118-'cash flow EUR'!U23-'cash flow EUR'!U28-'cash flow EUR'!U31)*0.15</f>
        <v>3870640.5979240043</v>
      </c>
      <c r="W120" s="6">
        <f>W119-(W118-'cash flow EUR'!V23-'cash flow EUR'!V28-'cash flow EUR'!V31)*0.15</f>
        <v>3870640.5979240043</v>
      </c>
      <c r="X120" s="6">
        <f>X119-(X118-'cash flow EUR'!W23-'cash flow EUR'!W28-'cash flow EUR'!W31)*0.15</f>
        <v>3870640.5979240043</v>
      </c>
      <c r="Y120" s="6">
        <f>Y119-(Y118-'cash flow EUR'!X23-'cash flow EUR'!X28-'cash flow EUR'!X31)*0.15</f>
        <v>3870640.5979240043</v>
      </c>
    </row>
    <row r="121" spans="1:25" ht="12.75">
      <c r="A121" s="1" t="s">
        <v>191</v>
      </c>
      <c r="C121" s="6">
        <f>C120</f>
        <v>-37343072</v>
      </c>
      <c r="D121" s="6">
        <f>D120-'cash flow EUR'!C29-'cash flow EUR'!C32</f>
        <v>0</v>
      </c>
      <c r="E121" s="6">
        <f>E120-'cash flow EUR'!D29-'cash flow EUR'!D32</f>
        <v>0</v>
      </c>
      <c r="F121" s="6">
        <f>F119-(F118-F117-'cash flow EUR'!E23-'cash flow EUR'!E28-'cash flow EUR'!E31)*0.15-F117</f>
        <v>4481858.890324004</v>
      </c>
      <c r="G121" s="6">
        <f>G119-(G118-G117-'cash flow EUR'!F23-'cash flow EUR'!F28-'cash flow EUR'!F31)*0.15-G117</f>
        <v>4470172.8612819025</v>
      </c>
      <c r="H121" s="6">
        <f>H119-(H118-H117-'cash flow EUR'!G23-'cash flow EUR'!G28-'cash flow EUR'!G31)*0.15-H117</f>
        <v>4457844.100642486</v>
      </c>
      <c r="I121" s="6">
        <f>I119-(I118-I117-'cash flow EUR'!H23-'cash flow EUR'!H28-'cash flow EUR'!H31)*0.15-I117</f>
        <v>4444837.258167901</v>
      </c>
      <c r="J121" s="6">
        <f>J119-(J118-J117-'cash flow EUR'!I23-'cash flow EUR'!I28-'cash flow EUR'!I31)*0.15-J117</f>
        <v>4431115.039357213</v>
      </c>
      <c r="K121" s="6">
        <f>K119-(K118-K117-'cash flow EUR'!J23-'cash flow EUR'!J28-'cash flow EUR'!J31)*0.15-K117</f>
        <v>4174388.0985119385</v>
      </c>
      <c r="L121" s="6">
        <f>L119-(L118-L117-'cash flow EUR'!K23-'cash flow EUR'!K28-'cash flow EUR'!K31)*0.15-L117</f>
        <v>4159114.9259201735</v>
      </c>
      <c r="M121" s="6">
        <f>M119-(M118-M117-'cash flow EUR'!L23-'cash flow EUR'!L28-'cash flow EUR'!L31)*0.15-M117</f>
        <v>4143001.728835861</v>
      </c>
      <c r="N121" s="6">
        <f>N119-(N118-N117-'cash flow EUR'!M23-'cash flow EUR'!M28-'cash flow EUR'!M31)*0.15-N117</f>
        <v>4126002.305911912</v>
      </c>
      <c r="O121" s="6">
        <f>O119-(O118-O117-'cash flow EUR'!N23-'cash flow EUR'!N28-'cash flow EUR'!N31)*0.15-O117</f>
        <v>4108067.914727146</v>
      </c>
      <c r="P121" s="6">
        <f>P119-(P118-P117-'cash flow EUR'!O23-'cash flow EUR'!O28-'cash flow EUR'!O31)*0.15-P117</f>
        <v>4089147.132027217</v>
      </c>
      <c r="Q121" s="6">
        <f>Q119-(Q118-Q117-'cash flow EUR'!P23-'cash flow EUR'!P28-'cash flow EUR'!P31)*0.15-Q117</f>
        <v>4069185.706278792</v>
      </c>
      <c r="R121" s="6">
        <f>R119-(R118-R117-'cash flow EUR'!Q23-'cash flow EUR'!Q28-'cash flow EUR'!Q31)*0.15-R117</f>
        <v>3941026.402114204</v>
      </c>
      <c r="S121" s="6">
        <f>S119-(S118-S117-'cash flow EUR'!R23-'cash flow EUR'!R28-'cash flow EUR'!R31)*0.15-S117</f>
        <v>3918808.836220564</v>
      </c>
      <c r="T121" s="6">
        <f>T119-(T118-T117-'cash flow EUR'!S23-'cash flow EUR'!S28-'cash flow EUR'!S31)*0.15-T117</f>
        <v>3895369.304202773</v>
      </c>
      <c r="U121" s="6">
        <f>U119-(U118-U117-'cash flow EUR'!T23-'cash flow EUR'!T28-'cash flow EUR'!T31)*0.15-U117</f>
        <v>3870640.5979240043</v>
      </c>
      <c r="V121" s="6">
        <f>V119-(V118-V117-'cash flow EUR'!U23-'cash flow EUR'!U28-'cash flow EUR'!U31)*0.15-V117</f>
        <v>3870640.5979240043</v>
      </c>
      <c r="W121" s="6">
        <f>W119-(W118-W117-'cash flow EUR'!V23-'cash flow EUR'!V28-'cash flow EUR'!V31)*0.15-W117</f>
        <v>3870640.5979240043</v>
      </c>
      <c r="X121" s="6">
        <f>X119-(X118-X117-'cash flow EUR'!W23-'cash flow EUR'!W28-'cash flow EUR'!W31)*0.15-X117</f>
        <v>3870640.5979240043</v>
      </c>
      <c r="Y121" s="6">
        <f>Y119-(Y118-Y117-'cash flow EUR'!X23-'cash flow EUR'!X28-'cash flow EUR'!X31)*0.15-Y117</f>
        <v>3870640.5979240043</v>
      </c>
    </row>
    <row r="122" spans="1:25" ht="12.75">
      <c r="A122" s="1" t="s">
        <v>63</v>
      </c>
      <c r="C122" s="6">
        <f>AVERAGE(E120:Y120)</f>
        <v>3942322.5313401967</v>
      </c>
      <c r="D122" s="6"/>
      <c r="E122" s="6"/>
      <c r="F122" s="6"/>
      <c r="G122" s="6"/>
      <c r="H122" s="6"/>
      <c r="I122" s="6"/>
      <c r="J122" s="6"/>
      <c r="K122" s="6"/>
      <c r="L122" s="6"/>
      <c r="M122" s="6"/>
      <c r="N122" s="6"/>
      <c r="O122" s="6"/>
      <c r="P122" s="6"/>
      <c r="Q122" s="6"/>
      <c r="R122" s="6"/>
      <c r="S122" s="6"/>
      <c r="T122" s="6"/>
      <c r="U122" s="6"/>
      <c r="V122" s="6"/>
      <c r="W122" s="6"/>
      <c r="X122" s="1"/>
      <c r="Y122" s="1"/>
    </row>
    <row r="123" spans="1:25" ht="12.75">
      <c r="A123" s="1" t="s">
        <v>49</v>
      </c>
      <c r="C123" s="37">
        <f>Assumptions!$C$15*1000/'sensitivity EUR'!C122</f>
        <v>9.472353340736223</v>
      </c>
      <c r="D123" s="6"/>
      <c r="E123" s="6"/>
      <c r="F123" s="6"/>
      <c r="G123" s="6"/>
      <c r="H123" s="6"/>
      <c r="I123" s="6"/>
      <c r="J123" s="6"/>
      <c r="K123" s="6"/>
      <c r="L123" s="6"/>
      <c r="M123" s="6"/>
      <c r="N123" s="6"/>
      <c r="O123" s="6"/>
      <c r="P123" s="6"/>
      <c r="Q123" s="6"/>
      <c r="R123" s="6"/>
      <c r="S123" s="6"/>
      <c r="T123" s="6"/>
      <c r="U123" s="6"/>
      <c r="V123" s="6"/>
      <c r="W123" s="6"/>
      <c r="X123" s="1"/>
      <c r="Y123" s="1"/>
    </row>
    <row r="124" spans="1:25" ht="12.75">
      <c r="A124" s="28" t="s">
        <v>53</v>
      </c>
      <c r="C124" s="29">
        <f>IRR(C120:Y120,0.01)</f>
        <v>0.07541568972759742</v>
      </c>
      <c r="D124" s="6"/>
      <c r="E124" s="6"/>
      <c r="F124" s="6"/>
      <c r="G124" s="6"/>
      <c r="H124" s="6"/>
      <c r="I124" s="6"/>
      <c r="J124" s="6"/>
      <c r="K124" s="6"/>
      <c r="L124" s="6"/>
      <c r="M124" s="6"/>
      <c r="N124" s="6"/>
      <c r="O124" s="6"/>
      <c r="P124" s="6"/>
      <c r="Q124" s="6"/>
      <c r="R124" s="6"/>
      <c r="S124" s="6"/>
      <c r="T124" s="6"/>
      <c r="U124" s="6"/>
      <c r="V124" s="6"/>
      <c r="W124" s="6"/>
      <c r="X124" s="1"/>
      <c r="Y124" s="1"/>
    </row>
    <row r="125" spans="1:25" ht="12.75">
      <c r="A125" s="39" t="s">
        <v>19</v>
      </c>
      <c r="B125" s="40"/>
      <c r="C125" s="40">
        <f>IRR(C121:Y121,0.01)</f>
        <v>0.07422299584947344</v>
      </c>
      <c r="D125" s="23"/>
      <c r="E125" s="23"/>
      <c r="F125" s="23"/>
      <c r="G125" s="23"/>
      <c r="H125" s="23"/>
      <c r="I125" s="23"/>
      <c r="J125" s="23"/>
      <c r="K125" s="23"/>
      <c r="L125" s="23"/>
      <c r="M125" s="23"/>
      <c r="N125" s="23"/>
      <c r="O125" s="23"/>
      <c r="P125" s="23"/>
      <c r="Q125" s="23"/>
      <c r="R125" s="23"/>
      <c r="S125" s="23"/>
      <c r="T125" s="23"/>
      <c r="U125" s="23"/>
      <c r="V125" s="23"/>
      <c r="W125" s="23"/>
      <c r="X125" s="4"/>
      <c r="Y125" s="4"/>
    </row>
    <row r="126" spans="1:25" ht="12.75">
      <c r="A126" s="22" t="s">
        <v>25</v>
      </c>
      <c r="C126" s="38">
        <f>C2</f>
        <v>-0.2</v>
      </c>
      <c r="D126" s="47">
        <f>C10</f>
        <v>9.6</v>
      </c>
      <c r="E126" s="6"/>
      <c r="F126" s="6"/>
      <c r="G126" s="6"/>
      <c r="H126" s="6"/>
      <c r="I126" s="6"/>
      <c r="J126" s="6"/>
      <c r="K126" s="6"/>
      <c r="L126" s="6"/>
      <c r="M126" s="6"/>
      <c r="N126" s="6"/>
      <c r="O126" s="6"/>
      <c r="P126" s="6"/>
      <c r="Q126" s="6"/>
      <c r="R126" s="6"/>
      <c r="S126" s="6"/>
      <c r="T126" s="6"/>
      <c r="U126" s="6"/>
      <c r="V126" s="6"/>
      <c r="W126" s="6"/>
      <c r="X126" s="6"/>
      <c r="Y126" s="6"/>
    </row>
    <row r="127" spans="1:25" ht="12.75">
      <c r="A127" s="1" t="s">
        <v>61</v>
      </c>
      <c r="C127" s="1"/>
      <c r="D127" s="6">
        <f>'cash flow EUR'!C9*'sensitivity EUR'!$D$126</f>
        <v>0</v>
      </c>
      <c r="E127" s="6">
        <f>'cash flow EUR'!D9*'sensitivity EUR'!$D$126</f>
        <v>0</v>
      </c>
      <c r="F127" s="6">
        <f>'cash flow EUR'!E9*'sensitivity EUR'!$D$126</f>
        <v>353364.48000000004</v>
      </c>
      <c r="G127" s="6">
        <f>'cash flow EUR'!F9*'sensitivity EUR'!$D$126</f>
        <v>353364.48000000004</v>
      </c>
      <c r="H127" s="6"/>
      <c r="I127" s="6"/>
      <c r="J127" s="6"/>
      <c r="K127" s="6"/>
      <c r="L127" s="6"/>
      <c r="M127" s="6"/>
      <c r="N127" s="6"/>
      <c r="O127" s="6"/>
      <c r="P127" s="6"/>
      <c r="Q127" s="6"/>
      <c r="R127" s="6"/>
      <c r="S127" s="6"/>
      <c r="T127" s="6"/>
      <c r="U127" s="6"/>
      <c r="V127" s="6"/>
      <c r="W127" s="6"/>
      <c r="X127" s="6"/>
      <c r="Y127" s="6"/>
    </row>
    <row r="128" spans="1:25" ht="12.75">
      <c r="A128" s="1" t="s">
        <v>62</v>
      </c>
      <c r="C128" s="1"/>
      <c r="D128" s="6">
        <f>'cash flow EUR'!C12+'sensitivity EUR'!D127</f>
        <v>0</v>
      </c>
      <c r="E128" s="6">
        <f>'cash flow EUR'!D12+'sensitivity EUR'!E127</f>
        <v>0</v>
      </c>
      <c r="F128" s="6">
        <f>'cash flow EUR'!E12+'sensitivity EUR'!F127</f>
        <v>5462261.606969417</v>
      </c>
      <c r="G128" s="6">
        <f>'cash flow EUR'!F12+'sensitivity EUR'!G127</f>
        <v>5462261.606969417</v>
      </c>
      <c r="H128" s="6">
        <f>'cash flow EUR'!G12+'sensitivity EUR'!H127</f>
        <v>5108897.126969417</v>
      </c>
      <c r="I128" s="6">
        <f>'cash flow EUR'!H12+'sensitivity EUR'!I127</f>
        <v>5108897.126969417</v>
      </c>
      <c r="J128" s="6">
        <f>'cash flow EUR'!I12+'sensitivity EUR'!J127</f>
        <v>5108897.126969417</v>
      </c>
      <c r="K128" s="6">
        <f>'cash flow EUR'!J12+'sensitivity EUR'!K127</f>
        <v>5108897.126969417</v>
      </c>
      <c r="L128" s="6">
        <f>'cash flow EUR'!K12+'sensitivity EUR'!L127</f>
        <v>5108897.126969417</v>
      </c>
      <c r="M128" s="6">
        <f>'cash flow EUR'!L12+'sensitivity EUR'!M127</f>
        <v>5108897.126969417</v>
      </c>
      <c r="N128" s="6">
        <f>'cash flow EUR'!M12+'sensitivity EUR'!N127</f>
        <v>5108897.126969417</v>
      </c>
      <c r="O128" s="6">
        <f>'cash flow EUR'!N12+'sensitivity EUR'!O127</f>
        <v>5108897.126969417</v>
      </c>
      <c r="P128" s="6">
        <f>'cash flow EUR'!O12+'sensitivity EUR'!P127</f>
        <v>5108897.126969417</v>
      </c>
      <c r="Q128" s="6">
        <f>'cash flow EUR'!P12+'sensitivity EUR'!Q127</f>
        <v>5108897.126969417</v>
      </c>
      <c r="R128" s="6">
        <f>'cash flow EUR'!Q12+'sensitivity EUR'!R127</f>
        <v>5108897.126969417</v>
      </c>
      <c r="S128" s="6">
        <f>'cash flow EUR'!R12+'sensitivity EUR'!S127</f>
        <v>5108897.126969417</v>
      </c>
      <c r="T128" s="6">
        <f>'cash flow EUR'!S12+'sensitivity EUR'!T127</f>
        <v>5108897.126969417</v>
      </c>
      <c r="U128" s="6">
        <f>'cash flow EUR'!T12+'sensitivity EUR'!U127</f>
        <v>5108897.126969417</v>
      </c>
      <c r="V128" s="6">
        <f>'cash flow EUR'!U12+'sensitivity EUR'!V127</f>
        <v>5108897.126969417</v>
      </c>
      <c r="W128" s="6">
        <f>'cash flow EUR'!V12+'sensitivity EUR'!W127</f>
        <v>5108897.126969417</v>
      </c>
      <c r="X128" s="6">
        <f>'cash flow EUR'!W12+'sensitivity EUR'!X127</f>
        <v>5108897.126969417</v>
      </c>
      <c r="Y128" s="6">
        <f>'cash flow EUR'!X12+'sensitivity EUR'!Y127</f>
        <v>5108897.126969417</v>
      </c>
    </row>
    <row r="129" spans="1:25" ht="12.75">
      <c r="A129" s="21" t="s">
        <v>56</v>
      </c>
      <c r="C129" s="2"/>
      <c r="D129" s="6">
        <f>D128-'cash flow EUR'!C23</f>
        <v>0</v>
      </c>
      <c r="E129" s="6">
        <f>E128-'cash flow EUR'!D23</f>
        <v>0</v>
      </c>
      <c r="F129" s="6">
        <f>F128-'cash flow EUR'!E23</f>
        <v>4988561.606969417</v>
      </c>
      <c r="G129" s="6">
        <f>G128-'cash flow EUR'!F23</f>
        <v>4988561.606969417</v>
      </c>
      <c r="H129" s="6">
        <f>H128-'cash flow EUR'!G23</f>
        <v>4635197.126969417</v>
      </c>
      <c r="I129" s="6">
        <f>I128-'cash flow EUR'!H23</f>
        <v>4635197.126969417</v>
      </c>
      <c r="J129" s="6">
        <f>J128-'cash flow EUR'!I23</f>
        <v>4635197.126969417</v>
      </c>
      <c r="K129" s="6">
        <f>K128-'cash flow EUR'!J23</f>
        <v>4350197.126969417</v>
      </c>
      <c r="L129" s="6">
        <f>L128-'cash flow EUR'!K23</f>
        <v>4350197.126969417</v>
      </c>
      <c r="M129" s="6">
        <f>M128-'cash flow EUR'!L23</f>
        <v>4350197.126969417</v>
      </c>
      <c r="N129" s="6">
        <f>N128-'cash flow EUR'!M23</f>
        <v>4350197.126969417</v>
      </c>
      <c r="O129" s="6">
        <f>O128-'cash flow EUR'!N23</f>
        <v>4350197.126969417</v>
      </c>
      <c r="P129" s="6">
        <f>P128-'cash flow EUR'!O23</f>
        <v>4350197.126969417</v>
      </c>
      <c r="Q129" s="6">
        <f>Q128-'cash flow EUR'!P23</f>
        <v>4350197.126969417</v>
      </c>
      <c r="R129" s="6">
        <f>R128-'cash flow EUR'!Q23</f>
        <v>4224197.126969417</v>
      </c>
      <c r="S129" s="6">
        <f>S128-'cash flow EUR'!R23</f>
        <v>4224197.126969417</v>
      </c>
      <c r="T129" s="6">
        <f>T128-'cash flow EUR'!S23</f>
        <v>4224197.126969417</v>
      </c>
      <c r="U129" s="6">
        <f>U128-'cash flow EUR'!T23</f>
        <v>4224197.126969417</v>
      </c>
      <c r="V129" s="6">
        <f>V128-'cash flow EUR'!U23</f>
        <v>4224197.126969417</v>
      </c>
      <c r="W129" s="6">
        <f>W128-'cash flow EUR'!V23</f>
        <v>4224197.126969417</v>
      </c>
      <c r="X129" s="6">
        <f>X128-'cash flow EUR'!W23</f>
        <v>4224197.126969417</v>
      </c>
      <c r="Y129" s="6">
        <f>Y128-'cash flow EUR'!X23</f>
        <v>4224197.126969417</v>
      </c>
    </row>
    <row r="130" spans="1:25" ht="12.75">
      <c r="A130" s="1" t="s">
        <v>58</v>
      </c>
      <c r="C130" s="6">
        <f>0-Assumptions!$C$15*1000</f>
        <v>-37343072</v>
      </c>
      <c r="D130" s="6">
        <f>D129-'cash flow EUR'!C28-'cash flow EUR'!C31</f>
        <v>0</v>
      </c>
      <c r="E130" s="6">
        <f>E129-'cash flow EUR'!D28-'cash flow EUR'!D31</f>
        <v>0</v>
      </c>
      <c r="F130" s="6">
        <f>F129-(F128-'cash flow EUR'!E23-'cash flow EUR'!E28-'cash flow EUR'!E31)*0.15</f>
        <v>4782218.698324004</v>
      </c>
      <c r="G130" s="6">
        <f>G129-(G128-'cash flow EUR'!F23-'cash flow EUR'!F28-'cash flow EUR'!F31)*0.15</f>
        <v>4770532.669281903</v>
      </c>
      <c r="H130" s="6">
        <f>H129-(H128-'cash flow EUR'!G23-'cash flow EUR'!G28-'cash flow EUR'!G31)*0.15</f>
        <v>4457844.100642486</v>
      </c>
      <c r="I130" s="6">
        <f>I129-(I128-'cash flow EUR'!H23-'cash flow EUR'!H28-'cash flow EUR'!H31)*0.15</f>
        <v>4444837.258167901</v>
      </c>
      <c r="J130" s="6">
        <f>J129-(J128-'cash flow EUR'!I23-'cash flow EUR'!I28-'cash flow EUR'!I31)*0.15</f>
        <v>4431115.039357213</v>
      </c>
      <c r="K130" s="6">
        <f>K129-(K128-'cash flow EUR'!J23-'cash flow EUR'!J28-'cash flow EUR'!J31)*0.15</f>
        <v>4174388.0985119385</v>
      </c>
      <c r="L130" s="6">
        <f>L129-(L128-'cash flow EUR'!K23-'cash flow EUR'!K28-'cash flow EUR'!K31)*0.15</f>
        <v>4159114.9259201735</v>
      </c>
      <c r="M130" s="6">
        <f>M129-(M128-'cash flow EUR'!L23-'cash flow EUR'!L28-'cash flow EUR'!L31)*0.15</f>
        <v>4143001.728835861</v>
      </c>
      <c r="N130" s="6">
        <f>N129-(N128-'cash flow EUR'!M23-'cash flow EUR'!M28-'cash flow EUR'!M31)*0.15</f>
        <v>4126002.305911912</v>
      </c>
      <c r="O130" s="6">
        <f>O129-(O128-'cash flow EUR'!N23-'cash flow EUR'!N28-'cash flow EUR'!N31)*0.15</f>
        <v>4108067.914727146</v>
      </c>
      <c r="P130" s="6">
        <f>P129-(P128-'cash flow EUR'!O23-'cash flow EUR'!O28-'cash flow EUR'!O31)*0.15</f>
        <v>4089147.132027217</v>
      </c>
      <c r="Q130" s="6">
        <f>Q129-(Q128-'cash flow EUR'!P23-'cash flow EUR'!P28-'cash flow EUR'!P31)*0.15</f>
        <v>4069185.706278792</v>
      </c>
      <c r="R130" s="6">
        <f>R129-(R128-'cash flow EUR'!Q23-'cash flow EUR'!Q28-'cash flow EUR'!Q31)*0.15</f>
        <v>3941026.402114204</v>
      </c>
      <c r="S130" s="6">
        <f>S129-(S128-'cash flow EUR'!R23-'cash flow EUR'!R28-'cash flow EUR'!R31)*0.15</f>
        <v>3918808.836220564</v>
      </c>
      <c r="T130" s="6">
        <f>T129-(T128-'cash flow EUR'!S23-'cash flow EUR'!S28-'cash flow EUR'!S31)*0.15</f>
        <v>3895369.304202773</v>
      </c>
      <c r="U130" s="6">
        <f>U129-(U128-'cash flow EUR'!T23-'cash flow EUR'!T28-'cash flow EUR'!T31)*0.15</f>
        <v>3870640.5979240043</v>
      </c>
      <c r="V130" s="6">
        <f>V129-(V128-'cash flow EUR'!U23-'cash flow EUR'!U28-'cash flow EUR'!U31)*0.15</f>
        <v>3870640.5979240043</v>
      </c>
      <c r="W130" s="6">
        <f>W129-(W128-'cash flow EUR'!V23-'cash flow EUR'!V28-'cash flow EUR'!V31)*0.15</f>
        <v>3870640.5979240043</v>
      </c>
      <c r="X130" s="6">
        <f>X129-(X128-'cash flow EUR'!W23-'cash flow EUR'!W28-'cash flow EUR'!W31)*0.15</f>
        <v>3870640.5979240043</v>
      </c>
      <c r="Y130" s="6">
        <f>Y129-(Y128-'cash flow EUR'!X23-'cash flow EUR'!X28-'cash flow EUR'!X31)*0.15</f>
        <v>3870640.5979240043</v>
      </c>
    </row>
    <row r="131" spans="1:25" ht="12.75">
      <c r="A131" s="1" t="s">
        <v>191</v>
      </c>
      <c r="C131" s="6">
        <f>C130</f>
        <v>-37343072</v>
      </c>
      <c r="D131" s="6">
        <f>D130-'cash flow EUR'!C29-'cash flow EUR'!C32</f>
        <v>0</v>
      </c>
      <c r="E131" s="6">
        <f>E130-'cash flow EUR'!D29-'cash flow EUR'!D32</f>
        <v>0</v>
      </c>
      <c r="F131" s="6">
        <f>F129-(F128-F127-'cash flow EUR'!E23-'cash flow EUR'!E28-'cash flow EUR'!E31)*0.15-F127</f>
        <v>4481858.890324004</v>
      </c>
      <c r="G131" s="6">
        <f>G129-(G128-G127-'cash flow EUR'!F23-'cash flow EUR'!F28-'cash flow EUR'!F31)*0.15-G127</f>
        <v>4470172.8612819025</v>
      </c>
      <c r="H131" s="6">
        <f>H129-(H128-H127-'cash flow EUR'!G23-'cash flow EUR'!G28-'cash flow EUR'!G31)*0.15-H127</f>
        <v>4457844.100642486</v>
      </c>
      <c r="I131" s="6">
        <f>I129-(I128-I127-'cash flow EUR'!H23-'cash flow EUR'!H28-'cash flow EUR'!H31)*0.15-I127</f>
        <v>4444837.258167901</v>
      </c>
      <c r="J131" s="6">
        <f>J129-(J128-J127-'cash flow EUR'!I23-'cash flow EUR'!I28-'cash flow EUR'!I31)*0.15-J127</f>
        <v>4431115.039357213</v>
      </c>
      <c r="K131" s="6">
        <f>K129-(K128-K127-'cash flow EUR'!J23-'cash flow EUR'!J28-'cash flow EUR'!J31)*0.15-K127</f>
        <v>4174388.0985119385</v>
      </c>
      <c r="L131" s="6">
        <f>L129-(L128-L127-'cash flow EUR'!K23-'cash flow EUR'!K28-'cash flow EUR'!K31)*0.15-L127</f>
        <v>4159114.9259201735</v>
      </c>
      <c r="M131" s="6">
        <f>M129-(M128-M127-'cash flow EUR'!L23-'cash flow EUR'!L28-'cash flow EUR'!L31)*0.15-M127</f>
        <v>4143001.728835861</v>
      </c>
      <c r="N131" s="6">
        <f>N129-(N128-N127-'cash flow EUR'!M23-'cash flow EUR'!M28-'cash flow EUR'!M31)*0.15-N127</f>
        <v>4126002.305911912</v>
      </c>
      <c r="O131" s="6">
        <f>O129-(O128-O127-'cash flow EUR'!N23-'cash flow EUR'!N28-'cash flow EUR'!N31)*0.15-O127</f>
        <v>4108067.914727146</v>
      </c>
      <c r="P131" s="6">
        <f>P129-(P128-P127-'cash flow EUR'!O23-'cash flow EUR'!O28-'cash flow EUR'!O31)*0.15-P127</f>
        <v>4089147.132027217</v>
      </c>
      <c r="Q131" s="6">
        <f>Q129-(Q128-Q127-'cash flow EUR'!P23-'cash flow EUR'!P28-'cash flow EUR'!P31)*0.15-Q127</f>
        <v>4069185.706278792</v>
      </c>
      <c r="R131" s="6">
        <f>R129-(R128-R127-'cash flow EUR'!Q23-'cash flow EUR'!Q28-'cash flow EUR'!Q31)*0.15-R127</f>
        <v>3941026.402114204</v>
      </c>
      <c r="S131" s="6">
        <f>S129-(S128-S127-'cash flow EUR'!R23-'cash flow EUR'!R28-'cash flow EUR'!R31)*0.15-S127</f>
        <v>3918808.836220564</v>
      </c>
      <c r="T131" s="6">
        <f>T129-(T128-T127-'cash flow EUR'!S23-'cash flow EUR'!S28-'cash flow EUR'!S31)*0.15-T127</f>
        <v>3895369.304202773</v>
      </c>
      <c r="U131" s="6">
        <f>U129-(U128-U127-'cash flow EUR'!T23-'cash flow EUR'!T28-'cash flow EUR'!T31)*0.15-U127</f>
        <v>3870640.5979240043</v>
      </c>
      <c r="V131" s="6">
        <f>V129-(V128-V127-'cash flow EUR'!U23-'cash flow EUR'!U28-'cash flow EUR'!U31)*0.15-V127</f>
        <v>3870640.5979240043</v>
      </c>
      <c r="W131" s="6">
        <f>W129-(W128-W127-'cash flow EUR'!V23-'cash flow EUR'!V28-'cash flow EUR'!V31)*0.15-W127</f>
        <v>3870640.5979240043</v>
      </c>
      <c r="X131" s="6">
        <f>X129-(X128-X127-'cash flow EUR'!W23-'cash flow EUR'!W28-'cash flow EUR'!W31)*0.15-X127</f>
        <v>3870640.5979240043</v>
      </c>
      <c r="Y131" s="6">
        <f>Y129-(Y128-Y127-'cash flow EUR'!X23-'cash flow EUR'!X28-'cash flow EUR'!X31)*0.15-Y127</f>
        <v>3870640.5979240043</v>
      </c>
    </row>
    <row r="132" spans="1:25" ht="12.75">
      <c r="A132" s="1" t="s">
        <v>63</v>
      </c>
      <c r="C132" s="6">
        <f>AVERAGE(E130:Y130)</f>
        <v>3945898.2433401966</v>
      </c>
      <c r="D132" s="6"/>
      <c r="E132" s="6"/>
      <c r="F132" s="6"/>
      <c r="G132" s="6"/>
      <c r="H132" s="6"/>
      <c r="I132" s="6"/>
      <c r="J132" s="6"/>
      <c r="K132" s="6"/>
      <c r="L132" s="6"/>
      <c r="M132" s="6"/>
      <c r="N132" s="6"/>
      <c r="O132" s="6"/>
      <c r="P132" s="6"/>
      <c r="Q132" s="6"/>
      <c r="R132" s="6"/>
      <c r="S132" s="6"/>
      <c r="T132" s="6"/>
      <c r="U132" s="6"/>
      <c r="V132" s="6"/>
      <c r="W132" s="6"/>
      <c r="X132" s="1"/>
      <c r="Y132" s="1"/>
    </row>
    <row r="133" spans="1:25" ht="12.75">
      <c r="A133" s="1" t="s">
        <v>49</v>
      </c>
      <c r="C133" s="37">
        <f>Assumptions!$C$15*1000/'sensitivity EUR'!C132</f>
        <v>9.46376964054429</v>
      </c>
      <c r="D133" s="6"/>
      <c r="E133" s="6"/>
      <c r="F133" s="6"/>
      <c r="G133" s="6"/>
      <c r="H133" s="6"/>
      <c r="I133" s="6"/>
      <c r="J133" s="6"/>
      <c r="K133" s="6"/>
      <c r="L133" s="6"/>
      <c r="M133" s="6"/>
      <c r="N133" s="6"/>
      <c r="O133" s="6"/>
      <c r="P133" s="6"/>
      <c r="Q133" s="6"/>
      <c r="R133" s="6"/>
      <c r="S133" s="6"/>
      <c r="T133" s="6"/>
      <c r="U133" s="6"/>
      <c r="V133" s="6"/>
      <c r="W133" s="6"/>
      <c r="X133" s="1"/>
      <c r="Y133" s="1"/>
    </row>
    <row r="134" spans="1:25" ht="12.75">
      <c r="A134" s="28" t="s">
        <v>53</v>
      </c>
      <c r="C134" s="29">
        <f>IRR(C130:Y130,0.01)</f>
        <v>0.07558681928392391</v>
      </c>
      <c r="D134" s="6"/>
      <c r="E134" s="6"/>
      <c r="F134" s="6"/>
      <c r="G134" s="6"/>
      <c r="H134" s="6"/>
      <c r="I134" s="6"/>
      <c r="J134" s="6"/>
      <c r="K134" s="6"/>
      <c r="L134" s="6"/>
      <c r="M134" s="6"/>
      <c r="N134" s="6"/>
      <c r="O134" s="6"/>
      <c r="P134" s="6"/>
      <c r="Q134" s="6"/>
      <c r="R134" s="6"/>
      <c r="S134" s="6"/>
      <c r="T134" s="6"/>
      <c r="U134" s="6"/>
      <c r="V134" s="6"/>
      <c r="W134" s="6"/>
      <c r="X134" s="1"/>
      <c r="Y134" s="1"/>
    </row>
    <row r="135" spans="1:3" ht="12.75">
      <c r="A135" s="28" t="s">
        <v>19</v>
      </c>
      <c r="C135" s="29">
        <f>IRR(C131:Y131,0.01)</f>
        <v>0.07422299584947344</v>
      </c>
    </row>
    <row r="136" spans="1:25" ht="12.75">
      <c r="A136" s="39"/>
      <c r="B136" s="40"/>
      <c r="C136" s="23"/>
      <c r="D136" s="23"/>
      <c r="E136" s="23"/>
      <c r="F136" s="23"/>
      <c r="G136" s="23"/>
      <c r="H136" s="23"/>
      <c r="I136" s="23"/>
      <c r="J136" s="23"/>
      <c r="K136" s="23"/>
      <c r="L136" s="23"/>
      <c r="M136" s="23"/>
      <c r="N136" s="23"/>
      <c r="O136" s="23"/>
      <c r="P136" s="23"/>
      <c r="Q136" s="23"/>
      <c r="R136" s="23"/>
      <c r="S136" s="23"/>
      <c r="T136" s="23"/>
      <c r="U136" s="23"/>
      <c r="V136" s="23"/>
      <c r="W136" s="23"/>
      <c r="X136" s="4"/>
      <c r="Y136" s="4"/>
    </row>
    <row r="137" spans="1:25" ht="12.75">
      <c r="A137" s="22" t="s">
        <v>25</v>
      </c>
      <c r="C137" s="38">
        <f>D2</f>
        <v>-0.1</v>
      </c>
      <c r="D137" s="47">
        <f>D10</f>
        <v>10.8</v>
      </c>
      <c r="E137" s="6"/>
      <c r="F137" s="6"/>
      <c r="G137" s="6"/>
      <c r="H137" s="6"/>
      <c r="I137" s="6"/>
      <c r="J137" s="6"/>
      <c r="K137" s="6"/>
      <c r="L137" s="6"/>
      <c r="M137" s="6"/>
      <c r="N137" s="6"/>
      <c r="O137" s="6"/>
      <c r="P137" s="6"/>
      <c r="Q137" s="6"/>
      <c r="R137" s="6"/>
      <c r="S137" s="6"/>
      <c r="T137" s="6"/>
      <c r="U137" s="6"/>
      <c r="V137" s="6"/>
      <c r="W137" s="6"/>
      <c r="X137" s="6"/>
      <c r="Y137" s="6"/>
    </row>
    <row r="138" spans="1:25" ht="12.75">
      <c r="A138" s="1" t="s">
        <v>61</v>
      </c>
      <c r="C138" s="1"/>
      <c r="D138" s="6">
        <f>'cash flow EUR'!C9*'sensitivity EUR'!$D$137</f>
        <v>0</v>
      </c>
      <c r="E138" s="6">
        <f>'cash flow EUR'!D9*'sensitivity EUR'!$D$137</f>
        <v>0</v>
      </c>
      <c r="F138" s="6">
        <f>'cash flow EUR'!E9*'sensitivity EUR'!$D$137</f>
        <v>397535.04000000004</v>
      </c>
      <c r="G138" s="6">
        <f>'cash flow EUR'!F9*'sensitivity EUR'!$D$137</f>
        <v>397535.04000000004</v>
      </c>
      <c r="H138" s="6"/>
      <c r="I138" s="6"/>
      <c r="J138" s="6"/>
      <c r="K138" s="6"/>
      <c r="L138" s="6"/>
      <c r="M138" s="6"/>
      <c r="N138" s="6"/>
      <c r="O138" s="6"/>
      <c r="P138" s="6"/>
      <c r="Q138" s="6"/>
      <c r="R138" s="6"/>
      <c r="S138" s="6"/>
      <c r="T138" s="6"/>
      <c r="U138" s="6"/>
      <c r="V138" s="6"/>
      <c r="W138" s="6"/>
      <c r="X138" s="6"/>
      <c r="Y138" s="6"/>
    </row>
    <row r="139" spans="1:25" ht="12.75">
      <c r="A139" s="1" t="s">
        <v>62</v>
      </c>
      <c r="C139" s="1"/>
      <c r="D139" s="6">
        <f>'cash flow EUR'!C12+'sensitivity EUR'!D138</f>
        <v>0</v>
      </c>
      <c r="E139" s="6">
        <f>'cash flow EUR'!D12+'sensitivity EUR'!E138</f>
        <v>0</v>
      </c>
      <c r="F139" s="6">
        <f>'cash flow EUR'!E12+'sensitivity EUR'!F138</f>
        <v>5506432.166969417</v>
      </c>
      <c r="G139" s="6">
        <f>'cash flow EUR'!F12+'sensitivity EUR'!G138</f>
        <v>5506432.166969417</v>
      </c>
      <c r="H139" s="6">
        <f>'cash flow EUR'!G12+'sensitivity EUR'!H138</f>
        <v>5108897.126969417</v>
      </c>
      <c r="I139" s="6">
        <f>'cash flow EUR'!H12+'sensitivity EUR'!I138</f>
        <v>5108897.126969417</v>
      </c>
      <c r="J139" s="6">
        <f>'cash flow EUR'!I12+'sensitivity EUR'!J138</f>
        <v>5108897.126969417</v>
      </c>
      <c r="K139" s="6">
        <f>'cash flow EUR'!J12+'sensitivity EUR'!K138</f>
        <v>5108897.126969417</v>
      </c>
      <c r="L139" s="6">
        <f>'cash flow EUR'!K12+'sensitivity EUR'!L138</f>
        <v>5108897.126969417</v>
      </c>
      <c r="M139" s="6">
        <f>'cash flow EUR'!L12+'sensitivity EUR'!M138</f>
        <v>5108897.126969417</v>
      </c>
      <c r="N139" s="6">
        <f>'cash flow EUR'!M12+'sensitivity EUR'!N138</f>
        <v>5108897.126969417</v>
      </c>
      <c r="O139" s="6">
        <f>'cash flow EUR'!N12+'sensitivity EUR'!O138</f>
        <v>5108897.126969417</v>
      </c>
      <c r="P139" s="6">
        <f>'cash flow EUR'!O12+'sensitivity EUR'!P138</f>
        <v>5108897.126969417</v>
      </c>
      <c r="Q139" s="6">
        <f>'cash flow EUR'!P12+'sensitivity EUR'!Q138</f>
        <v>5108897.126969417</v>
      </c>
      <c r="R139" s="6">
        <f>'cash flow EUR'!Q12+'sensitivity EUR'!R138</f>
        <v>5108897.126969417</v>
      </c>
      <c r="S139" s="6">
        <f>'cash flow EUR'!R12+'sensitivity EUR'!S138</f>
        <v>5108897.126969417</v>
      </c>
      <c r="T139" s="6">
        <f>'cash flow EUR'!S12+'sensitivity EUR'!T138</f>
        <v>5108897.126969417</v>
      </c>
      <c r="U139" s="6">
        <f>'cash flow EUR'!T12+'sensitivity EUR'!U138</f>
        <v>5108897.126969417</v>
      </c>
      <c r="V139" s="6">
        <f>'cash flow EUR'!U12+'sensitivity EUR'!V138</f>
        <v>5108897.126969417</v>
      </c>
      <c r="W139" s="6">
        <f>'cash flow EUR'!V12+'sensitivity EUR'!W138</f>
        <v>5108897.126969417</v>
      </c>
      <c r="X139" s="6">
        <f>'cash flow EUR'!W12+'sensitivity EUR'!X138</f>
        <v>5108897.126969417</v>
      </c>
      <c r="Y139" s="6">
        <f>'cash flow EUR'!X12+'sensitivity EUR'!Y138</f>
        <v>5108897.126969417</v>
      </c>
    </row>
    <row r="140" spans="1:25" ht="12.75">
      <c r="A140" s="21" t="s">
        <v>56</v>
      </c>
      <c r="C140" s="2"/>
      <c r="D140" s="6">
        <f>D139-'cash flow EUR'!C23</f>
        <v>0</v>
      </c>
      <c r="E140" s="6">
        <f>E139-'cash flow EUR'!D23</f>
        <v>0</v>
      </c>
      <c r="F140" s="6">
        <f>F139-'cash flow EUR'!E23</f>
        <v>5032732.166969417</v>
      </c>
      <c r="G140" s="6">
        <f>G139-'cash flow EUR'!F23</f>
        <v>5032732.166969417</v>
      </c>
      <c r="H140" s="6">
        <f>H139-'cash flow EUR'!G23</f>
        <v>4635197.126969417</v>
      </c>
      <c r="I140" s="6">
        <f>I139-'cash flow EUR'!H23</f>
        <v>4635197.126969417</v>
      </c>
      <c r="J140" s="6">
        <f>J139-'cash flow EUR'!I23</f>
        <v>4635197.126969417</v>
      </c>
      <c r="K140" s="6">
        <f>K139-'cash flow EUR'!J23</f>
        <v>4350197.126969417</v>
      </c>
      <c r="L140" s="6">
        <f>L139-'cash flow EUR'!K23</f>
        <v>4350197.126969417</v>
      </c>
      <c r="M140" s="6">
        <f>M139-'cash flow EUR'!L23</f>
        <v>4350197.126969417</v>
      </c>
      <c r="N140" s="6">
        <f>N139-'cash flow EUR'!M23</f>
        <v>4350197.126969417</v>
      </c>
      <c r="O140" s="6">
        <f>O139-'cash flow EUR'!N23</f>
        <v>4350197.126969417</v>
      </c>
      <c r="P140" s="6">
        <f>P139-'cash flow EUR'!O23</f>
        <v>4350197.126969417</v>
      </c>
      <c r="Q140" s="6">
        <f>Q139-'cash flow EUR'!P23</f>
        <v>4350197.126969417</v>
      </c>
      <c r="R140" s="6">
        <f>R139-'cash flow EUR'!Q23</f>
        <v>4224197.126969417</v>
      </c>
      <c r="S140" s="6">
        <f>S139-'cash flow EUR'!R23</f>
        <v>4224197.126969417</v>
      </c>
      <c r="T140" s="6">
        <f>T139-'cash flow EUR'!S23</f>
        <v>4224197.126969417</v>
      </c>
      <c r="U140" s="6">
        <f>U139-'cash flow EUR'!T23</f>
        <v>4224197.126969417</v>
      </c>
      <c r="V140" s="6">
        <f>V139-'cash flow EUR'!U23</f>
        <v>4224197.126969417</v>
      </c>
      <c r="W140" s="6">
        <f>W139-'cash flow EUR'!V23</f>
        <v>4224197.126969417</v>
      </c>
      <c r="X140" s="6">
        <f>X139-'cash flow EUR'!W23</f>
        <v>4224197.126969417</v>
      </c>
      <c r="Y140" s="6">
        <f>Y139-'cash flow EUR'!X23</f>
        <v>4224197.126969417</v>
      </c>
    </row>
    <row r="141" spans="1:25" ht="12.75">
      <c r="A141" s="1" t="s">
        <v>58</v>
      </c>
      <c r="C141" s="6">
        <f>0-Assumptions!$C$15*1000</f>
        <v>-37343072</v>
      </c>
      <c r="D141" s="6">
        <f>D140-'cash flow EUR'!C28-'cash flow EUR'!C31</f>
        <v>0</v>
      </c>
      <c r="E141" s="6">
        <f>E140-'cash flow EUR'!D28-'cash flow EUR'!D31</f>
        <v>0</v>
      </c>
      <c r="F141" s="6">
        <f>F140-(F139-'cash flow EUR'!E23-'cash flow EUR'!E28-'cash flow EUR'!E31)*0.15</f>
        <v>4819763.674324004</v>
      </c>
      <c r="G141" s="6">
        <f>G140-(G139-'cash flow EUR'!F23-'cash flow EUR'!F28-'cash flow EUR'!F31)*0.15</f>
        <v>4808077.6452819025</v>
      </c>
      <c r="H141" s="6">
        <f>H140-(H139-'cash flow EUR'!G23-'cash flow EUR'!G28-'cash flow EUR'!G31)*0.15</f>
        <v>4457844.100642486</v>
      </c>
      <c r="I141" s="6">
        <f>I140-(I139-'cash flow EUR'!H23-'cash flow EUR'!H28-'cash flow EUR'!H31)*0.15</f>
        <v>4444837.258167901</v>
      </c>
      <c r="J141" s="6">
        <f>J140-(J139-'cash flow EUR'!I23-'cash flow EUR'!I28-'cash flow EUR'!I31)*0.15</f>
        <v>4431115.039357213</v>
      </c>
      <c r="K141" s="6">
        <f>K140-(K139-'cash flow EUR'!J23-'cash flow EUR'!J28-'cash flow EUR'!J31)*0.15</f>
        <v>4174388.0985119385</v>
      </c>
      <c r="L141" s="6">
        <f>L140-(L139-'cash flow EUR'!K23-'cash flow EUR'!K28-'cash flow EUR'!K31)*0.15</f>
        <v>4159114.9259201735</v>
      </c>
      <c r="M141" s="6">
        <f>M140-(M139-'cash flow EUR'!L23-'cash flow EUR'!L28-'cash flow EUR'!L31)*0.15</f>
        <v>4143001.728835861</v>
      </c>
      <c r="N141" s="6">
        <f>N140-(N139-'cash flow EUR'!M23-'cash flow EUR'!M28-'cash flow EUR'!M31)*0.15</f>
        <v>4126002.305911912</v>
      </c>
      <c r="O141" s="6">
        <f>O140-(O139-'cash flow EUR'!N23-'cash flow EUR'!N28-'cash flow EUR'!N31)*0.15</f>
        <v>4108067.914727146</v>
      </c>
      <c r="P141" s="6">
        <f>P140-(P139-'cash flow EUR'!O23-'cash flow EUR'!O28-'cash flow EUR'!O31)*0.15</f>
        <v>4089147.132027217</v>
      </c>
      <c r="Q141" s="6">
        <f>Q140-(Q139-'cash flow EUR'!P23-'cash flow EUR'!P28-'cash flow EUR'!P31)*0.15</f>
        <v>4069185.706278792</v>
      </c>
      <c r="R141" s="6">
        <f>R140-(R139-'cash flow EUR'!Q23-'cash flow EUR'!Q28-'cash flow EUR'!Q31)*0.15</f>
        <v>3941026.402114204</v>
      </c>
      <c r="S141" s="6">
        <f>S140-(S139-'cash flow EUR'!R23-'cash flow EUR'!R28-'cash flow EUR'!R31)*0.15</f>
        <v>3918808.836220564</v>
      </c>
      <c r="T141" s="6">
        <f>T140-(T139-'cash flow EUR'!S23-'cash flow EUR'!S28-'cash flow EUR'!S31)*0.15</f>
        <v>3895369.304202773</v>
      </c>
      <c r="U141" s="6">
        <f>U140-(U139-'cash flow EUR'!T23-'cash flow EUR'!T28-'cash flow EUR'!T31)*0.15</f>
        <v>3870640.5979240043</v>
      </c>
      <c r="V141" s="6">
        <f>V140-(V139-'cash flow EUR'!U23-'cash flow EUR'!U28-'cash flow EUR'!U31)*0.15</f>
        <v>3870640.5979240043</v>
      </c>
      <c r="W141" s="6">
        <f>W140-(W139-'cash flow EUR'!V23-'cash flow EUR'!V28-'cash flow EUR'!V31)*0.15</f>
        <v>3870640.5979240043</v>
      </c>
      <c r="X141" s="6">
        <f>X140-(X139-'cash flow EUR'!W23-'cash flow EUR'!W28-'cash flow EUR'!W31)*0.15</f>
        <v>3870640.5979240043</v>
      </c>
      <c r="Y141" s="6">
        <f>Y140-(Y139-'cash flow EUR'!X23-'cash flow EUR'!X28-'cash flow EUR'!X31)*0.15</f>
        <v>3870640.5979240043</v>
      </c>
    </row>
    <row r="142" spans="1:25" ht="12.75">
      <c r="A142" s="1" t="s">
        <v>191</v>
      </c>
      <c r="C142" s="6">
        <f>C141</f>
        <v>-37343072</v>
      </c>
      <c r="D142" s="6">
        <f>D141-'cash flow EUR'!C29-'cash flow EUR'!C32</f>
        <v>0</v>
      </c>
      <c r="E142" s="6">
        <f>E141-'cash flow EUR'!D29-'cash flow EUR'!D32</f>
        <v>0</v>
      </c>
      <c r="F142" s="6">
        <f>F140-(F139-F138-'cash flow EUR'!E23-'cash flow EUR'!E28-'cash flow EUR'!E31)*0.15-F138</f>
        <v>4481858.890324004</v>
      </c>
      <c r="G142" s="6">
        <f>G140-(G139-G138-'cash flow EUR'!F23-'cash flow EUR'!F28-'cash flow EUR'!F31)*0.15-G138</f>
        <v>4470172.8612819025</v>
      </c>
      <c r="H142" s="6">
        <f>H140-(H139-H138-'cash flow EUR'!G23-'cash flow EUR'!G28-'cash flow EUR'!G31)*0.15-H138</f>
        <v>4457844.100642486</v>
      </c>
      <c r="I142" s="6">
        <f>I140-(I139-I138-'cash flow EUR'!H23-'cash flow EUR'!H28-'cash flow EUR'!H31)*0.15-I138</f>
        <v>4444837.258167901</v>
      </c>
      <c r="J142" s="6">
        <f>J140-(J139-J138-'cash flow EUR'!I23-'cash flow EUR'!I28-'cash flow EUR'!I31)*0.15-J138</f>
        <v>4431115.039357213</v>
      </c>
      <c r="K142" s="6">
        <f>K140-(K139-K138-'cash flow EUR'!J23-'cash flow EUR'!J28-'cash flow EUR'!J31)*0.15-K138</f>
        <v>4174388.0985119385</v>
      </c>
      <c r="L142" s="6">
        <f>L140-(L139-L138-'cash flow EUR'!K23-'cash flow EUR'!K28-'cash flow EUR'!K31)*0.15-L138</f>
        <v>4159114.9259201735</v>
      </c>
      <c r="M142" s="6">
        <f>M140-(M139-M138-'cash flow EUR'!L23-'cash flow EUR'!L28-'cash flow EUR'!L31)*0.15-M138</f>
        <v>4143001.728835861</v>
      </c>
      <c r="N142" s="6">
        <f>N140-(N139-N138-'cash flow EUR'!M23-'cash flow EUR'!M28-'cash flow EUR'!M31)*0.15-N138</f>
        <v>4126002.305911912</v>
      </c>
      <c r="O142" s="6">
        <f>O140-(O139-O138-'cash flow EUR'!N23-'cash flow EUR'!N28-'cash flow EUR'!N31)*0.15-O138</f>
        <v>4108067.914727146</v>
      </c>
      <c r="P142" s="6">
        <f>P140-(P139-P138-'cash flow EUR'!O23-'cash flow EUR'!O28-'cash flow EUR'!O31)*0.15-P138</f>
        <v>4089147.132027217</v>
      </c>
      <c r="Q142" s="6">
        <f>Q140-(Q139-Q138-'cash flow EUR'!P23-'cash flow EUR'!P28-'cash flow EUR'!P31)*0.15-Q138</f>
        <v>4069185.706278792</v>
      </c>
      <c r="R142" s="6">
        <f>R140-(R139-R138-'cash flow EUR'!Q23-'cash flow EUR'!Q28-'cash flow EUR'!Q31)*0.15-R138</f>
        <v>3941026.402114204</v>
      </c>
      <c r="S142" s="6">
        <f>S140-(S139-S138-'cash flow EUR'!R23-'cash flow EUR'!R28-'cash flow EUR'!R31)*0.15-S138</f>
        <v>3918808.836220564</v>
      </c>
      <c r="T142" s="6">
        <f>T140-(T139-T138-'cash flow EUR'!S23-'cash flow EUR'!S28-'cash flow EUR'!S31)*0.15-T138</f>
        <v>3895369.304202773</v>
      </c>
      <c r="U142" s="6">
        <f>U140-(U139-U138-'cash flow EUR'!T23-'cash flow EUR'!T28-'cash flow EUR'!T31)*0.15-U138</f>
        <v>3870640.5979240043</v>
      </c>
      <c r="V142" s="6">
        <f>V140-(V139-V138-'cash flow EUR'!U23-'cash flow EUR'!U28-'cash flow EUR'!U31)*0.15-V138</f>
        <v>3870640.5979240043</v>
      </c>
      <c r="W142" s="6">
        <f>W140-(W139-W138-'cash flow EUR'!V23-'cash flow EUR'!V28-'cash flow EUR'!V31)*0.15-W138</f>
        <v>3870640.5979240043</v>
      </c>
      <c r="X142" s="6">
        <f>X140-(X139-X138-'cash flow EUR'!W23-'cash flow EUR'!W28-'cash flow EUR'!W31)*0.15-X138</f>
        <v>3870640.5979240043</v>
      </c>
      <c r="Y142" s="6">
        <f>Y140-(Y139-Y138-'cash flow EUR'!X23-'cash flow EUR'!X28-'cash flow EUR'!X31)*0.15-Y138</f>
        <v>3870640.5979240043</v>
      </c>
    </row>
    <row r="143" spans="1:25" ht="12.75">
      <c r="A143" s="1" t="s">
        <v>63</v>
      </c>
      <c r="C143" s="6">
        <f>AVERAGE(E141:Y141)</f>
        <v>3949473.955340197</v>
      </c>
      <c r="D143" s="6"/>
      <c r="E143" s="6"/>
      <c r="F143" s="6"/>
      <c r="G143" s="6"/>
      <c r="H143" s="6"/>
      <c r="I143" s="6"/>
      <c r="J143" s="6"/>
      <c r="K143" s="6"/>
      <c r="L143" s="6"/>
      <c r="M143" s="6"/>
      <c r="N143" s="6"/>
      <c r="O143" s="6"/>
      <c r="P143" s="6"/>
      <c r="Q143" s="6"/>
      <c r="R143" s="6"/>
      <c r="S143" s="6"/>
      <c r="T143" s="6"/>
      <c r="U143" s="6"/>
      <c r="V143" s="6"/>
      <c r="W143" s="6"/>
      <c r="X143" s="1"/>
      <c r="Y143" s="1"/>
    </row>
    <row r="144" spans="1:25" ht="12.75">
      <c r="A144" s="1" t="s">
        <v>49</v>
      </c>
      <c r="C144" s="37">
        <f>Assumptions!$C$15*1000/'sensitivity EUR'!C143</f>
        <v>9.455201483100645</v>
      </c>
      <c r="D144" s="6"/>
      <c r="E144" s="6"/>
      <c r="F144" s="6"/>
      <c r="G144" s="6"/>
      <c r="H144" s="6"/>
      <c r="I144" s="6"/>
      <c r="J144" s="6"/>
      <c r="K144" s="6"/>
      <c r="L144" s="6"/>
      <c r="M144" s="6"/>
      <c r="N144" s="6"/>
      <c r="O144" s="6"/>
      <c r="P144" s="6"/>
      <c r="Q144" s="6"/>
      <c r="R144" s="6"/>
      <c r="S144" s="6"/>
      <c r="T144" s="6"/>
      <c r="U144" s="6"/>
      <c r="V144" s="6"/>
      <c r="W144" s="6"/>
      <c r="X144" s="1"/>
      <c r="Y144" s="1"/>
    </row>
    <row r="145" spans="1:25" ht="12.75">
      <c r="A145" s="28" t="s">
        <v>53</v>
      </c>
      <c r="C145" s="29">
        <f>IRR(C141:Y141,0.01)</f>
        <v>0.07575813535068299</v>
      </c>
      <c r="D145" s="6"/>
      <c r="E145" s="6"/>
      <c r="F145" s="6"/>
      <c r="G145" s="6"/>
      <c r="H145" s="6"/>
      <c r="I145" s="6"/>
      <c r="J145" s="6"/>
      <c r="K145" s="6"/>
      <c r="L145" s="6"/>
      <c r="M145" s="6"/>
      <c r="N145" s="6"/>
      <c r="O145" s="6"/>
      <c r="P145" s="6"/>
      <c r="Q145" s="6"/>
      <c r="R145" s="6"/>
      <c r="S145" s="6"/>
      <c r="T145" s="6"/>
      <c r="U145" s="6"/>
      <c r="V145" s="6"/>
      <c r="W145" s="6"/>
      <c r="X145" s="1"/>
      <c r="Y145" s="1"/>
    </row>
    <row r="146" spans="1:3" ht="12.75">
      <c r="A146" s="28" t="s">
        <v>19</v>
      </c>
      <c r="C146" s="29">
        <f>IRR(C142:Y142,0.01)</f>
        <v>0.07422299584947344</v>
      </c>
    </row>
    <row r="147" spans="1:25" ht="12.75">
      <c r="A147" s="39"/>
      <c r="B147" s="40"/>
      <c r="C147" s="23"/>
      <c r="D147" s="23"/>
      <c r="E147" s="23"/>
      <c r="F147" s="23"/>
      <c r="G147" s="23"/>
      <c r="H147" s="23"/>
      <c r="I147" s="23"/>
      <c r="J147" s="23"/>
      <c r="K147" s="23"/>
      <c r="L147" s="23"/>
      <c r="M147" s="23"/>
      <c r="N147" s="23"/>
      <c r="O147" s="23"/>
      <c r="P147" s="23"/>
      <c r="Q147" s="23"/>
      <c r="R147" s="23"/>
      <c r="S147" s="23"/>
      <c r="T147" s="23"/>
      <c r="U147" s="23"/>
      <c r="V147" s="23"/>
      <c r="W147" s="23"/>
      <c r="X147" s="4"/>
      <c r="Y147" s="4"/>
    </row>
    <row r="148" spans="1:25" ht="12.75">
      <c r="A148" s="22" t="s">
        <v>25</v>
      </c>
      <c r="C148" s="38">
        <f>F2</f>
        <v>0.1</v>
      </c>
      <c r="D148" s="47">
        <f>F10</f>
        <v>13.2</v>
      </c>
      <c r="E148" s="6"/>
      <c r="F148" s="6"/>
      <c r="G148" s="6"/>
      <c r="H148" s="6"/>
      <c r="I148" s="6"/>
      <c r="J148" s="6"/>
      <c r="K148" s="6"/>
      <c r="L148" s="6"/>
      <c r="M148" s="6"/>
      <c r="N148" s="6"/>
      <c r="O148" s="6"/>
      <c r="P148" s="6"/>
      <c r="Q148" s="6"/>
      <c r="R148" s="6"/>
      <c r="S148" s="6"/>
      <c r="T148" s="6"/>
      <c r="U148" s="6"/>
      <c r="V148" s="6"/>
      <c r="W148" s="6"/>
      <c r="X148" s="6"/>
      <c r="Y148" s="6"/>
    </row>
    <row r="149" spans="1:25" ht="12.75">
      <c r="A149" s="1" t="s">
        <v>61</v>
      </c>
      <c r="C149" s="1"/>
      <c r="D149" s="6">
        <f>'cash flow EUR'!C9*'sensitivity EUR'!$D$148</f>
        <v>0</v>
      </c>
      <c r="E149" s="6">
        <f>'cash flow EUR'!D9*'sensitivity EUR'!$D$148</f>
        <v>0</v>
      </c>
      <c r="F149" s="6">
        <f>'cash flow EUR'!E9*'sensitivity EUR'!$D$148</f>
        <v>485876.16000000003</v>
      </c>
      <c r="G149" s="6">
        <f>'cash flow EUR'!F9*'sensitivity EUR'!$D$148</f>
        <v>485876.16000000003</v>
      </c>
      <c r="H149" s="6"/>
      <c r="I149" s="6"/>
      <c r="J149" s="6"/>
      <c r="K149" s="6"/>
      <c r="L149" s="6"/>
      <c r="M149" s="6"/>
      <c r="N149" s="6"/>
      <c r="O149" s="6"/>
      <c r="P149" s="6"/>
      <c r="Q149" s="6"/>
      <c r="R149" s="6"/>
      <c r="S149" s="6"/>
      <c r="T149" s="6"/>
      <c r="U149" s="6"/>
      <c r="V149" s="6"/>
      <c r="W149" s="6"/>
      <c r="X149" s="6"/>
      <c r="Y149" s="6"/>
    </row>
    <row r="150" spans="1:25" ht="12.75">
      <c r="A150" s="1" t="s">
        <v>62</v>
      </c>
      <c r="C150" s="1"/>
      <c r="D150" s="6">
        <f>'cash flow EUR'!C12+'sensitivity EUR'!D149</f>
        <v>0</v>
      </c>
      <c r="E150" s="6">
        <f>'cash flow EUR'!D12+'sensitivity EUR'!E149</f>
        <v>0</v>
      </c>
      <c r="F150" s="6">
        <f>'cash flow EUR'!E12+'sensitivity EUR'!F149</f>
        <v>5594773.286969417</v>
      </c>
      <c r="G150" s="6">
        <f>'cash flow EUR'!F12+'sensitivity EUR'!G149</f>
        <v>5594773.286969417</v>
      </c>
      <c r="H150" s="6">
        <f>'cash flow EUR'!G12+'sensitivity EUR'!H149</f>
        <v>5108897.126969417</v>
      </c>
      <c r="I150" s="6">
        <f>'cash flow EUR'!H12+'sensitivity EUR'!I149</f>
        <v>5108897.126969417</v>
      </c>
      <c r="J150" s="6">
        <f>'cash flow EUR'!I12+'sensitivity EUR'!J149</f>
        <v>5108897.126969417</v>
      </c>
      <c r="K150" s="6">
        <f>'cash flow EUR'!J12+'sensitivity EUR'!K149</f>
        <v>5108897.126969417</v>
      </c>
      <c r="L150" s="6">
        <f>'cash flow EUR'!K12+'sensitivity EUR'!L149</f>
        <v>5108897.126969417</v>
      </c>
      <c r="M150" s="6">
        <f>'cash flow EUR'!L12+'sensitivity EUR'!M149</f>
        <v>5108897.126969417</v>
      </c>
      <c r="N150" s="6">
        <f>'cash flow EUR'!M12+'sensitivity EUR'!N149</f>
        <v>5108897.126969417</v>
      </c>
      <c r="O150" s="6">
        <f>'cash flow EUR'!N12+'sensitivity EUR'!O149</f>
        <v>5108897.126969417</v>
      </c>
      <c r="P150" s="6">
        <f>'cash flow EUR'!O12+'sensitivity EUR'!P149</f>
        <v>5108897.126969417</v>
      </c>
      <c r="Q150" s="6">
        <f>'cash flow EUR'!P12+'sensitivity EUR'!Q149</f>
        <v>5108897.126969417</v>
      </c>
      <c r="R150" s="6">
        <f>'cash flow EUR'!Q12+'sensitivity EUR'!R149</f>
        <v>5108897.126969417</v>
      </c>
      <c r="S150" s="6">
        <f>'cash flow EUR'!R12+'sensitivity EUR'!S149</f>
        <v>5108897.126969417</v>
      </c>
      <c r="T150" s="6">
        <f>'cash flow EUR'!S12+'sensitivity EUR'!T149</f>
        <v>5108897.126969417</v>
      </c>
      <c r="U150" s="6">
        <f>'cash flow EUR'!T12+'sensitivity EUR'!U149</f>
        <v>5108897.126969417</v>
      </c>
      <c r="V150" s="6">
        <f>'cash flow EUR'!U12+'sensitivity EUR'!V149</f>
        <v>5108897.126969417</v>
      </c>
      <c r="W150" s="6">
        <f>'cash flow EUR'!V12+'sensitivity EUR'!W149</f>
        <v>5108897.126969417</v>
      </c>
      <c r="X150" s="6">
        <f>'cash flow EUR'!W12+'sensitivity EUR'!X149</f>
        <v>5108897.126969417</v>
      </c>
      <c r="Y150" s="6">
        <f>'cash flow EUR'!X12+'sensitivity EUR'!Y149</f>
        <v>5108897.126969417</v>
      </c>
    </row>
    <row r="151" spans="1:25" ht="12.75">
      <c r="A151" s="21" t="s">
        <v>56</v>
      </c>
      <c r="C151" s="2"/>
      <c r="D151" s="6">
        <f>D150-'cash flow EUR'!C23</f>
        <v>0</v>
      </c>
      <c r="E151" s="6">
        <f>E150-'cash flow EUR'!D23</f>
        <v>0</v>
      </c>
      <c r="F151" s="6">
        <f>F150-'cash flow EUR'!E23</f>
        <v>5121073.286969417</v>
      </c>
      <c r="G151" s="6">
        <f>G150-'cash flow EUR'!F23</f>
        <v>5121073.286969417</v>
      </c>
      <c r="H151" s="6">
        <f>H150-'cash flow EUR'!G23</f>
        <v>4635197.126969417</v>
      </c>
      <c r="I151" s="6">
        <f>I150-'cash flow EUR'!H23</f>
        <v>4635197.126969417</v>
      </c>
      <c r="J151" s="6">
        <f>J150-'cash flow EUR'!I23</f>
        <v>4635197.126969417</v>
      </c>
      <c r="K151" s="6">
        <f>K150-'cash flow EUR'!J23</f>
        <v>4350197.126969417</v>
      </c>
      <c r="L151" s="6">
        <f>L150-'cash flow EUR'!K23</f>
        <v>4350197.126969417</v>
      </c>
      <c r="M151" s="6">
        <f>M150-'cash flow EUR'!L23</f>
        <v>4350197.126969417</v>
      </c>
      <c r="N151" s="6">
        <f>N150-'cash flow EUR'!M23</f>
        <v>4350197.126969417</v>
      </c>
      <c r="O151" s="6">
        <f>O150-'cash flow EUR'!N23</f>
        <v>4350197.126969417</v>
      </c>
      <c r="P151" s="6">
        <f>P150-'cash flow EUR'!O23</f>
        <v>4350197.126969417</v>
      </c>
      <c r="Q151" s="6">
        <f>Q150-'cash flow EUR'!P23</f>
        <v>4350197.126969417</v>
      </c>
      <c r="R151" s="6">
        <f>R150-'cash flow EUR'!Q23</f>
        <v>4224197.126969417</v>
      </c>
      <c r="S151" s="6">
        <f>S150-'cash flow EUR'!R23</f>
        <v>4224197.126969417</v>
      </c>
      <c r="T151" s="6">
        <f>T150-'cash flow EUR'!S23</f>
        <v>4224197.126969417</v>
      </c>
      <c r="U151" s="6">
        <f>U150-'cash flow EUR'!T23</f>
        <v>4224197.126969417</v>
      </c>
      <c r="V151" s="6">
        <f>V150-'cash flow EUR'!U23</f>
        <v>4224197.126969417</v>
      </c>
      <c r="W151" s="6">
        <f>W150-'cash flow EUR'!V23</f>
        <v>4224197.126969417</v>
      </c>
      <c r="X151" s="6">
        <f>X150-'cash flow EUR'!W23</f>
        <v>4224197.126969417</v>
      </c>
      <c r="Y151" s="6">
        <f>Y150-'cash flow EUR'!X23</f>
        <v>4224197.126969417</v>
      </c>
    </row>
    <row r="152" spans="1:25" ht="12.75">
      <c r="A152" s="1" t="s">
        <v>58</v>
      </c>
      <c r="C152" s="6">
        <f>0-Assumptions!$C$15*1000</f>
        <v>-37343072</v>
      </c>
      <c r="D152" s="6">
        <f>D151-'cash flow EUR'!C28-'cash flow EUR'!C31</f>
        <v>0</v>
      </c>
      <c r="E152" s="6">
        <f>E151-'cash flow EUR'!D28-'cash flow EUR'!D31</f>
        <v>0</v>
      </c>
      <c r="F152" s="6">
        <f>F151-(F150-'cash flow EUR'!E23-'cash flow EUR'!E28-'cash flow EUR'!E31)*0.15</f>
        <v>4894853.6263240045</v>
      </c>
      <c r="G152" s="6">
        <f>G151-(G150-'cash flow EUR'!F23-'cash flow EUR'!F28-'cash flow EUR'!F31)*0.15</f>
        <v>4883167.597281903</v>
      </c>
      <c r="H152" s="6">
        <f>H151-(H150-'cash flow EUR'!G23-'cash flow EUR'!G28-'cash flow EUR'!G31)*0.15</f>
        <v>4457844.100642486</v>
      </c>
      <c r="I152" s="6">
        <f>I151-(I150-'cash flow EUR'!H23-'cash flow EUR'!H28-'cash flow EUR'!H31)*0.15</f>
        <v>4444837.258167901</v>
      </c>
      <c r="J152" s="6">
        <f>J151-(J150-'cash flow EUR'!I23-'cash flow EUR'!I28-'cash flow EUR'!I31)*0.15</f>
        <v>4431115.039357213</v>
      </c>
      <c r="K152" s="6">
        <f>K151-(K150-'cash flow EUR'!J23-'cash flow EUR'!J28-'cash flow EUR'!J31)*0.15</f>
        <v>4174388.0985119385</v>
      </c>
      <c r="L152" s="6">
        <f>L151-(L150-'cash flow EUR'!K23-'cash flow EUR'!K28-'cash flow EUR'!K31)*0.15</f>
        <v>4159114.9259201735</v>
      </c>
      <c r="M152" s="6">
        <f>M151-(M150-'cash flow EUR'!L23-'cash flow EUR'!L28-'cash flow EUR'!L31)*0.15</f>
        <v>4143001.728835861</v>
      </c>
      <c r="N152" s="6">
        <f>N151-(N150-'cash flow EUR'!M23-'cash flow EUR'!M28-'cash flow EUR'!M31)*0.15</f>
        <v>4126002.305911912</v>
      </c>
      <c r="O152" s="6">
        <f>O151-(O150-'cash flow EUR'!N23-'cash flow EUR'!N28-'cash flow EUR'!N31)*0.15</f>
        <v>4108067.914727146</v>
      </c>
      <c r="P152" s="6">
        <f>P151-(P150-'cash flow EUR'!O23-'cash flow EUR'!O28-'cash flow EUR'!O31)*0.15</f>
        <v>4089147.132027217</v>
      </c>
      <c r="Q152" s="6">
        <f>Q151-(Q150-'cash flow EUR'!P23-'cash flow EUR'!P28-'cash flow EUR'!P31)*0.15</f>
        <v>4069185.706278792</v>
      </c>
      <c r="R152" s="6">
        <f>R151-(R150-'cash flow EUR'!Q23-'cash flow EUR'!Q28-'cash flow EUR'!Q31)*0.15</f>
        <v>3941026.402114204</v>
      </c>
      <c r="S152" s="6">
        <f>S151-(S150-'cash flow EUR'!R23-'cash flow EUR'!R28-'cash flow EUR'!R31)*0.15</f>
        <v>3918808.836220564</v>
      </c>
      <c r="T152" s="6">
        <f>T151-(T150-'cash flow EUR'!S23-'cash flow EUR'!S28-'cash flow EUR'!S31)*0.15</f>
        <v>3895369.304202773</v>
      </c>
      <c r="U152" s="6">
        <f>U151-(U150-'cash flow EUR'!T23-'cash flow EUR'!T28-'cash flow EUR'!T31)*0.15</f>
        <v>3870640.5979240043</v>
      </c>
      <c r="V152" s="6">
        <f>V151-(V150-'cash flow EUR'!U23-'cash flow EUR'!U28-'cash flow EUR'!U31)*0.15</f>
        <v>3870640.5979240043</v>
      </c>
      <c r="W152" s="6">
        <f>W151-(W150-'cash flow EUR'!V23-'cash flow EUR'!V28-'cash flow EUR'!V31)*0.15</f>
        <v>3870640.5979240043</v>
      </c>
      <c r="X152" s="6">
        <f>X151-(X150-'cash flow EUR'!W23-'cash flow EUR'!W28-'cash flow EUR'!W31)*0.15</f>
        <v>3870640.5979240043</v>
      </c>
      <c r="Y152" s="6">
        <f>Y151-(Y150-'cash flow EUR'!X23-'cash flow EUR'!X28-'cash flow EUR'!X31)*0.15</f>
        <v>3870640.5979240043</v>
      </c>
    </row>
    <row r="153" spans="1:25" ht="12.75">
      <c r="A153" s="1" t="s">
        <v>191</v>
      </c>
      <c r="C153" s="6">
        <f>C152</f>
        <v>-37343072</v>
      </c>
      <c r="D153" s="6">
        <f>D152-'cash flow EUR'!C29-'cash flow EUR'!C32</f>
        <v>0</v>
      </c>
      <c r="E153" s="6">
        <f>E152-'cash flow EUR'!D29-'cash flow EUR'!D32</f>
        <v>0</v>
      </c>
      <c r="F153" s="6">
        <f>F151-(F150-F149-'cash flow EUR'!E23-'cash flow EUR'!E28-'cash flow EUR'!E31)*0.15-F149</f>
        <v>4481858.890324004</v>
      </c>
      <c r="G153" s="6">
        <f>G151-(G150-G149-'cash flow EUR'!F23-'cash flow EUR'!F28-'cash flow EUR'!F31)*0.15-G149</f>
        <v>4470172.8612819025</v>
      </c>
      <c r="H153" s="6">
        <f>H151-(H150-H149-'cash flow EUR'!G23-'cash flow EUR'!G28-'cash flow EUR'!G31)*0.15-H149</f>
        <v>4457844.100642486</v>
      </c>
      <c r="I153" s="6">
        <f>I151-(I150-I149-'cash flow EUR'!H23-'cash flow EUR'!H28-'cash flow EUR'!H31)*0.15-I149</f>
        <v>4444837.258167901</v>
      </c>
      <c r="J153" s="6">
        <f>J151-(J150-J149-'cash flow EUR'!I23-'cash flow EUR'!I28-'cash flow EUR'!I31)*0.15-J149</f>
        <v>4431115.039357213</v>
      </c>
      <c r="K153" s="6">
        <f>K151-(K150-K149-'cash flow EUR'!J23-'cash flow EUR'!J28-'cash flow EUR'!J31)*0.15-K149</f>
        <v>4174388.0985119385</v>
      </c>
      <c r="L153" s="6">
        <f>L151-(L150-L149-'cash flow EUR'!K23-'cash flow EUR'!K28-'cash flow EUR'!K31)*0.15-L149</f>
        <v>4159114.9259201735</v>
      </c>
      <c r="M153" s="6">
        <f>M151-(M150-M149-'cash flow EUR'!L23-'cash flow EUR'!L28-'cash flow EUR'!L31)*0.15-M149</f>
        <v>4143001.728835861</v>
      </c>
      <c r="N153" s="6">
        <f>N151-(N150-N149-'cash flow EUR'!M23-'cash flow EUR'!M28-'cash flow EUR'!M31)*0.15-N149</f>
        <v>4126002.305911912</v>
      </c>
      <c r="O153" s="6">
        <f>O151-(O150-O149-'cash flow EUR'!N23-'cash flow EUR'!N28-'cash flow EUR'!N31)*0.15-O149</f>
        <v>4108067.914727146</v>
      </c>
      <c r="P153" s="6">
        <f>P151-(P150-P149-'cash flow EUR'!O23-'cash flow EUR'!O28-'cash flow EUR'!O31)*0.15-P149</f>
        <v>4089147.132027217</v>
      </c>
      <c r="Q153" s="6">
        <f>Q151-(Q150-Q149-'cash flow EUR'!P23-'cash flow EUR'!P28-'cash flow EUR'!P31)*0.15-Q149</f>
        <v>4069185.706278792</v>
      </c>
      <c r="R153" s="6">
        <f>R151-(R150-R149-'cash flow EUR'!Q23-'cash flow EUR'!Q28-'cash flow EUR'!Q31)*0.15-R149</f>
        <v>3941026.402114204</v>
      </c>
      <c r="S153" s="6">
        <f>S151-(S150-S149-'cash flow EUR'!R23-'cash flow EUR'!R28-'cash flow EUR'!R31)*0.15-S149</f>
        <v>3918808.836220564</v>
      </c>
      <c r="T153" s="6">
        <f>T151-(T150-T149-'cash flow EUR'!S23-'cash flow EUR'!S28-'cash flow EUR'!S31)*0.15-T149</f>
        <v>3895369.304202773</v>
      </c>
      <c r="U153" s="6">
        <f>U151-(U150-U149-'cash flow EUR'!T23-'cash flow EUR'!T28-'cash flow EUR'!T31)*0.15-U149</f>
        <v>3870640.5979240043</v>
      </c>
      <c r="V153" s="6">
        <f>V151-(V150-V149-'cash flow EUR'!U23-'cash flow EUR'!U28-'cash flow EUR'!U31)*0.15-V149</f>
        <v>3870640.5979240043</v>
      </c>
      <c r="W153" s="6">
        <f>W151-(W150-W149-'cash flow EUR'!V23-'cash flow EUR'!V28-'cash flow EUR'!V31)*0.15-W149</f>
        <v>3870640.5979240043</v>
      </c>
      <c r="X153" s="6">
        <f>X151-(X150-X149-'cash flow EUR'!W23-'cash flow EUR'!W28-'cash flow EUR'!W31)*0.15-X149</f>
        <v>3870640.5979240043</v>
      </c>
      <c r="Y153" s="6">
        <f>Y151-(Y150-Y149-'cash flow EUR'!X23-'cash flow EUR'!X28-'cash flow EUR'!X31)*0.15-Y149</f>
        <v>3870640.5979240043</v>
      </c>
    </row>
    <row r="154" spans="1:25" ht="12.75">
      <c r="A154" s="1" t="s">
        <v>63</v>
      </c>
      <c r="C154" s="6">
        <f>AVERAGE(E152:Y152)</f>
        <v>3956625.3793401965</v>
      </c>
      <c r="D154" s="6"/>
      <c r="E154" s="6"/>
      <c r="F154" s="6"/>
      <c r="G154" s="6"/>
      <c r="H154" s="6"/>
      <c r="I154" s="6"/>
      <c r="J154" s="6"/>
      <c r="K154" s="6"/>
      <c r="L154" s="6"/>
      <c r="M154" s="6"/>
      <c r="N154" s="6"/>
      <c r="O154" s="6"/>
      <c r="P154" s="6"/>
      <c r="Q154" s="6"/>
      <c r="R154" s="6"/>
      <c r="S154" s="6"/>
      <c r="T154" s="6"/>
      <c r="U154" s="6"/>
      <c r="V154" s="6"/>
      <c r="W154" s="6"/>
      <c r="X154" s="1"/>
      <c r="Y154" s="1"/>
    </row>
    <row r="155" spans="1:25" ht="12.75">
      <c r="A155" s="1" t="s">
        <v>49</v>
      </c>
      <c r="C155" s="37">
        <f>Assumptions!$C$15*1000/'sensitivity EUR'!C154</f>
        <v>9.438111627901275</v>
      </c>
      <c r="D155" s="6"/>
      <c r="E155" s="6"/>
      <c r="F155" s="6"/>
      <c r="G155" s="6"/>
      <c r="H155" s="6"/>
      <c r="I155" s="6"/>
      <c r="J155" s="6"/>
      <c r="K155" s="6"/>
      <c r="L155" s="6"/>
      <c r="M155" s="6"/>
      <c r="N155" s="6"/>
      <c r="O155" s="6"/>
      <c r="P155" s="6"/>
      <c r="Q155" s="6"/>
      <c r="R155" s="6"/>
      <c r="S155" s="6"/>
      <c r="T155" s="6"/>
      <c r="U155" s="6"/>
      <c r="V155" s="6"/>
      <c r="W155" s="6"/>
      <c r="X155" s="1"/>
      <c r="Y155" s="1"/>
    </row>
    <row r="156" spans="1:25" ht="12.75">
      <c r="A156" s="28" t="s">
        <v>53</v>
      </c>
      <c r="C156" s="29">
        <f>IRR(C152:Y152,0.01)</f>
        <v>0.07610132744856844</v>
      </c>
      <c r="D156" s="6"/>
      <c r="E156" s="6"/>
      <c r="F156" s="6"/>
      <c r="G156" s="6"/>
      <c r="H156" s="6"/>
      <c r="I156" s="6"/>
      <c r="J156" s="6"/>
      <c r="K156" s="6"/>
      <c r="L156" s="6"/>
      <c r="M156" s="6"/>
      <c r="N156" s="6"/>
      <c r="O156" s="6"/>
      <c r="P156" s="6"/>
      <c r="Q156" s="6"/>
      <c r="R156" s="6"/>
      <c r="S156" s="6"/>
      <c r="T156" s="6"/>
      <c r="U156" s="6"/>
      <c r="V156" s="6"/>
      <c r="W156" s="6"/>
      <c r="X156" s="1"/>
      <c r="Y156" s="1"/>
    </row>
    <row r="157" spans="1:3" ht="12.75">
      <c r="A157" s="28" t="s">
        <v>19</v>
      </c>
      <c r="C157" s="29">
        <f>IRR(C153:Y153,0.01)</f>
        <v>0.07422299584947344</v>
      </c>
    </row>
    <row r="158" spans="1:25" ht="12.75">
      <c r="A158" s="39"/>
      <c r="B158" s="40"/>
      <c r="C158" s="23"/>
      <c r="D158" s="23"/>
      <c r="E158" s="23"/>
      <c r="F158" s="23"/>
      <c r="G158" s="23"/>
      <c r="H158" s="23"/>
      <c r="I158" s="23"/>
      <c r="J158" s="23"/>
      <c r="K158" s="23"/>
      <c r="L158" s="23"/>
      <c r="M158" s="23"/>
      <c r="N158" s="23"/>
      <c r="O158" s="23"/>
      <c r="P158" s="23"/>
      <c r="Q158" s="23"/>
      <c r="R158" s="23"/>
      <c r="S158" s="23"/>
      <c r="T158" s="23"/>
      <c r="U158" s="23"/>
      <c r="V158" s="23"/>
      <c r="W158" s="23"/>
      <c r="X158" s="4"/>
      <c r="Y158" s="4"/>
    </row>
    <row r="159" spans="1:25" ht="12.75">
      <c r="A159" s="22" t="s">
        <v>25</v>
      </c>
      <c r="C159" s="38">
        <f>G2</f>
        <v>0.2</v>
      </c>
      <c r="D159" s="47">
        <f>G10</f>
        <v>14.4</v>
      </c>
      <c r="E159" s="6"/>
      <c r="F159" s="6"/>
      <c r="G159" s="6"/>
      <c r="H159" s="6"/>
      <c r="I159" s="6"/>
      <c r="J159" s="6"/>
      <c r="K159" s="6"/>
      <c r="L159" s="6"/>
      <c r="M159" s="6"/>
      <c r="N159" s="6"/>
      <c r="O159" s="6"/>
      <c r="P159" s="6"/>
      <c r="Q159" s="6"/>
      <c r="R159" s="6"/>
      <c r="S159" s="6"/>
      <c r="T159" s="6"/>
      <c r="U159" s="6"/>
      <c r="V159" s="6"/>
      <c r="W159" s="6"/>
      <c r="X159" s="6"/>
      <c r="Y159" s="6"/>
    </row>
    <row r="160" spans="1:25" ht="12.75">
      <c r="A160" s="1" t="s">
        <v>61</v>
      </c>
      <c r="C160" s="1"/>
      <c r="D160" s="6">
        <f>'cash flow EUR'!C9*'sensitivity EUR'!$D$159</f>
        <v>0</v>
      </c>
      <c r="E160" s="6">
        <f>'cash flow EUR'!D9*'sensitivity EUR'!$D$159</f>
        <v>0</v>
      </c>
      <c r="F160" s="6">
        <f>'cash flow EUR'!E9*'sensitivity EUR'!$D$159</f>
        <v>530046.7200000001</v>
      </c>
      <c r="G160" s="6">
        <f>'cash flow EUR'!F9*'sensitivity EUR'!$D$159</f>
        <v>530046.7200000001</v>
      </c>
      <c r="H160" s="6"/>
      <c r="I160" s="6"/>
      <c r="J160" s="6"/>
      <c r="K160" s="6"/>
      <c r="L160" s="6"/>
      <c r="M160" s="6"/>
      <c r="N160" s="6"/>
      <c r="O160" s="6"/>
      <c r="P160" s="6"/>
      <c r="Q160" s="6"/>
      <c r="R160" s="6"/>
      <c r="S160" s="6"/>
      <c r="T160" s="6"/>
      <c r="U160" s="6"/>
      <c r="V160" s="6"/>
      <c r="W160" s="6"/>
      <c r="X160" s="6"/>
      <c r="Y160" s="6"/>
    </row>
    <row r="161" spans="1:25" ht="12.75">
      <c r="A161" s="1" t="s">
        <v>62</v>
      </c>
      <c r="C161" s="1"/>
      <c r="D161" s="6">
        <f>'cash flow EUR'!C12+'sensitivity EUR'!D160</f>
        <v>0</v>
      </c>
      <c r="E161" s="6">
        <f>'cash flow EUR'!D12+'sensitivity EUR'!E160</f>
        <v>0</v>
      </c>
      <c r="F161" s="6">
        <f>'cash flow EUR'!E12+'sensitivity EUR'!F160</f>
        <v>5638943.846969416</v>
      </c>
      <c r="G161" s="6">
        <f>'cash flow EUR'!F12+'sensitivity EUR'!G160</f>
        <v>5638943.846969416</v>
      </c>
      <c r="H161" s="6">
        <f>'cash flow EUR'!G12+'sensitivity EUR'!H160</f>
        <v>5108897.126969417</v>
      </c>
      <c r="I161" s="6">
        <f>'cash flow EUR'!H12+'sensitivity EUR'!I160</f>
        <v>5108897.126969417</v>
      </c>
      <c r="J161" s="6">
        <f>'cash flow EUR'!I12+'sensitivity EUR'!J160</f>
        <v>5108897.126969417</v>
      </c>
      <c r="K161" s="6">
        <f>'cash flow EUR'!J12+'sensitivity EUR'!K160</f>
        <v>5108897.126969417</v>
      </c>
      <c r="L161" s="6">
        <f>'cash flow EUR'!K12+'sensitivity EUR'!L160</f>
        <v>5108897.126969417</v>
      </c>
      <c r="M161" s="6">
        <f>'cash flow EUR'!L12+'sensitivity EUR'!M160</f>
        <v>5108897.126969417</v>
      </c>
      <c r="N161" s="6">
        <f>'cash flow EUR'!M12+'sensitivity EUR'!N160</f>
        <v>5108897.126969417</v>
      </c>
      <c r="O161" s="6">
        <f>'cash flow EUR'!N12+'sensitivity EUR'!O160</f>
        <v>5108897.126969417</v>
      </c>
      <c r="P161" s="6">
        <f>'cash flow EUR'!O12+'sensitivity EUR'!P160</f>
        <v>5108897.126969417</v>
      </c>
      <c r="Q161" s="6">
        <f>'cash flow EUR'!P12+'sensitivity EUR'!Q160</f>
        <v>5108897.126969417</v>
      </c>
      <c r="R161" s="6">
        <f>'cash flow EUR'!Q12+'sensitivity EUR'!R160</f>
        <v>5108897.126969417</v>
      </c>
      <c r="S161" s="6">
        <f>'cash flow EUR'!R12+'sensitivity EUR'!S160</f>
        <v>5108897.126969417</v>
      </c>
      <c r="T161" s="6">
        <f>'cash flow EUR'!S12+'sensitivity EUR'!T160</f>
        <v>5108897.126969417</v>
      </c>
      <c r="U161" s="6">
        <f>'cash flow EUR'!T12+'sensitivity EUR'!U160</f>
        <v>5108897.126969417</v>
      </c>
      <c r="V161" s="6">
        <f>'cash flow EUR'!U12+'sensitivity EUR'!V160</f>
        <v>5108897.126969417</v>
      </c>
      <c r="W161" s="6">
        <f>'cash flow EUR'!V12+'sensitivity EUR'!W160</f>
        <v>5108897.126969417</v>
      </c>
      <c r="X161" s="6">
        <f>'cash flow EUR'!W12+'sensitivity EUR'!X160</f>
        <v>5108897.126969417</v>
      </c>
      <c r="Y161" s="6">
        <f>'cash flow EUR'!X12+'sensitivity EUR'!Y160</f>
        <v>5108897.126969417</v>
      </c>
    </row>
    <row r="162" spans="1:25" ht="12.75">
      <c r="A162" s="21" t="s">
        <v>56</v>
      </c>
      <c r="C162" s="2"/>
      <c r="D162" s="6">
        <f>D161-'cash flow EUR'!C23</f>
        <v>0</v>
      </c>
      <c r="E162" s="6">
        <f>E161-'cash flow EUR'!D23</f>
        <v>0</v>
      </c>
      <c r="F162" s="6">
        <f>F161-'cash flow EUR'!E23</f>
        <v>5165243.846969416</v>
      </c>
      <c r="G162" s="6">
        <f>G161-'cash flow EUR'!F23</f>
        <v>5165243.846969416</v>
      </c>
      <c r="H162" s="6">
        <f>H161-'cash flow EUR'!G23</f>
        <v>4635197.126969417</v>
      </c>
      <c r="I162" s="6">
        <f>I161-'cash flow EUR'!H23</f>
        <v>4635197.126969417</v>
      </c>
      <c r="J162" s="6">
        <f>J161-'cash flow EUR'!I23</f>
        <v>4635197.126969417</v>
      </c>
      <c r="K162" s="6">
        <f>K161-'cash flow EUR'!J23</f>
        <v>4350197.126969417</v>
      </c>
      <c r="L162" s="6">
        <f>L161-'cash flow EUR'!K23</f>
        <v>4350197.126969417</v>
      </c>
      <c r="M162" s="6">
        <f>M161-'cash flow EUR'!L23</f>
        <v>4350197.126969417</v>
      </c>
      <c r="N162" s="6">
        <f>N161-'cash flow EUR'!M23</f>
        <v>4350197.126969417</v>
      </c>
      <c r="O162" s="6">
        <f>O161-'cash flow EUR'!N23</f>
        <v>4350197.126969417</v>
      </c>
      <c r="P162" s="6">
        <f>P161-'cash flow EUR'!O23</f>
        <v>4350197.126969417</v>
      </c>
      <c r="Q162" s="6">
        <f>Q161-'cash flow EUR'!P23</f>
        <v>4350197.126969417</v>
      </c>
      <c r="R162" s="6">
        <f>R161-'cash flow EUR'!Q23</f>
        <v>4224197.126969417</v>
      </c>
      <c r="S162" s="6">
        <f>S161-'cash flow EUR'!R23</f>
        <v>4224197.126969417</v>
      </c>
      <c r="T162" s="6">
        <f>T161-'cash flow EUR'!S23</f>
        <v>4224197.126969417</v>
      </c>
      <c r="U162" s="6">
        <f>U161-'cash flow EUR'!T23</f>
        <v>4224197.126969417</v>
      </c>
      <c r="V162" s="6">
        <f>V161-'cash flow EUR'!U23</f>
        <v>4224197.126969417</v>
      </c>
      <c r="W162" s="6">
        <f>W161-'cash flow EUR'!V23</f>
        <v>4224197.126969417</v>
      </c>
      <c r="X162" s="6">
        <f>X161-'cash flow EUR'!W23</f>
        <v>4224197.126969417</v>
      </c>
      <c r="Y162" s="6">
        <f>Y161-'cash flow EUR'!X23</f>
        <v>4224197.126969417</v>
      </c>
    </row>
    <row r="163" spans="1:25" ht="12.75">
      <c r="A163" s="1" t="s">
        <v>58</v>
      </c>
      <c r="C163" s="6">
        <f>0-Assumptions!$C$15*1000</f>
        <v>-37343072</v>
      </c>
      <c r="D163" s="6">
        <f>D162-'cash flow EUR'!C28-'cash flow EUR'!C31</f>
        <v>0</v>
      </c>
      <c r="E163" s="6">
        <f>E162-'cash flow EUR'!D28-'cash flow EUR'!D31</f>
        <v>0</v>
      </c>
      <c r="F163" s="6">
        <f>F162-(F161-'cash flow EUR'!E23-'cash flow EUR'!E28-'cash flow EUR'!E31)*0.15</f>
        <v>4932398.602324004</v>
      </c>
      <c r="G163" s="6">
        <f>G162-(G161-'cash flow EUR'!F23-'cash flow EUR'!F28-'cash flow EUR'!F31)*0.15</f>
        <v>4920712.573281903</v>
      </c>
      <c r="H163" s="6">
        <f>H162-(H161-'cash flow EUR'!G23-'cash flow EUR'!G28-'cash flow EUR'!G31)*0.15</f>
        <v>4457844.100642486</v>
      </c>
      <c r="I163" s="6">
        <f>I162-(I161-'cash flow EUR'!H23-'cash flow EUR'!H28-'cash flow EUR'!H31)*0.15</f>
        <v>4444837.258167901</v>
      </c>
      <c r="J163" s="6">
        <f>J162-(J161-'cash flow EUR'!I23-'cash flow EUR'!I28-'cash flow EUR'!I31)*0.15</f>
        <v>4431115.039357213</v>
      </c>
      <c r="K163" s="6">
        <f>K162-(K161-'cash flow EUR'!J23-'cash flow EUR'!J28-'cash flow EUR'!J31)*0.15</f>
        <v>4174388.0985119385</v>
      </c>
      <c r="L163" s="6">
        <f>L162-(L161-'cash flow EUR'!K23-'cash flow EUR'!K28-'cash flow EUR'!K31)*0.15</f>
        <v>4159114.9259201735</v>
      </c>
      <c r="M163" s="6">
        <f>M162-(M161-'cash flow EUR'!L23-'cash flow EUR'!L28-'cash flow EUR'!L31)*0.15</f>
        <v>4143001.728835861</v>
      </c>
      <c r="N163" s="6">
        <f>N162-(N161-'cash flow EUR'!M23-'cash flow EUR'!M28-'cash flow EUR'!M31)*0.15</f>
        <v>4126002.305911912</v>
      </c>
      <c r="O163" s="6">
        <f>O162-(O161-'cash flow EUR'!N23-'cash flow EUR'!N28-'cash flow EUR'!N31)*0.15</f>
        <v>4108067.914727146</v>
      </c>
      <c r="P163" s="6">
        <f>P162-(P161-'cash flow EUR'!O23-'cash flow EUR'!O28-'cash flow EUR'!O31)*0.15</f>
        <v>4089147.132027217</v>
      </c>
      <c r="Q163" s="6">
        <f>Q162-(Q161-'cash flow EUR'!P23-'cash flow EUR'!P28-'cash flow EUR'!P31)*0.15</f>
        <v>4069185.706278792</v>
      </c>
      <c r="R163" s="6">
        <f>R162-(R161-'cash flow EUR'!Q23-'cash flow EUR'!Q28-'cash flow EUR'!Q31)*0.15</f>
        <v>3941026.402114204</v>
      </c>
      <c r="S163" s="6">
        <f>S162-(S161-'cash flow EUR'!R23-'cash flow EUR'!R28-'cash flow EUR'!R31)*0.15</f>
        <v>3918808.836220564</v>
      </c>
      <c r="T163" s="6">
        <f>T162-(T161-'cash flow EUR'!S23-'cash flow EUR'!S28-'cash flow EUR'!S31)*0.15</f>
        <v>3895369.304202773</v>
      </c>
      <c r="U163" s="6">
        <f>U162-(U161-'cash flow EUR'!T23-'cash flow EUR'!T28-'cash flow EUR'!T31)*0.15</f>
        <v>3870640.5979240043</v>
      </c>
      <c r="V163" s="6">
        <f>V162-(V161-'cash flow EUR'!U23-'cash flow EUR'!U28-'cash flow EUR'!U31)*0.15</f>
        <v>3870640.5979240043</v>
      </c>
      <c r="W163" s="6">
        <f>W162-(W161-'cash flow EUR'!V23-'cash flow EUR'!V28-'cash flow EUR'!V31)*0.15</f>
        <v>3870640.5979240043</v>
      </c>
      <c r="X163" s="6">
        <f>X162-(X161-'cash flow EUR'!W23-'cash flow EUR'!W28-'cash flow EUR'!W31)*0.15</f>
        <v>3870640.5979240043</v>
      </c>
      <c r="Y163" s="6">
        <f>Y162-(Y161-'cash flow EUR'!X23-'cash flow EUR'!X28-'cash flow EUR'!X31)*0.15</f>
        <v>3870640.5979240043</v>
      </c>
    </row>
    <row r="164" spans="1:25" ht="12.75">
      <c r="A164" s="1" t="s">
        <v>191</v>
      </c>
      <c r="C164" s="6">
        <f>C163</f>
        <v>-37343072</v>
      </c>
      <c r="D164" s="6">
        <f>D163-'cash flow EUR'!C29-'cash flow EUR'!C32</f>
        <v>0</v>
      </c>
      <c r="E164" s="6">
        <f>E163-'cash flow EUR'!D29-'cash flow EUR'!D32</f>
        <v>0</v>
      </c>
      <c r="F164" s="6">
        <f>F162-(F161-F160-'cash flow EUR'!E23-'cash flow EUR'!E28-'cash flow EUR'!E31)*0.15-F160</f>
        <v>4481858.890324004</v>
      </c>
      <c r="G164" s="6">
        <f>G162-(G161-G160-'cash flow EUR'!F23-'cash flow EUR'!F28-'cash flow EUR'!F31)*0.15-G160</f>
        <v>4470172.8612819025</v>
      </c>
      <c r="H164" s="6">
        <f>H162-(H161-H160-'cash flow EUR'!G23-'cash flow EUR'!G28-'cash flow EUR'!G31)*0.15-H160</f>
        <v>4457844.100642486</v>
      </c>
      <c r="I164" s="6">
        <f>I162-(I161-I160-'cash flow EUR'!H23-'cash flow EUR'!H28-'cash flow EUR'!H31)*0.15-I160</f>
        <v>4444837.258167901</v>
      </c>
      <c r="J164" s="6">
        <f>J162-(J161-J160-'cash flow EUR'!I23-'cash flow EUR'!I28-'cash flow EUR'!I31)*0.15-J160</f>
        <v>4431115.039357213</v>
      </c>
      <c r="K164" s="6">
        <f>K162-(K161-K160-'cash flow EUR'!J23-'cash flow EUR'!J28-'cash flow EUR'!J31)*0.15-K160</f>
        <v>4174388.0985119385</v>
      </c>
      <c r="L164" s="6">
        <f>L162-(L161-L160-'cash flow EUR'!K23-'cash flow EUR'!K28-'cash flow EUR'!K31)*0.15-L160</f>
        <v>4159114.9259201735</v>
      </c>
      <c r="M164" s="6">
        <f>M162-(M161-M160-'cash flow EUR'!L23-'cash flow EUR'!L28-'cash flow EUR'!L31)*0.15-M160</f>
        <v>4143001.728835861</v>
      </c>
      <c r="N164" s="6">
        <f>N162-(N161-N160-'cash flow EUR'!M23-'cash flow EUR'!M28-'cash flow EUR'!M31)*0.15-N160</f>
        <v>4126002.305911912</v>
      </c>
      <c r="O164" s="6">
        <f>O162-(O161-O160-'cash flow EUR'!N23-'cash flow EUR'!N28-'cash flow EUR'!N31)*0.15-O160</f>
        <v>4108067.914727146</v>
      </c>
      <c r="P164" s="6">
        <f>P162-(P161-P160-'cash flow EUR'!O23-'cash flow EUR'!O28-'cash flow EUR'!O31)*0.15-P160</f>
        <v>4089147.132027217</v>
      </c>
      <c r="Q164" s="6">
        <f>Q162-(Q161-Q160-'cash flow EUR'!P23-'cash flow EUR'!P28-'cash flow EUR'!P31)*0.15-Q160</f>
        <v>4069185.706278792</v>
      </c>
      <c r="R164" s="6">
        <f>R162-(R161-R160-'cash flow EUR'!Q23-'cash flow EUR'!Q28-'cash flow EUR'!Q31)*0.15-R160</f>
        <v>3941026.402114204</v>
      </c>
      <c r="S164" s="6">
        <f>S162-(S161-S160-'cash flow EUR'!R23-'cash flow EUR'!R28-'cash flow EUR'!R31)*0.15-S160</f>
        <v>3918808.836220564</v>
      </c>
      <c r="T164" s="6">
        <f>T162-(T161-T160-'cash flow EUR'!S23-'cash flow EUR'!S28-'cash flow EUR'!S31)*0.15-T160</f>
        <v>3895369.304202773</v>
      </c>
      <c r="U164" s="6">
        <f>U162-(U161-U160-'cash flow EUR'!T23-'cash flow EUR'!T28-'cash flow EUR'!T31)*0.15-U160</f>
        <v>3870640.5979240043</v>
      </c>
      <c r="V164" s="6">
        <f>V162-(V161-V160-'cash flow EUR'!U23-'cash flow EUR'!U28-'cash flow EUR'!U31)*0.15-V160</f>
        <v>3870640.5979240043</v>
      </c>
      <c r="W164" s="6">
        <f>W162-(W161-W160-'cash flow EUR'!V23-'cash flow EUR'!V28-'cash flow EUR'!V31)*0.15-W160</f>
        <v>3870640.5979240043</v>
      </c>
      <c r="X164" s="6">
        <f>X162-(X161-X160-'cash flow EUR'!W23-'cash flow EUR'!W28-'cash flow EUR'!W31)*0.15-X160</f>
        <v>3870640.5979240043</v>
      </c>
      <c r="Y164" s="6">
        <f>Y162-(Y161-Y160-'cash flow EUR'!X23-'cash flow EUR'!X28-'cash flow EUR'!X31)*0.15-Y160</f>
        <v>3870640.5979240043</v>
      </c>
    </row>
    <row r="165" spans="1:25" ht="12.75">
      <c r="A165" s="1" t="s">
        <v>63</v>
      </c>
      <c r="C165" s="6">
        <f>AVERAGE(E163:Y163)</f>
        <v>3960201.091340197</v>
      </c>
      <c r="D165" s="6"/>
      <c r="E165" s="6"/>
      <c r="F165" s="6"/>
      <c r="G165" s="6"/>
      <c r="H165" s="6"/>
      <c r="I165" s="6"/>
      <c r="J165" s="6"/>
      <c r="K165" s="6"/>
      <c r="L165" s="6"/>
      <c r="M165" s="6"/>
      <c r="N165" s="6"/>
      <c r="O165" s="6"/>
      <c r="P165" s="6"/>
      <c r="Q165" s="6"/>
      <c r="R165" s="6"/>
      <c r="S165" s="6"/>
      <c r="T165" s="6"/>
      <c r="U165" s="6"/>
      <c r="V165" s="6"/>
      <c r="W165" s="6"/>
      <c r="X165" s="1"/>
      <c r="Y165" s="1"/>
    </row>
    <row r="166" spans="1:25" ht="12.75">
      <c r="A166" s="1" t="s">
        <v>49</v>
      </c>
      <c r="C166" s="37">
        <f>Assumptions!$C$15*1000/'sensitivity EUR'!C165</f>
        <v>9.429589846247554</v>
      </c>
      <c r="D166" s="6"/>
      <c r="E166" s="6"/>
      <c r="F166" s="6"/>
      <c r="G166" s="6"/>
      <c r="H166" s="6"/>
      <c r="I166" s="6"/>
      <c r="J166" s="6"/>
      <c r="K166" s="6"/>
      <c r="L166" s="6"/>
      <c r="M166" s="6"/>
      <c r="N166" s="6"/>
      <c r="O166" s="6"/>
      <c r="P166" s="6"/>
      <c r="Q166" s="6"/>
      <c r="R166" s="6"/>
      <c r="S166" s="6"/>
      <c r="T166" s="6"/>
      <c r="U166" s="6"/>
      <c r="V166" s="6"/>
      <c r="W166" s="6"/>
      <c r="X166" s="1"/>
      <c r="Y166" s="1"/>
    </row>
    <row r="167" spans="1:25" ht="12.75">
      <c r="A167" s="28" t="s">
        <v>53</v>
      </c>
      <c r="C167" s="29">
        <f>IRR(C163:Y163,0.01)</f>
        <v>0.07627320369423922</v>
      </c>
      <c r="D167" s="6"/>
      <c r="E167" s="6"/>
      <c r="F167" s="6"/>
      <c r="G167" s="6"/>
      <c r="H167" s="6"/>
      <c r="I167" s="6"/>
      <c r="J167" s="6"/>
      <c r="K167" s="6"/>
      <c r="L167" s="6"/>
      <c r="M167" s="6"/>
      <c r="N167" s="6"/>
      <c r="O167" s="6"/>
      <c r="P167" s="6"/>
      <c r="Q167" s="6"/>
      <c r="R167" s="6"/>
      <c r="S167" s="6"/>
      <c r="T167" s="6"/>
      <c r="U167" s="6"/>
      <c r="V167" s="6"/>
      <c r="W167" s="6"/>
      <c r="X167" s="1"/>
      <c r="Y167" s="1"/>
    </row>
    <row r="168" spans="1:3" ht="12.75">
      <c r="A168" s="28" t="s">
        <v>19</v>
      </c>
      <c r="C168" s="29">
        <f>IRR(C164:Y164,0.01)</f>
        <v>0.07422299584947344</v>
      </c>
    </row>
    <row r="169" spans="1:25" ht="12.75">
      <c r="A169" s="39"/>
      <c r="B169" s="40"/>
      <c r="C169" s="23"/>
      <c r="D169" s="23"/>
      <c r="E169" s="23"/>
      <c r="F169" s="23"/>
      <c r="G169" s="23"/>
      <c r="H169" s="23"/>
      <c r="I169" s="23"/>
      <c r="J169" s="23"/>
      <c r="K169" s="23"/>
      <c r="L169" s="23"/>
      <c r="M169" s="23"/>
      <c r="N169" s="23"/>
      <c r="O169" s="23"/>
      <c r="P169" s="23"/>
      <c r="Q169" s="23"/>
      <c r="R169" s="23"/>
      <c r="S169" s="23"/>
      <c r="T169" s="23"/>
      <c r="U169" s="23"/>
      <c r="V169" s="23"/>
      <c r="W169" s="23"/>
      <c r="X169" s="4"/>
      <c r="Y169" s="4"/>
    </row>
    <row r="170" spans="1:25" ht="12.75">
      <c r="A170" s="22" t="s">
        <v>25</v>
      </c>
      <c r="C170" s="38">
        <f>H2</f>
        <v>0.3</v>
      </c>
      <c r="D170" s="47">
        <f>H10</f>
        <v>15.6</v>
      </c>
      <c r="E170" s="6"/>
      <c r="F170" s="6"/>
      <c r="G170" s="6"/>
      <c r="H170" s="6"/>
      <c r="I170" s="6"/>
      <c r="J170" s="6"/>
      <c r="K170" s="6"/>
      <c r="L170" s="6"/>
      <c r="M170" s="6"/>
      <c r="N170" s="6"/>
      <c r="O170" s="6"/>
      <c r="P170" s="6"/>
      <c r="Q170" s="6"/>
      <c r="R170" s="6"/>
      <c r="S170" s="6"/>
      <c r="T170" s="6"/>
      <c r="U170" s="6"/>
      <c r="V170" s="6"/>
      <c r="W170" s="6"/>
      <c r="X170" s="6"/>
      <c r="Y170" s="6"/>
    </row>
    <row r="171" spans="1:25" ht="12.75">
      <c r="A171" s="1" t="s">
        <v>61</v>
      </c>
      <c r="C171" s="1"/>
      <c r="D171" s="6">
        <f>'cash flow EUR'!C9*'sensitivity EUR'!$D$170</f>
        <v>0</v>
      </c>
      <c r="E171" s="6">
        <f>'cash flow EUR'!D9*'sensitivity EUR'!$D$170</f>
        <v>0</v>
      </c>
      <c r="F171" s="6">
        <f>'cash flow EUR'!E9*'sensitivity EUR'!$D$170</f>
        <v>574217.28</v>
      </c>
      <c r="G171" s="6">
        <f>'cash flow EUR'!F9*'sensitivity EUR'!$D$170</f>
        <v>574217.28</v>
      </c>
      <c r="H171" s="6"/>
      <c r="I171" s="6"/>
      <c r="J171" s="6"/>
      <c r="K171" s="6"/>
      <c r="L171" s="6"/>
      <c r="M171" s="6"/>
      <c r="N171" s="6"/>
      <c r="O171" s="6"/>
      <c r="P171" s="6"/>
      <c r="Q171" s="6"/>
      <c r="R171" s="6"/>
      <c r="S171" s="6"/>
      <c r="T171" s="6"/>
      <c r="U171" s="6"/>
      <c r="V171" s="6"/>
      <c r="W171" s="6"/>
      <c r="X171" s="6"/>
      <c r="Y171" s="6"/>
    </row>
    <row r="172" spans="1:25" ht="12.75">
      <c r="A172" s="1" t="s">
        <v>62</v>
      </c>
      <c r="C172" s="1"/>
      <c r="D172" s="6">
        <f>'cash flow EUR'!C12+'sensitivity EUR'!D171</f>
        <v>0</v>
      </c>
      <c r="E172" s="6">
        <f>'cash flow EUR'!D12+'sensitivity EUR'!E171</f>
        <v>0</v>
      </c>
      <c r="F172" s="6">
        <f>'cash flow EUR'!E12+'sensitivity EUR'!F171</f>
        <v>5683114.406969417</v>
      </c>
      <c r="G172" s="6">
        <f>'cash flow EUR'!F12+'sensitivity EUR'!G171</f>
        <v>5683114.406969417</v>
      </c>
      <c r="H172" s="6">
        <f>'cash flow EUR'!G12+'sensitivity EUR'!H171</f>
        <v>5108897.126969417</v>
      </c>
      <c r="I172" s="6">
        <f>'cash flow EUR'!H12+'sensitivity EUR'!I171</f>
        <v>5108897.126969417</v>
      </c>
      <c r="J172" s="6">
        <f>'cash flow EUR'!I12+'sensitivity EUR'!J171</f>
        <v>5108897.126969417</v>
      </c>
      <c r="K172" s="6">
        <f>'cash flow EUR'!J12+'sensitivity EUR'!K171</f>
        <v>5108897.126969417</v>
      </c>
      <c r="L172" s="6">
        <f>'cash flow EUR'!K12+'sensitivity EUR'!L171</f>
        <v>5108897.126969417</v>
      </c>
      <c r="M172" s="6">
        <f>'cash flow EUR'!L12+'sensitivity EUR'!M171</f>
        <v>5108897.126969417</v>
      </c>
      <c r="N172" s="6">
        <f>'cash flow EUR'!M12+'sensitivity EUR'!N171</f>
        <v>5108897.126969417</v>
      </c>
      <c r="O172" s="6">
        <f>'cash flow EUR'!N12+'sensitivity EUR'!O171</f>
        <v>5108897.126969417</v>
      </c>
      <c r="P172" s="6">
        <f>'cash flow EUR'!O12+'sensitivity EUR'!P171</f>
        <v>5108897.126969417</v>
      </c>
      <c r="Q172" s="6">
        <f>'cash flow EUR'!P12+'sensitivity EUR'!Q171</f>
        <v>5108897.126969417</v>
      </c>
      <c r="R172" s="6">
        <f>'cash flow EUR'!Q12+'sensitivity EUR'!R171</f>
        <v>5108897.126969417</v>
      </c>
      <c r="S172" s="6">
        <f>'cash flow EUR'!R12+'sensitivity EUR'!S171</f>
        <v>5108897.126969417</v>
      </c>
      <c r="T172" s="6">
        <f>'cash flow EUR'!S12+'sensitivity EUR'!T171</f>
        <v>5108897.126969417</v>
      </c>
      <c r="U172" s="6">
        <f>'cash flow EUR'!T12+'sensitivity EUR'!U171</f>
        <v>5108897.126969417</v>
      </c>
      <c r="V172" s="6">
        <f>'cash flow EUR'!U12+'sensitivity EUR'!V171</f>
        <v>5108897.126969417</v>
      </c>
      <c r="W172" s="6">
        <f>'cash flow EUR'!V12+'sensitivity EUR'!W171</f>
        <v>5108897.126969417</v>
      </c>
      <c r="X172" s="6">
        <f>'cash flow EUR'!W12+'sensitivity EUR'!X171</f>
        <v>5108897.126969417</v>
      </c>
      <c r="Y172" s="6">
        <f>'cash flow EUR'!X12+'sensitivity EUR'!Y171</f>
        <v>5108897.126969417</v>
      </c>
    </row>
    <row r="173" spans="1:25" ht="12.75">
      <c r="A173" s="21" t="s">
        <v>56</v>
      </c>
      <c r="C173" s="2"/>
      <c r="D173" s="6">
        <f>D172-'cash flow EUR'!C23</f>
        <v>0</v>
      </c>
      <c r="E173" s="6">
        <f>E172-'cash flow EUR'!D23</f>
        <v>0</v>
      </c>
      <c r="F173" s="6">
        <f>F172-'cash flow EUR'!E23</f>
        <v>5209414.406969417</v>
      </c>
      <c r="G173" s="6">
        <f>G172-'cash flow EUR'!F23</f>
        <v>5209414.406969417</v>
      </c>
      <c r="H173" s="6">
        <f>H172-'cash flow EUR'!G23</f>
        <v>4635197.126969417</v>
      </c>
      <c r="I173" s="6">
        <f>I172-'cash flow EUR'!H23</f>
        <v>4635197.126969417</v>
      </c>
      <c r="J173" s="6">
        <f>J172-'cash flow EUR'!I23</f>
        <v>4635197.126969417</v>
      </c>
      <c r="K173" s="6">
        <f>K172-'cash flow EUR'!J23</f>
        <v>4350197.126969417</v>
      </c>
      <c r="L173" s="6">
        <f>L172-'cash flow EUR'!K23</f>
        <v>4350197.126969417</v>
      </c>
      <c r="M173" s="6">
        <f>M172-'cash flow EUR'!L23</f>
        <v>4350197.126969417</v>
      </c>
      <c r="N173" s="6">
        <f>N172-'cash flow EUR'!M23</f>
        <v>4350197.126969417</v>
      </c>
      <c r="O173" s="6">
        <f>O172-'cash flow EUR'!N23</f>
        <v>4350197.126969417</v>
      </c>
      <c r="P173" s="6">
        <f>P172-'cash flow EUR'!O23</f>
        <v>4350197.126969417</v>
      </c>
      <c r="Q173" s="6">
        <f>Q172-'cash flow EUR'!P23</f>
        <v>4350197.126969417</v>
      </c>
      <c r="R173" s="6">
        <f>R172-'cash flow EUR'!Q23</f>
        <v>4224197.126969417</v>
      </c>
      <c r="S173" s="6">
        <f>S172-'cash flow EUR'!R23</f>
        <v>4224197.126969417</v>
      </c>
      <c r="T173" s="6">
        <f>T172-'cash flow EUR'!S23</f>
        <v>4224197.126969417</v>
      </c>
      <c r="U173" s="6">
        <f>U172-'cash flow EUR'!T23</f>
        <v>4224197.126969417</v>
      </c>
      <c r="V173" s="6">
        <f>V172-'cash flow EUR'!U23</f>
        <v>4224197.126969417</v>
      </c>
      <c r="W173" s="6">
        <f>W172-'cash flow EUR'!V23</f>
        <v>4224197.126969417</v>
      </c>
      <c r="X173" s="6">
        <f>X172-'cash flow EUR'!W23</f>
        <v>4224197.126969417</v>
      </c>
      <c r="Y173" s="6">
        <f>Y172-'cash flow EUR'!X23</f>
        <v>4224197.126969417</v>
      </c>
    </row>
    <row r="174" spans="1:25" ht="12.75">
      <c r="A174" s="1" t="s">
        <v>58</v>
      </c>
      <c r="C174" s="6">
        <f>0-Assumptions!$C$15*1000</f>
        <v>-37343072</v>
      </c>
      <c r="D174" s="6">
        <f>D173-'cash flow EUR'!C28-'cash flow EUR'!C31</f>
        <v>0</v>
      </c>
      <c r="E174" s="6">
        <f>E173-'cash flow EUR'!D28-'cash flow EUR'!D31</f>
        <v>0</v>
      </c>
      <c r="F174" s="6">
        <f>F173-(F172-'cash flow EUR'!E23-'cash flow EUR'!E28-'cash flow EUR'!E31)*0.15</f>
        <v>4969943.578324004</v>
      </c>
      <c r="G174" s="6">
        <f>G173-(G172-'cash flow EUR'!F23-'cash flow EUR'!F28-'cash flow EUR'!F31)*0.15</f>
        <v>4958257.549281903</v>
      </c>
      <c r="H174" s="6">
        <f>H173-(H172-'cash flow EUR'!G23-'cash flow EUR'!G28-'cash flow EUR'!G31)*0.15</f>
        <v>4457844.100642486</v>
      </c>
      <c r="I174" s="6">
        <f>I173-(I172-'cash flow EUR'!H23-'cash flow EUR'!H28-'cash flow EUR'!H31)*0.15</f>
        <v>4444837.258167901</v>
      </c>
      <c r="J174" s="6">
        <f>J173-(J172-'cash flow EUR'!I23-'cash flow EUR'!I28-'cash flow EUR'!I31)*0.15</f>
        <v>4431115.039357213</v>
      </c>
      <c r="K174" s="6">
        <f>K173-(K172-'cash flow EUR'!J23-'cash flow EUR'!J28-'cash flow EUR'!J31)*0.15</f>
        <v>4174388.0985119385</v>
      </c>
      <c r="L174" s="6">
        <f>L173-(L172-'cash flow EUR'!K23-'cash flow EUR'!K28-'cash flow EUR'!K31)*0.15</f>
        <v>4159114.9259201735</v>
      </c>
      <c r="M174" s="6">
        <f>M173-(M172-'cash flow EUR'!L23-'cash flow EUR'!L28-'cash flow EUR'!L31)*0.15</f>
        <v>4143001.728835861</v>
      </c>
      <c r="N174" s="6">
        <f>N173-(N172-'cash flow EUR'!M23-'cash flow EUR'!M28-'cash flow EUR'!M31)*0.15</f>
        <v>4126002.305911912</v>
      </c>
      <c r="O174" s="6">
        <f>O173-(O172-'cash flow EUR'!N23-'cash flow EUR'!N28-'cash flow EUR'!N31)*0.15</f>
        <v>4108067.914727146</v>
      </c>
      <c r="P174" s="6">
        <f>P173-(P172-'cash flow EUR'!O23-'cash flow EUR'!O28-'cash flow EUR'!O31)*0.15</f>
        <v>4089147.132027217</v>
      </c>
      <c r="Q174" s="6">
        <f>Q173-(Q172-'cash flow EUR'!P23-'cash flow EUR'!P28-'cash flow EUR'!P31)*0.15</f>
        <v>4069185.706278792</v>
      </c>
      <c r="R174" s="6">
        <f>R173-(R172-'cash flow EUR'!Q23-'cash flow EUR'!Q28-'cash flow EUR'!Q31)*0.15</f>
        <v>3941026.402114204</v>
      </c>
      <c r="S174" s="6">
        <f>S173-(S172-'cash flow EUR'!R23-'cash flow EUR'!R28-'cash flow EUR'!R31)*0.15</f>
        <v>3918808.836220564</v>
      </c>
      <c r="T174" s="6">
        <f>T173-(T172-'cash flow EUR'!S23-'cash flow EUR'!S28-'cash flow EUR'!S31)*0.15</f>
        <v>3895369.304202773</v>
      </c>
      <c r="U174" s="6">
        <f>U173-(U172-'cash flow EUR'!T23-'cash flow EUR'!T28-'cash flow EUR'!T31)*0.15</f>
        <v>3870640.5979240043</v>
      </c>
      <c r="V174" s="6">
        <f>V173-(V172-'cash flow EUR'!U23-'cash flow EUR'!U28-'cash flow EUR'!U31)*0.15</f>
        <v>3870640.5979240043</v>
      </c>
      <c r="W174" s="6">
        <f>W173-(W172-'cash flow EUR'!V23-'cash flow EUR'!V28-'cash flow EUR'!V31)*0.15</f>
        <v>3870640.5979240043</v>
      </c>
      <c r="X174" s="6">
        <f>X173-(X172-'cash flow EUR'!W23-'cash flow EUR'!W28-'cash flow EUR'!W31)*0.15</f>
        <v>3870640.5979240043</v>
      </c>
      <c r="Y174" s="6">
        <f>Y173-(Y172-'cash flow EUR'!X23-'cash flow EUR'!X28-'cash flow EUR'!X31)*0.15</f>
        <v>3870640.5979240043</v>
      </c>
    </row>
    <row r="175" spans="1:25" ht="12.75">
      <c r="A175" s="1" t="s">
        <v>191</v>
      </c>
      <c r="C175" s="6">
        <f>C174</f>
        <v>-37343072</v>
      </c>
      <c r="D175" s="6">
        <f>D174</f>
        <v>0</v>
      </c>
      <c r="E175" s="6">
        <f>E174</f>
        <v>0</v>
      </c>
      <c r="F175" s="6">
        <f>F173-(F172-F171-'cash flow EUR'!E23-'cash flow EUR'!E28-'cash flow EUR'!E31)*0.15-F171</f>
        <v>4481858.890324004</v>
      </c>
      <c r="G175" s="6">
        <f>G173-(G172-G171-'cash flow EUR'!F23-'cash flow EUR'!F28-'cash flow EUR'!F31)*0.15-G171</f>
        <v>4470172.8612819025</v>
      </c>
      <c r="H175" s="6">
        <f>H173-(H172-H171-'cash flow EUR'!G23-'cash flow EUR'!G28-'cash flow EUR'!G31)*0.15-H171</f>
        <v>4457844.100642486</v>
      </c>
      <c r="I175" s="6">
        <f>I173-(I172-I171-'cash flow EUR'!H23-'cash flow EUR'!H28-'cash flow EUR'!H31)*0.15-I171</f>
        <v>4444837.258167901</v>
      </c>
      <c r="J175" s="6">
        <f>J173-(J172-J171-'cash flow EUR'!I23-'cash flow EUR'!I28-'cash flow EUR'!I31)*0.15-J171</f>
        <v>4431115.039357213</v>
      </c>
      <c r="K175" s="6">
        <f>K173-(K172-K171-'cash flow EUR'!J23-'cash flow EUR'!J28-'cash flow EUR'!J31)*0.15-K171</f>
        <v>4174388.0985119385</v>
      </c>
      <c r="L175" s="6">
        <f>L173-(L172-L171-'cash flow EUR'!K23-'cash flow EUR'!K28-'cash flow EUR'!K31)*0.15-L171</f>
        <v>4159114.9259201735</v>
      </c>
      <c r="M175" s="6">
        <f>M173-(M172-M171-'cash flow EUR'!L23-'cash flow EUR'!L28-'cash flow EUR'!L31)*0.15-M171</f>
        <v>4143001.728835861</v>
      </c>
      <c r="N175" s="6">
        <f>N173-(N172-N171-'cash flow EUR'!M23-'cash flow EUR'!M28-'cash flow EUR'!M31)*0.15-N171</f>
        <v>4126002.305911912</v>
      </c>
      <c r="O175" s="6">
        <f>O173-(O172-O171-'cash flow EUR'!N23-'cash flow EUR'!N28-'cash flow EUR'!N31)*0.15-O171</f>
        <v>4108067.914727146</v>
      </c>
      <c r="P175" s="6">
        <f>P173-(P172-P171-'cash flow EUR'!O23-'cash flow EUR'!O28-'cash flow EUR'!O31)*0.15-P171</f>
        <v>4089147.132027217</v>
      </c>
      <c r="Q175" s="6">
        <f>Q173-(Q172-Q171-'cash flow EUR'!P23-'cash flow EUR'!P28-'cash flow EUR'!P31)*0.15-Q171</f>
        <v>4069185.706278792</v>
      </c>
      <c r="R175" s="6">
        <f>R173-(R172-R171-'cash flow EUR'!Q23-'cash flow EUR'!Q28-'cash flow EUR'!Q31)*0.15-R171</f>
        <v>3941026.402114204</v>
      </c>
      <c r="S175" s="6">
        <f>S173-(S172-S171-'cash flow EUR'!R23-'cash flow EUR'!R28-'cash flow EUR'!R31)*0.15-S171</f>
        <v>3918808.836220564</v>
      </c>
      <c r="T175" s="6">
        <f>T173-(T172-T171-'cash flow EUR'!S23-'cash flow EUR'!S28-'cash flow EUR'!S31)*0.15-T171</f>
        <v>3895369.304202773</v>
      </c>
      <c r="U175" s="6">
        <f>U173-(U172-U171-'cash flow EUR'!T23-'cash flow EUR'!T28-'cash flow EUR'!T31)*0.15-U171</f>
        <v>3870640.5979240043</v>
      </c>
      <c r="V175" s="6">
        <f>V173-(V172-V171-'cash flow EUR'!U23-'cash flow EUR'!U28-'cash flow EUR'!U31)*0.15-V171</f>
        <v>3870640.5979240043</v>
      </c>
      <c r="W175" s="6">
        <f>W173-(W172-W171-'cash flow EUR'!V23-'cash flow EUR'!V28-'cash flow EUR'!V31)*0.15-W171</f>
        <v>3870640.5979240043</v>
      </c>
      <c r="X175" s="6">
        <f>X173-(X172-X171-'cash flow EUR'!W23-'cash flow EUR'!W28-'cash flow EUR'!W31)*0.15-X171</f>
        <v>3870640.5979240043</v>
      </c>
      <c r="Y175" s="6">
        <f>Y173-(Y172-Y171-'cash flow EUR'!X23-'cash flow EUR'!X28-'cash flow EUR'!X31)*0.15-Y171</f>
        <v>3870640.5979240043</v>
      </c>
    </row>
    <row r="176" spans="1:25" ht="12.75">
      <c r="A176" s="1" t="s">
        <v>63</v>
      </c>
      <c r="C176" s="6">
        <f>AVERAGE(E174:Y174)</f>
        <v>3963776.8033401966</v>
      </c>
      <c r="D176" s="6"/>
      <c r="E176" s="6"/>
      <c r="F176" s="6"/>
      <c r="G176" s="6"/>
      <c r="H176" s="6"/>
      <c r="I176" s="6"/>
      <c r="J176" s="6"/>
      <c r="K176" s="6"/>
      <c r="L176" s="6"/>
      <c r="M176" s="6"/>
      <c r="N176" s="6"/>
      <c r="O176" s="6"/>
      <c r="P176" s="6"/>
      <c r="Q176" s="6"/>
      <c r="R176" s="6"/>
      <c r="S176" s="6"/>
      <c r="T176" s="6"/>
      <c r="U176" s="6"/>
      <c r="V176" s="6"/>
      <c r="W176" s="6"/>
      <c r="X176" s="1"/>
      <c r="Y176" s="1"/>
    </row>
    <row r="177" spans="1:25" ht="12.75">
      <c r="A177" s="1" t="s">
        <v>49</v>
      </c>
      <c r="C177" s="37">
        <f>Assumptions!$C$15*1000/'sensitivity EUR'!C176</f>
        <v>9.421083439544761</v>
      </c>
      <c r="D177" s="6"/>
      <c r="E177" s="6"/>
      <c r="F177" s="6"/>
      <c r="G177" s="6"/>
      <c r="H177" s="6"/>
      <c r="I177" s="6"/>
      <c r="J177" s="6"/>
      <c r="K177" s="6"/>
      <c r="L177" s="6"/>
      <c r="M177" s="6"/>
      <c r="N177" s="6"/>
      <c r="O177" s="6"/>
      <c r="P177" s="6"/>
      <c r="Q177" s="6"/>
      <c r="R177" s="6"/>
      <c r="S177" s="6"/>
      <c r="T177" s="6"/>
      <c r="U177" s="6"/>
      <c r="V177" s="6"/>
      <c r="W177" s="6"/>
      <c r="X177" s="1"/>
      <c r="Y177" s="1"/>
    </row>
    <row r="178" spans="1:25" ht="12.75">
      <c r="A178" s="28" t="s">
        <v>53</v>
      </c>
      <c r="C178" s="29">
        <f>IRR(C174:Y174,0.01)</f>
        <v>0.07644526687942205</v>
      </c>
      <c r="D178" s="6"/>
      <c r="E178" s="6"/>
      <c r="F178" s="6"/>
      <c r="G178" s="6"/>
      <c r="H178" s="6"/>
      <c r="I178" s="6"/>
      <c r="J178" s="6"/>
      <c r="K178" s="6"/>
      <c r="L178" s="6"/>
      <c r="M178" s="6"/>
      <c r="N178" s="6"/>
      <c r="O178" s="6"/>
      <c r="P178" s="6"/>
      <c r="Q178" s="6"/>
      <c r="R178" s="6"/>
      <c r="S178" s="6"/>
      <c r="T178" s="6"/>
      <c r="U178" s="6"/>
      <c r="V178" s="6"/>
      <c r="W178" s="6"/>
      <c r="X178" s="1"/>
      <c r="Y178" s="1"/>
    </row>
    <row r="179" spans="1:3" ht="12.75">
      <c r="A179" s="28" t="s">
        <v>19</v>
      </c>
      <c r="C179" s="29">
        <f>IRR(C175:Y175,0.01)</f>
        <v>0.07422299584947344</v>
      </c>
    </row>
    <row r="181" spans="6:25" s="183" customFormat="1" ht="12.75">
      <c r="F181" s="184">
        <f>F42</f>
        <v>2011</v>
      </c>
      <c r="G181" s="184">
        <f aca="true" t="shared" si="14" ref="G181:Y181">G42</f>
        <v>2012</v>
      </c>
      <c r="H181" s="184">
        <f t="shared" si="14"/>
        <v>2013</v>
      </c>
      <c r="I181" s="184">
        <f t="shared" si="14"/>
        <v>2014</v>
      </c>
      <c r="J181" s="184">
        <f t="shared" si="14"/>
        <v>2015</v>
      </c>
      <c r="K181" s="184">
        <f t="shared" si="14"/>
        <v>2016</v>
      </c>
      <c r="L181" s="184">
        <f t="shared" si="14"/>
        <v>2017</v>
      </c>
      <c r="M181" s="184">
        <f t="shared" si="14"/>
        <v>2018</v>
      </c>
      <c r="N181" s="184">
        <f t="shared" si="14"/>
        <v>2019</v>
      </c>
      <c r="O181" s="184">
        <f t="shared" si="14"/>
        <v>2020</v>
      </c>
      <c r="P181" s="184">
        <f t="shared" si="14"/>
        <v>2021</v>
      </c>
      <c r="Q181" s="184">
        <f t="shared" si="14"/>
        <v>2022</v>
      </c>
      <c r="R181" s="184">
        <f t="shared" si="14"/>
        <v>2023</v>
      </c>
      <c r="S181" s="184">
        <f t="shared" si="14"/>
        <v>2024</v>
      </c>
      <c r="T181" s="184">
        <f t="shared" si="14"/>
        <v>2025</v>
      </c>
      <c r="U181" s="184">
        <f t="shared" si="14"/>
        <v>2026</v>
      </c>
      <c r="V181" s="184">
        <f t="shared" si="14"/>
        <v>2027</v>
      </c>
      <c r="W181" s="184">
        <f t="shared" si="14"/>
        <v>2028</v>
      </c>
      <c r="X181" s="184">
        <f t="shared" si="14"/>
        <v>2029</v>
      </c>
      <c r="Y181" s="184">
        <f t="shared" si="14"/>
        <v>2030</v>
      </c>
    </row>
    <row r="183" spans="1:25" ht="12.75">
      <c r="A183" s="22" t="s">
        <v>189</v>
      </c>
      <c r="C183" s="38">
        <f>B2</f>
        <v>-0.3</v>
      </c>
      <c r="D183" s="47"/>
      <c r="E183" s="6"/>
      <c r="F183" s="6"/>
      <c r="G183" s="6"/>
      <c r="H183" s="6"/>
      <c r="I183" s="6"/>
      <c r="J183" s="6"/>
      <c r="K183" s="6"/>
      <c r="L183" s="6"/>
      <c r="M183" s="6"/>
      <c r="N183" s="6"/>
      <c r="O183" s="6"/>
      <c r="P183" s="6"/>
      <c r="Q183" s="6"/>
      <c r="R183" s="6"/>
      <c r="S183" s="6"/>
      <c r="T183" s="6"/>
      <c r="U183" s="6"/>
      <c r="V183" s="6"/>
      <c r="W183" s="6"/>
      <c r="X183" s="6"/>
      <c r="Y183" s="6"/>
    </row>
    <row r="184" spans="1:25" ht="12.75">
      <c r="A184" s="1" t="s">
        <v>30</v>
      </c>
      <c r="C184" s="38"/>
      <c r="D184" s="6">
        <f>'cash flow EUR'!C12</f>
        <v>0</v>
      </c>
      <c r="E184" s="6">
        <f>'cash flow EUR'!D12</f>
        <v>0</v>
      </c>
      <c r="F184" s="47">
        <f>'cash flow EUR'!E12</f>
        <v>5108897.126969417</v>
      </c>
      <c r="G184" s="47">
        <f>'cash flow EUR'!F12</f>
        <v>5108897.126969417</v>
      </c>
      <c r="H184" s="47">
        <f>'cash flow EUR'!G12</f>
        <v>5108897.126969417</v>
      </c>
      <c r="I184" s="47">
        <f>'cash flow EUR'!H12</f>
        <v>5108897.126969417</v>
      </c>
      <c r="J184" s="47">
        <f>'cash flow EUR'!I12</f>
        <v>5108897.126969417</v>
      </c>
      <c r="K184" s="47">
        <f>'cash flow EUR'!J12</f>
        <v>5108897.126969417</v>
      </c>
      <c r="L184" s="47">
        <f>'cash flow EUR'!K12</f>
        <v>5108897.126969417</v>
      </c>
      <c r="M184" s="47">
        <f>'cash flow EUR'!L12</f>
        <v>5108897.126969417</v>
      </c>
      <c r="N184" s="47">
        <f>'cash flow EUR'!M12</f>
        <v>5108897.126969417</v>
      </c>
      <c r="O184" s="47">
        <f>'cash flow EUR'!N12</f>
        <v>5108897.126969417</v>
      </c>
      <c r="P184" s="47">
        <f>'cash flow EUR'!O8*$B$15</f>
        <v>3576227.9888785915</v>
      </c>
      <c r="Q184" s="47">
        <f>'cash flow EUR'!P8*$B$15</f>
        <v>3576227.9888785915</v>
      </c>
      <c r="R184" s="47">
        <f>'cash flow EUR'!Q8*$B$15</f>
        <v>3576227.9888785915</v>
      </c>
      <c r="S184" s="47">
        <f>'cash flow EUR'!R8*$B$15</f>
        <v>3576227.9888785915</v>
      </c>
      <c r="T184" s="47">
        <f>'cash flow EUR'!S8*$B$15</f>
        <v>3576227.9888785915</v>
      </c>
      <c r="U184" s="47">
        <f>'cash flow EUR'!T8*$B$15</f>
        <v>3576227.9888785915</v>
      </c>
      <c r="V184" s="47">
        <f>'cash flow EUR'!U8*$B$15</f>
        <v>3576227.9888785915</v>
      </c>
      <c r="W184" s="47">
        <f>'cash flow EUR'!V8*$B$15</f>
        <v>3576227.9888785915</v>
      </c>
      <c r="X184" s="47">
        <f>'cash flow EUR'!W8*$B$15</f>
        <v>3576227.9888785915</v>
      </c>
      <c r="Y184" s="47">
        <f>'cash flow EUR'!X8*$B$15</f>
        <v>3576227.9888785915</v>
      </c>
    </row>
    <row r="185" spans="1:25" ht="12.75">
      <c r="A185" s="1" t="s">
        <v>61</v>
      </c>
      <c r="C185" s="1"/>
      <c r="D185" s="6">
        <f>'cash flow EUR'!C13</f>
        <v>0</v>
      </c>
      <c r="E185" s="6">
        <f>'cash flow EUR'!D13</f>
        <v>0</v>
      </c>
      <c r="F185" s="6">
        <f>'cash flow EUR'!E13</f>
        <v>441705.60000000003</v>
      </c>
      <c r="G185" s="6">
        <f>'cash flow EUR'!F13</f>
        <v>441705.60000000003</v>
      </c>
      <c r="H185" s="6"/>
      <c r="I185" s="6"/>
      <c r="J185" s="6"/>
      <c r="K185" s="6"/>
      <c r="L185" s="6"/>
      <c r="M185" s="6"/>
      <c r="N185" s="6"/>
      <c r="O185" s="6"/>
      <c r="P185" s="6"/>
      <c r="Q185" s="6"/>
      <c r="R185" s="6"/>
      <c r="S185" s="6"/>
      <c r="T185" s="6"/>
      <c r="U185" s="6"/>
      <c r="V185" s="6"/>
      <c r="W185" s="6"/>
      <c r="X185" s="6"/>
      <c r="Y185" s="6"/>
    </row>
    <row r="186" spans="1:25" ht="12.75">
      <c r="A186" s="1" t="s">
        <v>62</v>
      </c>
      <c r="C186" s="1"/>
      <c r="D186" s="6">
        <f>D185+D184</f>
        <v>0</v>
      </c>
      <c r="E186" s="6">
        <f aca="true" t="shared" si="15" ref="E186:Y186">E185+E184</f>
        <v>0</v>
      </c>
      <c r="F186" s="6">
        <f t="shared" si="15"/>
        <v>5550602.726969416</v>
      </c>
      <c r="G186" s="6">
        <f t="shared" si="15"/>
        <v>5550602.726969416</v>
      </c>
      <c r="H186" s="6">
        <f t="shared" si="15"/>
        <v>5108897.126969417</v>
      </c>
      <c r="I186" s="6">
        <f t="shared" si="15"/>
        <v>5108897.126969417</v>
      </c>
      <c r="J186" s="6">
        <f t="shared" si="15"/>
        <v>5108897.126969417</v>
      </c>
      <c r="K186" s="6">
        <f t="shared" si="15"/>
        <v>5108897.126969417</v>
      </c>
      <c r="L186" s="6">
        <f t="shared" si="15"/>
        <v>5108897.126969417</v>
      </c>
      <c r="M186" s="6">
        <f t="shared" si="15"/>
        <v>5108897.126969417</v>
      </c>
      <c r="N186" s="6">
        <f t="shared" si="15"/>
        <v>5108897.126969417</v>
      </c>
      <c r="O186" s="6">
        <f t="shared" si="15"/>
        <v>5108897.126969417</v>
      </c>
      <c r="P186" s="6">
        <f t="shared" si="15"/>
        <v>3576227.9888785915</v>
      </c>
      <c r="Q186" s="6">
        <f t="shared" si="15"/>
        <v>3576227.9888785915</v>
      </c>
      <c r="R186" s="6">
        <f t="shared" si="15"/>
        <v>3576227.9888785915</v>
      </c>
      <c r="S186" s="6">
        <f t="shared" si="15"/>
        <v>3576227.9888785915</v>
      </c>
      <c r="T186" s="6">
        <f t="shared" si="15"/>
        <v>3576227.9888785915</v>
      </c>
      <c r="U186" s="6">
        <f t="shared" si="15"/>
        <v>3576227.9888785915</v>
      </c>
      <c r="V186" s="6">
        <f t="shared" si="15"/>
        <v>3576227.9888785915</v>
      </c>
      <c r="W186" s="6">
        <f t="shared" si="15"/>
        <v>3576227.9888785915</v>
      </c>
      <c r="X186" s="6">
        <f t="shared" si="15"/>
        <v>3576227.9888785915</v>
      </c>
      <c r="Y186" s="6">
        <f t="shared" si="15"/>
        <v>3576227.9888785915</v>
      </c>
    </row>
    <row r="187" spans="1:25" ht="12.75">
      <c r="A187" s="21" t="s">
        <v>56</v>
      </c>
      <c r="C187" s="2"/>
      <c r="D187" s="6">
        <f>D186-'cash flow EUR'!C23</f>
        <v>0</v>
      </c>
      <c r="E187" s="6">
        <f>E186-'cash flow EUR'!D23</f>
        <v>0</v>
      </c>
      <c r="F187" s="6">
        <f>F186-'cash flow EUR'!E23</f>
        <v>5076902.726969416</v>
      </c>
      <c r="G187" s="6">
        <f>G186-'cash flow EUR'!F23</f>
        <v>5076902.726969416</v>
      </c>
      <c r="H187" s="6">
        <f>H186-'cash flow EUR'!G23</f>
        <v>4635197.126969417</v>
      </c>
      <c r="I187" s="6">
        <f>I186-'cash flow EUR'!H23</f>
        <v>4635197.126969417</v>
      </c>
      <c r="J187" s="6">
        <f>J186-'cash flow EUR'!I23</f>
        <v>4635197.126969417</v>
      </c>
      <c r="K187" s="6">
        <f>K186-'cash flow EUR'!J23</f>
        <v>4350197.126969417</v>
      </c>
      <c r="L187" s="6">
        <f>L186-'cash flow EUR'!K23</f>
        <v>4350197.126969417</v>
      </c>
      <c r="M187" s="6">
        <f>M186-'cash flow EUR'!L23</f>
        <v>4350197.126969417</v>
      </c>
      <c r="N187" s="6">
        <f>N186-'cash flow EUR'!M23</f>
        <v>4350197.126969417</v>
      </c>
      <c r="O187" s="6">
        <f>O186-'cash flow EUR'!N23</f>
        <v>4350197.126969417</v>
      </c>
      <c r="P187" s="6">
        <f>P186-'cash flow EUR'!O23</f>
        <v>2817527.9888785915</v>
      </c>
      <c r="Q187" s="6">
        <f>Q186-'cash flow EUR'!P23</f>
        <v>2817527.9888785915</v>
      </c>
      <c r="R187" s="6">
        <f>R186-'cash flow EUR'!Q23</f>
        <v>2691527.9888785915</v>
      </c>
      <c r="S187" s="6">
        <f>S186-'cash flow EUR'!R23</f>
        <v>2691527.9888785915</v>
      </c>
      <c r="T187" s="6">
        <f>T186-'cash flow EUR'!S23</f>
        <v>2691527.9888785915</v>
      </c>
      <c r="U187" s="6">
        <f>U186-'cash flow EUR'!T23</f>
        <v>2691527.9888785915</v>
      </c>
      <c r="V187" s="6">
        <f>V186-'cash flow EUR'!U23</f>
        <v>2691527.9888785915</v>
      </c>
      <c r="W187" s="6">
        <f>W186-'cash flow EUR'!V23</f>
        <v>2691527.9888785915</v>
      </c>
      <c r="X187" s="6">
        <f>X186-'cash flow EUR'!W23</f>
        <v>2691527.9888785915</v>
      </c>
      <c r="Y187" s="6">
        <f>Y186-'cash flow EUR'!X23</f>
        <v>2691527.9888785915</v>
      </c>
    </row>
    <row r="188" spans="1:25" ht="12.75">
      <c r="A188" s="1" t="s">
        <v>58</v>
      </c>
      <c r="C188" s="6">
        <f>0-Assumptions!$C$15*1000</f>
        <v>-37343072</v>
      </c>
      <c r="D188" s="6">
        <f>D187-'cash flow EUR'!C95-'cash flow EUR'!C98</f>
        <v>0</v>
      </c>
      <c r="E188" s="6">
        <f>E187-'cash flow EUR'!D95-'cash flow EUR'!D98</f>
        <v>0</v>
      </c>
      <c r="F188" s="6">
        <f>F187-(F186-'cash flow EUR'!E23-'cash flow EUR'!E28-'cash flow EUR'!E31)*0.15</f>
        <v>4857308.650324004</v>
      </c>
      <c r="G188" s="6">
        <f>G187-(G186-'cash flow EUR'!F23-'cash flow EUR'!F28-'cash flow EUR'!F31)*0.15</f>
        <v>4845622.621281902</v>
      </c>
      <c r="H188" s="6">
        <f>H187-(H186-'cash flow EUR'!G23-'cash flow EUR'!G28-'cash flow EUR'!G31)*0.15</f>
        <v>4457844.100642486</v>
      </c>
      <c r="I188" s="6">
        <f>I187-(I186-'cash flow EUR'!H23-'cash flow EUR'!H28-'cash flow EUR'!H31)*0.15</f>
        <v>4444837.258167901</v>
      </c>
      <c r="J188" s="6">
        <f>J187-(J186-'cash flow EUR'!I23-'cash flow EUR'!I28-'cash flow EUR'!I31)*0.15</f>
        <v>4431115.039357213</v>
      </c>
      <c r="K188" s="6">
        <f>K187-(K186-'cash flow EUR'!J23-'cash flow EUR'!J28-'cash flow EUR'!J31)*0.15</f>
        <v>4174388.0985119385</v>
      </c>
      <c r="L188" s="6">
        <f>L187-(L186-'cash flow EUR'!K23-'cash flow EUR'!K28-'cash flow EUR'!K31)*0.15</f>
        <v>4159114.9259201735</v>
      </c>
      <c r="M188" s="6">
        <f>M187-(M186-'cash flow EUR'!L23-'cash flow EUR'!L28-'cash flow EUR'!L31)*0.15</f>
        <v>4143001.728835861</v>
      </c>
      <c r="N188" s="6">
        <f>N187-(N186-'cash flow EUR'!M23-'cash flow EUR'!M28-'cash flow EUR'!M31)*0.15</f>
        <v>4126002.305911912</v>
      </c>
      <c r="O188" s="6">
        <f>O187-(O186-'cash flow EUR'!N23-'cash flow EUR'!N28-'cash flow EUR'!N31)*0.15</f>
        <v>4108067.914727146</v>
      </c>
      <c r="P188" s="6">
        <f>P187-(P186-'cash flow EUR'!O23-'cash flow EUR'!O28-'cash flow EUR'!O31)*0.15</f>
        <v>2786378.3646500157</v>
      </c>
      <c r="Q188" s="6">
        <f>Q187-(Q186-'cash flow EUR'!P23-'cash flow EUR'!P28-'cash flow EUR'!P31)*0.15</f>
        <v>2766416.938901591</v>
      </c>
      <c r="R188" s="6">
        <f>R187-(R186-'cash flow EUR'!Q23-'cash flow EUR'!Q28-'cash flow EUR'!Q31)*0.15</f>
        <v>2638257.6347370027</v>
      </c>
      <c r="S188" s="6">
        <f>S187-(S186-'cash flow EUR'!R23-'cash flow EUR'!R28-'cash flow EUR'!R31)*0.15</f>
        <v>2616040.0688433624</v>
      </c>
      <c r="T188" s="6">
        <f>T187-(T186-'cash flow EUR'!S23-'cash flow EUR'!S28-'cash flow EUR'!S31)*0.15</f>
        <v>2592600.5368255717</v>
      </c>
      <c r="U188" s="6">
        <f>U187-(U186-'cash flow EUR'!T23-'cash flow EUR'!T28-'cash flow EUR'!T31)*0.15</f>
        <v>2567871.830546803</v>
      </c>
      <c r="V188" s="6">
        <f>V187-(V186-'cash flow EUR'!U23-'cash flow EUR'!U28-'cash flow EUR'!U31)*0.15</f>
        <v>2567871.830546803</v>
      </c>
      <c r="W188" s="6">
        <f>W187-(W186-'cash flow EUR'!V23-'cash flow EUR'!V28-'cash flow EUR'!V31)*0.15</f>
        <v>2567871.830546803</v>
      </c>
      <c r="X188" s="6">
        <f>X187-(X186-'cash flow EUR'!W23-'cash flow EUR'!W28-'cash flow EUR'!W31)*0.15</f>
        <v>2567871.830546803</v>
      </c>
      <c r="Y188" s="6">
        <f>Y187-(Y186-'cash flow EUR'!X23-'cash flow EUR'!X28-'cash flow EUR'!X31)*0.15</f>
        <v>2567871.830546803</v>
      </c>
    </row>
    <row r="189" spans="1:25" ht="12.75">
      <c r="A189" s="1" t="s">
        <v>191</v>
      </c>
      <c r="C189" s="6">
        <f>C188</f>
        <v>-37343072</v>
      </c>
      <c r="D189" s="6">
        <f>D188-'cash flow EUR'!C96-'cash flow EUR'!C99</f>
        <v>0</v>
      </c>
      <c r="E189" s="6">
        <f>E188-'cash flow EUR'!D96-'cash flow EUR'!D99</f>
        <v>0</v>
      </c>
      <c r="F189" s="6">
        <f>F187-(F186-F185-'cash flow EUR'!E23-'cash flow EUR'!E28-'cash flow EUR'!E31)*0.15-F185</f>
        <v>4481858.890324004</v>
      </c>
      <c r="G189" s="6">
        <f>G187-(G186-G185-'cash flow EUR'!F23-'cash flow EUR'!F28-'cash flow EUR'!F31)*0.15-G185</f>
        <v>4470172.8612819025</v>
      </c>
      <c r="H189" s="6">
        <f>H187-(H186-H185-'cash flow EUR'!G23-'cash flow EUR'!G28-'cash flow EUR'!G31)*0.15-H185</f>
        <v>4457844.100642486</v>
      </c>
      <c r="I189" s="6">
        <f>I187-(I186-I185-'cash flow EUR'!H23-'cash flow EUR'!H28-'cash flow EUR'!H31)*0.15-I185</f>
        <v>4444837.258167901</v>
      </c>
      <c r="J189" s="6">
        <f>J187-(J186-J185-'cash flow EUR'!I23-'cash flow EUR'!I28-'cash flow EUR'!I31)*0.15-J185</f>
        <v>4431115.039357213</v>
      </c>
      <c r="K189" s="6">
        <f>K187-(K186-K185-'cash flow EUR'!J23-'cash flow EUR'!J28-'cash flow EUR'!J31)*0.15-K185</f>
        <v>4174388.0985119385</v>
      </c>
      <c r="L189" s="6">
        <f>L187-(L186-L185-'cash flow EUR'!K23-'cash flow EUR'!K28-'cash flow EUR'!K31)*0.15-L185</f>
        <v>4159114.9259201735</v>
      </c>
      <c r="M189" s="6">
        <f>M187-(M186-M185-'cash flow EUR'!L23-'cash flow EUR'!L28-'cash flow EUR'!L31)*0.15-M185</f>
        <v>4143001.728835861</v>
      </c>
      <c r="N189" s="6">
        <f>N187-(N186-N185-'cash flow EUR'!M23-'cash flow EUR'!M28-'cash flow EUR'!M31)*0.15-N185</f>
        <v>4126002.305911912</v>
      </c>
      <c r="O189" s="6">
        <f>O187-(O186-O185-'cash flow EUR'!N23-'cash flow EUR'!N28-'cash flow EUR'!N31)*0.15-O185</f>
        <v>4108067.914727146</v>
      </c>
      <c r="P189" s="6">
        <f>P187-(P186-P185-'cash flow EUR'!O23-'cash flow EUR'!O28-'cash flow EUR'!O31)*0.15-P185</f>
        <v>2786378.3646500157</v>
      </c>
      <c r="Q189" s="6">
        <f>Q187-(Q186-Q185-'cash flow EUR'!P23-'cash flow EUR'!P28-'cash flow EUR'!P31)*0.15-Q185</f>
        <v>2766416.938901591</v>
      </c>
      <c r="R189" s="6">
        <f>R187-(R186-R185-'cash flow EUR'!Q23-'cash flow EUR'!Q28-'cash flow EUR'!Q31)*0.15-R185</f>
        <v>2638257.6347370027</v>
      </c>
      <c r="S189" s="6">
        <f>S187-(S186-S185-'cash flow EUR'!R23-'cash flow EUR'!R28-'cash flow EUR'!R31)*0.15-S185</f>
        <v>2616040.0688433624</v>
      </c>
      <c r="T189" s="6">
        <f>T187-(T186-T185-'cash flow EUR'!S23-'cash flow EUR'!S28-'cash flow EUR'!S31)*0.15-T185</f>
        <v>2592600.5368255717</v>
      </c>
      <c r="U189" s="6">
        <f>U187-(U186-U185-'cash flow EUR'!T23-'cash flow EUR'!T28-'cash flow EUR'!T31)*0.15-U185</f>
        <v>2567871.830546803</v>
      </c>
      <c r="V189" s="6">
        <f>V187-(V186-V185-'cash flow EUR'!U23-'cash flow EUR'!U28-'cash flow EUR'!U31)*0.15-V185</f>
        <v>2567871.830546803</v>
      </c>
      <c r="W189" s="6">
        <f>W187-(W186-W185-'cash flow EUR'!V23-'cash flow EUR'!V28-'cash flow EUR'!V31)*0.15-W185</f>
        <v>2567871.830546803</v>
      </c>
      <c r="X189" s="6">
        <f>X187-(X186-X185-'cash flow EUR'!W23-'cash flow EUR'!W28-'cash flow EUR'!W31)*0.15-X185</f>
        <v>2567871.830546803</v>
      </c>
      <c r="Y189" s="6">
        <f>Y187-(Y186-Y185-'cash flow EUR'!X23-'cash flow EUR'!X28-'cash flow EUR'!X31)*0.15-Y185</f>
        <v>2567871.830546803</v>
      </c>
    </row>
    <row r="190" spans="1:25" ht="12.75">
      <c r="A190" s="1" t="s">
        <v>63</v>
      </c>
      <c r="C190" s="6">
        <f>AVERAGE(E188:Y188)</f>
        <v>3332683.587636766</v>
      </c>
      <c r="D190" s="6"/>
      <c r="E190" s="6"/>
      <c r="F190" s="6"/>
      <c r="G190" s="6"/>
      <c r="H190" s="6"/>
      <c r="I190" s="6"/>
      <c r="J190" s="6"/>
      <c r="K190" s="6"/>
      <c r="L190" s="6"/>
      <c r="M190" s="6"/>
      <c r="N190" s="6"/>
      <c r="O190" s="6"/>
      <c r="P190" s="6"/>
      <c r="Q190" s="6"/>
      <c r="R190" s="6"/>
      <c r="S190" s="6"/>
      <c r="T190" s="6"/>
      <c r="U190" s="6"/>
      <c r="V190" s="6"/>
      <c r="W190" s="6"/>
      <c r="X190" s="1"/>
      <c r="Y190" s="1"/>
    </row>
    <row r="191" spans="1:25" ht="12.75">
      <c r="A191" s="1" t="s">
        <v>49</v>
      </c>
      <c r="C191" s="37">
        <f>Assumptions!$C$15*1000/'sensitivity EUR'!C190</f>
        <v>11.205105740770394</v>
      </c>
      <c r="D191" s="6"/>
      <c r="E191" s="6"/>
      <c r="F191" s="6"/>
      <c r="G191" s="6"/>
      <c r="H191" s="6"/>
      <c r="I191" s="6"/>
      <c r="J191" s="6"/>
      <c r="K191" s="6"/>
      <c r="L191" s="6"/>
      <c r="M191" s="6"/>
      <c r="N191" s="6"/>
      <c r="O191" s="6"/>
      <c r="P191" s="6"/>
      <c r="Q191" s="6"/>
      <c r="R191" s="6"/>
      <c r="S191" s="6"/>
      <c r="T191" s="6"/>
      <c r="U191" s="6"/>
      <c r="V191" s="6"/>
      <c r="W191" s="6"/>
      <c r="X191" s="1"/>
      <c r="Y191" s="1"/>
    </row>
    <row r="192" spans="1:25" ht="12.75">
      <c r="A192" s="28" t="s">
        <v>53</v>
      </c>
      <c r="C192" s="29">
        <f>IRR(C188:Y188,0.01)</f>
        <v>0.06370301658494512</v>
      </c>
      <c r="D192" s="6"/>
      <c r="E192" s="6"/>
      <c r="F192" s="6"/>
      <c r="G192" s="6"/>
      <c r="H192" s="6"/>
      <c r="I192" s="6"/>
      <c r="J192" s="6"/>
      <c r="K192" s="6"/>
      <c r="L192" s="6"/>
      <c r="M192" s="6"/>
      <c r="N192" s="6"/>
      <c r="O192" s="6"/>
      <c r="P192" s="6"/>
      <c r="Q192" s="6"/>
      <c r="R192" s="6"/>
      <c r="S192" s="6"/>
      <c r="T192" s="6"/>
      <c r="U192" s="6"/>
      <c r="V192" s="6"/>
      <c r="W192" s="6"/>
      <c r="X192" s="1"/>
      <c r="Y192" s="1"/>
    </row>
    <row r="193" spans="1:25" ht="12.75">
      <c r="A193" s="39" t="s">
        <v>19</v>
      </c>
      <c r="B193" s="40"/>
      <c r="C193" s="40">
        <f>IRR(C189:Y189,0.01)</f>
        <v>0.0618554925662864</v>
      </c>
      <c r="D193" s="23"/>
      <c r="E193" s="23"/>
      <c r="F193" s="23"/>
      <c r="G193" s="23"/>
      <c r="H193" s="23"/>
      <c r="I193" s="23"/>
      <c r="J193" s="23"/>
      <c r="K193" s="23"/>
      <c r="L193" s="23"/>
      <c r="M193" s="23"/>
      <c r="N193" s="23"/>
      <c r="O193" s="23"/>
      <c r="P193" s="23"/>
      <c r="Q193" s="23"/>
      <c r="R193" s="23"/>
      <c r="S193" s="23"/>
      <c r="T193" s="23"/>
      <c r="U193" s="23"/>
      <c r="V193" s="23"/>
      <c r="W193" s="23"/>
      <c r="X193" s="4"/>
      <c r="Y193" s="4"/>
    </row>
    <row r="194" spans="1:25" ht="12.75">
      <c r="A194" s="22" t="s">
        <v>189</v>
      </c>
      <c r="C194" s="38">
        <f>C2</f>
        <v>-0.2</v>
      </c>
      <c r="D194" s="47"/>
      <c r="E194" s="6"/>
      <c r="F194" s="6"/>
      <c r="G194" s="6"/>
      <c r="H194" s="6"/>
      <c r="I194" s="6"/>
      <c r="J194" s="6"/>
      <c r="K194" s="6"/>
      <c r="L194" s="6"/>
      <c r="M194" s="6"/>
      <c r="N194" s="6"/>
      <c r="O194" s="6"/>
      <c r="P194" s="6"/>
      <c r="Q194" s="6"/>
      <c r="R194" s="6"/>
      <c r="S194" s="6"/>
      <c r="T194" s="6"/>
      <c r="U194" s="6"/>
      <c r="V194" s="6"/>
      <c r="W194" s="6"/>
      <c r="X194" s="6"/>
      <c r="Y194" s="6"/>
    </row>
    <row r="195" spans="1:25" ht="12.75">
      <c r="A195" s="1" t="s">
        <v>30</v>
      </c>
      <c r="C195" s="38"/>
      <c r="D195" s="47">
        <f>'cash flow EUR'!C12</f>
        <v>0</v>
      </c>
      <c r="E195" s="47">
        <f>'cash flow EUR'!D12</f>
        <v>0</v>
      </c>
      <c r="F195" s="47">
        <f>'cash flow EUR'!E12</f>
        <v>5108897.126969417</v>
      </c>
      <c r="G195" s="47">
        <f>'cash flow EUR'!F12</f>
        <v>5108897.126969417</v>
      </c>
      <c r="H195" s="47">
        <f>'cash flow EUR'!G12</f>
        <v>5108897.126969417</v>
      </c>
      <c r="I195" s="47">
        <f>'cash flow EUR'!H12</f>
        <v>5108897.126969417</v>
      </c>
      <c r="J195" s="47">
        <f>'cash flow EUR'!I12</f>
        <v>5108897.126969417</v>
      </c>
      <c r="K195" s="47">
        <f>'cash flow EUR'!J12</f>
        <v>5108897.126969417</v>
      </c>
      <c r="L195" s="47">
        <f>'cash flow EUR'!K12</f>
        <v>5108897.126969417</v>
      </c>
      <c r="M195" s="47">
        <f>'cash flow EUR'!L12</f>
        <v>5108897.126969417</v>
      </c>
      <c r="N195" s="47">
        <f>'cash flow EUR'!M12</f>
        <v>5108897.126969417</v>
      </c>
      <c r="O195" s="47">
        <f>'cash flow EUR'!N12</f>
        <v>5108897.126969417</v>
      </c>
      <c r="P195" s="47">
        <f>'cash flow EUR'!O8*$C$15</f>
        <v>4087117.701575533</v>
      </c>
      <c r="Q195" s="47">
        <f>'cash flow EUR'!P8*$C$15</f>
        <v>4087117.701575533</v>
      </c>
      <c r="R195" s="47">
        <f>'cash flow EUR'!Q8*$C$15</f>
        <v>4087117.701575533</v>
      </c>
      <c r="S195" s="47">
        <f>'cash flow EUR'!R8*$C$15</f>
        <v>4087117.701575533</v>
      </c>
      <c r="T195" s="47">
        <f>'cash flow EUR'!S8*$C$15</f>
        <v>4087117.701575533</v>
      </c>
      <c r="U195" s="47">
        <f>'cash flow EUR'!T8*$C$15</f>
        <v>4087117.701575533</v>
      </c>
      <c r="V195" s="47">
        <f>'cash flow EUR'!U8*$C$15</f>
        <v>4087117.701575533</v>
      </c>
      <c r="W195" s="47">
        <f>'cash flow EUR'!V8*$C$15</f>
        <v>4087117.701575533</v>
      </c>
      <c r="X195" s="47">
        <f>'cash flow EUR'!W8*$C$15</f>
        <v>4087117.701575533</v>
      </c>
      <c r="Y195" s="47">
        <f>'cash flow EUR'!X8*$C$15</f>
        <v>4087117.701575533</v>
      </c>
    </row>
    <row r="196" spans="1:25" ht="12.75">
      <c r="A196" s="1" t="s">
        <v>61</v>
      </c>
      <c r="C196" s="1"/>
      <c r="D196" s="6">
        <f>'cash flow EUR'!C13</f>
        <v>0</v>
      </c>
      <c r="E196" s="6">
        <f>'cash flow EUR'!D13</f>
        <v>0</v>
      </c>
      <c r="F196" s="6">
        <f>'cash flow EUR'!E13</f>
        <v>441705.60000000003</v>
      </c>
      <c r="G196" s="6">
        <f>'cash flow EUR'!F13</f>
        <v>441705.60000000003</v>
      </c>
      <c r="H196" s="6"/>
      <c r="I196" s="6"/>
      <c r="J196" s="6"/>
      <c r="K196" s="6"/>
      <c r="L196" s="6"/>
      <c r="M196" s="6"/>
      <c r="N196" s="6"/>
      <c r="O196" s="6"/>
      <c r="P196" s="6"/>
      <c r="Q196" s="6"/>
      <c r="R196" s="6"/>
      <c r="S196" s="6"/>
      <c r="T196" s="6"/>
      <c r="U196" s="6"/>
      <c r="V196" s="6"/>
      <c r="W196" s="6"/>
      <c r="X196" s="6"/>
      <c r="Y196" s="6"/>
    </row>
    <row r="197" spans="1:25" ht="12.75">
      <c r="A197" s="1" t="s">
        <v>62</v>
      </c>
      <c r="C197" s="1"/>
      <c r="D197" s="6">
        <f aca="true" t="shared" si="16" ref="D197:Y197">D196+D195</f>
        <v>0</v>
      </c>
      <c r="E197" s="6">
        <f t="shared" si="16"/>
        <v>0</v>
      </c>
      <c r="F197" s="6">
        <f t="shared" si="16"/>
        <v>5550602.726969416</v>
      </c>
      <c r="G197" s="6">
        <f t="shared" si="16"/>
        <v>5550602.726969416</v>
      </c>
      <c r="H197" s="6">
        <f t="shared" si="16"/>
        <v>5108897.126969417</v>
      </c>
      <c r="I197" s="6">
        <f t="shared" si="16"/>
        <v>5108897.126969417</v>
      </c>
      <c r="J197" s="6">
        <f t="shared" si="16"/>
        <v>5108897.126969417</v>
      </c>
      <c r="K197" s="6">
        <f t="shared" si="16"/>
        <v>5108897.126969417</v>
      </c>
      <c r="L197" s="6">
        <f t="shared" si="16"/>
        <v>5108897.126969417</v>
      </c>
      <c r="M197" s="6">
        <f t="shared" si="16"/>
        <v>5108897.126969417</v>
      </c>
      <c r="N197" s="6">
        <f t="shared" si="16"/>
        <v>5108897.126969417</v>
      </c>
      <c r="O197" s="6">
        <f t="shared" si="16"/>
        <v>5108897.126969417</v>
      </c>
      <c r="P197" s="6">
        <f t="shared" si="16"/>
        <v>4087117.701575533</v>
      </c>
      <c r="Q197" s="6">
        <f t="shared" si="16"/>
        <v>4087117.701575533</v>
      </c>
      <c r="R197" s="6">
        <f t="shared" si="16"/>
        <v>4087117.701575533</v>
      </c>
      <c r="S197" s="6">
        <f t="shared" si="16"/>
        <v>4087117.701575533</v>
      </c>
      <c r="T197" s="6">
        <f t="shared" si="16"/>
        <v>4087117.701575533</v>
      </c>
      <c r="U197" s="6">
        <f t="shared" si="16"/>
        <v>4087117.701575533</v>
      </c>
      <c r="V197" s="6">
        <f t="shared" si="16"/>
        <v>4087117.701575533</v>
      </c>
      <c r="W197" s="6">
        <f t="shared" si="16"/>
        <v>4087117.701575533</v>
      </c>
      <c r="X197" s="6">
        <f t="shared" si="16"/>
        <v>4087117.701575533</v>
      </c>
      <c r="Y197" s="6">
        <f t="shared" si="16"/>
        <v>4087117.701575533</v>
      </c>
    </row>
    <row r="198" spans="1:25" ht="12.75">
      <c r="A198" s="21" t="s">
        <v>56</v>
      </c>
      <c r="C198" s="2"/>
      <c r="D198" s="6">
        <f>D197-'cash flow EUR'!C34</f>
        <v>0</v>
      </c>
      <c r="E198" s="6">
        <f>E197-'cash flow EUR'!D34</f>
        <v>0</v>
      </c>
      <c r="F198" s="6">
        <f>F197-'cash flow EUR'!E23</f>
        <v>5076902.726969416</v>
      </c>
      <c r="G198" s="6">
        <f>G197-'cash flow EUR'!F23</f>
        <v>5076902.726969416</v>
      </c>
      <c r="H198" s="6">
        <f>H197-'cash flow EUR'!G23</f>
        <v>4635197.126969417</v>
      </c>
      <c r="I198" s="6">
        <f>I197-'cash flow EUR'!H23</f>
        <v>4635197.126969417</v>
      </c>
      <c r="J198" s="6">
        <f>J197-'cash flow EUR'!I23</f>
        <v>4635197.126969417</v>
      </c>
      <c r="K198" s="6">
        <f>K197-'cash flow EUR'!J23</f>
        <v>4350197.126969417</v>
      </c>
      <c r="L198" s="6">
        <f>L197-'cash flow EUR'!K23</f>
        <v>4350197.126969417</v>
      </c>
      <c r="M198" s="6">
        <f>M197-'cash flow EUR'!L23</f>
        <v>4350197.126969417</v>
      </c>
      <c r="N198" s="6">
        <f>N197-'cash flow EUR'!M23</f>
        <v>4350197.126969417</v>
      </c>
      <c r="O198" s="6">
        <f>O197-'cash flow EUR'!N23</f>
        <v>4350197.126969417</v>
      </c>
      <c r="P198" s="6">
        <f>P197-'cash flow EUR'!O23</f>
        <v>3328417.701575533</v>
      </c>
      <c r="Q198" s="6">
        <f>Q197-'cash flow EUR'!P23</f>
        <v>3328417.701575533</v>
      </c>
      <c r="R198" s="6">
        <f>R197-'cash flow EUR'!Q23</f>
        <v>3202417.701575533</v>
      </c>
      <c r="S198" s="6">
        <f>S197-'cash flow EUR'!R23</f>
        <v>3202417.701575533</v>
      </c>
      <c r="T198" s="6">
        <f>T197-'cash flow EUR'!S23</f>
        <v>3202417.701575533</v>
      </c>
      <c r="U198" s="6">
        <f>U197-'cash flow EUR'!T23</f>
        <v>3202417.701575533</v>
      </c>
      <c r="V198" s="6">
        <f>V197-'cash flow EUR'!U23</f>
        <v>3202417.701575533</v>
      </c>
      <c r="W198" s="6">
        <f>W197-'cash flow EUR'!V23</f>
        <v>3202417.701575533</v>
      </c>
      <c r="X198" s="6">
        <f>X197-'cash flow EUR'!W23</f>
        <v>3202417.701575533</v>
      </c>
      <c r="Y198" s="6">
        <f>Y197-'cash flow EUR'!X23</f>
        <v>3202417.701575533</v>
      </c>
    </row>
    <row r="199" spans="1:25" ht="12.75">
      <c r="A199" s="1" t="s">
        <v>58</v>
      </c>
      <c r="C199" s="6">
        <f>0-Assumptions!$C$15*1000</f>
        <v>-37343072</v>
      </c>
      <c r="D199" s="6">
        <f>D198-'cash flow EUR'!C106-'cash flow EUR'!C109</f>
        <v>0</v>
      </c>
      <c r="E199" s="6">
        <f>E198-'cash flow EUR'!D106-'cash flow EUR'!D109</f>
        <v>0</v>
      </c>
      <c r="F199" s="6">
        <f>F198-(F197-'cash flow EUR'!E23-'cash flow EUR'!E28-'cash flow EUR'!E31)*0.15</f>
        <v>4857308.650324004</v>
      </c>
      <c r="G199" s="6">
        <f>G198-(G197-'cash flow EUR'!F23-'cash flow EUR'!F28-'cash flow EUR'!F31)*0.15</f>
        <v>4845622.621281902</v>
      </c>
      <c r="H199" s="6">
        <f>H198-(H197-'cash flow EUR'!G23-'cash flow EUR'!G28-'cash flow EUR'!G31)*0.15</f>
        <v>4457844.100642486</v>
      </c>
      <c r="I199" s="6">
        <f>I198-(I197-'cash flow EUR'!H23-'cash flow EUR'!H28-'cash flow EUR'!H31)*0.15</f>
        <v>4444837.258167901</v>
      </c>
      <c r="J199" s="6">
        <f>J198-(J197-'cash flow EUR'!I23-'cash flow EUR'!I28-'cash flow EUR'!I31)*0.15</f>
        <v>4431115.039357213</v>
      </c>
      <c r="K199" s="6">
        <f>K198-(K197-'cash flow EUR'!J23-'cash flow EUR'!J28-'cash flow EUR'!J31)*0.15</f>
        <v>4174388.0985119385</v>
      </c>
      <c r="L199" s="6">
        <f>L198-(L197-'cash flow EUR'!K23-'cash flow EUR'!K28-'cash flow EUR'!K31)*0.15</f>
        <v>4159114.9259201735</v>
      </c>
      <c r="M199" s="6">
        <f>M198-(M197-'cash flow EUR'!L23-'cash flow EUR'!L28-'cash flow EUR'!L31)*0.15</f>
        <v>4143001.728835861</v>
      </c>
      <c r="N199" s="6">
        <f>N198-(N197-'cash flow EUR'!M23-'cash flow EUR'!M28-'cash flow EUR'!M31)*0.15</f>
        <v>4126002.305911912</v>
      </c>
      <c r="O199" s="6">
        <f>O198-(O197-'cash flow EUR'!N23-'cash flow EUR'!N28-'cash flow EUR'!N31)*0.15</f>
        <v>4108067.914727146</v>
      </c>
      <c r="P199" s="6">
        <f>P198-(P197-'cash flow EUR'!O23-'cash flow EUR'!O28-'cash flow EUR'!O31)*0.15</f>
        <v>3220634.620442416</v>
      </c>
      <c r="Q199" s="6">
        <f>Q198-(Q197-'cash flow EUR'!P23-'cash flow EUR'!P28-'cash flow EUR'!P31)*0.15</f>
        <v>3200673.194693991</v>
      </c>
      <c r="R199" s="6">
        <f>R198-(R197-'cash flow EUR'!Q23-'cash flow EUR'!Q28-'cash flow EUR'!Q31)*0.15</f>
        <v>3072513.890529403</v>
      </c>
      <c r="S199" s="6">
        <f>S198-(S197-'cash flow EUR'!R23-'cash flow EUR'!R28-'cash flow EUR'!R31)*0.15</f>
        <v>3050296.3246357627</v>
      </c>
      <c r="T199" s="6">
        <f>T198-(T197-'cash flow EUR'!S23-'cash flow EUR'!S28-'cash flow EUR'!S31)*0.15</f>
        <v>3026856.792617972</v>
      </c>
      <c r="U199" s="6">
        <f>U198-(U197-'cash flow EUR'!T23-'cash flow EUR'!T28-'cash flow EUR'!T31)*0.15</f>
        <v>3002128.086339203</v>
      </c>
      <c r="V199" s="6">
        <f>V198-(V197-'cash flow EUR'!U23-'cash flow EUR'!U28-'cash flow EUR'!U31)*0.15</f>
        <v>3002128.086339203</v>
      </c>
      <c r="W199" s="6">
        <f>W198-(W197-'cash flow EUR'!V23-'cash flow EUR'!V28-'cash flow EUR'!V31)*0.15</f>
        <v>3002128.086339203</v>
      </c>
      <c r="X199" s="6">
        <f>X198-(X197-'cash flow EUR'!W23-'cash flow EUR'!W28-'cash flow EUR'!W31)*0.15</f>
        <v>3002128.086339203</v>
      </c>
      <c r="Y199" s="6">
        <f>Y198-(Y197-'cash flow EUR'!X23-'cash flow EUR'!X28-'cash flow EUR'!X31)*0.15</f>
        <v>3002128.086339203</v>
      </c>
    </row>
    <row r="200" spans="1:25" ht="12.75">
      <c r="A200" s="1" t="s">
        <v>191</v>
      </c>
      <c r="C200" s="6">
        <f>C199</f>
        <v>-37343072</v>
      </c>
      <c r="D200" s="6">
        <f>D199-'cash flow EUR'!C107-'cash flow EUR'!C110</f>
        <v>0</v>
      </c>
      <c r="E200" s="6">
        <f>E199-'cash flow EUR'!D107-'cash flow EUR'!D110</f>
        <v>0</v>
      </c>
      <c r="F200" s="6">
        <f>F198-(F197-F196-'cash flow EUR'!E23-'cash flow EUR'!E28-'cash flow EUR'!E31)*0.15-F196</f>
        <v>4481858.890324004</v>
      </c>
      <c r="G200" s="6">
        <f>G198-(G197-G196-'cash flow EUR'!F23-'cash flow EUR'!F28-'cash flow EUR'!F31)*0.15-G196</f>
        <v>4470172.8612819025</v>
      </c>
      <c r="H200" s="6">
        <f>H198-(H197-H196-'cash flow EUR'!G23-'cash flow EUR'!G28-'cash flow EUR'!G31)*0.15-H196</f>
        <v>4457844.100642486</v>
      </c>
      <c r="I200" s="6">
        <f>I198-(I197-I196-'cash flow EUR'!H23-'cash flow EUR'!H28-'cash flow EUR'!H31)*0.15-I196</f>
        <v>4444837.258167901</v>
      </c>
      <c r="J200" s="6">
        <f>J198-(J197-J196-'cash flow EUR'!I23-'cash flow EUR'!I28-'cash flow EUR'!I31)*0.15-J196</f>
        <v>4431115.039357213</v>
      </c>
      <c r="K200" s="6">
        <f>K198-(K197-K196-'cash flow EUR'!J23-'cash flow EUR'!J28-'cash flow EUR'!J31)*0.15-K196</f>
        <v>4174388.0985119385</v>
      </c>
      <c r="L200" s="6">
        <f>L198-(L197-L196-'cash flow EUR'!K23-'cash flow EUR'!K28-'cash flow EUR'!K31)*0.15-L196</f>
        <v>4159114.9259201735</v>
      </c>
      <c r="M200" s="6">
        <f>M198-(M197-M196-'cash flow EUR'!L23-'cash flow EUR'!L28-'cash flow EUR'!L31)*0.15-M196</f>
        <v>4143001.728835861</v>
      </c>
      <c r="N200" s="6">
        <f>N198-(N197-N196-'cash flow EUR'!M23-'cash flow EUR'!M28-'cash flow EUR'!M31)*0.15-N196</f>
        <v>4126002.305911912</v>
      </c>
      <c r="O200" s="6">
        <f>O198-(O197-O196-'cash flow EUR'!N23-'cash flow EUR'!N28-'cash flow EUR'!N31)*0.15-O196</f>
        <v>4108067.914727146</v>
      </c>
      <c r="P200" s="6">
        <f>P198-(P197-P196-'cash flow EUR'!O23-'cash flow EUR'!O28-'cash flow EUR'!O31)*0.15-P196</f>
        <v>3220634.620442416</v>
      </c>
      <c r="Q200" s="6">
        <f>Q198-(Q197-Q196-'cash flow EUR'!P23-'cash flow EUR'!P28-'cash flow EUR'!P31)*0.15-Q196</f>
        <v>3200673.194693991</v>
      </c>
      <c r="R200" s="6">
        <f>R198-(R197-R196-'cash flow EUR'!Q23-'cash flow EUR'!Q28-'cash flow EUR'!Q31)*0.15-R196</f>
        <v>3072513.890529403</v>
      </c>
      <c r="S200" s="6">
        <f>S198-(S197-S196-'cash flow EUR'!R23-'cash flow EUR'!R28-'cash flow EUR'!R31)*0.15-S196</f>
        <v>3050296.3246357627</v>
      </c>
      <c r="T200" s="6">
        <f>T198-(T197-T196-'cash flow EUR'!S23-'cash flow EUR'!S28-'cash flow EUR'!S31)*0.15-T196</f>
        <v>3026856.792617972</v>
      </c>
      <c r="U200" s="6">
        <f>U198-(U197-U196-'cash flow EUR'!T23-'cash flow EUR'!T28-'cash flow EUR'!T31)*0.15-U196</f>
        <v>3002128.086339203</v>
      </c>
      <c r="V200" s="6">
        <f>V198-(V197-V196-'cash flow EUR'!U23-'cash flow EUR'!U28-'cash flow EUR'!U31)*0.15-V196</f>
        <v>3002128.086339203</v>
      </c>
      <c r="W200" s="6">
        <f>W198-(W197-W196-'cash flow EUR'!V23-'cash flow EUR'!V28-'cash flow EUR'!V31)*0.15-W196</f>
        <v>3002128.086339203</v>
      </c>
      <c r="X200" s="6">
        <f>X198-(X197-X196-'cash flow EUR'!W23-'cash flow EUR'!W28-'cash flow EUR'!W31)*0.15-X196</f>
        <v>3002128.086339203</v>
      </c>
      <c r="Y200" s="6">
        <f>Y198-(Y197-Y196-'cash flow EUR'!X23-'cash flow EUR'!X28-'cash flow EUR'!X31)*0.15-Y196</f>
        <v>3002128.086339203</v>
      </c>
    </row>
    <row r="201" spans="1:25" ht="12.75">
      <c r="A201" s="1" t="s">
        <v>63</v>
      </c>
      <c r="C201" s="6">
        <f>AVERAGE(E199:Y199)</f>
        <v>3539472.2808712423</v>
      </c>
      <c r="D201" s="6"/>
      <c r="E201" s="6"/>
      <c r="F201" s="6"/>
      <c r="G201" s="6"/>
      <c r="H201" s="6"/>
      <c r="I201" s="6"/>
      <c r="J201" s="6"/>
      <c r="K201" s="6"/>
      <c r="L201" s="6"/>
      <c r="M201" s="6"/>
      <c r="N201" s="6"/>
      <c r="O201" s="6"/>
      <c r="P201" s="6"/>
      <c r="Q201" s="6"/>
      <c r="R201" s="6"/>
      <c r="S201" s="6"/>
      <c r="T201" s="6"/>
      <c r="U201" s="6"/>
      <c r="V201" s="6"/>
      <c r="W201" s="6"/>
      <c r="X201" s="1"/>
      <c r="Y201" s="1"/>
    </row>
    <row r="202" spans="1:25" ht="12.75">
      <c r="A202" s="1" t="s">
        <v>49</v>
      </c>
      <c r="C202" s="37">
        <f>Assumptions!$C$15*1000/'sensitivity EUR'!C201</f>
        <v>10.550463186791221</v>
      </c>
      <c r="D202" s="6"/>
      <c r="E202" s="6"/>
      <c r="F202" s="6"/>
      <c r="G202" s="6"/>
      <c r="H202" s="6"/>
      <c r="I202" s="6"/>
      <c r="J202" s="6"/>
      <c r="K202" s="6"/>
      <c r="L202" s="6"/>
      <c r="M202" s="6"/>
      <c r="N202" s="6"/>
      <c r="O202" s="6"/>
      <c r="P202" s="6"/>
      <c r="Q202" s="6"/>
      <c r="R202" s="6"/>
      <c r="S202" s="6"/>
      <c r="T202" s="6"/>
      <c r="U202" s="6"/>
      <c r="V202" s="6"/>
      <c r="W202" s="6"/>
      <c r="X202" s="1"/>
      <c r="Y202" s="1"/>
    </row>
    <row r="203" spans="1:25" ht="12.75">
      <c r="A203" s="28" t="s">
        <v>53</v>
      </c>
      <c r="C203" s="186">
        <f>IRR(C199:Y199,0.01)</f>
        <v>0.06810367361581325</v>
      </c>
      <c r="D203" s="6"/>
      <c r="E203" s="6"/>
      <c r="F203" s="6"/>
      <c r="G203" s="6"/>
      <c r="H203" s="6"/>
      <c r="I203" s="6"/>
      <c r="J203" s="6"/>
      <c r="K203" s="6"/>
      <c r="L203" s="6"/>
      <c r="M203" s="6"/>
      <c r="N203" s="6"/>
      <c r="O203" s="6"/>
      <c r="P203" s="6"/>
      <c r="Q203" s="6"/>
      <c r="R203" s="6"/>
      <c r="S203" s="6"/>
      <c r="T203" s="6"/>
      <c r="U203" s="6"/>
      <c r="V203" s="6"/>
      <c r="W203" s="6"/>
      <c r="X203" s="1"/>
      <c r="Y203" s="1"/>
    </row>
    <row r="204" spans="1:25" ht="12.75">
      <c r="A204" s="39" t="s">
        <v>19</v>
      </c>
      <c r="B204" s="40"/>
      <c r="C204" s="40">
        <f>IRR(C200:Y200,0.01)</f>
        <v>0.06631005140402252</v>
      </c>
      <c r="D204" s="23"/>
      <c r="E204" s="23"/>
      <c r="F204" s="23"/>
      <c r="G204" s="23"/>
      <c r="H204" s="23"/>
      <c r="I204" s="23"/>
      <c r="J204" s="23"/>
      <c r="K204" s="23"/>
      <c r="L204" s="23"/>
      <c r="M204" s="23"/>
      <c r="N204" s="23"/>
      <c r="O204" s="23"/>
      <c r="P204" s="23"/>
      <c r="Q204" s="23"/>
      <c r="R204" s="23"/>
      <c r="S204" s="23"/>
      <c r="T204" s="23"/>
      <c r="U204" s="23"/>
      <c r="V204" s="23"/>
      <c r="W204" s="23"/>
      <c r="X204" s="4"/>
      <c r="Y204" s="4"/>
    </row>
    <row r="205" spans="1:25" ht="12.75">
      <c r="A205" s="22" t="s">
        <v>189</v>
      </c>
      <c r="C205" s="38">
        <f>D2</f>
        <v>-0.1</v>
      </c>
      <c r="D205" s="47"/>
      <c r="E205" s="6"/>
      <c r="F205" s="6"/>
      <c r="G205" s="6"/>
      <c r="H205" s="6"/>
      <c r="I205" s="6"/>
      <c r="J205" s="6"/>
      <c r="K205" s="6"/>
      <c r="L205" s="6"/>
      <c r="M205" s="6"/>
      <c r="N205" s="6"/>
      <c r="O205" s="6"/>
      <c r="P205" s="6"/>
      <c r="Q205" s="6"/>
      <c r="R205" s="6"/>
      <c r="S205" s="6"/>
      <c r="T205" s="6"/>
      <c r="U205" s="6"/>
      <c r="V205" s="6"/>
      <c r="W205" s="6"/>
      <c r="X205" s="6"/>
      <c r="Y205" s="6"/>
    </row>
    <row r="206" spans="1:25" ht="12.75">
      <c r="A206" s="1" t="s">
        <v>30</v>
      </c>
      <c r="C206" s="38"/>
      <c r="D206" s="47">
        <f>'cash flow EUR'!C12</f>
        <v>0</v>
      </c>
      <c r="E206" s="47">
        <f>'cash flow EUR'!D12</f>
        <v>0</v>
      </c>
      <c r="F206" s="47">
        <f>'cash flow EUR'!E12</f>
        <v>5108897.126969417</v>
      </c>
      <c r="G206" s="47">
        <f>'cash flow EUR'!F12</f>
        <v>5108897.126969417</v>
      </c>
      <c r="H206" s="47">
        <f>'cash flow EUR'!G12</f>
        <v>5108897.126969417</v>
      </c>
      <c r="I206" s="47">
        <f>'cash flow EUR'!H12</f>
        <v>5108897.126969417</v>
      </c>
      <c r="J206" s="47">
        <f>'cash flow EUR'!I12</f>
        <v>5108897.126969417</v>
      </c>
      <c r="K206" s="47">
        <f>'cash flow EUR'!J12</f>
        <v>5108897.126969417</v>
      </c>
      <c r="L206" s="47">
        <f>'cash flow EUR'!K12</f>
        <v>5108897.126969417</v>
      </c>
      <c r="M206" s="47">
        <f>'cash flow EUR'!L12</f>
        <v>5108897.126969417</v>
      </c>
      <c r="N206" s="47">
        <f>'cash flow EUR'!M12</f>
        <v>5108897.126969417</v>
      </c>
      <c r="O206" s="47">
        <f>'cash flow EUR'!N12</f>
        <v>5108897.126969417</v>
      </c>
      <c r="P206" s="47">
        <f>'cash flow EUR'!O8*$D$15</f>
        <v>4598007.414272475</v>
      </c>
      <c r="Q206" s="47">
        <f>'cash flow EUR'!P8*$D$15</f>
        <v>4598007.414272475</v>
      </c>
      <c r="R206" s="47">
        <f>'cash flow EUR'!Q8*$D$15</f>
        <v>4598007.414272475</v>
      </c>
      <c r="S206" s="47">
        <f>'cash flow EUR'!R8*$D$15</f>
        <v>4598007.414272475</v>
      </c>
      <c r="T206" s="47">
        <f>'cash flow EUR'!S8*$D$15</f>
        <v>4598007.414272475</v>
      </c>
      <c r="U206" s="47">
        <f>'cash flow EUR'!T8*$D$15</f>
        <v>4598007.414272475</v>
      </c>
      <c r="V206" s="47">
        <f>'cash flow EUR'!U8*$D$15</f>
        <v>4598007.414272475</v>
      </c>
      <c r="W206" s="47">
        <f>'cash flow EUR'!V8*$D$15</f>
        <v>4598007.414272475</v>
      </c>
      <c r="X206" s="47">
        <f>'cash flow EUR'!W8*$D$15</f>
        <v>4598007.414272475</v>
      </c>
      <c r="Y206" s="47">
        <f>'cash flow EUR'!X8*$D$15</f>
        <v>4598007.414272475</v>
      </c>
    </row>
    <row r="207" spans="1:25" ht="12.75">
      <c r="A207" s="1" t="s">
        <v>61</v>
      </c>
      <c r="C207" s="1"/>
      <c r="D207" s="6">
        <f>'cash flow EUR'!C13</f>
        <v>0</v>
      </c>
      <c r="E207" s="6">
        <f>'cash flow EUR'!D13</f>
        <v>0</v>
      </c>
      <c r="F207" s="6">
        <f>'cash flow EUR'!E13</f>
        <v>441705.60000000003</v>
      </c>
      <c r="G207" s="6">
        <f>'cash flow EUR'!F13</f>
        <v>441705.60000000003</v>
      </c>
      <c r="H207" s="6"/>
      <c r="I207" s="6"/>
      <c r="J207" s="6"/>
      <c r="K207" s="6"/>
      <c r="L207" s="6"/>
      <c r="M207" s="6"/>
      <c r="N207" s="6"/>
      <c r="O207" s="6"/>
      <c r="P207" s="6"/>
      <c r="Q207" s="6"/>
      <c r="R207" s="6"/>
      <c r="S207" s="6"/>
      <c r="T207" s="6"/>
      <c r="U207" s="6"/>
      <c r="V207" s="6"/>
      <c r="W207" s="6"/>
      <c r="X207" s="6"/>
      <c r="Y207" s="6"/>
    </row>
    <row r="208" spans="1:25" ht="12.75">
      <c r="A208" s="1" t="s">
        <v>62</v>
      </c>
      <c r="C208" s="1"/>
      <c r="D208" s="6">
        <f aca="true" t="shared" si="17" ref="D208:Y208">D207+D206</f>
        <v>0</v>
      </c>
      <c r="E208" s="6">
        <f t="shared" si="17"/>
        <v>0</v>
      </c>
      <c r="F208" s="6">
        <f t="shared" si="17"/>
        <v>5550602.726969416</v>
      </c>
      <c r="G208" s="6">
        <f t="shared" si="17"/>
        <v>5550602.726969416</v>
      </c>
      <c r="H208" s="6">
        <f t="shared" si="17"/>
        <v>5108897.126969417</v>
      </c>
      <c r="I208" s="6">
        <f t="shared" si="17"/>
        <v>5108897.126969417</v>
      </c>
      <c r="J208" s="6">
        <f t="shared" si="17"/>
        <v>5108897.126969417</v>
      </c>
      <c r="K208" s="6">
        <f t="shared" si="17"/>
        <v>5108897.126969417</v>
      </c>
      <c r="L208" s="6">
        <f t="shared" si="17"/>
        <v>5108897.126969417</v>
      </c>
      <c r="M208" s="6">
        <f t="shared" si="17"/>
        <v>5108897.126969417</v>
      </c>
      <c r="N208" s="6">
        <f t="shared" si="17"/>
        <v>5108897.126969417</v>
      </c>
      <c r="O208" s="6">
        <f t="shared" si="17"/>
        <v>5108897.126969417</v>
      </c>
      <c r="P208" s="6">
        <f t="shared" si="17"/>
        <v>4598007.414272475</v>
      </c>
      <c r="Q208" s="6">
        <f t="shared" si="17"/>
        <v>4598007.414272475</v>
      </c>
      <c r="R208" s="6">
        <f t="shared" si="17"/>
        <v>4598007.414272475</v>
      </c>
      <c r="S208" s="6">
        <f t="shared" si="17"/>
        <v>4598007.414272475</v>
      </c>
      <c r="T208" s="6">
        <f t="shared" si="17"/>
        <v>4598007.414272475</v>
      </c>
      <c r="U208" s="6">
        <f t="shared" si="17"/>
        <v>4598007.414272475</v>
      </c>
      <c r="V208" s="6">
        <f t="shared" si="17"/>
        <v>4598007.414272475</v>
      </c>
      <c r="W208" s="6">
        <f t="shared" si="17"/>
        <v>4598007.414272475</v>
      </c>
      <c r="X208" s="6">
        <f t="shared" si="17"/>
        <v>4598007.414272475</v>
      </c>
      <c r="Y208" s="6">
        <f t="shared" si="17"/>
        <v>4598007.414272475</v>
      </c>
    </row>
    <row r="209" spans="1:25" ht="12.75">
      <c r="A209" s="21" t="s">
        <v>56</v>
      </c>
      <c r="C209" s="2"/>
      <c r="D209" s="6">
        <f>D208-'cash flow EUR'!C24</f>
        <v>0</v>
      </c>
      <c r="E209" s="6">
        <f>E208-'cash flow EUR'!D24</f>
        <v>0</v>
      </c>
      <c r="F209" s="6">
        <f>F208-'cash flow EUR'!E23</f>
        <v>5076902.726969416</v>
      </c>
      <c r="G209" s="6">
        <f>G208-'cash flow EUR'!F23</f>
        <v>5076902.726969416</v>
      </c>
      <c r="H209" s="6">
        <f>H208-'cash flow EUR'!G23</f>
        <v>4635197.126969417</v>
      </c>
      <c r="I209" s="6">
        <f>I208-'cash flow EUR'!H23</f>
        <v>4635197.126969417</v>
      </c>
      <c r="J209" s="6">
        <f>J208-'cash flow EUR'!I23</f>
        <v>4635197.126969417</v>
      </c>
      <c r="K209" s="6">
        <f>K208-'cash flow EUR'!J23</f>
        <v>4350197.126969417</v>
      </c>
      <c r="L209" s="6">
        <f>L208-'cash flow EUR'!K23</f>
        <v>4350197.126969417</v>
      </c>
      <c r="M209" s="6">
        <f>M208-'cash flow EUR'!L23</f>
        <v>4350197.126969417</v>
      </c>
      <c r="N209" s="6">
        <f>N208-'cash flow EUR'!M23</f>
        <v>4350197.126969417</v>
      </c>
      <c r="O209" s="6">
        <f>O208-'cash flow EUR'!N23</f>
        <v>4350197.126969417</v>
      </c>
      <c r="P209" s="6">
        <f>P208-'cash flow EUR'!O23</f>
        <v>3839307.414272475</v>
      </c>
      <c r="Q209" s="6">
        <f>Q208-'cash flow EUR'!P23</f>
        <v>3839307.414272475</v>
      </c>
      <c r="R209" s="6">
        <f>R208-'cash flow EUR'!Q23</f>
        <v>3713307.414272475</v>
      </c>
      <c r="S209" s="6">
        <f>S208-'cash flow EUR'!R23</f>
        <v>3713307.414272475</v>
      </c>
      <c r="T209" s="6">
        <f>T208-'cash flow EUR'!S23</f>
        <v>3713307.414272475</v>
      </c>
      <c r="U209" s="6">
        <f>U208-'cash flow EUR'!T23</f>
        <v>3713307.414272475</v>
      </c>
      <c r="V209" s="6">
        <f>V208-'cash flow EUR'!U23</f>
        <v>3713307.414272475</v>
      </c>
      <c r="W209" s="6">
        <f>W208-'cash flow EUR'!V23</f>
        <v>3713307.414272475</v>
      </c>
      <c r="X209" s="6">
        <f>X208-'cash flow EUR'!W23</f>
        <v>3713307.414272475</v>
      </c>
      <c r="Y209" s="6">
        <f>Y208-'cash flow EUR'!X23</f>
        <v>3713307.414272475</v>
      </c>
    </row>
    <row r="210" spans="1:25" ht="12.75">
      <c r="A210" s="1" t="s">
        <v>58</v>
      </c>
      <c r="C210" s="6">
        <f>0-Assumptions!$C$15*1000</f>
        <v>-37343072</v>
      </c>
      <c r="D210" s="6">
        <f>D209-'cash flow EUR'!C117-'cash flow EUR'!C120</f>
        <v>0</v>
      </c>
      <c r="E210" s="6">
        <f>E209-'cash flow EUR'!D117-'cash flow EUR'!D120</f>
        <v>0</v>
      </c>
      <c r="F210" s="6">
        <f>F209-(F208-'cash flow EUR'!E23-'cash flow EUR'!E28-'cash flow EUR'!E31)*0.15</f>
        <v>4857308.650324004</v>
      </c>
      <c r="G210" s="6">
        <f>G209-(G208-'cash flow EUR'!F23-'cash flow EUR'!F28-'cash flow EUR'!F31)*0.15</f>
        <v>4845622.621281902</v>
      </c>
      <c r="H210" s="6">
        <f>H209-(H208-'cash flow EUR'!G23-'cash flow EUR'!G28-'cash flow EUR'!G31)*0.15</f>
        <v>4457844.100642486</v>
      </c>
      <c r="I210" s="6">
        <f>I209-(I208-'cash flow EUR'!H23-'cash flow EUR'!H28-'cash flow EUR'!H31)*0.15</f>
        <v>4444837.258167901</v>
      </c>
      <c r="J210" s="6">
        <f>J209-(J208-'cash flow EUR'!I23-'cash flow EUR'!I28-'cash flow EUR'!I31)*0.15</f>
        <v>4431115.039357213</v>
      </c>
      <c r="K210" s="6">
        <f>K209-(K208-'cash flow EUR'!J23-'cash flow EUR'!J28-'cash flow EUR'!J31)*0.15</f>
        <v>4174388.0985119385</v>
      </c>
      <c r="L210" s="6">
        <f>L209-(L208-'cash flow EUR'!K23-'cash flow EUR'!K28-'cash flow EUR'!K31)*0.15</f>
        <v>4159114.9259201735</v>
      </c>
      <c r="M210" s="6">
        <f>M209-(M208-'cash flow EUR'!L23-'cash flow EUR'!L28-'cash flow EUR'!L31)*0.15</f>
        <v>4143001.728835861</v>
      </c>
      <c r="N210" s="6">
        <f>N209-(N208-'cash flow EUR'!M23-'cash flow EUR'!M28-'cash flow EUR'!M31)*0.15</f>
        <v>4126002.305911912</v>
      </c>
      <c r="O210" s="6">
        <f>O209-(O208-'cash flow EUR'!N23-'cash flow EUR'!N28-'cash flow EUR'!N31)*0.15</f>
        <v>4108067.914727146</v>
      </c>
      <c r="P210" s="6">
        <f>P209-(P208-'cash flow EUR'!O23-'cash flow EUR'!O28-'cash flow EUR'!O31)*0.15</f>
        <v>3654890.876234817</v>
      </c>
      <c r="Q210" s="6">
        <f>Q209-(Q208-'cash flow EUR'!P23-'cash flow EUR'!P28-'cash flow EUR'!P31)*0.15</f>
        <v>3634929.450486392</v>
      </c>
      <c r="R210" s="6">
        <f>R209-(R208-'cash flow EUR'!Q23-'cash flow EUR'!Q28-'cash flow EUR'!Q31)*0.15</f>
        <v>3506770.146321804</v>
      </c>
      <c r="S210" s="6">
        <f>S209-(S208-'cash flow EUR'!R23-'cash flow EUR'!R28-'cash flow EUR'!R31)*0.15</f>
        <v>3484552.5804281635</v>
      </c>
      <c r="T210" s="6">
        <f>T209-(T208-'cash flow EUR'!S23-'cash flow EUR'!S28-'cash flow EUR'!S31)*0.15</f>
        <v>3461113.048410373</v>
      </c>
      <c r="U210" s="6">
        <f>U209-(U208-'cash flow EUR'!T23-'cash flow EUR'!T28-'cash flow EUR'!T31)*0.15</f>
        <v>3436384.342131604</v>
      </c>
      <c r="V210" s="6">
        <f>V209-(V208-'cash flow EUR'!U23-'cash flow EUR'!U28-'cash flow EUR'!U31)*0.15</f>
        <v>3436384.342131604</v>
      </c>
      <c r="W210" s="6">
        <f>W209-(W208-'cash flow EUR'!V23-'cash flow EUR'!V28-'cash flow EUR'!V31)*0.15</f>
        <v>3436384.342131604</v>
      </c>
      <c r="X210" s="6">
        <f>X209-(X208-'cash flow EUR'!W23-'cash flow EUR'!W28-'cash flow EUR'!W31)*0.15</f>
        <v>3436384.342131604</v>
      </c>
      <c r="Y210" s="6">
        <f>Y209-(Y208-'cash flow EUR'!X23-'cash flow EUR'!X28-'cash flow EUR'!X31)*0.15</f>
        <v>3436384.342131604</v>
      </c>
    </row>
    <row r="211" spans="1:25" ht="12.75">
      <c r="A211" s="1" t="s">
        <v>191</v>
      </c>
      <c r="C211" s="6">
        <f>C210</f>
        <v>-37343072</v>
      </c>
      <c r="D211" s="6">
        <f>D210-'cash flow EUR'!C118-'cash flow EUR'!C121</f>
        <v>0</v>
      </c>
      <c r="E211" s="6">
        <f>E210-'cash flow EUR'!D118-'cash flow EUR'!D121</f>
        <v>0</v>
      </c>
      <c r="F211" s="6">
        <f>F209-(F208-F207-'cash flow EUR'!E23-'cash flow EUR'!E28-'cash flow EUR'!E31)*0.15-F207</f>
        <v>4481858.890324004</v>
      </c>
      <c r="G211" s="6">
        <f>G209-(G208-G207-'cash flow EUR'!F23-'cash flow EUR'!F28-'cash flow EUR'!F31)*0.15-G207</f>
        <v>4470172.8612819025</v>
      </c>
      <c r="H211" s="6">
        <f>H209-(H208-H207-'cash flow EUR'!G23-'cash flow EUR'!G28-'cash flow EUR'!G31)*0.15-H207</f>
        <v>4457844.100642486</v>
      </c>
      <c r="I211" s="6">
        <f>I209-(I208-I207-'cash flow EUR'!H23-'cash flow EUR'!H28-'cash flow EUR'!H31)*0.15-I207</f>
        <v>4444837.258167901</v>
      </c>
      <c r="J211" s="6">
        <f>J209-(J208-J207-'cash flow EUR'!I23-'cash flow EUR'!I28-'cash flow EUR'!I31)*0.15-J207</f>
        <v>4431115.039357213</v>
      </c>
      <c r="K211" s="6">
        <f>K209-(K208-K207-'cash flow EUR'!J23-'cash flow EUR'!J28-'cash flow EUR'!J31)*0.15-K207</f>
        <v>4174388.0985119385</v>
      </c>
      <c r="L211" s="6">
        <f>L209-(L208-L207-'cash flow EUR'!K23-'cash flow EUR'!K28-'cash flow EUR'!K31)*0.15-L207</f>
        <v>4159114.9259201735</v>
      </c>
      <c r="M211" s="6">
        <f>M209-(M208-M207-'cash flow EUR'!L23-'cash flow EUR'!L28-'cash flow EUR'!L31)*0.15-M207</f>
        <v>4143001.728835861</v>
      </c>
      <c r="N211" s="6">
        <f>N209-(N208-N207-'cash flow EUR'!M23-'cash flow EUR'!M28-'cash flow EUR'!M31)*0.15-N207</f>
        <v>4126002.305911912</v>
      </c>
      <c r="O211" s="6">
        <f>O209-(O208-O207-'cash flow EUR'!N23-'cash flow EUR'!N28-'cash flow EUR'!N31)*0.15-O207</f>
        <v>4108067.914727146</v>
      </c>
      <c r="P211" s="6">
        <f>P209-(P208-P207-'cash flow EUR'!O23-'cash flow EUR'!O28-'cash flow EUR'!O31)*0.15-P207</f>
        <v>3654890.876234817</v>
      </c>
      <c r="Q211" s="6">
        <f>Q209-(Q208-Q207-'cash flow EUR'!P23-'cash flow EUR'!P28-'cash flow EUR'!P31)*0.15-Q207</f>
        <v>3634929.450486392</v>
      </c>
      <c r="R211" s="6">
        <f>R209-(R208-R207-'cash flow EUR'!Q23-'cash flow EUR'!Q28-'cash flow EUR'!Q31)*0.15-R207</f>
        <v>3506770.146321804</v>
      </c>
      <c r="S211" s="6">
        <f>S209-(S208-S207-'cash flow EUR'!R23-'cash flow EUR'!R28-'cash flow EUR'!R31)*0.15-S207</f>
        <v>3484552.5804281635</v>
      </c>
      <c r="T211" s="6">
        <f>T209-(T208-T207-'cash flow EUR'!S23-'cash flow EUR'!S28-'cash flow EUR'!S31)*0.15-T207</f>
        <v>3461113.048410373</v>
      </c>
      <c r="U211" s="6">
        <f>U209-(U208-U207-'cash flow EUR'!T23-'cash flow EUR'!T28-'cash flow EUR'!T31)*0.15-U207</f>
        <v>3436384.342131604</v>
      </c>
      <c r="V211" s="6">
        <f>V209-(V208-V207-'cash flow EUR'!U23-'cash flow EUR'!U28-'cash flow EUR'!U31)*0.15-V207</f>
        <v>3436384.342131604</v>
      </c>
      <c r="W211" s="6">
        <f>W209-(W208-W207-'cash flow EUR'!V23-'cash flow EUR'!V28-'cash flow EUR'!V31)*0.15-W207</f>
        <v>3436384.342131604</v>
      </c>
      <c r="X211" s="6">
        <f>X209-(X208-X207-'cash flow EUR'!W23-'cash flow EUR'!W28-'cash flow EUR'!W31)*0.15-X207</f>
        <v>3436384.342131604</v>
      </c>
      <c r="Y211" s="6">
        <f>Y209-(Y208-Y207-'cash flow EUR'!X23-'cash flow EUR'!X28-'cash flow EUR'!X31)*0.15-Y207</f>
        <v>3436384.342131604</v>
      </c>
    </row>
    <row r="212" spans="1:25" ht="12.75">
      <c r="A212" s="1" t="s">
        <v>63</v>
      </c>
      <c r="C212" s="6">
        <f>AVERAGE(E210:Y210)</f>
        <v>3746260.9741057185</v>
      </c>
      <c r="D212" s="6"/>
      <c r="E212" s="6"/>
      <c r="F212" s="6"/>
      <c r="G212" s="6"/>
      <c r="H212" s="6"/>
      <c r="I212" s="6"/>
      <c r="J212" s="6"/>
      <c r="K212" s="6"/>
      <c r="L212" s="6"/>
      <c r="M212" s="6"/>
      <c r="N212" s="6"/>
      <c r="O212" s="6"/>
      <c r="P212" s="6"/>
      <c r="Q212" s="6"/>
      <c r="R212" s="6"/>
      <c r="S212" s="6"/>
      <c r="T212" s="6"/>
      <c r="U212" s="6"/>
      <c r="V212" s="6"/>
      <c r="W212" s="6"/>
      <c r="X212" s="1"/>
      <c r="Y212" s="1"/>
    </row>
    <row r="213" spans="1:25" ht="12.75">
      <c r="A213" s="1" t="s">
        <v>49</v>
      </c>
      <c r="C213" s="37">
        <f>Assumptions!$C$15*1000/'sensitivity EUR'!C212</f>
        <v>9.96809145388337</v>
      </c>
      <c r="D213" s="6"/>
      <c r="E213" s="6"/>
      <c r="F213" s="6"/>
      <c r="G213" s="6"/>
      <c r="H213" s="6"/>
      <c r="I213" s="6"/>
      <c r="J213" s="6"/>
      <c r="K213" s="6"/>
      <c r="L213" s="6"/>
      <c r="M213" s="6"/>
      <c r="N213" s="6"/>
      <c r="O213" s="6"/>
      <c r="P213" s="6"/>
      <c r="Q213" s="6"/>
      <c r="R213" s="6"/>
      <c r="S213" s="6"/>
      <c r="T213" s="6"/>
      <c r="U213" s="6"/>
      <c r="V213" s="6"/>
      <c r="W213" s="6"/>
      <c r="X213" s="1"/>
      <c r="Y213" s="1"/>
    </row>
    <row r="214" spans="1:25" ht="12.75">
      <c r="A214" s="28" t="s">
        <v>53</v>
      </c>
      <c r="C214" s="186">
        <f>IRR(C210:Y210,0.01)</f>
        <v>0.07216114296466</v>
      </c>
      <c r="D214" s="6"/>
      <c r="E214" s="6"/>
      <c r="F214" s="6"/>
      <c r="G214" s="6"/>
      <c r="H214" s="6"/>
      <c r="I214" s="6"/>
      <c r="J214" s="6"/>
      <c r="K214" s="6"/>
      <c r="L214" s="6"/>
      <c r="M214" s="6"/>
      <c r="N214" s="6"/>
      <c r="O214" s="6"/>
      <c r="P214" s="6"/>
      <c r="Q214" s="6"/>
      <c r="R214" s="6"/>
      <c r="S214" s="6"/>
      <c r="T214" s="6"/>
      <c r="U214" s="6"/>
      <c r="V214" s="6"/>
      <c r="W214" s="6"/>
      <c r="X214" s="1"/>
      <c r="Y214" s="1"/>
    </row>
    <row r="215" spans="1:25" ht="12.75">
      <c r="A215" s="39" t="s">
        <v>19</v>
      </c>
      <c r="B215" s="40"/>
      <c r="C215" s="40">
        <f>IRR(C211:Y211,0.01)</f>
        <v>0.07041393707609221</v>
      </c>
      <c r="D215" s="23"/>
      <c r="E215" s="23"/>
      <c r="F215" s="23"/>
      <c r="G215" s="23"/>
      <c r="H215" s="23"/>
      <c r="I215" s="23"/>
      <c r="J215" s="23"/>
      <c r="K215" s="23"/>
      <c r="L215" s="23"/>
      <c r="M215" s="23"/>
      <c r="N215" s="23"/>
      <c r="O215" s="23"/>
      <c r="P215" s="23"/>
      <c r="Q215" s="23"/>
      <c r="R215" s="23"/>
      <c r="S215" s="23"/>
      <c r="T215" s="23"/>
      <c r="U215" s="23"/>
      <c r="V215" s="23"/>
      <c r="W215" s="23"/>
      <c r="X215" s="4"/>
      <c r="Y215" s="4"/>
    </row>
    <row r="216" spans="1:25" ht="12.75">
      <c r="A216" s="185"/>
      <c r="B216" s="186"/>
      <c r="C216" s="55"/>
      <c r="D216" s="55"/>
      <c r="E216" s="55"/>
      <c r="F216" s="55"/>
      <c r="G216" s="55"/>
      <c r="H216" s="55"/>
      <c r="I216" s="55"/>
      <c r="J216" s="55"/>
      <c r="K216" s="55"/>
      <c r="L216" s="55"/>
      <c r="M216" s="55"/>
      <c r="N216" s="55"/>
      <c r="O216" s="55"/>
      <c r="P216" s="55"/>
      <c r="Q216" s="55"/>
      <c r="R216" s="55"/>
      <c r="S216" s="55"/>
      <c r="T216" s="55"/>
      <c r="U216" s="55"/>
      <c r="V216" s="55"/>
      <c r="W216" s="55"/>
      <c r="X216" s="34"/>
      <c r="Y216" s="34"/>
    </row>
    <row r="217" s="86" customFormat="1" ht="12.75"/>
  </sheetData>
  <sheetProtection/>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B3:Z53"/>
  <sheetViews>
    <sheetView zoomScalePageLayoutView="0" workbookViewId="0" topLeftCell="A28">
      <selection activeCell="G6" sqref="G6"/>
    </sheetView>
  </sheetViews>
  <sheetFormatPr defaultColWidth="9.140625" defaultRowHeight="12.75"/>
  <cols>
    <col min="1" max="1" width="3.28125" style="1" customWidth="1"/>
    <col min="2" max="2" width="23.28125" style="1" customWidth="1"/>
    <col min="3" max="5" width="5.8515625" style="1" hidden="1" customWidth="1"/>
    <col min="6" max="26" width="5.8515625" style="1" customWidth="1"/>
    <col min="27" max="16384" width="9.140625" style="1" customWidth="1"/>
  </cols>
  <sheetData>
    <row r="3" ht="12" thickBot="1">
      <c r="B3" s="1" t="s">
        <v>119</v>
      </c>
    </row>
    <row r="4" spans="2:26" ht="11.25">
      <c r="B4" s="69" t="s">
        <v>87</v>
      </c>
      <c r="C4" s="70">
        <v>2007</v>
      </c>
      <c r="D4" s="70">
        <v>2008</v>
      </c>
      <c r="E4" s="70">
        <v>2009</v>
      </c>
      <c r="F4" s="70">
        <v>2010</v>
      </c>
      <c r="G4" s="70">
        <v>2011</v>
      </c>
      <c r="H4" s="70">
        <v>2012</v>
      </c>
      <c r="I4" s="70">
        <v>2013</v>
      </c>
      <c r="J4" s="70">
        <v>2014</v>
      </c>
      <c r="K4" s="70">
        <v>2015</v>
      </c>
      <c r="L4" s="70">
        <v>2016</v>
      </c>
      <c r="M4" s="70">
        <v>2017</v>
      </c>
      <c r="N4" s="70">
        <v>2018</v>
      </c>
      <c r="O4" s="70">
        <v>2019</v>
      </c>
      <c r="P4" s="70">
        <v>2020</v>
      </c>
      <c r="Q4" s="70">
        <v>2021</v>
      </c>
      <c r="R4" s="70">
        <v>2022</v>
      </c>
      <c r="S4" s="70">
        <v>2023</v>
      </c>
      <c r="T4" s="70">
        <v>2024</v>
      </c>
      <c r="U4" s="70">
        <v>2025</v>
      </c>
      <c r="V4" s="70">
        <v>2026</v>
      </c>
      <c r="W4" s="70">
        <v>2027</v>
      </c>
      <c r="X4" s="70">
        <v>2028</v>
      </c>
      <c r="Y4" s="70">
        <v>2029</v>
      </c>
      <c r="Z4" s="71">
        <v>2030</v>
      </c>
    </row>
    <row r="5" spans="2:26" ht="11.25">
      <c r="B5" s="72" t="s">
        <v>96</v>
      </c>
      <c r="C5" s="73"/>
      <c r="D5" s="73"/>
      <c r="E5" s="73"/>
      <c r="F5" s="73">
        <f>'cash flow EUR'!D14/1000</f>
        <v>0</v>
      </c>
      <c r="G5" s="73">
        <f>'cash flow EUR'!E14/1000</f>
        <v>5550.602726969416</v>
      </c>
      <c r="H5" s="73">
        <f>'cash flow EUR'!F14/1000</f>
        <v>5550.602726969416</v>
      </c>
      <c r="I5" s="73">
        <f>'cash flow EUR'!G14/1000</f>
        <v>5108.897126969417</v>
      </c>
      <c r="J5" s="73">
        <f>'cash flow EUR'!H14/1000</f>
        <v>5108.897126969417</v>
      </c>
      <c r="K5" s="73">
        <f>'cash flow EUR'!I14/1000</f>
        <v>5108.897126969417</v>
      </c>
      <c r="L5" s="73">
        <f>'cash flow EUR'!J14/1000</f>
        <v>5108.897126969417</v>
      </c>
      <c r="M5" s="73">
        <f>'cash flow EUR'!K14/1000</f>
        <v>5108.897126969417</v>
      </c>
      <c r="N5" s="73">
        <f>'cash flow EUR'!L14/1000</f>
        <v>5108.897126969417</v>
      </c>
      <c r="O5" s="73">
        <f>'cash flow EUR'!M14/1000</f>
        <v>5108.897126969417</v>
      </c>
      <c r="P5" s="73">
        <f>'cash flow EUR'!N14/1000</f>
        <v>5108.897126969417</v>
      </c>
      <c r="Q5" s="73">
        <f>'cash flow EUR'!O14/1000</f>
        <v>5108.897126969417</v>
      </c>
      <c r="R5" s="73">
        <f>'cash flow EUR'!P14/1000</f>
        <v>5108.897126969417</v>
      </c>
      <c r="S5" s="73">
        <f>'cash flow EUR'!Q14/1000</f>
        <v>5108.897126969417</v>
      </c>
      <c r="T5" s="73">
        <f>'cash flow EUR'!R14/1000</f>
        <v>5108.897126969417</v>
      </c>
      <c r="U5" s="73">
        <f>'cash flow EUR'!S14/1000</f>
        <v>5108.897126969417</v>
      </c>
      <c r="V5" s="73">
        <f>'cash flow EUR'!T14/1000</f>
        <v>5108.897126969417</v>
      </c>
      <c r="W5" s="73">
        <f>'cash flow EUR'!U14/1000</f>
        <v>5108.897126969417</v>
      </c>
      <c r="X5" s="73">
        <f>'cash flow EUR'!V14/1000</f>
        <v>5108.897126969417</v>
      </c>
      <c r="Y5" s="73">
        <f>'cash flow EUR'!W14/1000</f>
        <v>5108.897126969417</v>
      </c>
      <c r="Z5" s="74">
        <f>'cash flow EUR'!X14/1000</f>
        <v>5108.897126969417</v>
      </c>
    </row>
    <row r="6" spans="2:26" ht="11.25">
      <c r="B6" s="75" t="s">
        <v>88</v>
      </c>
      <c r="C6" s="65"/>
      <c r="D6" s="65"/>
      <c r="E6" s="65"/>
      <c r="F6" s="65">
        <f>'cash flow EUR'!D23/1000</f>
        <v>0</v>
      </c>
      <c r="G6" s="65">
        <f>'cash flow EUR'!E23/1000</f>
        <v>473.7</v>
      </c>
      <c r="H6" s="65">
        <f>'cash flow EUR'!F23/1000</f>
        <v>473.7</v>
      </c>
      <c r="I6" s="65">
        <f>'cash flow EUR'!G23/1000</f>
        <v>473.7</v>
      </c>
      <c r="J6" s="65">
        <f>'cash flow EUR'!H23/1000</f>
        <v>473.7</v>
      </c>
      <c r="K6" s="65">
        <f>'cash flow EUR'!I23/1000</f>
        <v>473.7</v>
      </c>
      <c r="L6" s="65">
        <f>'cash flow EUR'!J23/1000</f>
        <v>758.7</v>
      </c>
      <c r="M6" s="65">
        <f>'cash flow EUR'!K23/1000</f>
        <v>758.7</v>
      </c>
      <c r="N6" s="65">
        <f>'cash flow EUR'!L23/1000</f>
        <v>758.7</v>
      </c>
      <c r="O6" s="65">
        <f>'cash flow EUR'!M23/1000</f>
        <v>758.7</v>
      </c>
      <c r="P6" s="65">
        <f>'cash flow EUR'!N23/1000</f>
        <v>758.7</v>
      </c>
      <c r="Q6" s="65">
        <f>'cash flow EUR'!O23/1000</f>
        <v>758.7</v>
      </c>
      <c r="R6" s="65">
        <f>'cash flow EUR'!P23/1000</f>
        <v>758.7</v>
      </c>
      <c r="S6" s="65">
        <f>'cash flow EUR'!Q23/1000</f>
        <v>884.7</v>
      </c>
      <c r="T6" s="65">
        <f>'cash flow EUR'!R23/1000</f>
        <v>884.7</v>
      </c>
      <c r="U6" s="65">
        <f>'cash flow EUR'!S23/1000</f>
        <v>884.7</v>
      </c>
      <c r="V6" s="65">
        <f>'cash flow EUR'!T23/1000</f>
        <v>884.7</v>
      </c>
      <c r="W6" s="65">
        <f>'cash flow EUR'!U23/1000</f>
        <v>884.7</v>
      </c>
      <c r="X6" s="65">
        <f>'cash flow EUR'!V23/1000</f>
        <v>884.7</v>
      </c>
      <c r="Y6" s="65">
        <f>'cash flow EUR'!W23/1000</f>
        <v>884.7</v>
      </c>
      <c r="Z6" s="76">
        <f>'cash flow EUR'!X23/1000</f>
        <v>884.7</v>
      </c>
    </row>
    <row r="7" spans="2:26" ht="11.25">
      <c r="B7" s="77" t="s">
        <v>89</v>
      </c>
      <c r="C7" s="66"/>
      <c r="D7" s="66"/>
      <c r="E7" s="66"/>
      <c r="F7" s="66">
        <f>F5-F6</f>
        <v>0</v>
      </c>
      <c r="G7" s="66">
        <f aca="true" t="shared" si="0" ref="G7:Z7">G5-G6</f>
        <v>5076.902726969416</v>
      </c>
      <c r="H7" s="66">
        <f t="shared" si="0"/>
        <v>5076.902726969416</v>
      </c>
      <c r="I7" s="66">
        <f t="shared" si="0"/>
        <v>4635.197126969417</v>
      </c>
      <c r="J7" s="66">
        <f t="shared" si="0"/>
        <v>4635.197126969417</v>
      </c>
      <c r="K7" s="66">
        <f t="shared" si="0"/>
        <v>4635.197126969417</v>
      </c>
      <c r="L7" s="66">
        <f t="shared" si="0"/>
        <v>4350.197126969417</v>
      </c>
      <c r="M7" s="66">
        <f t="shared" si="0"/>
        <v>4350.197126969417</v>
      </c>
      <c r="N7" s="66">
        <f t="shared" si="0"/>
        <v>4350.197126969417</v>
      </c>
      <c r="O7" s="66">
        <f t="shared" si="0"/>
        <v>4350.197126969417</v>
      </c>
      <c r="P7" s="66">
        <f t="shared" si="0"/>
        <v>4350.197126969417</v>
      </c>
      <c r="Q7" s="66">
        <f t="shared" si="0"/>
        <v>4350.197126969417</v>
      </c>
      <c r="R7" s="66">
        <f t="shared" si="0"/>
        <v>4350.197126969417</v>
      </c>
      <c r="S7" s="66">
        <f t="shared" si="0"/>
        <v>4224.197126969417</v>
      </c>
      <c r="T7" s="66">
        <f t="shared" si="0"/>
        <v>4224.197126969417</v>
      </c>
      <c r="U7" s="66">
        <f t="shared" si="0"/>
        <v>4224.197126969417</v>
      </c>
      <c r="V7" s="66">
        <f t="shared" si="0"/>
        <v>4224.197126969417</v>
      </c>
      <c r="W7" s="66">
        <f t="shared" si="0"/>
        <v>4224.197126969417</v>
      </c>
      <c r="X7" s="66">
        <f t="shared" si="0"/>
        <v>4224.197126969417</v>
      </c>
      <c r="Y7" s="66">
        <f t="shared" si="0"/>
        <v>4224.197126969417</v>
      </c>
      <c r="Z7" s="78">
        <f t="shared" si="0"/>
        <v>4224.197126969417</v>
      </c>
    </row>
    <row r="8" spans="2:26" ht="11.25">
      <c r="B8" s="75" t="s">
        <v>90</v>
      </c>
      <c r="C8" s="65"/>
      <c r="D8" s="65"/>
      <c r="E8" s="65"/>
      <c r="F8" s="65">
        <v>0</v>
      </c>
      <c r="G8" s="65">
        <f>-'cash flow EUR'!B40/20/1000</f>
        <v>1867.1536</v>
      </c>
      <c r="H8" s="65">
        <f>G8</f>
        <v>1867.1536</v>
      </c>
      <c r="I8" s="65">
        <f aca="true" t="shared" si="1" ref="I8:Z8">H8</f>
        <v>1867.1536</v>
      </c>
      <c r="J8" s="65">
        <f t="shared" si="1"/>
        <v>1867.1536</v>
      </c>
      <c r="K8" s="65">
        <f t="shared" si="1"/>
        <v>1867.1536</v>
      </c>
      <c r="L8" s="65">
        <f t="shared" si="1"/>
        <v>1867.1536</v>
      </c>
      <c r="M8" s="65">
        <f t="shared" si="1"/>
        <v>1867.1536</v>
      </c>
      <c r="N8" s="65">
        <f t="shared" si="1"/>
        <v>1867.1536</v>
      </c>
      <c r="O8" s="65">
        <f t="shared" si="1"/>
        <v>1867.1536</v>
      </c>
      <c r="P8" s="65">
        <f t="shared" si="1"/>
        <v>1867.1536</v>
      </c>
      <c r="Q8" s="65">
        <f t="shared" si="1"/>
        <v>1867.1536</v>
      </c>
      <c r="R8" s="65">
        <f t="shared" si="1"/>
        <v>1867.1536</v>
      </c>
      <c r="S8" s="65">
        <f t="shared" si="1"/>
        <v>1867.1536</v>
      </c>
      <c r="T8" s="65">
        <f t="shared" si="1"/>
        <v>1867.1536</v>
      </c>
      <c r="U8" s="65">
        <f t="shared" si="1"/>
        <v>1867.1536</v>
      </c>
      <c r="V8" s="65">
        <f t="shared" si="1"/>
        <v>1867.1536</v>
      </c>
      <c r="W8" s="65">
        <f t="shared" si="1"/>
        <v>1867.1536</v>
      </c>
      <c r="X8" s="65">
        <f t="shared" si="1"/>
        <v>1867.1536</v>
      </c>
      <c r="Y8" s="65">
        <f t="shared" si="1"/>
        <v>1867.1536</v>
      </c>
      <c r="Z8" s="76">
        <f t="shared" si="1"/>
        <v>1867.1536</v>
      </c>
    </row>
    <row r="9" spans="2:26" ht="11.25">
      <c r="B9" s="77" t="s">
        <v>91</v>
      </c>
      <c r="C9" s="66"/>
      <c r="D9" s="66"/>
      <c r="E9" s="66"/>
      <c r="F9" s="66">
        <f>F7-F8</f>
        <v>0</v>
      </c>
      <c r="G9" s="66">
        <f aca="true" t="shared" si="2" ref="G9:Z9">G7-G8</f>
        <v>3209.749126969416</v>
      </c>
      <c r="H9" s="66">
        <f t="shared" si="2"/>
        <v>3209.749126969416</v>
      </c>
      <c r="I9" s="66">
        <f t="shared" si="2"/>
        <v>2768.0435269694167</v>
      </c>
      <c r="J9" s="66">
        <f t="shared" si="2"/>
        <v>2768.0435269694167</v>
      </c>
      <c r="K9" s="66">
        <f t="shared" si="2"/>
        <v>2768.0435269694167</v>
      </c>
      <c r="L9" s="66">
        <f t="shared" si="2"/>
        <v>2483.0435269694167</v>
      </c>
      <c r="M9" s="66">
        <f t="shared" si="2"/>
        <v>2483.0435269694167</v>
      </c>
      <c r="N9" s="66">
        <f t="shared" si="2"/>
        <v>2483.0435269694167</v>
      </c>
      <c r="O9" s="66">
        <f t="shared" si="2"/>
        <v>2483.0435269694167</v>
      </c>
      <c r="P9" s="66">
        <f t="shared" si="2"/>
        <v>2483.0435269694167</v>
      </c>
      <c r="Q9" s="66">
        <f t="shared" si="2"/>
        <v>2483.0435269694167</v>
      </c>
      <c r="R9" s="66">
        <f t="shared" si="2"/>
        <v>2483.0435269694167</v>
      </c>
      <c r="S9" s="66">
        <f t="shared" si="2"/>
        <v>2357.0435269694167</v>
      </c>
      <c r="T9" s="66">
        <f t="shared" si="2"/>
        <v>2357.0435269694167</v>
      </c>
      <c r="U9" s="66">
        <f t="shared" si="2"/>
        <v>2357.0435269694167</v>
      </c>
      <c r="V9" s="66">
        <f t="shared" si="2"/>
        <v>2357.0435269694167</v>
      </c>
      <c r="W9" s="66">
        <f t="shared" si="2"/>
        <v>2357.0435269694167</v>
      </c>
      <c r="X9" s="66">
        <f t="shared" si="2"/>
        <v>2357.0435269694167</v>
      </c>
      <c r="Y9" s="66">
        <f t="shared" si="2"/>
        <v>2357.0435269694167</v>
      </c>
      <c r="Z9" s="78">
        <f t="shared" si="2"/>
        <v>2357.0435269694167</v>
      </c>
    </row>
    <row r="10" spans="2:26" ht="11.25">
      <c r="B10" s="75" t="s">
        <v>92</v>
      </c>
      <c r="C10" s="65"/>
      <c r="D10" s="65"/>
      <c r="E10" s="65"/>
      <c r="F10" s="65">
        <f>'cash flow EUR'!D28</f>
        <v>0</v>
      </c>
      <c r="G10" s="65">
        <f>'cash flow EUR'!E28/1000</f>
        <v>1745.788616</v>
      </c>
      <c r="H10" s="65">
        <f>'cash flow EUR'!F28/1000</f>
        <v>1667.8817557193236</v>
      </c>
      <c r="I10" s="65">
        <f>'cash flow EUR'!G28/1000</f>
        <v>1585.69001812321</v>
      </c>
      <c r="J10" s="65">
        <f>'cash flow EUR'!H28/1000</f>
        <v>1498.9777349593103</v>
      </c>
      <c r="K10" s="65">
        <f>'cash flow EUR'!I28/1000</f>
        <v>1407.496276221396</v>
      </c>
      <c r="L10" s="65">
        <f>'cash flow EUR'!J28/1000</f>
        <v>1310.9833372528965</v>
      </c>
      <c r="M10" s="65">
        <f>'cash flow EUR'!K28/1000</f>
        <v>1209.1621866411294</v>
      </c>
      <c r="N10" s="65">
        <f>'cash flow EUR'!L28/1000</f>
        <v>1101.7408727457153</v>
      </c>
      <c r="O10" s="65">
        <f>'cash flow EUR'!M28/1000</f>
        <v>988.4113865860534</v>
      </c>
      <c r="P10" s="65">
        <f>'cash flow EUR'!N28/1000</f>
        <v>868.8487786876101</v>
      </c>
      <c r="Q10" s="65">
        <f>'cash flow EUR'!O28/1000</f>
        <v>742.7102273547525</v>
      </c>
      <c r="R10" s="65">
        <f>'cash flow EUR'!P28/1000</f>
        <v>609.6340556985876</v>
      </c>
      <c r="S10" s="65">
        <f>'cash flow EUR'!Q28/1000</f>
        <v>469.238694601334</v>
      </c>
      <c r="T10" s="65">
        <f>'cash flow EUR'!R28/1000</f>
        <v>321.1215886437312</v>
      </c>
      <c r="U10" s="65">
        <f>'cash flow EUR'!S28/1000</f>
        <v>164.85804185846047</v>
      </c>
      <c r="V10" s="65">
        <f>'cash flow EUR'!T28/1000</f>
        <v>0</v>
      </c>
      <c r="W10" s="65">
        <f>'cash flow EUR'!U28/1000</f>
        <v>0</v>
      </c>
      <c r="X10" s="65">
        <f>'cash flow EUR'!V28/1000</f>
        <v>0</v>
      </c>
      <c r="Y10" s="65">
        <f>'cash flow EUR'!W28/1000</f>
        <v>0</v>
      </c>
      <c r="Z10" s="76">
        <f>'cash flow EUR'!X28/1000</f>
        <v>0</v>
      </c>
    </row>
    <row r="11" spans="2:26" ht="11.25">
      <c r="B11" s="77" t="s">
        <v>93</v>
      </c>
      <c r="C11" s="66"/>
      <c r="D11" s="66"/>
      <c r="E11" s="66"/>
      <c r="F11" s="66">
        <f>F9-F10</f>
        <v>0</v>
      </c>
      <c r="G11" s="66">
        <f>G9-G10</f>
        <v>1463.960510969416</v>
      </c>
      <c r="H11" s="66">
        <f aca="true" t="shared" si="3" ref="H11:Z11">H9-H10</f>
        <v>1541.8673712500924</v>
      </c>
      <c r="I11" s="66">
        <f t="shared" si="3"/>
        <v>1182.3535088462068</v>
      </c>
      <c r="J11" s="66">
        <f t="shared" si="3"/>
        <v>1269.0657920101064</v>
      </c>
      <c r="K11" s="66">
        <f t="shared" si="3"/>
        <v>1360.5472507480206</v>
      </c>
      <c r="L11" s="66">
        <f t="shared" si="3"/>
        <v>1172.0601897165202</v>
      </c>
      <c r="M11" s="66">
        <f t="shared" si="3"/>
        <v>1273.8813403282873</v>
      </c>
      <c r="N11" s="66">
        <f t="shared" si="3"/>
        <v>1381.3026542237014</v>
      </c>
      <c r="O11" s="66">
        <f t="shared" si="3"/>
        <v>1494.6321403833633</v>
      </c>
      <c r="P11" s="66">
        <f t="shared" si="3"/>
        <v>1614.1947482818066</v>
      </c>
      <c r="Q11" s="66">
        <f t="shared" si="3"/>
        <v>1740.3332996146642</v>
      </c>
      <c r="R11" s="66">
        <f t="shared" si="3"/>
        <v>1873.409471270829</v>
      </c>
      <c r="S11" s="66">
        <f t="shared" si="3"/>
        <v>1887.8048323680828</v>
      </c>
      <c r="T11" s="66">
        <f t="shared" si="3"/>
        <v>2035.9219383256855</v>
      </c>
      <c r="U11" s="66">
        <f t="shared" si="3"/>
        <v>2192.185485110956</v>
      </c>
      <c r="V11" s="66">
        <f t="shared" si="3"/>
        <v>2357.0435269694167</v>
      </c>
      <c r="W11" s="66">
        <f t="shared" si="3"/>
        <v>2357.0435269694167</v>
      </c>
      <c r="X11" s="66">
        <f t="shared" si="3"/>
        <v>2357.0435269694167</v>
      </c>
      <c r="Y11" s="66">
        <f t="shared" si="3"/>
        <v>2357.0435269694167</v>
      </c>
      <c r="Z11" s="78">
        <f t="shared" si="3"/>
        <v>2357.0435269694167</v>
      </c>
    </row>
    <row r="12" spans="2:26" ht="11.25">
      <c r="B12" s="75" t="s">
        <v>94</v>
      </c>
      <c r="C12" s="65"/>
      <c r="D12" s="65"/>
      <c r="E12" s="65"/>
      <c r="F12" s="65">
        <f>F11*0.15</f>
        <v>0</v>
      </c>
      <c r="G12" s="65">
        <f>G11*0.15</f>
        <v>219.5940766454124</v>
      </c>
      <c r="H12" s="65">
        <f aca="true" t="shared" si="4" ref="H12:Z12">H11*0.15</f>
        <v>231.28010568751387</v>
      </c>
      <c r="I12" s="65">
        <f t="shared" si="4"/>
        <v>177.353026326931</v>
      </c>
      <c r="J12" s="65">
        <f t="shared" si="4"/>
        <v>190.35986880151594</v>
      </c>
      <c r="K12" s="65">
        <f t="shared" si="4"/>
        <v>204.08208761220308</v>
      </c>
      <c r="L12" s="65">
        <f t="shared" si="4"/>
        <v>175.80902845747804</v>
      </c>
      <c r="M12" s="65">
        <f t="shared" si="4"/>
        <v>191.08220104924308</v>
      </c>
      <c r="N12" s="65">
        <f t="shared" si="4"/>
        <v>207.19539813355522</v>
      </c>
      <c r="O12" s="65">
        <f t="shared" si="4"/>
        <v>224.1948210575045</v>
      </c>
      <c r="P12" s="65">
        <f t="shared" si="4"/>
        <v>242.12921224227097</v>
      </c>
      <c r="Q12" s="65">
        <f t="shared" si="4"/>
        <v>261.0499949421996</v>
      </c>
      <c r="R12" s="65">
        <f t="shared" si="4"/>
        <v>281.01142069062433</v>
      </c>
      <c r="S12" s="65">
        <f t="shared" si="4"/>
        <v>283.1707248552124</v>
      </c>
      <c r="T12" s="65">
        <f t="shared" si="4"/>
        <v>305.3882907488528</v>
      </c>
      <c r="U12" s="65">
        <f t="shared" si="4"/>
        <v>328.8278227666434</v>
      </c>
      <c r="V12" s="65">
        <f t="shared" si="4"/>
        <v>353.5565290454125</v>
      </c>
      <c r="W12" s="65">
        <f t="shared" si="4"/>
        <v>353.5565290454125</v>
      </c>
      <c r="X12" s="65">
        <f t="shared" si="4"/>
        <v>353.5565290454125</v>
      </c>
      <c r="Y12" s="65">
        <f t="shared" si="4"/>
        <v>353.5565290454125</v>
      </c>
      <c r="Z12" s="76">
        <f t="shared" si="4"/>
        <v>353.5565290454125</v>
      </c>
    </row>
    <row r="13" spans="2:26" ht="11.25">
      <c r="B13" s="77" t="s">
        <v>95</v>
      </c>
      <c r="C13" s="66"/>
      <c r="D13" s="66"/>
      <c r="E13" s="66"/>
      <c r="F13" s="66">
        <f>F11-F12</f>
        <v>0</v>
      </c>
      <c r="G13" s="66">
        <f aca="true" t="shared" si="5" ref="G13:Z13">G11-G12</f>
        <v>1244.3664343240036</v>
      </c>
      <c r="H13" s="66">
        <f t="shared" si="5"/>
        <v>1310.5872655625785</v>
      </c>
      <c r="I13" s="66">
        <f t="shared" si="5"/>
        <v>1005.0004825192757</v>
      </c>
      <c r="J13" s="66">
        <f t="shared" si="5"/>
        <v>1078.7059232085905</v>
      </c>
      <c r="K13" s="66">
        <f t="shared" si="5"/>
        <v>1156.4651631358174</v>
      </c>
      <c r="L13" s="66">
        <f t="shared" si="5"/>
        <v>996.2511612590422</v>
      </c>
      <c r="M13" s="66">
        <f t="shared" si="5"/>
        <v>1082.799139279044</v>
      </c>
      <c r="N13" s="66">
        <f t="shared" si="5"/>
        <v>1174.1072560901462</v>
      </c>
      <c r="O13" s="66">
        <f t="shared" si="5"/>
        <v>1270.4373193258589</v>
      </c>
      <c r="P13" s="66">
        <f t="shared" si="5"/>
        <v>1372.0655360395356</v>
      </c>
      <c r="Q13" s="66">
        <f t="shared" si="5"/>
        <v>1479.2833046724645</v>
      </c>
      <c r="R13" s="66">
        <f t="shared" si="5"/>
        <v>1592.3980505802047</v>
      </c>
      <c r="S13" s="66">
        <f t="shared" si="5"/>
        <v>1604.6341075128703</v>
      </c>
      <c r="T13" s="66">
        <f t="shared" si="5"/>
        <v>1730.5336475768327</v>
      </c>
      <c r="U13" s="66">
        <f t="shared" si="5"/>
        <v>1863.3576623443128</v>
      </c>
      <c r="V13" s="66">
        <f t="shared" si="5"/>
        <v>2003.4869979240043</v>
      </c>
      <c r="W13" s="66">
        <f t="shared" si="5"/>
        <v>2003.4869979240043</v>
      </c>
      <c r="X13" s="66">
        <f t="shared" si="5"/>
        <v>2003.4869979240043</v>
      </c>
      <c r="Y13" s="66">
        <f t="shared" si="5"/>
        <v>2003.4869979240043</v>
      </c>
      <c r="Z13" s="78">
        <f t="shared" si="5"/>
        <v>2003.4869979240043</v>
      </c>
    </row>
    <row r="15" spans="2:5" ht="11.25">
      <c r="B15" s="67" t="s">
        <v>98</v>
      </c>
      <c r="C15" s="67"/>
      <c r="D15" s="67"/>
      <c r="E15" s="67"/>
    </row>
    <row r="16" spans="2:5" ht="11.25">
      <c r="B16" s="67"/>
      <c r="C16" s="67"/>
      <c r="D16" s="67"/>
      <c r="E16" s="67"/>
    </row>
    <row r="17" spans="2:5" ht="11.25">
      <c r="B17" s="68" t="s">
        <v>119</v>
      </c>
      <c r="C17" s="68"/>
      <c r="D17" s="68"/>
      <c r="E17" s="68"/>
    </row>
    <row r="18" spans="2:26" ht="11.25">
      <c r="B18" s="79" t="s">
        <v>98</v>
      </c>
      <c r="C18" s="79"/>
      <c r="D18" s="79"/>
      <c r="E18" s="79"/>
      <c r="F18" s="79">
        <f>F4</f>
        <v>2010</v>
      </c>
      <c r="G18" s="79">
        <f aca="true" t="shared" si="6" ref="G18:Z18">G4</f>
        <v>2011</v>
      </c>
      <c r="H18" s="79">
        <f t="shared" si="6"/>
        <v>2012</v>
      </c>
      <c r="I18" s="79">
        <f t="shared" si="6"/>
        <v>2013</v>
      </c>
      <c r="J18" s="79">
        <f t="shared" si="6"/>
        <v>2014</v>
      </c>
      <c r="K18" s="79">
        <f t="shared" si="6"/>
        <v>2015</v>
      </c>
      <c r="L18" s="79">
        <f t="shared" si="6"/>
        <v>2016</v>
      </c>
      <c r="M18" s="79">
        <f t="shared" si="6"/>
        <v>2017</v>
      </c>
      <c r="N18" s="79">
        <f t="shared" si="6"/>
        <v>2018</v>
      </c>
      <c r="O18" s="79">
        <f t="shared" si="6"/>
        <v>2019</v>
      </c>
      <c r="P18" s="79">
        <f t="shared" si="6"/>
        <v>2020</v>
      </c>
      <c r="Q18" s="79">
        <f t="shared" si="6"/>
        <v>2021</v>
      </c>
      <c r="R18" s="79">
        <f t="shared" si="6"/>
        <v>2022</v>
      </c>
      <c r="S18" s="79">
        <f t="shared" si="6"/>
        <v>2023</v>
      </c>
      <c r="T18" s="79">
        <f t="shared" si="6"/>
        <v>2024</v>
      </c>
      <c r="U18" s="79">
        <f t="shared" si="6"/>
        <v>2025</v>
      </c>
      <c r="V18" s="79">
        <f t="shared" si="6"/>
        <v>2026</v>
      </c>
      <c r="W18" s="79">
        <f t="shared" si="6"/>
        <v>2027</v>
      </c>
      <c r="X18" s="79">
        <f t="shared" si="6"/>
        <v>2028</v>
      </c>
      <c r="Y18" s="79">
        <f t="shared" si="6"/>
        <v>2029</v>
      </c>
      <c r="Z18" s="79">
        <f t="shared" si="6"/>
        <v>2030</v>
      </c>
    </row>
    <row r="19" spans="2:26" ht="11.25">
      <c r="B19" s="103" t="s">
        <v>99</v>
      </c>
      <c r="C19" s="111"/>
      <c r="D19" s="112"/>
      <c r="E19" s="112"/>
      <c r="F19" s="112">
        <f>SUM(F20:F23)</f>
        <v>31741.6112</v>
      </c>
      <c r="G19" s="112">
        <f aca="true" t="shared" si="7" ref="G19:Z19">SUM(G20:G23)</f>
        <v>31569.489265584438</v>
      </c>
      <c r="H19" s="112">
        <f t="shared" si="7"/>
        <v>31385.681302126763</v>
      </c>
      <c r="I19" s="112">
        <f t="shared" si="7"/>
        <v>30814.094818029684</v>
      </c>
      <c r="J19" s="112">
        <f t="shared" si="7"/>
        <v>30229.501491458017</v>
      </c>
      <c r="K19" s="112">
        <f t="shared" si="7"/>
        <v>29631.18594607566</v>
      </c>
      <c r="L19" s="112">
        <f t="shared" si="7"/>
        <v>28776.14345984803</v>
      </c>
      <c r="M19" s="112">
        <f t="shared" si="7"/>
        <v>27905.827801028638</v>
      </c>
      <c r="N19" s="112">
        <f t="shared" si="7"/>
        <v>27019.398945124936</v>
      </c>
      <c r="O19" s="112">
        <f t="shared" si="7"/>
        <v>26115.97066629728</v>
      </c>
      <c r="P19" s="112">
        <f t="shared" si="7"/>
        <v>25194.607996284856</v>
      </c>
      <c r="Q19" s="112">
        <f t="shared" si="7"/>
        <v>24254.324543572504</v>
      </c>
      <c r="R19" s="112">
        <f t="shared" si="7"/>
        <v>23294.079665111734</v>
      </c>
      <c r="S19" s="112">
        <f t="shared" si="7"/>
        <v>22205.675482486367</v>
      </c>
      <c r="T19" s="112">
        <f t="shared" si="7"/>
        <v>21095.05373396737</v>
      </c>
      <c r="U19" s="112">
        <f t="shared" si="7"/>
        <v>19960.992453430576</v>
      </c>
      <c r="V19" s="112">
        <f t="shared" si="7"/>
        <v>21964.47945135458</v>
      </c>
      <c r="W19" s="112">
        <f t="shared" si="7"/>
        <v>23967.966449278585</v>
      </c>
      <c r="X19" s="112">
        <f t="shared" si="7"/>
        <v>25971.453447202588</v>
      </c>
      <c r="Y19" s="112">
        <f t="shared" si="7"/>
        <v>27974.940445126595</v>
      </c>
      <c r="Z19" s="113">
        <f t="shared" si="7"/>
        <v>29978.42744305061</v>
      </c>
    </row>
    <row r="20" spans="2:26" ht="11.25">
      <c r="B20" s="100" t="s">
        <v>100</v>
      </c>
      <c r="C20" s="107"/>
      <c r="D20" s="55"/>
      <c r="E20" s="55"/>
      <c r="F20" s="55">
        <f>Assumptions!B46</f>
        <v>37343.072</v>
      </c>
      <c r="G20" s="55">
        <f>Assumptions!C46</f>
        <v>35475.9184</v>
      </c>
      <c r="H20" s="55">
        <f>Assumptions!D46</f>
        <v>33608.7648</v>
      </c>
      <c r="I20" s="55">
        <f>Assumptions!E46</f>
        <v>31741.6112</v>
      </c>
      <c r="J20" s="55">
        <f>Assumptions!F46</f>
        <v>29874.4576</v>
      </c>
      <c r="K20" s="55">
        <f>Assumptions!G46</f>
        <v>28007.304</v>
      </c>
      <c r="L20" s="55">
        <f>Assumptions!H46</f>
        <v>26140.1504</v>
      </c>
      <c r="M20" s="55">
        <f>Assumptions!I46</f>
        <v>24272.9968</v>
      </c>
      <c r="N20" s="55">
        <f>Assumptions!J46</f>
        <v>22405.843200000003</v>
      </c>
      <c r="O20" s="55">
        <f>Assumptions!K46</f>
        <v>20538.6896</v>
      </c>
      <c r="P20" s="55">
        <f>Assumptions!L46</f>
        <v>18671.536</v>
      </c>
      <c r="Q20" s="55">
        <f>Assumptions!M46</f>
        <v>16804.3824</v>
      </c>
      <c r="R20" s="55">
        <f>Assumptions!N46</f>
        <v>14937.228799999997</v>
      </c>
      <c r="S20" s="55">
        <f>Assumptions!O46</f>
        <v>13070.075199999996</v>
      </c>
      <c r="T20" s="55">
        <f>Assumptions!P46</f>
        <v>11202.921599999994</v>
      </c>
      <c r="U20" s="55">
        <f>Assumptions!Q46</f>
        <v>9335.767999999993</v>
      </c>
      <c r="V20" s="55">
        <f>Assumptions!R46</f>
        <v>7468.614399999991</v>
      </c>
      <c r="W20" s="55">
        <f>Assumptions!S46</f>
        <v>5601.46079999999</v>
      </c>
      <c r="X20" s="55">
        <f>Assumptions!T46</f>
        <v>3734.3071999999884</v>
      </c>
      <c r="Y20" s="55">
        <f>Assumptions!U46</f>
        <v>1867.1535999999905</v>
      </c>
      <c r="Z20" s="57">
        <f>Assumptions!V46</f>
        <v>0</v>
      </c>
    </row>
    <row r="21" spans="2:26" ht="11.25">
      <c r="B21" s="100" t="s">
        <v>101</v>
      </c>
      <c r="C21" s="93"/>
      <c r="D21" s="34"/>
      <c r="E21" s="34"/>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94">
        <v>0</v>
      </c>
    </row>
    <row r="22" spans="2:26" ht="11.25">
      <c r="B22" s="100" t="s">
        <v>102</v>
      </c>
      <c r="C22" s="93"/>
      <c r="D22" s="34"/>
      <c r="E22" s="34"/>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94">
        <v>0</v>
      </c>
    </row>
    <row r="23" spans="2:26" ht="11.25">
      <c r="B23" s="100" t="s">
        <v>103</v>
      </c>
      <c r="C23" s="95"/>
      <c r="D23" s="65"/>
      <c r="E23" s="65"/>
      <c r="F23" s="65">
        <f>F51</f>
        <v>-5601.460800000001</v>
      </c>
      <c r="G23" s="65">
        <f aca="true" t="shared" si="8" ref="G23:Z23">G51</f>
        <v>-3906.4291344155663</v>
      </c>
      <c r="H23" s="65">
        <f t="shared" si="8"/>
        <v>-2223.0834978732337</v>
      </c>
      <c r="I23" s="65">
        <f t="shared" si="8"/>
        <v>-927.5163819703166</v>
      </c>
      <c r="J23" s="65">
        <f t="shared" si="8"/>
        <v>355.04389145801565</v>
      </c>
      <c r="K23" s="65">
        <f t="shared" si="8"/>
        <v>1623.8819460756608</v>
      </c>
      <c r="L23" s="65">
        <f t="shared" si="8"/>
        <v>2635.993059848032</v>
      </c>
      <c r="M23" s="65">
        <f t="shared" si="8"/>
        <v>3632.8310010286377</v>
      </c>
      <c r="N23" s="65">
        <f t="shared" si="8"/>
        <v>4613.555745124932</v>
      </c>
      <c r="O23" s="65">
        <f t="shared" si="8"/>
        <v>5577.281066297277</v>
      </c>
      <c r="P23" s="65">
        <f t="shared" si="8"/>
        <v>6523.071996284856</v>
      </c>
      <c r="Q23" s="65">
        <f t="shared" si="8"/>
        <v>7449.942143572507</v>
      </c>
      <c r="R23" s="65">
        <f t="shared" si="8"/>
        <v>8356.850865111735</v>
      </c>
      <c r="S23" s="65">
        <f t="shared" si="8"/>
        <v>9135.600282486374</v>
      </c>
      <c r="T23" s="65">
        <f t="shared" si="8"/>
        <v>9892.132133967374</v>
      </c>
      <c r="U23" s="65">
        <f t="shared" si="8"/>
        <v>10625.224453430585</v>
      </c>
      <c r="V23" s="65">
        <f t="shared" si="8"/>
        <v>14495.865051354589</v>
      </c>
      <c r="W23" s="65">
        <f t="shared" si="8"/>
        <v>18366.505649278595</v>
      </c>
      <c r="X23" s="65">
        <f t="shared" si="8"/>
        <v>22237.1462472026</v>
      </c>
      <c r="Y23" s="65">
        <f t="shared" si="8"/>
        <v>26107.786845126604</v>
      </c>
      <c r="Z23" s="65">
        <f t="shared" si="8"/>
        <v>29978.42744305061</v>
      </c>
    </row>
    <row r="24" spans="2:26" ht="11.25">
      <c r="B24" s="100"/>
      <c r="C24" s="93"/>
      <c r="D24" s="34"/>
      <c r="E24" s="34"/>
      <c r="F24" s="34"/>
      <c r="G24" s="34"/>
      <c r="H24" s="34"/>
      <c r="I24" s="34"/>
      <c r="J24" s="34"/>
      <c r="K24" s="34"/>
      <c r="L24" s="34"/>
      <c r="M24" s="34"/>
      <c r="N24" s="34"/>
      <c r="O24" s="34"/>
      <c r="P24" s="34"/>
      <c r="Q24" s="34"/>
      <c r="R24" s="34"/>
      <c r="S24" s="34"/>
      <c r="T24" s="34"/>
      <c r="U24" s="34"/>
      <c r="V24" s="34"/>
      <c r="W24" s="34"/>
      <c r="X24" s="34"/>
      <c r="Y24" s="34"/>
      <c r="Z24" s="94"/>
    </row>
    <row r="25" spans="2:26" ht="11.25">
      <c r="B25" s="100" t="s">
        <v>104</v>
      </c>
      <c r="C25" s="130"/>
      <c r="D25" s="131"/>
      <c r="E25" s="131"/>
      <c r="F25" s="131">
        <f>F26+F32</f>
        <v>31741.6112</v>
      </c>
      <c r="G25" s="131">
        <f aca="true" t="shared" si="9" ref="G25:Z25">G26+G32</f>
        <v>32985.977634324</v>
      </c>
      <c r="H25" s="131">
        <f t="shared" si="9"/>
        <v>32880.07653114701</v>
      </c>
      <c r="I25" s="131">
        <f t="shared" si="9"/>
        <v>32390.68178464604</v>
      </c>
      <c r="J25" s="131">
        <f t="shared" si="9"/>
        <v>31892.800741238272</v>
      </c>
      <c r="K25" s="131">
        <f t="shared" si="9"/>
        <v>31385.96665459383</v>
      </c>
      <c r="L25" s="131">
        <f t="shared" si="9"/>
        <v>30627.4371073347</v>
      </c>
      <c r="M25" s="131">
        <f t="shared" si="9"/>
        <v>29858.94259912707</v>
      </c>
      <c r="N25" s="131">
        <f t="shared" si="9"/>
        <v>29079.935057118775</v>
      </c>
      <c r="O25" s="131">
        <f t="shared" si="9"/>
        <v>28289.836264450783</v>
      </c>
      <c r="P25" s="131">
        <f t="shared" si="9"/>
        <v>27488.036202336807</v>
      </c>
      <c r="Q25" s="131">
        <f t="shared" si="9"/>
        <v>26673.891300957315</v>
      </c>
      <c r="R25" s="131">
        <f t="shared" si="9"/>
        <v>25846.722594152703</v>
      </c>
      <c r="S25" s="131">
        <f t="shared" si="9"/>
        <v>24898.713772624596</v>
      </c>
      <c r="T25" s="131">
        <f t="shared" si="9"/>
        <v>23936.2091300632</v>
      </c>
      <c r="U25" s="131">
        <f t="shared" si="9"/>
        <v>22958.411396311683</v>
      </c>
      <c r="V25" s="131">
        <f t="shared" si="9"/>
        <v>21964.479451354582</v>
      </c>
      <c r="W25" s="131">
        <f t="shared" si="9"/>
        <v>23967.966449278585</v>
      </c>
      <c r="X25" s="131">
        <f t="shared" si="9"/>
        <v>25971.453447202588</v>
      </c>
      <c r="Y25" s="131">
        <f t="shared" si="9"/>
        <v>27974.94044512659</v>
      </c>
      <c r="Z25" s="132">
        <f t="shared" si="9"/>
        <v>29978.427443050594</v>
      </c>
    </row>
    <row r="26" spans="2:26" ht="11.25">
      <c r="B26" s="129" t="s">
        <v>105</v>
      </c>
      <c r="C26" s="133"/>
      <c r="D26" s="115"/>
      <c r="E26" s="115"/>
      <c r="F26" s="115">
        <f>F27+F28+F29</f>
        <v>0</v>
      </c>
      <c r="G26" s="115">
        <f>G27+G28+G29</f>
        <v>1244.3664343240036</v>
      </c>
      <c r="H26" s="115">
        <f aca="true" t="shared" si="10" ref="H26:Z26">H27+H28+H29</f>
        <v>2554.9536998865824</v>
      </c>
      <c r="I26" s="115">
        <f t="shared" si="10"/>
        <v>3559.954182405858</v>
      </c>
      <c r="J26" s="115">
        <f t="shared" si="10"/>
        <v>4638.660105614448</v>
      </c>
      <c r="K26" s="115">
        <f t="shared" si="10"/>
        <v>5795.125268750266</v>
      </c>
      <c r="L26" s="115">
        <f t="shared" si="10"/>
        <v>6791.376430009308</v>
      </c>
      <c r="M26" s="115">
        <f t="shared" si="10"/>
        <v>7874.175569288353</v>
      </c>
      <c r="N26" s="115">
        <f t="shared" si="10"/>
        <v>9048.2828253785</v>
      </c>
      <c r="O26" s="115">
        <f t="shared" si="10"/>
        <v>10318.720144704359</v>
      </c>
      <c r="P26" s="115">
        <f t="shared" si="10"/>
        <v>11690.785680743895</v>
      </c>
      <c r="Q26" s="115">
        <f t="shared" si="10"/>
        <v>13170.06898541636</v>
      </c>
      <c r="R26" s="115">
        <f t="shared" si="10"/>
        <v>14762.467035996564</v>
      </c>
      <c r="S26" s="115">
        <f t="shared" si="10"/>
        <v>16367.101143509433</v>
      </c>
      <c r="T26" s="115">
        <f t="shared" si="10"/>
        <v>18097.634791086268</v>
      </c>
      <c r="U26" s="115">
        <f t="shared" si="10"/>
        <v>19960.99245343058</v>
      </c>
      <c r="V26" s="115">
        <f t="shared" si="10"/>
        <v>21964.479451354582</v>
      </c>
      <c r="W26" s="115">
        <f t="shared" si="10"/>
        <v>23967.966449278585</v>
      </c>
      <c r="X26" s="115">
        <f t="shared" si="10"/>
        <v>25971.453447202588</v>
      </c>
      <c r="Y26" s="115">
        <f t="shared" si="10"/>
        <v>27974.94044512659</v>
      </c>
      <c r="Z26" s="94">
        <f t="shared" si="10"/>
        <v>29978.427443050594</v>
      </c>
    </row>
    <row r="27" spans="2:26" ht="11.25">
      <c r="B27" s="100" t="s">
        <v>106</v>
      </c>
      <c r="C27" s="93"/>
      <c r="D27" s="34"/>
      <c r="E27" s="34"/>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94">
        <v>0</v>
      </c>
    </row>
    <row r="28" spans="2:26" ht="11.25">
      <c r="B28" s="100" t="s">
        <v>107</v>
      </c>
      <c r="C28" s="108"/>
      <c r="D28" s="163"/>
      <c r="E28" s="163"/>
      <c r="F28" s="65">
        <v>0</v>
      </c>
      <c r="G28" s="65">
        <f>F28</f>
        <v>0</v>
      </c>
      <c r="H28" s="65">
        <f aca="true" t="shared" si="11" ref="H28:Y28">G28</f>
        <v>0</v>
      </c>
      <c r="I28" s="65">
        <f t="shared" si="11"/>
        <v>0</v>
      </c>
      <c r="J28" s="65">
        <f t="shared" si="11"/>
        <v>0</v>
      </c>
      <c r="K28" s="65">
        <f t="shared" si="11"/>
        <v>0</v>
      </c>
      <c r="L28" s="65">
        <f t="shared" si="11"/>
        <v>0</v>
      </c>
      <c r="M28" s="65">
        <f t="shared" si="11"/>
        <v>0</v>
      </c>
      <c r="N28" s="65">
        <f t="shared" si="11"/>
        <v>0</v>
      </c>
      <c r="O28" s="65">
        <f t="shared" si="11"/>
        <v>0</v>
      </c>
      <c r="P28" s="65">
        <f t="shared" si="11"/>
        <v>0</v>
      </c>
      <c r="Q28" s="65">
        <f t="shared" si="11"/>
        <v>0</v>
      </c>
      <c r="R28" s="65">
        <f t="shared" si="11"/>
        <v>0</v>
      </c>
      <c r="S28" s="65">
        <f t="shared" si="11"/>
        <v>0</v>
      </c>
      <c r="T28" s="65">
        <f t="shared" si="11"/>
        <v>0</v>
      </c>
      <c r="U28" s="65">
        <f t="shared" si="11"/>
        <v>0</v>
      </c>
      <c r="V28" s="65">
        <f t="shared" si="11"/>
        <v>0</v>
      </c>
      <c r="W28" s="65">
        <f t="shared" si="11"/>
        <v>0</v>
      </c>
      <c r="X28" s="65">
        <f t="shared" si="11"/>
        <v>0</v>
      </c>
      <c r="Y28" s="65">
        <f t="shared" si="11"/>
        <v>0</v>
      </c>
      <c r="Z28" s="65">
        <f>Y28</f>
        <v>0</v>
      </c>
    </row>
    <row r="29" spans="2:26" ht="11.25">
      <c r="B29" s="100" t="s">
        <v>108</v>
      </c>
      <c r="C29" s="95"/>
      <c r="D29" s="65"/>
      <c r="E29" s="65"/>
      <c r="F29" s="65">
        <f>F30+F31</f>
        <v>0</v>
      </c>
      <c r="G29" s="65">
        <f aca="true" t="shared" si="12" ref="G29:Z29">G30+G31</f>
        <v>1244.3664343240036</v>
      </c>
      <c r="H29" s="65">
        <f t="shared" si="12"/>
        <v>2554.9536998865824</v>
      </c>
      <c r="I29" s="65">
        <f t="shared" si="12"/>
        <v>3559.954182405858</v>
      </c>
      <c r="J29" s="65">
        <f t="shared" si="12"/>
        <v>4638.660105614448</v>
      </c>
      <c r="K29" s="65">
        <f t="shared" si="12"/>
        <v>5795.125268750266</v>
      </c>
      <c r="L29" s="65">
        <f t="shared" si="12"/>
        <v>6791.376430009308</v>
      </c>
      <c r="M29" s="65">
        <f t="shared" si="12"/>
        <v>7874.175569288353</v>
      </c>
      <c r="N29" s="65">
        <f t="shared" si="12"/>
        <v>9048.2828253785</v>
      </c>
      <c r="O29" s="65">
        <f t="shared" si="12"/>
        <v>10318.720144704359</v>
      </c>
      <c r="P29" s="65">
        <f t="shared" si="12"/>
        <v>11690.785680743895</v>
      </c>
      <c r="Q29" s="65">
        <f t="shared" si="12"/>
        <v>13170.06898541636</v>
      </c>
      <c r="R29" s="65">
        <f t="shared" si="12"/>
        <v>14762.467035996564</v>
      </c>
      <c r="S29" s="65">
        <f t="shared" si="12"/>
        <v>16367.101143509433</v>
      </c>
      <c r="T29" s="65">
        <f t="shared" si="12"/>
        <v>18097.634791086268</v>
      </c>
      <c r="U29" s="65">
        <f t="shared" si="12"/>
        <v>19960.99245343058</v>
      </c>
      <c r="V29" s="65">
        <f t="shared" si="12"/>
        <v>21964.479451354582</v>
      </c>
      <c r="W29" s="65">
        <f t="shared" si="12"/>
        <v>23967.966449278585</v>
      </c>
      <c r="X29" s="65">
        <f t="shared" si="12"/>
        <v>25971.453447202588</v>
      </c>
      <c r="Y29" s="65">
        <f t="shared" si="12"/>
        <v>27974.94044512659</v>
      </c>
      <c r="Z29" s="76">
        <f t="shared" si="12"/>
        <v>29978.427443050594</v>
      </c>
    </row>
    <row r="30" spans="2:26" ht="11.25">
      <c r="B30" s="104" t="s">
        <v>109</v>
      </c>
      <c r="C30" s="95"/>
      <c r="D30" s="65"/>
      <c r="E30" s="65"/>
      <c r="F30" s="65">
        <f>F13</f>
        <v>0</v>
      </c>
      <c r="G30" s="65">
        <f aca="true" t="shared" si="13" ref="G30:Z30">G13</f>
        <v>1244.3664343240036</v>
      </c>
      <c r="H30" s="65">
        <f t="shared" si="13"/>
        <v>1310.5872655625785</v>
      </c>
      <c r="I30" s="65">
        <f t="shared" si="13"/>
        <v>1005.0004825192757</v>
      </c>
      <c r="J30" s="65">
        <f t="shared" si="13"/>
        <v>1078.7059232085905</v>
      </c>
      <c r="K30" s="65">
        <f t="shared" si="13"/>
        <v>1156.4651631358174</v>
      </c>
      <c r="L30" s="65">
        <f t="shared" si="13"/>
        <v>996.2511612590422</v>
      </c>
      <c r="M30" s="65">
        <f t="shared" si="13"/>
        <v>1082.799139279044</v>
      </c>
      <c r="N30" s="65">
        <f t="shared" si="13"/>
        <v>1174.1072560901462</v>
      </c>
      <c r="O30" s="65">
        <f t="shared" si="13"/>
        <v>1270.4373193258589</v>
      </c>
      <c r="P30" s="65">
        <f t="shared" si="13"/>
        <v>1372.0655360395356</v>
      </c>
      <c r="Q30" s="65">
        <f t="shared" si="13"/>
        <v>1479.2833046724645</v>
      </c>
      <c r="R30" s="65">
        <f t="shared" si="13"/>
        <v>1592.3980505802047</v>
      </c>
      <c r="S30" s="65">
        <f t="shared" si="13"/>
        <v>1604.6341075128703</v>
      </c>
      <c r="T30" s="65">
        <f t="shared" si="13"/>
        <v>1730.5336475768327</v>
      </c>
      <c r="U30" s="65">
        <f t="shared" si="13"/>
        <v>1863.3576623443128</v>
      </c>
      <c r="V30" s="65">
        <f t="shared" si="13"/>
        <v>2003.4869979240043</v>
      </c>
      <c r="W30" s="65">
        <f t="shared" si="13"/>
        <v>2003.4869979240043</v>
      </c>
      <c r="X30" s="65">
        <f t="shared" si="13"/>
        <v>2003.4869979240043</v>
      </c>
      <c r="Y30" s="65">
        <f t="shared" si="13"/>
        <v>2003.4869979240043</v>
      </c>
      <c r="Z30" s="76">
        <f t="shared" si="13"/>
        <v>2003.4869979240043</v>
      </c>
    </row>
    <row r="31" spans="2:26" ht="11.25">
      <c r="B31" s="104" t="s">
        <v>110</v>
      </c>
      <c r="C31" s="87"/>
      <c r="D31" s="87"/>
      <c r="E31" s="87"/>
      <c r="F31" s="114">
        <v>0</v>
      </c>
      <c r="G31" s="114">
        <v>0</v>
      </c>
      <c r="H31" s="114">
        <f>G29</f>
        <v>1244.3664343240036</v>
      </c>
      <c r="I31" s="114">
        <f aca="true" t="shared" si="14" ref="I31:Z31">H29</f>
        <v>2554.9536998865824</v>
      </c>
      <c r="J31" s="114">
        <f t="shared" si="14"/>
        <v>3559.954182405858</v>
      </c>
      <c r="K31" s="114">
        <f t="shared" si="14"/>
        <v>4638.660105614448</v>
      </c>
      <c r="L31" s="114">
        <f t="shared" si="14"/>
        <v>5795.125268750266</v>
      </c>
      <c r="M31" s="114">
        <f t="shared" si="14"/>
        <v>6791.376430009308</v>
      </c>
      <c r="N31" s="114">
        <f t="shared" si="14"/>
        <v>7874.175569288353</v>
      </c>
      <c r="O31" s="114">
        <f t="shared" si="14"/>
        <v>9048.2828253785</v>
      </c>
      <c r="P31" s="114">
        <f t="shared" si="14"/>
        <v>10318.720144704359</v>
      </c>
      <c r="Q31" s="114">
        <f t="shared" si="14"/>
        <v>11690.785680743895</v>
      </c>
      <c r="R31" s="114">
        <f t="shared" si="14"/>
        <v>13170.06898541636</v>
      </c>
      <c r="S31" s="114">
        <f t="shared" si="14"/>
        <v>14762.467035996564</v>
      </c>
      <c r="T31" s="114">
        <f t="shared" si="14"/>
        <v>16367.101143509433</v>
      </c>
      <c r="U31" s="114">
        <f t="shared" si="14"/>
        <v>18097.634791086268</v>
      </c>
      <c r="V31" s="114">
        <f t="shared" si="14"/>
        <v>19960.99245343058</v>
      </c>
      <c r="W31" s="114">
        <f t="shared" si="14"/>
        <v>21964.479451354582</v>
      </c>
      <c r="X31" s="114">
        <f t="shared" si="14"/>
        <v>23967.966449278585</v>
      </c>
      <c r="Y31" s="114">
        <f t="shared" si="14"/>
        <v>25971.453447202588</v>
      </c>
      <c r="Z31" s="76">
        <f t="shared" si="14"/>
        <v>27974.94044512659</v>
      </c>
    </row>
    <row r="32" spans="2:26" ht="11.25">
      <c r="B32" s="104" t="s">
        <v>111</v>
      </c>
      <c r="C32" s="115"/>
      <c r="D32" s="115"/>
      <c r="E32" s="115"/>
      <c r="F32" s="115">
        <f>F33+F34</f>
        <v>31741.6112</v>
      </c>
      <c r="G32" s="115">
        <f>G33+G34</f>
        <v>31741.6112</v>
      </c>
      <c r="H32" s="115">
        <f aca="true" t="shared" si="15" ref="H32:Z32">H33+H34</f>
        <v>30325.12283126043</v>
      </c>
      <c r="I32" s="115">
        <f t="shared" si="15"/>
        <v>28830.727602240182</v>
      </c>
      <c r="J32" s="115">
        <f t="shared" si="15"/>
        <v>27254.140635623822</v>
      </c>
      <c r="K32" s="115">
        <f t="shared" si="15"/>
        <v>25590.841385843563</v>
      </c>
      <c r="L32" s="115">
        <f t="shared" si="15"/>
        <v>23836.06067732539</v>
      </c>
      <c r="M32" s="115">
        <f t="shared" si="15"/>
        <v>21984.767029838717</v>
      </c>
      <c r="N32" s="115">
        <f t="shared" si="15"/>
        <v>20031.652231740278</v>
      </c>
      <c r="O32" s="115">
        <f t="shared" si="15"/>
        <v>17971.116119746424</v>
      </c>
      <c r="P32" s="115">
        <f t="shared" si="15"/>
        <v>15797.25052159291</v>
      </c>
      <c r="Q32" s="115">
        <f t="shared" si="15"/>
        <v>13503.822315540954</v>
      </c>
      <c r="R32" s="115">
        <f t="shared" si="15"/>
        <v>11084.25555815614</v>
      </c>
      <c r="S32" s="115">
        <f t="shared" si="15"/>
        <v>8531.612629115163</v>
      </c>
      <c r="T32" s="115">
        <f t="shared" si="15"/>
        <v>5838.57433897693</v>
      </c>
      <c r="U32" s="115">
        <f t="shared" si="15"/>
        <v>2997.4189428811023</v>
      </c>
      <c r="V32" s="115">
        <f t="shared" si="15"/>
        <v>0</v>
      </c>
      <c r="W32" s="115">
        <f t="shared" si="15"/>
        <v>0</v>
      </c>
      <c r="X32" s="115">
        <f t="shared" si="15"/>
        <v>0</v>
      </c>
      <c r="Y32" s="115">
        <f t="shared" si="15"/>
        <v>0</v>
      </c>
      <c r="Z32" s="76">
        <f t="shared" si="15"/>
        <v>0</v>
      </c>
    </row>
    <row r="33" spans="2:26" ht="11.25">
      <c r="B33" s="100" t="s">
        <v>112</v>
      </c>
      <c r="C33" s="95"/>
      <c r="D33" s="65"/>
      <c r="E33" s="65"/>
      <c r="F33" s="65">
        <f>Assumptions!B54</f>
        <v>31741.6112</v>
      </c>
      <c r="G33" s="65">
        <f>Assumptions!B54-Assumptions!C53</f>
        <v>30325.12283126043</v>
      </c>
      <c r="H33" s="65">
        <f>Assumptions!C54-Assumptions!D53</f>
        <v>28830.727602240182</v>
      </c>
      <c r="I33" s="65">
        <f>Assumptions!D54-Assumptions!E53</f>
        <v>27254.140635623822</v>
      </c>
      <c r="J33" s="65">
        <f>Assumptions!E54-Assumptions!F53</f>
        <v>25590.841385843563</v>
      </c>
      <c r="K33" s="65">
        <f>Assumptions!F54-Assumptions!G53</f>
        <v>23836.06067732539</v>
      </c>
      <c r="L33" s="65">
        <f>Assumptions!G54-Assumptions!H53</f>
        <v>21984.767029838717</v>
      </c>
      <c r="M33" s="65">
        <f>Assumptions!H54-Assumptions!I53</f>
        <v>20031.652231740278</v>
      </c>
      <c r="N33" s="65">
        <f>Assumptions!I54-Assumptions!J53</f>
        <v>17971.116119746424</v>
      </c>
      <c r="O33" s="65">
        <f>Assumptions!J54-Assumptions!K53</f>
        <v>15797.25052159291</v>
      </c>
      <c r="P33" s="65">
        <f>Assumptions!K54-Assumptions!L53</f>
        <v>13503.822315540954</v>
      </c>
      <c r="Q33" s="65">
        <f>Assumptions!L54-Assumptions!M53</f>
        <v>11084.25555815614</v>
      </c>
      <c r="R33" s="65">
        <f>Assumptions!M54-Assumptions!N53</f>
        <v>8531.612629115163</v>
      </c>
      <c r="S33" s="65">
        <f>Assumptions!N54-Assumptions!O53</f>
        <v>5838.57433897693</v>
      </c>
      <c r="T33" s="65">
        <f>Assumptions!O54-Assumptions!P53</f>
        <v>2997.418942881099</v>
      </c>
      <c r="U33" s="65">
        <f>Assumptions!P54-Assumptions!Q53</f>
        <v>0</v>
      </c>
      <c r="V33" s="65">
        <f>Assumptions!Q54-Assumptions!R53</f>
        <v>0</v>
      </c>
      <c r="W33" s="65">
        <f>Assumptions!R54-Assumptions!S53</f>
        <v>0</v>
      </c>
      <c r="X33" s="65">
        <f>Assumptions!S54-Assumptions!T53</f>
        <v>0</v>
      </c>
      <c r="Y33" s="65">
        <f>Assumptions!T54-Assumptions!U53</f>
        <v>0</v>
      </c>
      <c r="Z33" s="76">
        <f>Assumptions!U54-Assumptions!V53</f>
        <v>0</v>
      </c>
    </row>
    <row r="34" spans="2:26" ht="11.25">
      <c r="B34" s="102" t="s">
        <v>113</v>
      </c>
      <c r="C34" s="109"/>
      <c r="D34" s="23"/>
      <c r="E34" s="23"/>
      <c r="F34" s="23">
        <f>Assumptions!B53</f>
        <v>0</v>
      </c>
      <c r="G34" s="23">
        <f>Assumptions!C53</f>
        <v>1416.4883687395693</v>
      </c>
      <c r="H34" s="23">
        <f>Assumptions!D53</f>
        <v>1494.3952290202458</v>
      </c>
      <c r="I34" s="23">
        <f>Assumptions!E53</f>
        <v>1576.586966616359</v>
      </c>
      <c r="J34" s="23">
        <f>Assumptions!F53</f>
        <v>1663.2992497802586</v>
      </c>
      <c r="K34" s="23">
        <f>Assumptions!G53</f>
        <v>1754.7807085181723</v>
      </c>
      <c r="L34" s="23">
        <f>Assumptions!H53</f>
        <v>1851.293647486671</v>
      </c>
      <c r="M34" s="23">
        <f>Assumptions!I53</f>
        <v>1953.114798098438</v>
      </c>
      <c r="N34" s="23">
        <f>Assumptions!J53</f>
        <v>2060.5361119938516</v>
      </c>
      <c r="O34" s="23">
        <f>Assumptions!K53</f>
        <v>2173.865598153514</v>
      </c>
      <c r="P34" s="23">
        <f>Assumptions!L53</f>
        <v>2293.4282060519563</v>
      </c>
      <c r="Q34" s="23">
        <f>Assumptions!M53</f>
        <v>2419.566757384814</v>
      </c>
      <c r="R34" s="23">
        <f>Assumptions!N53</f>
        <v>2552.642929040977</v>
      </c>
      <c r="S34" s="23">
        <f>Assumptions!O53</f>
        <v>2693.0382901382322</v>
      </c>
      <c r="T34" s="23">
        <f>Assumptions!P53</f>
        <v>2841.1553960958313</v>
      </c>
      <c r="U34" s="23">
        <f>Assumptions!Q53</f>
        <v>2997.4189428811023</v>
      </c>
      <c r="V34" s="23">
        <f>Assumptions!R53</f>
        <v>0</v>
      </c>
      <c r="W34" s="23">
        <f>Assumptions!S53</f>
        <v>0</v>
      </c>
      <c r="X34" s="23">
        <f>Assumptions!T53</f>
        <v>0</v>
      </c>
      <c r="Y34" s="23">
        <f>Assumptions!U53</f>
        <v>0</v>
      </c>
      <c r="Z34" s="110">
        <f>Assumptions!V53</f>
        <v>0</v>
      </c>
    </row>
    <row r="35" spans="2:5" ht="11.25">
      <c r="B35" s="68"/>
      <c r="C35" s="68"/>
      <c r="D35" s="68"/>
      <c r="E35" s="68"/>
    </row>
    <row r="36" spans="2:11" ht="11.25">
      <c r="B36" s="116" t="s">
        <v>119</v>
      </c>
      <c r="C36" s="116"/>
      <c r="D36" s="116"/>
      <c r="E36" s="116"/>
      <c r="F36" s="116"/>
      <c r="G36" s="116"/>
      <c r="H36" s="117"/>
      <c r="I36" s="117"/>
      <c r="J36" s="118"/>
      <c r="K36" s="118"/>
    </row>
    <row r="37" spans="2:26" ht="11.25">
      <c r="B37" s="134" t="s">
        <v>132</v>
      </c>
      <c r="C37" s="134"/>
      <c r="D37" s="134"/>
      <c r="E37" s="134"/>
      <c r="F37" s="134">
        <f>F18</f>
        <v>2010</v>
      </c>
      <c r="G37" s="134">
        <f aca="true" t="shared" si="16" ref="G37:Z37">G18</f>
        <v>2011</v>
      </c>
      <c r="H37" s="134">
        <f t="shared" si="16"/>
        <v>2012</v>
      </c>
      <c r="I37" s="134">
        <f t="shared" si="16"/>
        <v>2013</v>
      </c>
      <c r="J37" s="134">
        <f t="shared" si="16"/>
        <v>2014</v>
      </c>
      <c r="K37" s="134">
        <f t="shared" si="16"/>
        <v>2015</v>
      </c>
      <c r="L37" s="134">
        <f t="shared" si="16"/>
        <v>2016</v>
      </c>
      <c r="M37" s="134">
        <f t="shared" si="16"/>
        <v>2017</v>
      </c>
      <c r="N37" s="134">
        <f t="shared" si="16"/>
        <v>2018</v>
      </c>
      <c r="O37" s="134">
        <f t="shared" si="16"/>
        <v>2019</v>
      </c>
      <c r="P37" s="134">
        <f t="shared" si="16"/>
        <v>2020</v>
      </c>
      <c r="Q37" s="134">
        <f t="shared" si="16"/>
        <v>2021</v>
      </c>
      <c r="R37" s="134">
        <f t="shared" si="16"/>
        <v>2022</v>
      </c>
      <c r="S37" s="134">
        <f t="shared" si="16"/>
        <v>2023</v>
      </c>
      <c r="T37" s="134">
        <f t="shared" si="16"/>
        <v>2024</v>
      </c>
      <c r="U37" s="134">
        <f t="shared" si="16"/>
        <v>2025</v>
      </c>
      <c r="V37" s="134">
        <f t="shared" si="16"/>
        <v>2026</v>
      </c>
      <c r="W37" s="134">
        <f t="shared" si="16"/>
        <v>2027</v>
      </c>
      <c r="X37" s="134">
        <f t="shared" si="16"/>
        <v>2028</v>
      </c>
      <c r="Y37" s="134">
        <f t="shared" si="16"/>
        <v>2029</v>
      </c>
      <c r="Z37" s="134">
        <f t="shared" si="16"/>
        <v>2030</v>
      </c>
    </row>
    <row r="38" spans="2:26" ht="11.25">
      <c r="B38" s="99" t="s">
        <v>133</v>
      </c>
      <c r="C38" s="126"/>
      <c r="D38" s="126"/>
      <c r="E38" s="126"/>
      <c r="F38" s="126">
        <f>F39+F40</f>
        <v>0</v>
      </c>
      <c r="G38" s="125">
        <f>G39+G40</f>
        <v>3111.520034324004</v>
      </c>
      <c r="H38" s="125">
        <f aca="true" t="shared" si="17" ref="H38:Z38">H39+H40</f>
        <v>3177.7408655625786</v>
      </c>
      <c r="I38" s="125">
        <f t="shared" si="17"/>
        <v>2872.154082519276</v>
      </c>
      <c r="J38" s="125">
        <f t="shared" si="17"/>
        <v>2945.859523208591</v>
      </c>
      <c r="K38" s="125">
        <f t="shared" si="17"/>
        <v>3023.6187631358175</v>
      </c>
      <c r="L38" s="125">
        <f t="shared" si="17"/>
        <v>2863.404761259042</v>
      </c>
      <c r="M38" s="125">
        <f t="shared" si="17"/>
        <v>2949.952739279044</v>
      </c>
      <c r="N38" s="125">
        <f t="shared" si="17"/>
        <v>3041.2608560901463</v>
      </c>
      <c r="O38" s="125">
        <f t="shared" si="17"/>
        <v>3137.590919325859</v>
      </c>
      <c r="P38" s="125">
        <f t="shared" si="17"/>
        <v>3239.2191360395354</v>
      </c>
      <c r="Q38" s="125">
        <f t="shared" si="17"/>
        <v>3346.4369046724646</v>
      </c>
      <c r="R38" s="125">
        <f t="shared" si="17"/>
        <v>3459.5516505802048</v>
      </c>
      <c r="S38" s="125">
        <f t="shared" si="17"/>
        <v>3471.7877075128704</v>
      </c>
      <c r="T38" s="125">
        <f t="shared" si="17"/>
        <v>3597.6872475768328</v>
      </c>
      <c r="U38" s="125">
        <f t="shared" si="17"/>
        <v>3730.511262344313</v>
      </c>
      <c r="V38" s="125">
        <f t="shared" si="17"/>
        <v>3870.6405979240044</v>
      </c>
      <c r="W38" s="125">
        <f t="shared" si="17"/>
        <v>3870.6405979240044</v>
      </c>
      <c r="X38" s="125">
        <f t="shared" si="17"/>
        <v>3870.6405979240044</v>
      </c>
      <c r="Y38" s="125">
        <f t="shared" si="17"/>
        <v>3870.6405979240044</v>
      </c>
      <c r="Z38" s="125">
        <f t="shared" si="17"/>
        <v>3870.6405979240044</v>
      </c>
    </row>
    <row r="39" spans="2:26" ht="11.25">
      <c r="B39" s="100" t="s">
        <v>139</v>
      </c>
      <c r="C39" s="127"/>
      <c r="D39" s="127"/>
      <c r="E39" s="127"/>
      <c r="F39" s="127">
        <f>F13</f>
        <v>0</v>
      </c>
      <c r="G39" s="124">
        <f aca="true" t="shared" si="18" ref="G39:Z39">G13</f>
        <v>1244.3664343240036</v>
      </c>
      <c r="H39" s="124">
        <f t="shared" si="18"/>
        <v>1310.5872655625785</v>
      </c>
      <c r="I39" s="124">
        <f t="shared" si="18"/>
        <v>1005.0004825192757</v>
      </c>
      <c r="J39" s="124">
        <f t="shared" si="18"/>
        <v>1078.7059232085905</v>
      </c>
      <c r="K39" s="124">
        <f t="shared" si="18"/>
        <v>1156.4651631358174</v>
      </c>
      <c r="L39" s="124">
        <f t="shared" si="18"/>
        <v>996.2511612590422</v>
      </c>
      <c r="M39" s="124">
        <f t="shared" si="18"/>
        <v>1082.799139279044</v>
      </c>
      <c r="N39" s="124">
        <f t="shared" si="18"/>
        <v>1174.1072560901462</v>
      </c>
      <c r="O39" s="124">
        <f t="shared" si="18"/>
        <v>1270.4373193258589</v>
      </c>
      <c r="P39" s="124">
        <f t="shared" si="18"/>
        <v>1372.0655360395356</v>
      </c>
      <c r="Q39" s="124">
        <f t="shared" si="18"/>
        <v>1479.2833046724645</v>
      </c>
      <c r="R39" s="124">
        <f t="shared" si="18"/>
        <v>1592.3980505802047</v>
      </c>
      <c r="S39" s="124">
        <f t="shared" si="18"/>
        <v>1604.6341075128703</v>
      </c>
      <c r="T39" s="124">
        <f t="shared" si="18"/>
        <v>1730.5336475768327</v>
      </c>
      <c r="U39" s="124">
        <f t="shared" si="18"/>
        <v>1863.3576623443128</v>
      </c>
      <c r="V39" s="124">
        <f t="shared" si="18"/>
        <v>2003.4869979240043</v>
      </c>
      <c r="W39" s="124">
        <f t="shared" si="18"/>
        <v>2003.4869979240043</v>
      </c>
      <c r="X39" s="124">
        <f t="shared" si="18"/>
        <v>2003.4869979240043</v>
      </c>
      <c r="Y39" s="124">
        <f t="shared" si="18"/>
        <v>2003.4869979240043</v>
      </c>
      <c r="Z39" s="124">
        <f t="shared" si="18"/>
        <v>2003.4869979240043</v>
      </c>
    </row>
    <row r="40" spans="2:26" ht="11.25">
      <c r="B40" s="136" t="s">
        <v>140</v>
      </c>
      <c r="C40" s="119"/>
      <c r="D40" s="119"/>
      <c r="E40" s="119"/>
      <c r="F40" s="119">
        <f>Assumptions!B44</f>
        <v>0</v>
      </c>
      <c r="G40" s="127">
        <f>Assumptions!C44</f>
        <v>1867.1536</v>
      </c>
      <c r="H40" s="127">
        <f>Assumptions!D44</f>
        <v>1867.1536</v>
      </c>
      <c r="I40" s="127">
        <f>Assumptions!E44</f>
        <v>1867.1536</v>
      </c>
      <c r="J40" s="127">
        <f>Assumptions!F44</f>
        <v>1867.1536</v>
      </c>
      <c r="K40" s="127">
        <f>Assumptions!G44</f>
        <v>1867.1536</v>
      </c>
      <c r="L40" s="127">
        <f>Assumptions!H44</f>
        <v>1867.1536</v>
      </c>
      <c r="M40" s="127">
        <f>Assumptions!I44</f>
        <v>1867.1536</v>
      </c>
      <c r="N40" s="127">
        <f>Assumptions!J44</f>
        <v>1867.1536</v>
      </c>
      <c r="O40" s="127">
        <f>Assumptions!K44</f>
        <v>1867.1536</v>
      </c>
      <c r="P40" s="127">
        <f>Assumptions!L44</f>
        <v>1867.1536</v>
      </c>
      <c r="Q40" s="127">
        <f>Assumptions!M44</f>
        <v>1867.1536</v>
      </c>
      <c r="R40" s="127">
        <f>Assumptions!N44</f>
        <v>1867.1536</v>
      </c>
      <c r="S40" s="127">
        <f>Assumptions!O44</f>
        <v>1867.1536</v>
      </c>
      <c r="T40" s="127">
        <f>Assumptions!P44</f>
        <v>1867.1536</v>
      </c>
      <c r="U40" s="127">
        <f>Assumptions!Q44</f>
        <v>1867.1536</v>
      </c>
      <c r="V40" s="127">
        <f>Assumptions!R44</f>
        <v>1867.1536</v>
      </c>
      <c r="W40" s="127">
        <f>Assumptions!S44</f>
        <v>1867.1536</v>
      </c>
      <c r="X40" s="127">
        <f>Assumptions!T44</f>
        <v>1867.1536</v>
      </c>
      <c r="Y40" s="127">
        <f>Assumptions!U44</f>
        <v>1867.1536</v>
      </c>
      <c r="Z40" s="127">
        <f>Assumptions!V44</f>
        <v>1867.1536</v>
      </c>
    </row>
    <row r="41" spans="2:11" ht="11.25">
      <c r="B41" s="100"/>
      <c r="C41" s="116"/>
      <c r="D41" s="116"/>
      <c r="E41" s="116"/>
      <c r="F41" s="116"/>
      <c r="G41" s="116"/>
      <c r="H41" s="122"/>
      <c r="I41" s="122"/>
      <c r="J41" s="118"/>
      <c r="K41" s="118"/>
    </row>
    <row r="42" spans="2:26" ht="11.25">
      <c r="B42" s="100" t="s">
        <v>134</v>
      </c>
      <c r="C42" s="120"/>
      <c r="D42" s="120"/>
      <c r="E42" s="120"/>
      <c r="F42" s="120">
        <f>F43</f>
        <v>37343.072</v>
      </c>
      <c r="G42" s="120">
        <f aca="true" t="shared" si="19" ref="G42:Z42">G43</f>
        <v>0</v>
      </c>
      <c r="H42" s="120">
        <f t="shared" si="19"/>
        <v>0</v>
      </c>
      <c r="I42" s="120">
        <f t="shared" si="19"/>
        <v>0</v>
      </c>
      <c r="J42" s="120">
        <f t="shared" si="19"/>
        <v>0</v>
      </c>
      <c r="K42" s="120">
        <f t="shared" si="19"/>
        <v>0</v>
      </c>
      <c r="L42" s="120">
        <f t="shared" si="19"/>
        <v>0</v>
      </c>
      <c r="M42" s="120">
        <f t="shared" si="19"/>
        <v>0</v>
      </c>
      <c r="N42" s="120">
        <f t="shared" si="19"/>
        <v>0</v>
      </c>
      <c r="O42" s="120">
        <f t="shared" si="19"/>
        <v>0</v>
      </c>
      <c r="P42" s="120">
        <f t="shared" si="19"/>
        <v>0</v>
      </c>
      <c r="Q42" s="120">
        <f t="shared" si="19"/>
        <v>0</v>
      </c>
      <c r="R42" s="120">
        <f t="shared" si="19"/>
        <v>0</v>
      </c>
      <c r="S42" s="120">
        <f t="shared" si="19"/>
        <v>0</v>
      </c>
      <c r="T42" s="120">
        <f t="shared" si="19"/>
        <v>0</v>
      </c>
      <c r="U42" s="120">
        <f t="shared" si="19"/>
        <v>0</v>
      </c>
      <c r="V42" s="120">
        <f t="shared" si="19"/>
        <v>0</v>
      </c>
      <c r="W42" s="120">
        <f t="shared" si="19"/>
        <v>0</v>
      </c>
      <c r="X42" s="120">
        <f t="shared" si="19"/>
        <v>0</v>
      </c>
      <c r="Y42" s="120">
        <f t="shared" si="19"/>
        <v>0</v>
      </c>
      <c r="Z42" s="120">
        <f t="shared" si="19"/>
        <v>0</v>
      </c>
    </row>
    <row r="43" spans="2:11" ht="11.25">
      <c r="B43" s="136" t="s">
        <v>141</v>
      </c>
      <c r="C43" s="128"/>
      <c r="D43" s="128"/>
      <c r="E43" s="128"/>
      <c r="F43" s="128">
        <f>Assumptions!B42</f>
        <v>37343.072</v>
      </c>
      <c r="G43" s="121"/>
      <c r="H43" s="117"/>
      <c r="I43" s="117"/>
      <c r="J43" s="118"/>
      <c r="K43" s="118"/>
    </row>
    <row r="44" spans="2:11" ht="11.25">
      <c r="B44" s="137"/>
      <c r="C44" s="123"/>
      <c r="D44" s="123"/>
      <c r="E44" s="123"/>
      <c r="F44" s="123"/>
      <c r="G44" s="123"/>
      <c r="H44" s="116"/>
      <c r="I44" s="116"/>
      <c r="J44" s="118"/>
      <c r="K44" s="118"/>
    </row>
    <row r="45" spans="2:26" ht="11.25">
      <c r="B45" s="100" t="s">
        <v>135</v>
      </c>
      <c r="C45" s="125"/>
      <c r="D45" s="125"/>
      <c r="E45" s="125"/>
      <c r="F45" s="125">
        <f aca="true" t="shared" si="20" ref="F45:Z45">F46-F47</f>
        <v>31741.6112</v>
      </c>
      <c r="G45" s="125">
        <f t="shared" si="20"/>
        <v>-1416.4883687395693</v>
      </c>
      <c r="H45" s="125">
        <f t="shared" si="20"/>
        <v>-1494.3952290202458</v>
      </c>
      <c r="I45" s="125">
        <f t="shared" si="20"/>
        <v>-1576.586966616359</v>
      </c>
      <c r="J45" s="125">
        <f t="shared" si="20"/>
        <v>-1663.2992497802586</v>
      </c>
      <c r="K45" s="125">
        <f t="shared" si="20"/>
        <v>-1754.7807085181723</v>
      </c>
      <c r="L45" s="125">
        <f t="shared" si="20"/>
        <v>-1851.293647486671</v>
      </c>
      <c r="M45" s="125">
        <f t="shared" si="20"/>
        <v>-1953.114798098438</v>
      </c>
      <c r="N45" s="125">
        <f t="shared" si="20"/>
        <v>-2060.5361119938516</v>
      </c>
      <c r="O45" s="125">
        <f t="shared" si="20"/>
        <v>-2173.865598153514</v>
      </c>
      <c r="P45" s="125">
        <f t="shared" si="20"/>
        <v>-2293.4282060519563</v>
      </c>
      <c r="Q45" s="125">
        <f t="shared" si="20"/>
        <v>-2419.566757384814</v>
      </c>
      <c r="R45" s="125">
        <f t="shared" si="20"/>
        <v>-2552.642929040977</v>
      </c>
      <c r="S45" s="125">
        <f t="shared" si="20"/>
        <v>-2693.0382901382322</v>
      </c>
      <c r="T45" s="125">
        <f t="shared" si="20"/>
        <v>-2841.1553960958313</v>
      </c>
      <c r="U45" s="125">
        <f t="shared" si="20"/>
        <v>-2997.4189428811023</v>
      </c>
      <c r="V45" s="125">
        <f t="shared" si="20"/>
        <v>0</v>
      </c>
      <c r="W45" s="125">
        <f t="shared" si="20"/>
        <v>0</v>
      </c>
      <c r="X45" s="125">
        <f t="shared" si="20"/>
        <v>0</v>
      </c>
      <c r="Y45" s="125">
        <f t="shared" si="20"/>
        <v>0</v>
      </c>
      <c r="Z45" s="125">
        <f t="shared" si="20"/>
        <v>0</v>
      </c>
    </row>
    <row r="46" spans="2:11" ht="11.25">
      <c r="B46" s="100" t="s">
        <v>142</v>
      </c>
      <c r="C46" s="124"/>
      <c r="D46" s="124"/>
      <c r="E46" s="124"/>
      <c r="F46" s="124">
        <f>Assumptions!B49</f>
        <v>31741.6112</v>
      </c>
      <c r="G46" s="116"/>
      <c r="H46" s="117"/>
      <c r="I46" s="117"/>
      <c r="J46" s="118"/>
      <c r="K46" s="118"/>
    </row>
    <row r="47" spans="2:26" ht="11.25">
      <c r="B47" s="100" t="s">
        <v>143</v>
      </c>
      <c r="C47" s="124"/>
      <c r="D47" s="124"/>
      <c r="E47" s="124"/>
      <c r="F47" s="124">
        <f>Assumptions!B53</f>
        <v>0</v>
      </c>
      <c r="G47" s="124">
        <f>Assumptions!C53</f>
        <v>1416.4883687395693</v>
      </c>
      <c r="H47" s="124">
        <f>Assumptions!D53</f>
        <v>1494.3952290202458</v>
      </c>
      <c r="I47" s="124">
        <f>Assumptions!E53</f>
        <v>1576.586966616359</v>
      </c>
      <c r="J47" s="124">
        <f>Assumptions!F53</f>
        <v>1663.2992497802586</v>
      </c>
      <c r="K47" s="124">
        <f>Assumptions!G53</f>
        <v>1754.7807085181723</v>
      </c>
      <c r="L47" s="124">
        <f>Assumptions!H53</f>
        <v>1851.293647486671</v>
      </c>
      <c r="M47" s="124">
        <f>Assumptions!I53</f>
        <v>1953.114798098438</v>
      </c>
      <c r="N47" s="124">
        <f>Assumptions!J53</f>
        <v>2060.5361119938516</v>
      </c>
      <c r="O47" s="124">
        <f>Assumptions!K53</f>
        <v>2173.865598153514</v>
      </c>
      <c r="P47" s="124">
        <f>Assumptions!L53</f>
        <v>2293.4282060519563</v>
      </c>
      <c r="Q47" s="124">
        <f>Assumptions!M53</f>
        <v>2419.566757384814</v>
      </c>
      <c r="R47" s="124">
        <f>Assumptions!N53</f>
        <v>2552.642929040977</v>
      </c>
      <c r="S47" s="124">
        <f>Assumptions!O53</f>
        <v>2693.0382901382322</v>
      </c>
      <c r="T47" s="124">
        <f>Assumptions!P53</f>
        <v>2841.1553960958313</v>
      </c>
      <c r="U47" s="124">
        <f>Assumptions!Q53</f>
        <v>2997.4189428811023</v>
      </c>
      <c r="V47" s="124">
        <f>Assumptions!R53</f>
        <v>0</v>
      </c>
      <c r="W47" s="124">
        <f>Assumptions!S53</f>
        <v>0</v>
      </c>
      <c r="X47" s="124">
        <f>Assumptions!T53</f>
        <v>0</v>
      </c>
      <c r="Y47" s="124">
        <f>Assumptions!U53</f>
        <v>0</v>
      </c>
      <c r="Z47" s="124">
        <f>Assumptions!V53</f>
        <v>0</v>
      </c>
    </row>
    <row r="48" spans="2:11" ht="11.25">
      <c r="B48" s="100"/>
      <c r="C48" s="116"/>
      <c r="D48" s="116"/>
      <c r="E48" s="116"/>
      <c r="F48" s="116"/>
      <c r="G48" s="116"/>
      <c r="H48" s="116"/>
      <c r="I48" s="116"/>
      <c r="J48" s="118"/>
      <c r="K48" s="118"/>
    </row>
    <row r="49" spans="2:26" ht="11.25">
      <c r="B49" s="100" t="s">
        <v>136</v>
      </c>
      <c r="C49" s="125"/>
      <c r="D49" s="125"/>
      <c r="E49" s="125"/>
      <c r="F49" s="125">
        <f>F38-F42+F45</f>
        <v>-5601.460800000001</v>
      </c>
      <c r="G49" s="125">
        <f>G38-G42+G45</f>
        <v>1695.0316655844347</v>
      </c>
      <c r="H49" s="125">
        <f>H38-H42+H45</f>
        <v>1683.3456365423328</v>
      </c>
      <c r="I49" s="125">
        <f aca="true" t="shared" si="21" ref="I49:Z49">I38-I42+I45</f>
        <v>1295.567115902917</v>
      </c>
      <c r="J49" s="125">
        <f t="shared" si="21"/>
        <v>1282.5602734283323</v>
      </c>
      <c r="K49" s="125">
        <f t="shared" si="21"/>
        <v>1268.8380546176452</v>
      </c>
      <c r="L49" s="125">
        <f t="shared" si="21"/>
        <v>1012.111113772371</v>
      </c>
      <c r="M49" s="125">
        <f t="shared" si="21"/>
        <v>996.8379411806061</v>
      </c>
      <c r="N49" s="125">
        <f t="shared" si="21"/>
        <v>980.7247440962947</v>
      </c>
      <c r="O49" s="125">
        <f t="shared" si="21"/>
        <v>963.725321172345</v>
      </c>
      <c r="P49" s="125">
        <f t="shared" si="21"/>
        <v>945.7909299875791</v>
      </c>
      <c r="Q49" s="125">
        <f t="shared" si="21"/>
        <v>926.8701472876505</v>
      </c>
      <c r="R49" s="125">
        <f t="shared" si="21"/>
        <v>906.9087215392278</v>
      </c>
      <c r="S49" s="125">
        <f t="shared" si="21"/>
        <v>778.7494173746381</v>
      </c>
      <c r="T49" s="125">
        <f t="shared" si="21"/>
        <v>756.5318514810015</v>
      </c>
      <c r="U49" s="125">
        <f t="shared" si="21"/>
        <v>733.0923194632105</v>
      </c>
      <c r="V49" s="125">
        <f t="shared" si="21"/>
        <v>3870.6405979240044</v>
      </c>
      <c r="W49" s="125">
        <f t="shared" si="21"/>
        <v>3870.6405979240044</v>
      </c>
      <c r="X49" s="125">
        <f t="shared" si="21"/>
        <v>3870.6405979240044</v>
      </c>
      <c r="Y49" s="125">
        <f t="shared" si="21"/>
        <v>3870.6405979240044</v>
      </c>
      <c r="Z49" s="125">
        <f t="shared" si="21"/>
        <v>3870.6405979240044</v>
      </c>
    </row>
    <row r="50" spans="2:26" ht="11.25">
      <c r="B50" s="100" t="s">
        <v>137</v>
      </c>
      <c r="C50" s="120"/>
      <c r="D50" s="120"/>
      <c r="E50" s="120"/>
      <c r="F50" s="120">
        <v>0</v>
      </c>
      <c r="G50" s="125">
        <f>F51</f>
        <v>-5601.460800000001</v>
      </c>
      <c r="H50" s="125">
        <f>G51</f>
        <v>-3906.4291344155663</v>
      </c>
      <c r="I50" s="125">
        <f aca="true" t="shared" si="22" ref="I50:Z50">H51</f>
        <v>-2223.0834978732337</v>
      </c>
      <c r="J50" s="125">
        <f t="shared" si="22"/>
        <v>-927.5163819703166</v>
      </c>
      <c r="K50" s="125">
        <f t="shared" si="22"/>
        <v>355.04389145801565</v>
      </c>
      <c r="L50" s="125">
        <f t="shared" si="22"/>
        <v>1623.8819460756608</v>
      </c>
      <c r="M50" s="125">
        <f t="shared" si="22"/>
        <v>2635.993059848032</v>
      </c>
      <c r="N50" s="125">
        <f t="shared" si="22"/>
        <v>3632.8310010286377</v>
      </c>
      <c r="O50" s="125">
        <f t="shared" si="22"/>
        <v>4613.555745124932</v>
      </c>
      <c r="P50" s="125">
        <f t="shared" si="22"/>
        <v>5577.281066297277</v>
      </c>
      <c r="Q50" s="125">
        <f t="shared" si="22"/>
        <v>6523.071996284856</v>
      </c>
      <c r="R50" s="125">
        <f t="shared" si="22"/>
        <v>7449.942143572507</v>
      </c>
      <c r="S50" s="125">
        <f t="shared" si="22"/>
        <v>8356.850865111735</v>
      </c>
      <c r="T50" s="125">
        <f t="shared" si="22"/>
        <v>9135.600282486374</v>
      </c>
      <c r="U50" s="125">
        <f t="shared" si="22"/>
        <v>9892.132133967374</v>
      </c>
      <c r="V50" s="125">
        <f t="shared" si="22"/>
        <v>10625.224453430585</v>
      </c>
      <c r="W50" s="125">
        <f t="shared" si="22"/>
        <v>14495.865051354589</v>
      </c>
      <c r="X50" s="125">
        <f t="shared" si="22"/>
        <v>18366.505649278595</v>
      </c>
      <c r="Y50" s="125">
        <f t="shared" si="22"/>
        <v>22237.1462472026</v>
      </c>
      <c r="Z50" s="125">
        <f t="shared" si="22"/>
        <v>26107.786845126604</v>
      </c>
    </row>
    <row r="51" spans="2:26" ht="11.25">
      <c r="B51" s="102" t="s">
        <v>138</v>
      </c>
      <c r="C51" s="135"/>
      <c r="D51" s="135"/>
      <c r="E51" s="135"/>
      <c r="F51" s="135">
        <f>F50+F49</f>
        <v>-5601.460800000001</v>
      </c>
      <c r="G51" s="135">
        <f>G49+G50</f>
        <v>-3906.4291344155663</v>
      </c>
      <c r="H51" s="135">
        <f aca="true" t="shared" si="23" ref="H51:Z51">H49+H50</f>
        <v>-2223.0834978732337</v>
      </c>
      <c r="I51" s="135">
        <f t="shared" si="23"/>
        <v>-927.5163819703166</v>
      </c>
      <c r="J51" s="135">
        <f t="shared" si="23"/>
        <v>355.04389145801565</v>
      </c>
      <c r="K51" s="135">
        <f t="shared" si="23"/>
        <v>1623.8819460756608</v>
      </c>
      <c r="L51" s="135">
        <f t="shared" si="23"/>
        <v>2635.993059848032</v>
      </c>
      <c r="M51" s="135">
        <f t="shared" si="23"/>
        <v>3632.8310010286377</v>
      </c>
      <c r="N51" s="135">
        <f t="shared" si="23"/>
        <v>4613.555745124932</v>
      </c>
      <c r="O51" s="135">
        <f t="shared" si="23"/>
        <v>5577.281066297277</v>
      </c>
      <c r="P51" s="135">
        <f t="shared" si="23"/>
        <v>6523.071996284856</v>
      </c>
      <c r="Q51" s="135">
        <f t="shared" si="23"/>
        <v>7449.942143572507</v>
      </c>
      <c r="R51" s="135">
        <f t="shared" si="23"/>
        <v>8356.850865111735</v>
      </c>
      <c r="S51" s="135">
        <f t="shared" si="23"/>
        <v>9135.600282486374</v>
      </c>
      <c r="T51" s="135">
        <f t="shared" si="23"/>
        <v>9892.132133967374</v>
      </c>
      <c r="U51" s="135">
        <f t="shared" si="23"/>
        <v>10625.224453430585</v>
      </c>
      <c r="V51" s="135">
        <f t="shared" si="23"/>
        <v>14495.865051354589</v>
      </c>
      <c r="W51" s="135">
        <f t="shared" si="23"/>
        <v>18366.505649278595</v>
      </c>
      <c r="X51" s="135">
        <f t="shared" si="23"/>
        <v>22237.1462472026</v>
      </c>
      <c r="Y51" s="135">
        <f t="shared" si="23"/>
        <v>26107.786845126604</v>
      </c>
      <c r="Z51" s="135">
        <f t="shared" si="23"/>
        <v>29978.42744305061</v>
      </c>
    </row>
    <row r="52" spans="2:11" ht="11.25">
      <c r="B52" s="118"/>
      <c r="C52" s="118"/>
      <c r="D52" s="118"/>
      <c r="E52" s="118"/>
      <c r="F52" s="118"/>
      <c r="G52" s="118"/>
      <c r="H52" s="118"/>
      <c r="I52" s="118"/>
      <c r="J52" s="118"/>
      <c r="K52" s="118"/>
    </row>
    <row r="53" spans="2:11" ht="11.25">
      <c r="B53" s="118"/>
      <c r="C53" s="118"/>
      <c r="D53" s="118"/>
      <c r="E53" s="118"/>
      <c r="F53" s="118"/>
      <c r="G53" s="118"/>
      <c r="H53" s="118"/>
      <c r="I53" s="118"/>
      <c r="J53" s="118"/>
      <c r="K53" s="118"/>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Z52"/>
  <sheetViews>
    <sheetView zoomScalePageLayoutView="0" workbookViewId="0" topLeftCell="A31">
      <selection activeCell="F14" sqref="F14"/>
    </sheetView>
  </sheetViews>
  <sheetFormatPr defaultColWidth="9.140625" defaultRowHeight="12.75"/>
  <cols>
    <col min="1" max="1" width="3.28125" style="1" customWidth="1"/>
    <col min="2" max="2" width="25.28125" style="1" customWidth="1"/>
    <col min="3" max="5" width="5.8515625" style="1" hidden="1" customWidth="1"/>
    <col min="6" max="10" width="6.57421875" style="1" customWidth="1"/>
    <col min="11" max="26" width="5.8515625" style="1" customWidth="1"/>
    <col min="27" max="16384" width="9.140625" style="1" customWidth="1"/>
  </cols>
  <sheetData>
    <row r="2" ht="12" thickBot="1">
      <c r="B2" s="1" t="s">
        <v>149</v>
      </c>
    </row>
    <row r="3" spans="2:26" ht="11.25">
      <c r="B3" s="69" t="s">
        <v>87</v>
      </c>
      <c r="C3" s="70">
        <v>2007</v>
      </c>
      <c r="D3" s="70">
        <v>2008</v>
      </c>
      <c r="E3" s="70">
        <v>2009</v>
      </c>
      <c r="F3" s="70">
        <v>2010</v>
      </c>
      <c r="G3" s="70">
        <v>2011</v>
      </c>
      <c r="H3" s="70">
        <v>2012</v>
      </c>
      <c r="I3" s="70">
        <v>2013</v>
      </c>
      <c r="J3" s="70">
        <v>2014</v>
      </c>
      <c r="K3" s="70">
        <v>2015</v>
      </c>
      <c r="L3" s="70">
        <v>2016</v>
      </c>
      <c r="M3" s="70">
        <v>2017</v>
      </c>
      <c r="N3" s="70">
        <v>2018</v>
      </c>
      <c r="O3" s="70">
        <v>2019</v>
      </c>
      <c r="P3" s="70">
        <v>2020</v>
      </c>
      <c r="Q3" s="70">
        <v>2021</v>
      </c>
      <c r="R3" s="70">
        <v>2022</v>
      </c>
      <c r="S3" s="70">
        <v>2023</v>
      </c>
      <c r="T3" s="70">
        <v>2024</v>
      </c>
      <c r="U3" s="70">
        <v>2025</v>
      </c>
      <c r="V3" s="70">
        <v>2026</v>
      </c>
      <c r="W3" s="70">
        <v>2027</v>
      </c>
      <c r="X3" s="70">
        <v>2028</v>
      </c>
      <c r="Y3" s="70">
        <v>2029</v>
      </c>
      <c r="Z3" s="71">
        <v>2030</v>
      </c>
    </row>
    <row r="4" spans="2:26" ht="11.25">
      <c r="B4" s="72" t="str">
        <f>'Balance Profit(loss) EUR'!B5</f>
        <v>Revenue</v>
      </c>
      <c r="C4" s="73"/>
      <c r="D4" s="73"/>
      <c r="E4" s="73"/>
      <c r="F4" s="73">
        <f>'cash flow EUR'!D14/1000/Assumptions!$B$17</f>
        <v>0</v>
      </c>
      <c r="G4" s="73">
        <f>'cash flow EUR'!E14/1000*Assumptions!$B$17</f>
        <v>19165.12109568</v>
      </c>
      <c r="H4" s="73">
        <f>'cash flow EUR'!F14/1000*Assumptions!$B$17</f>
        <v>19165.12109568</v>
      </c>
      <c r="I4" s="73">
        <f>'cash flow EUR'!G14/1000*Assumptions!$B$17</f>
        <v>17640</v>
      </c>
      <c r="J4" s="73">
        <f>'cash flow EUR'!H14/1000*Assumptions!$B$17</f>
        <v>17640</v>
      </c>
      <c r="K4" s="73">
        <f>'cash flow EUR'!I14/1000*Assumptions!$B$17</f>
        <v>17640</v>
      </c>
      <c r="L4" s="73">
        <f>'cash flow EUR'!J14/1000*Assumptions!$B$17</f>
        <v>17640</v>
      </c>
      <c r="M4" s="73">
        <f>'cash flow EUR'!K14/1000*Assumptions!$B$17</f>
        <v>17640</v>
      </c>
      <c r="N4" s="73">
        <f>'cash flow EUR'!L14/1000*Assumptions!$B$17</f>
        <v>17640</v>
      </c>
      <c r="O4" s="73">
        <f>'cash flow EUR'!M14/1000*Assumptions!$B$17</f>
        <v>17640</v>
      </c>
      <c r="P4" s="73">
        <f>'cash flow EUR'!N14/1000*Assumptions!$B$17</f>
        <v>17640</v>
      </c>
      <c r="Q4" s="73">
        <f>'cash flow EUR'!O14/1000*Assumptions!$B$17</f>
        <v>17640</v>
      </c>
      <c r="R4" s="73">
        <f>'cash flow EUR'!P14/1000*Assumptions!$B$17</f>
        <v>17640</v>
      </c>
      <c r="S4" s="73">
        <f>'cash flow EUR'!Q14/1000*Assumptions!$B$17</f>
        <v>17640</v>
      </c>
      <c r="T4" s="73">
        <f>'cash flow EUR'!R14/1000*Assumptions!$B$17</f>
        <v>17640</v>
      </c>
      <c r="U4" s="73">
        <f>'cash flow EUR'!S14/1000*Assumptions!$B$17</f>
        <v>17640</v>
      </c>
      <c r="V4" s="73">
        <f>'cash flow EUR'!T14/1000*Assumptions!$B$17</f>
        <v>17640</v>
      </c>
      <c r="W4" s="73">
        <f>'cash flow EUR'!U14/1000*Assumptions!$B$17</f>
        <v>17640</v>
      </c>
      <c r="X4" s="73">
        <f>'cash flow EUR'!V14/1000*Assumptions!$B$17</f>
        <v>17640</v>
      </c>
      <c r="Y4" s="73">
        <f>'cash flow EUR'!W14/1000*Assumptions!$B$17</f>
        <v>17640</v>
      </c>
      <c r="Z4" s="73">
        <f>'cash flow EUR'!X14/1000*Assumptions!$B$17</f>
        <v>17640</v>
      </c>
    </row>
    <row r="5" spans="2:26" ht="11.25">
      <c r="B5" s="75" t="str">
        <f>'Balance Profit(loss) EUR'!B6</f>
        <v>Operating expenses</v>
      </c>
      <c r="C5" s="65"/>
      <c r="D5" s="65"/>
      <c r="E5" s="65"/>
      <c r="F5" s="65">
        <f>'cash flow EUR'!D23/1000</f>
        <v>0</v>
      </c>
      <c r="G5" s="65">
        <f>'cash flow EUR'!E23/1000*Assumptions!$B$17</f>
        <v>1635.59136</v>
      </c>
      <c r="H5" s="65">
        <f>'cash flow EUR'!F23/1000*Assumptions!$B$17</f>
        <v>1635.59136</v>
      </c>
      <c r="I5" s="65">
        <f>'cash flow EUR'!G23/1000*Assumptions!$B$17</f>
        <v>1635.59136</v>
      </c>
      <c r="J5" s="65">
        <f>'cash flow EUR'!H23/1000*Assumptions!$B$17</f>
        <v>1635.59136</v>
      </c>
      <c r="K5" s="65">
        <f>'cash flow EUR'!I23/1000*Assumptions!$B$17</f>
        <v>1635.59136</v>
      </c>
      <c r="L5" s="65">
        <f>'cash flow EUR'!J23/1000*Assumptions!$B$17</f>
        <v>2619.63936</v>
      </c>
      <c r="M5" s="65">
        <f>'cash flow EUR'!K23/1000*Assumptions!$B$17</f>
        <v>2619.63936</v>
      </c>
      <c r="N5" s="65">
        <f>'cash flow EUR'!L23/1000*Assumptions!$B$17</f>
        <v>2619.63936</v>
      </c>
      <c r="O5" s="65">
        <f>'cash flow EUR'!M23/1000*Assumptions!$B$17</f>
        <v>2619.63936</v>
      </c>
      <c r="P5" s="65">
        <f>'cash flow EUR'!N23/1000*Assumptions!$B$17</f>
        <v>2619.63936</v>
      </c>
      <c r="Q5" s="65">
        <f>'cash flow EUR'!O23/1000*Assumptions!$B$17</f>
        <v>2619.63936</v>
      </c>
      <c r="R5" s="65">
        <f>'cash flow EUR'!P23/1000*Assumptions!$B$17</f>
        <v>2619.63936</v>
      </c>
      <c r="S5" s="65">
        <f>'cash flow EUR'!Q23/1000*Assumptions!$B$17</f>
        <v>3054.69216</v>
      </c>
      <c r="T5" s="65">
        <f>'cash flow EUR'!R23/1000*Assumptions!$B$17</f>
        <v>3054.69216</v>
      </c>
      <c r="U5" s="65">
        <f>'cash flow EUR'!S23/1000*Assumptions!$B$17</f>
        <v>3054.69216</v>
      </c>
      <c r="V5" s="65">
        <f>'cash flow EUR'!T23/1000*Assumptions!$B$17</f>
        <v>3054.69216</v>
      </c>
      <c r="W5" s="65">
        <f>'cash flow EUR'!U23/1000*Assumptions!$B$17</f>
        <v>3054.69216</v>
      </c>
      <c r="X5" s="65">
        <f>'cash flow EUR'!V23/1000*Assumptions!$B$17</f>
        <v>3054.69216</v>
      </c>
      <c r="Y5" s="65">
        <f>'cash flow EUR'!W23/1000*Assumptions!$B$17</f>
        <v>3054.69216</v>
      </c>
      <c r="Z5" s="65">
        <f>'cash flow EUR'!X23/1000*Assumptions!$B$17</f>
        <v>3054.69216</v>
      </c>
    </row>
    <row r="6" spans="2:26" ht="11.25">
      <c r="B6" s="77" t="str">
        <f>'Balance Profit(loss) EUR'!B7</f>
        <v>EBITDA</v>
      </c>
      <c r="C6" s="66"/>
      <c r="D6" s="66"/>
      <c r="E6" s="66"/>
      <c r="F6" s="66">
        <f>F4-F5</f>
        <v>0</v>
      </c>
      <c r="G6" s="66">
        <f>G4-G5</f>
        <v>17529.52973568</v>
      </c>
      <c r="H6" s="66">
        <f aca="true" t="shared" si="0" ref="H6:Z6">H4-H5</f>
        <v>17529.52973568</v>
      </c>
      <c r="I6" s="66">
        <f t="shared" si="0"/>
        <v>16004.40864</v>
      </c>
      <c r="J6" s="66">
        <f t="shared" si="0"/>
        <v>16004.40864</v>
      </c>
      <c r="K6" s="66">
        <f t="shared" si="0"/>
        <v>16004.40864</v>
      </c>
      <c r="L6" s="66">
        <f t="shared" si="0"/>
        <v>15020.360639999999</v>
      </c>
      <c r="M6" s="66">
        <f t="shared" si="0"/>
        <v>15020.360639999999</v>
      </c>
      <c r="N6" s="66">
        <f t="shared" si="0"/>
        <v>15020.360639999999</v>
      </c>
      <c r="O6" s="66">
        <f t="shared" si="0"/>
        <v>15020.360639999999</v>
      </c>
      <c r="P6" s="66">
        <f t="shared" si="0"/>
        <v>15020.360639999999</v>
      </c>
      <c r="Q6" s="66">
        <f t="shared" si="0"/>
        <v>15020.360639999999</v>
      </c>
      <c r="R6" s="66">
        <f t="shared" si="0"/>
        <v>15020.360639999999</v>
      </c>
      <c r="S6" s="66">
        <f t="shared" si="0"/>
        <v>14585.30784</v>
      </c>
      <c r="T6" s="66">
        <f t="shared" si="0"/>
        <v>14585.30784</v>
      </c>
      <c r="U6" s="66">
        <f t="shared" si="0"/>
        <v>14585.30784</v>
      </c>
      <c r="V6" s="66">
        <f t="shared" si="0"/>
        <v>14585.30784</v>
      </c>
      <c r="W6" s="66">
        <f t="shared" si="0"/>
        <v>14585.30784</v>
      </c>
      <c r="X6" s="66">
        <f t="shared" si="0"/>
        <v>14585.30784</v>
      </c>
      <c r="Y6" s="66">
        <f t="shared" si="0"/>
        <v>14585.30784</v>
      </c>
      <c r="Z6" s="78">
        <f t="shared" si="0"/>
        <v>14585.30784</v>
      </c>
    </row>
    <row r="7" spans="2:26" ht="11.25">
      <c r="B7" s="75" t="str">
        <f>'Balance Profit(loss) EUR'!B8</f>
        <v>Depreciation</v>
      </c>
      <c r="C7" s="65"/>
      <c r="D7" s="65"/>
      <c r="E7" s="65"/>
      <c r="F7" s="65">
        <v>0</v>
      </c>
      <c r="G7" s="65">
        <f>-'cash flow EUR'!B40/20/1000*Assumptions!$B$17</f>
        <v>6446.90795008</v>
      </c>
      <c r="H7" s="65">
        <f>G7</f>
        <v>6446.90795008</v>
      </c>
      <c r="I7" s="65">
        <f aca="true" t="shared" si="1" ref="I7:Z7">H7</f>
        <v>6446.90795008</v>
      </c>
      <c r="J7" s="65">
        <f t="shared" si="1"/>
        <v>6446.90795008</v>
      </c>
      <c r="K7" s="65">
        <f t="shared" si="1"/>
        <v>6446.90795008</v>
      </c>
      <c r="L7" s="65">
        <f t="shared" si="1"/>
        <v>6446.90795008</v>
      </c>
      <c r="M7" s="65">
        <f t="shared" si="1"/>
        <v>6446.90795008</v>
      </c>
      <c r="N7" s="65">
        <f t="shared" si="1"/>
        <v>6446.90795008</v>
      </c>
      <c r="O7" s="65">
        <f t="shared" si="1"/>
        <v>6446.90795008</v>
      </c>
      <c r="P7" s="65">
        <f t="shared" si="1"/>
        <v>6446.90795008</v>
      </c>
      <c r="Q7" s="65">
        <f t="shared" si="1"/>
        <v>6446.90795008</v>
      </c>
      <c r="R7" s="65">
        <f t="shared" si="1"/>
        <v>6446.90795008</v>
      </c>
      <c r="S7" s="65">
        <f t="shared" si="1"/>
        <v>6446.90795008</v>
      </c>
      <c r="T7" s="65">
        <f t="shared" si="1"/>
        <v>6446.90795008</v>
      </c>
      <c r="U7" s="65">
        <f t="shared" si="1"/>
        <v>6446.90795008</v>
      </c>
      <c r="V7" s="65">
        <f t="shared" si="1"/>
        <v>6446.90795008</v>
      </c>
      <c r="W7" s="65">
        <f t="shared" si="1"/>
        <v>6446.90795008</v>
      </c>
      <c r="X7" s="65">
        <f t="shared" si="1"/>
        <v>6446.90795008</v>
      </c>
      <c r="Y7" s="65">
        <f t="shared" si="1"/>
        <v>6446.90795008</v>
      </c>
      <c r="Z7" s="76">
        <f t="shared" si="1"/>
        <v>6446.90795008</v>
      </c>
    </row>
    <row r="8" spans="2:26" ht="11.25">
      <c r="B8" s="77" t="str">
        <f>'Balance Profit(loss) EUR'!B9</f>
        <v>EBIT</v>
      </c>
      <c r="C8" s="66"/>
      <c r="D8" s="66"/>
      <c r="E8" s="66"/>
      <c r="F8" s="66">
        <f>F6-F7</f>
        <v>0</v>
      </c>
      <c r="G8" s="66">
        <f>G6-G7</f>
        <v>11082.6217856</v>
      </c>
      <c r="H8" s="66">
        <f aca="true" t="shared" si="2" ref="H8:Z8">H6-H7</f>
        <v>11082.6217856</v>
      </c>
      <c r="I8" s="66">
        <f t="shared" si="2"/>
        <v>9557.50068992</v>
      </c>
      <c r="J8" s="66">
        <f t="shared" si="2"/>
        <v>9557.50068992</v>
      </c>
      <c r="K8" s="66">
        <f t="shared" si="2"/>
        <v>9557.50068992</v>
      </c>
      <c r="L8" s="66">
        <f t="shared" si="2"/>
        <v>8573.45268992</v>
      </c>
      <c r="M8" s="66">
        <f t="shared" si="2"/>
        <v>8573.45268992</v>
      </c>
      <c r="N8" s="66">
        <f t="shared" si="2"/>
        <v>8573.45268992</v>
      </c>
      <c r="O8" s="66">
        <f t="shared" si="2"/>
        <v>8573.45268992</v>
      </c>
      <c r="P8" s="66">
        <f t="shared" si="2"/>
        <v>8573.45268992</v>
      </c>
      <c r="Q8" s="66">
        <f t="shared" si="2"/>
        <v>8573.45268992</v>
      </c>
      <c r="R8" s="66">
        <f t="shared" si="2"/>
        <v>8573.45268992</v>
      </c>
      <c r="S8" s="66">
        <f t="shared" si="2"/>
        <v>8138.39988992</v>
      </c>
      <c r="T8" s="66">
        <f t="shared" si="2"/>
        <v>8138.39988992</v>
      </c>
      <c r="U8" s="66">
        <f t="shared" si="2"/>
        <v>8138.39988992</v>
      </c>
      <c r="V8" s="66">
        <f t="shared" si="2"/>
        <v>8138.39988992</v>
      </c>
      <c r="W8" s="66">
        <f t="shared" si="2"/>
        <v>8138.39988992</v>
      </c>
      <c r="X8" s="66">
        <f t="shared" si="2"/>
        <v>8138.39988992</v>
      </c>
      <c r="Y8" s="66">
        <f t="shared" si="2"/>
        <v>8138.39988992</v>
      </c>
      <c r="Z8" s="78">
        <f t="shared" si="2"/>
        <v>8138.39988992</v>
      </c>
    </row>
    <row r="9" spans="2:26" ht="11.25">
      <c r="B9" s="75" t="str">
        <f>'Balance Profit(loss) EUR'!B10</f>
        <v>Financial activities</v>
      </c>
      <c r="C9" s="65"/>
      <c r="D9" s="65"/>
      <c r="E9" s="65"/>
      <c r="F9" s="65">
        <f>'cash flow EUR'!D28</f>
        <v>0</v>
      </c>
      <c r="G9" s="65">
        <f>'cash flow EUR'!E28/1000*Assumptions!$B$17</f>
        <v>6027.8589333248</v>
      </c>
      <c r="H9" s="65">
        <f>'cash flow EUR'!F28/1000*Assumptions!$B$17</f>
        <v>5758.86212614768</v>
      </c>
      <c r="I9" s="65">
        <f>'cash flow EUR'!G28/1000*Assumptions!$B$17</f>
        <v>5475.070494575819</v>
      </c>
      <c r="J9" s="65">
        <f>'cash flow EUR'!H28/1000*Assumptions!$B$17</f>
        <v>5175.670323267506</v>
      </c>
      <c r="K9" s="65">
        <f>'cash flow EUR'!I28/1000*Assumptions!$B$17</f>
        <v>4859.803142537236</v>
      </c>
      <c r="L9" s="65">
        <f>'cash flow EUR'!J28/1000*Assumptions!$B$17</f>
        <v>4526.5632668668</v>
      </c>
      <c r="M9" s="65">
        <f>'cash flow EUR'!K28/1000*Assumptions!$B$17</f>
        <v>4174.995198034491</v>
      </c>
      <c r="N9" s="65">
        <f>'cash flow EUR'!L28/1000*Assumptions!$B$17</f>
        <v>3804.0908854164054</v>
      </c>
      <c r="O9" s="65">
        <f>'cash flow EUR'!M28/1000*Assumptions!$B$17</f>
        <v>3412.786835604325</v>
      </c>
      <c r="P9" s="65">
        <f>'cash flow EUR'!N28/1000*Assumptions!$B$17</f>
        <v>2999.96106305258</v>
      </c>
      <c r="Q9" s="65">
        <f>'cash flow EUR'!O28/1000*Assumptions!$B$17</f>
        <v>2564.4298730104892</v>
      </c>
      <c r="R9" s="65">
        <f>'cash flow EUR'!P28/1000*Assumptions!$B$17</f>
        <v>2104.9444675160835</v>
      </c>
      <c r="S9" s="65">
        <f>'cash flow EUR'!Q28/1000*Assumptions!$B$17</f>
        <v>1620.187364719486</v>
      </c>
      <c r="T9" s="65">
        <f>'cash flow EUR'!R28/1000*Assumptions!$B$17</f>
        <v>1108.7686212690749</v>
      </c>
      <c r="U9" s="65">
        <f>'cash flow EUR'!S28/1000*Assumptions!$B$17</f>
        <v>569.2218469288923</v>
      </c>
      <c r="V9" s="65">
        <f>'cash flow EUR'!T28/1000</f>
        <v>0</v>
      </c>
      <c r="W9" s="65">
        <f>'cash flow EUR'!U28/1000</f>
        <v>0</v>
      </c>
      <c r="X9" s="65">
        <f>'cash flow EUR'!V28/1000</f>
        <v>0</v>
      </c>
      <c r="Y9" s="65">
        <f>'cash flow EUR'!W28/1000</f>
        <v>0</v>
      </c>
      <c r="Z9" s="76">
        <f>'cash flow EUR'!X28/1000</f>
        <v>0</v>
      </c>
    </row>
    <row r="10" spans="2:26" ht="11.25">
      <c r="B10" s="77" t="str">
        <f>'Balance Profit(loss) EUR'!B11</f>
        <v>EBT</v>
      </c>
      <c r="C10" s="66"/>
      <c r="D10" s="66"/>
      <c r="E10" s="66"/>
      <c r="F10" s="66">
        <f>F8-F9</f>
        <v>0</v>
      </c>
      <c r="G10" s="66">
        <f>G8-G9</f>
        <v>5054.7628522752</v>
      </c>
      <c r="H10" s="66">
        <f aca="true" t="shared" si="3" ref="H10:Z10">H8-H9</f>
        <v>5323.75965945232</v>
      </c>
      <c r="I10" s="66">
        <f t="shared" si="3"/>
        <v>4082.430195344181</v>
      </c>
      <c r="J10" s="66">
        <f t="shared" si="3"/>
        <v>4381.8303666524935</v>
      </c>
      <c r="K10" s="66">
        <f t="shared" si="3"/>
        <v>4697.697547382763</v>
      </c>
      <c r="L10" s="66">
        <f t="shared" si="3"/>
        <v>4046.8894230531987</v>
      </c>
      <c r="M10" s="66">
        <f t="shared" si="3"/>
        <v>4398.457491885508</v>
      </c>
      <c r="N10" s="66">
        <f t="shared" si="3"/>
        <v>4769.361804503594</v>
      </c>
      <c r="O10" s="66">
        <f t="shared" si="3"/>
        <v>5160.665854315674</v>
      </c>
      <c r="P10" s="66">
        <f t="shared" si="3"/>
        <v>5573.491626867419</v>
      </c>
      <c r="Q10" s="66">
        <f t="shared" si="3"/>
        <v>6009.02281690951</v>
      </c>
      <c r="R10" s="66">
        <f t="shared" si="3"/>
        <v>6468.508222403916</v>
      </c>
      <c r="S10" s="66">
        <f t="shared" si="3"/>
        <v>6518.2125252005135</v>
      </c>
      <c r="T10" s="66">
        <f t="shared" si="3"/>
        <v>7029.6312686509245</v>
      </c>
      <c r="U10" s="66">
        <f t="shared" si="3"/>
        <v>7569.178042991107</v>
      </c>
      <c r="V10" s="66">
        <f t="shared" si="3"/>
        <v>8138.39988992</v>
      </c>
      <c r="W10" s="66">
        <f t="shared" si="3"/>
        <v>8138.39988992</v>
      </c>
      <c r="X10" s="66">
        <f t="shared" si="3"/>
        <v>8138.39988992</v>
      </c>
      <c r="Y10" s="66">
        <f t="shared" si="3"/>
        <v>8138.39988992</v>
      </c>
      <c r="Z10" s="78">
        <f t="shared" si="3"/>
        <v>8138.39988992</v>
      </c>
    </row>
    <row r="11" spans="2:26" ht="11.25">
      <c r="B11" s="75" t="str">
        <f>'Balance Profit(loss) EUR'!B12</f>
        <v>Taxes</v>
      </c>
      <c r="C11" s="65"/>
      <c r="D11" s="65"/>
      <c r="E11" s="65"/>
      <c r="F11" s="65">
        <f>F10*0.15</f>
        <v>0</v>
      </c>
      <c r="G11" s="65">
        <f>G10*0.15</f>
        <v>758.21442784128</v>
      </c>
      <c r="H11" s="65">
        <f>H10*0.15</f>
        <v>798.563948917848</v>
      </c>
      <c r="I11" s="65">
        <f aca="true" t="shared" si="4" ref="I11:Z11">I10*0.15</f>
        <v>612.3645293016272</v>
      </c>
      <c r="J11" s="65">
        <f t="shared" si="4"/>
        <v>657.274554997874</v>
      </c>
      <c r="K11" s="65">
        <f t="shared" si="4"/>
        <v>704.6546321074145</v>
      </c>
      <c r="L11" s="65">
        <f t="shared" si="4"/>
        <v>607.0334134579798</v>
      </c>
      <c r="M11" s="65">
        <f t="shared" si="4"/>
        <v>659.7686237828261</v>
      </c>
      <c r="N11" s="65">
        <f t="shared" si="4"/>
        <v>715.404270675539</v>
      </c>
      <c r="O11" s="65">
        <f t="shared" si="4"/>
        <v>774.099878147351</v>
      </c>
      <c r="P11" s="65">
        <f t="shared" si="4"/>
        <v>836.0237440301128</v>
      </c>
      <c r="Q11" s="65">
        <f t="shared" si="4"/>
        <v>901.3534225364265</v>
      </c>
      <c r="R11" s="65">
        <f t="shared" si="4"/>
        <v>970.2762333605874</v>
      </c>
      <c r="S11" s="65">
        <f t="shared" si="4"/>
        <v>977.731878780077</v>
      </c>
      <c r="T11" s="65">
        <f t="shared" si="4"/>
        <v>1054.4446902976385</v>
      </c>
      <c r="U11" s="65">
        <f t="shared" si="4"/>
        <v>1135.376706448666</v>
      </c>
      <c r="V11" s="65">
        <f t="shared" si="4"/>
        <v>1220.759983488</v>
      </c>
      <c r="W11" s="65">
        <f t="shared" si="4"/>
        <v>1220.759983488</v>
      </c>
      <c r="X11" s="65">
        <f t="shared" si="4"/>
        <v>1220.759983488</v>
      </c>
      <c r="Y11" s="65">
        <f t="shared" si="4"/>
        <v>1220.759983488</v>
      </c>
      <c r="Z11" s="76">
        <f t="shared" si="4"/>
        <v>1220.759983488</v>
      </c>
    </row>
    <row r="12" spans="2:26" ht="11.25">
      <c r="B12" s="77" t="str">
        <f>'Balance Profit(loss) EUR'!B13</f>
        <v>Net Profit</v>
      </c>
      <c r="C12" s="66"/>
      <c r="D12" s="66"/>
      <c r="E12" s="66"/>
      <c r="F12" s="66">
        <f>F10-F11</f>
        <v>0</v>
      </c>
      <c r="G12" s="66">
        <f>G10-G11</f>
        <v>4296.54842443392</v>
      </c>
      <c r="H12" s="66">
        <f aca="true" t="shared" si="5" ref="H12:Z12">H10-H11</f>
        <v>4525.195710534472</v>
      </c>
      <c r="I12" s="66">
        <f t="shared" si="5"/>
        <v>3470.065666042554</v>
      </c>
      <c r="J12" s="66">
        <f t="shared" si="5"/>
        <v>3724.5558116546194</v>
      </c>
      <c r="K12" s="66">
        <f t="shared" si="5"/>
        <v>3993.0429152753486</v>
      </c>
      <c r="L12" s="66">
        <f t="shared" si="5"/>
        <v>3439.856009595219</v>
      </c>
      <c r="M12" s="66">
        <f t="shared" si="5"/>
        <v>3738.6888681026817</v>
      </c>
      <c r="N12" s="66">
        <f t="shared" si="5"/>
        <v>4053.9575338280547</v>
      </c>
      <c r="O12" s="66">
        <f t="shared" si="5"/>
        <v>4386.565976168323</v>
      </c>
      <c r="P12" s="66">
        <f t="shared" si="5"/>
        <v>4737.467882837306</v>
      </c>
      <c r="Q12" s="66">
        <f t="shared" si="5"/>
        <v>5107.669394373083</v>
      </c>
      <c r="R12" s="66">
        <f t="shared" si="5"/>
        <v>5498.231989043328</v>
      </c>
      <c r="S12" s="66">
        <f t="shared" si="5"/>
        <v>5540.480646420437</v>
      </c>
      <c r="T12" s="66">
        <f t="shared" si="5"/>
        <v>5975.186578353286</v>
      </c>
      <c r="U12" s="66">
        <f t="shared" si="5"/>
        <v>6433.801336542441</v>
      </c>
      <c r="V12" s="66">
        <f t="shared" si="5"/>
        <v>6917.639906431999</v>
      </c>
      <c r="W12" s="66">
        <f t="shared" si="5"/>
        <v>6917.639906431999</v>
      </c>
      <c r="X12" s="66">
        <f t="shared" si="5"/>
        <v>6917.639906431999</v>
      </c>
      <c r="Y12" s="66">
        <f t="shared" si="5"/>
        <v>6917.639906431999</v>
      </c>
      <c r="Z12" s="78">
        <f t="shared" si="5"/>
        <v>6917.639906431999</v>
      </c>
    </row>
    <row r="14" spans="2:5" ht="11.25">
      <c r="B14" s="67" t="s">
        <v>98</v>
      </c>
      <c r="C14" s="67"/>
      <c r="D14" s="67"/>
      <c r="E14" s="67"/>
    </row>
    <row r="15" spans="2:5" ht="11.25">
      <c r="B15" s="67"/>
      <c r="C15" s="67"/>
      <c r="D15" s="67"/>
      <c r="E15" s="67"/>
    </row>
    <row r="16" spans="2:5" ht="11.25">
      <c r="B16" s="68" t="s">
        <v>149</v>
      </c>
      <c r="C16" s="68"/>
      <c r="D16" s="68"/>
      <c r="E16" s="68"/>
    </row>
    <row r="17" spans="2:26" ht="11.25">
      <c r="B17" s="79" t="str">
        <f>'Balance Profit(loss) EUR'!B18</f>
        <v>Balance sheet</v>
      </c>
      <c r="C17" s="79"/>
      <c r="D17" s="79"/>
      <c r="E17" s="79"/>
      <c r="F17" s="79">
        <f>F3</f>
        <v>2010</v>
      </c>
      <c r="G17" s="79">
        <f aca="true" t="shared" si="6" ref="G17:Z17">G3</f>
        <v>2011</v>
      </c>
      <c r="H17" s="79">
        <f t="shared" si="6"/>
        <v>2012</v>
      </c>
      <c r="I17" s="79">
        <f t="shared" si="6"/>
        <v>2013</v>
      </c>
      <c r="J17" s="79">
        <f t="shared" si="6"/>
        <v>2014</v>
      </c>
      <c r="K17" s="79">
        <f t="shared" si="6"/>
        <v>2015</v>
      </c>
      <c r="L17" s="79">
        <f t="shared" si="6"/>
        <v>2016</v>
      </c>
      <c r="M17" s="79">
        <f t="shared" si="6"/>
        <v>2017</v>
      </c>
      <c r="N17" s="79">
        <f t="shared" si="6"/>
        <v>2018</v>
      </c>
      <c r="O17" s="79">
        <f t="shared" si="6"/>
        <v>2019</v>
      </c>
      <c r="P17" s="79">
        <f t="shared" si="6"/>
        <v>2020</v>
      </c>
      <c r="Q17" s="79">
        <f t="shared" si="6"/>
        <v>2021</v>
      </c>
      <c r="R17" s="79">
        <f t="shared" si="6"/>
        <v>2022</v>
      </c>
      <c r="S17" s="79">
        <f t="shared" si="6"/>
        <v>2023</v>
      </c>
      <c r="T17" s="79">
        <f t="shared" si="6"/>
        <v>2024</v>
      </c>
      <c r="U17" s="79">
        <f t="shared" si="6"/>
        <v>2025</v>
      </c>
      <c r="V17" s="79">
        <f t="shared" si="6"/>
        <v>2026</v>
      </c>
      <c r="W17" s="79">
        <f t="shared" si="6"/>
        <v>2027</v>
      </c>
      <c r="X17" s="79">
        <f t="shared" si="6"/>
        <v>2028</v>
      </c>
      <c r="Y17" s="79">
        <f t="shared" si="6"/>
        <v>2029</v>
      </c>
      <c r="Z17" s="79">
        <f t="shared" si="6"/>
        <v>2030</v>
      </c>
    </row>
    <row r="18" spans="2:26" ht="11.25">
      <c r="B18" s="103" t="str">
        <f>'Balance Profit(loss) EUR'!B19</f>
        <v>ASSETS</v>
      </c>
      <c r="C18" s="111"/>
      <c r="D18" s="112"/>
      <c r="E18" s="112"/>
      <c r="F18" s="112">
        <f>SUM(F19:F22)</f>
        <v>109597.43515136001</v>
      </c>
      <c r="G18" s="112">
        <f aca="true" t="shared" si="7" ref="G18:Z18">SUM(G19:G22)</f>
        <v>109003.13253620995</v>
      </c>
      <c r="H18" s="112">
        <f t="shared" si="7"/>
        <v>108368.4803999833</v>
      </c>
      <c r="I18" s="112">
        <f t="shared" si="7"/>
        <v>106394.90658769291</v>
      </c>
      <c r="J18" s="112">
        <f t="shared" si="7"/>
        <v>104376.42274970625</v>
      </c>
      <c r="K18" s="112">
        <f t="shared" si="7"/>
        <v>102310.55883461006</v>
      </c>
      <c r="L18" s="112">
        <f t="shared" si="7"/>
        <v>99358.2681381633</v>
      </c>
      <c r="M18" s="112">
        <f t="shared" si="7"/>
        <v>96353.24223139169</v>
      </c>
      <c r="N18" s="112">
        <f t="shared" si="7"/>
        <v>93292.58067772738</v>
      </c>
      <c r="O18" s="112">
        <f t="shared" si="7"/>
        <v>90173.22351659124</v>
      </c>
      <c r="P18" s="112">
        <f t="shared" si="7"/>
        <v>86991.94248957236</v>
      </c>
      <c r="Q18" s="112">
        <f t="shared" si="7"/>
        <v>83745.33178404714</v>
      </c>
      <c r="R18" s="112">
        <f t="shared" si="7"/>
        <v>80429.7982676978</v>
      </c>
      <c r="S18" s="112">
        <f t="shared" si="7"/>
        <v>76671.75630592892</v>
      </c>
      <c r="T18" s="112">
        <f t="shared" si="7"/>
        <v>72837.00153264252</v>
      </c>
      <c r="U18" s="112">
        <f t="shared" si="7"/>
        <v>68921.31474320509</v>
      </c>
      <c r="V18" s="112">
        <f t="shared" si="7"/>
        <v>75838.95464963709</v>
      </c>
      <c r="W18" s="112">
        <f t="shared" si="7"/>
        <v>82756.59455606909</v>
      </c>
      <c r="X18" s="112">
        <f t="shared" si="7"/>
        <v>89674.23446250107</v>
      </c>
      <c r="Y18" s="112">
        <f t="shared" si="7"/>
        <v>96591.87436893309</v>
      </c>
      <c r="Z18" s="113">
        <f t="shared" si="7"/>
        <v>103509.51427536512</v>
      </c>
    </row>
    <row r="19" spans="2:26" ht="11.25">
      <c r="B19" s="100" t="str">
        <f>'Balance Profit(loss) EUR'!B20</f>
        <v>Fixed assets</v>
      </c>
      <c r="C19" s="107"/>
      <c r="D19" s="55"/>
      <c r="E19" s="55"/>
      <c r="F19" s="55">
        <f>Assumptions!B46*Assumptions!$B$17</f>
        <v>128938.1590016</v>
      </c>
      <c r="G19" s="55">
        <f>Assumptions!C46*Assumptions!$B$17</f>
        <v>122491.25105152</v>
      </c>
      <c r="H19" s="55">
        <f>Assumptions!D46*Assumptions!$B$17</f>
        <v>116044.34310143998</v>
      </c>
      <c r="I19" s="55">
        <f>Assumptions!E46*Assumptions!$B$17</f>
        <v>109597.43515136</v>
      </c>
      <c r="J19" s="55">
        <f>Assumptions!F46*Assumptions!$B$17</f>
        <v>103150.52720128</v>
      </c>
      <c r="K19" s="55">
        <f>Assumptions!G46*Assumptions!$B$17</f>
        <v>96703.6192512</v>
      </c>
      <c r="L19" s="55">
        <f>Assumptions!H46*Assumptions!$B$17</f>
        <v>90256.71130112</v>
      </c>
      <c r="M19" s="55">
        <f>Assumptions!I46*Assumptions!$B$17</f>
        <v>83809.80335104</v>
      </c>
      <c r="N19" s="55">
        <f>Assumptions!J46*Assumptions!$B$17</f>
        <v>77362.89540096001</v>
      </c>
      <c r="O19" s="55">
        <f>Assumptions!K46*Assumptions!$B$17</f>
        <v>70915.98745088</v>
      </c>
      <c r="P19" s="55">
        <f>Assumptions!L46*Assumptions!$B$17</f>
        <v>64469.0795008</v>
      </c>
      <c r="Q19" s="55">
        <f>Assumptions!M46*Assumptions!$B$17</f>
        <v>58022.17155071999</v>
      </c>
      <c r="R19" s="55">
        <f>Assumptions!N46*Assumptions!$B$17</f>
        <v>51575.26360063999</v>
      </c>
      <c r="S19" s="55">
        <f>Assumptions!O46*Assumptions!$B$17</f>
        <v>45128.355650559984</v>
      </c>
      <c r="T19" s="55">
        <f>Assumptions!P46*Assumptions!$B$17</f>
        <v>38681.44770047998</v>
      </c>
      <c r="U19" s="55">
        <f>Assumptions!Q46*Assumptions!$B$17</f>
        <v>32234.539750399974</v>
      </c>
      <c r="V19" s="55">
        <f>Assumptions!R46*Assumptions!$B$17</f>
        <v>25787.63180031997</v>
      </c>
      <c r="W19" s="55">
        <f>Assumptions!S46*Assumptions!$B$17</f>
        <v>19340.723850239963</v>
      </c>
      <c r="X19" s="55">
        <f>Assumptions!T46*Assumptions!$B$17</f>
        <v>12893.81590015996</v>
      </c>
      <c r="Y19" s="55">
        <f>Assumptions!U46*Assumptions!$B$17</f>
        <v>6446.907950079967</v>
      </c>
      <c r="Z19" s="55">
        <f>Assumptions!V46*Assumptions!$B$17</f>
        <v>0</v>
      </c>
    </row>
    <row r="20" spans="2:26" ht="11.25">
      <c r="B20" s="100" t="str">
        <f>'Balance Profit(loss) EUR'!B21</f>
        <v>Long-term prepayments</v>
      </c>
      <c r="C20" s="93"/>
      <c r="D20" s="34"/>
      <c r="E20" s="34"/>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94">
        <v>0</v>
      </c>
    </row>
    <row r="21" spans="2:26" ht="11.25">
      <c r="B21" s="100" t="str">
        <f>'Balance Profit(loss) EUR'!B22</f>
        <v>Short-term prepayments</v>
      </c>
      <c r="C21" s="93"/>
      <c r="D21" s="34"/>
      <c r="E21" s="34"/>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94">
        <v>0</v>
      </c>
    </row>
    <row r="22" spans="2:26" ht="11.25">
      <c r="B22" s="100" t="str">
        <f>'Balance Profit(loss) EUR'!B23</f>
        <v>Cash</v>
      </c>
      <c r="C22" s="95"/>
      <c r="D22" s="65"/>
      <c r="E22" s="65"/>
      <c r="F22" s="65">
        <f>F50</f>
        <v>-19340.723850239985</v>
      </c>
      <c r="G22" s="65">
        <f>G50</f>
        <v>-13488.118515310049</v>
      </c>
      <c r="H22" s="65">
        <f aca="true" t="shared" si="8" ref="H22:Z22">H50</f>
        <v>-7675.862701456682</v>
      </c>
      <c r="I22" s="65">
        <f t="shared" si="8"/>
        <v>-3202.5285636670924</v>
      </c>
      <c r="J22" s="65">
        <f t="shared" si="8"/>
        <v>1225.8955484262506</v>
      </c>
      <c r="K22" s="65">
        <f t="shared" si="8"/>
        <v>5606.939583410055</v>
      </c>
      <c r="L22" s="65">
        <f t="shared" si="8"/>
        <v>9101.556837043297</v>
      </c>
      <c r="M22" s="65">
        <f t="shared" si="8"/>
        <v>12543.438880351692</v>
      </c>
      <c r="N22" s="65">
        <f t="shared" si="8"/>
        <v>15929.685276767377</v>
      </c>
      <c r="O22" s="65">
        <f t="shared" si="8"/>
        <v>19257.236065711248</v>
      </c>
      <c r="P22" s="65">
        <f t="shared" si="8"/>
        <v>22522.86298877236</v>
      </c>
      <c r="Q22" s="65">
        <f t="shared" si="8"/>
        <v>25723.160233327155</v>
      </c>
      <c r="R22" s="65">
        <f t="shared" si="8"/>
        <v>28854.5346670578</v>
      </c>
      <c r="S22" s="65">
        <f t="shared" si="8"/>
        <v>31543.400655368947</v>
      </c>
      <c r="T22" s="65">
        <f t="shared" si="8"/>
        <v>34155.55383216255</v>
      </c>
      <c r="U22" s="65">
        <f t="shared" si="8"/>
        <v>36686.77499280512</v>
      </c>
      <c r="V22" s="65">
        <f t="shared" si="8"/>
        <v>50051.32284931712</v>
      </c>
      <c r="W22" s="65">
        <f t="shared" si="8"/>
        <v>63415.87070582912</v>
      </c>
      <c r="X22" s="65">
        <f t="shared" si="8"/>
        <v>76780.41856234112</v>
      </c>
      <c r="Y22" s="65">
        <f t="shared" si="8"/>
        <v>90144.96641885312</v>
      </c>
      <c r="Z22" s="65">
        <f t="shared" si="8"/>
        <v>103509.51427536512</v>
      </c>
    </row>
    <row r="23" spans="2:26" ht="11.25">
      <c r="B23" s="100"/>
      <c r="C23" s="93"/>
      <c r="D23" s="34"/>
      <c r="E23" s="34"/>
      <c r="F23" s="34"/>
      <c r="G23" s="34"/>
      <c r="H23" s="34"/>
      <c r="I23" s="34"/>
      <c r="J23" s="34"/>
      <c r="K23" s="34"/>
      <c r="L23" s="34"/>
      <c r="M23" s="34"/>
      <c r="N23" s="34"/>
      <c r="O23" s="34"/>
      <c r="P23" s="34"/>
      <c r="Q23" s="34"/>
      <c r="R23" s="34"/>
      <c r="S23" s="34"/>
      <c r="T23" s="34"/>
      <c r="U23" s="34"/>
      <c r="V23" s="34"/>
      <c r="W23" s="34"/>
      <c r="X23" s="34"/>
      <c r="Y23" s="34"/>
      <c r="Z23" s="94"/>
    </row>
    <row r="24" spans="2:26" ht="11.25">
      <c r="B24" s="145" t="str">
        <f>'Balance Profit(loss) EUR'!B25</f>
        <v>EQUITY &amp; LIABILITIES</v>
      </c>
      <c r="C24" s="130"/>
      <c r="D24" s="131"/>
      <c r="E24" s="131"/>
      <c r="F24" s="131">
        <f>F25+F31</f>
        <v>109597.43515136</v>
      </c>
      <c r="G24" s="131">
        <f aca="true" t="shared" si="9" ref="G24:Z24">G25+G31</f>
        <v>113893.9835757939</v>
      </c>
      <c r="H24" s="131">
        <f t="shared" si="9"/>
        <v>113528.3282467444</v>
      </c>
      <c r="I24" s="131">
        <f t="shared" si="9"/>
        <v>111838.54606602582</v>
      </c>
      <c r="J24" s="131">
        <f t="shared" si="9"/>
        <v>110119.4623993475</v>
      </c>
      <c r="K24" s="131">
        <f t="shared" si="9"/>
        <v>108369.46566498157</v>
      </c>
      <c r="L24" s="131">
        <f t="shared" si="9"/>
        <v>105750.41484420522</v>
      </c>
      <c r="M24" s="131">
        <f t="shared" si="9"/>
        <v>103096.95700626593</v>
      </c>
      <c r="N24" s="131">
        <f t="shared" si="9"/>
        <v>100407.1997652197</v>
      </c>
      <c r="O24" s="131">
        <f t="shared" si="9"/>
        <v>97679.14665389564</v>
      </c>
      <c r="P24" s="131">
        <f t="shared" si="9"/>
        <v>94910.6913994285</v>
      </c>
      <c r="Q24" s="131">
        <f t="shared" si="9"/>
        <v>92099.61188394538</v>
      </c>
      <c r="R24" s="131">
        <f t="shared" si="9"/>
        <v>89243.56377309043</v>
      </c>
      <c r="S24" s="131">
        <f t="shared" si="9"/>
        <v>85970.27891411819</v>
      </c>
      <c r="T24" s="131">
        <f t="shared" si="9"/>
        <v>82646.94288428218</v>
      </c>
      <c r="U24" s="131">
        <f t="shared" si="9"/>
        <v>79270.80286918495</v>
      </c>
      <c r="V24" s="131">
        <f t="shared" si="9"/>
        <v>75838.95464963709</v>
      </c>
      <c r="W24" s="131">
        <f t="shared" si="9"/>
        <v>82756.59455606909</v>
      </c>
      <c r="X24" s="131">
        <f t="shared" si="9"/>
        <v>89674.23446250109</v>
      </c>
      <c r="Y24" s="131">
        <f t="shared" si="9"/>
        <v>96591.87436893309</v>
      </c>
      <c r="Z24" s="132">
        <f t="shared" si="9"/>
        <v>103509.51427536509</v>
      </c>
    </row>
    <row r="25" spans="2:26" ht="11.25">
      <c r="B25" s="103" t="str">
        <f>'Balance Profit(loss) EUR'!B26</f>
        <v>EQUITY</v>
      </c>
      <c r="C25" s="133"/>
      <c r="D25" s="115"/>
      <c r="E25" s="115"/>
      <c r="F25" s="115">
        <f>F26+F27+F28</f>
        <v>0</v>
      </c>
      <c r="G25" s="115">
        <f>G26+G27+G28</f>
        <v>4296.54842443392</v>
      </c>
      <c r="H25" s="115">
        <f>H26+H27+H28</f>
        <v>8821.744134968392</v>
      </c>
      <c r="I25" s="115">
        <f aca="true" t="shared" si="10" ref="I25:Z25">I26+I27+I28</f>
        <v>12291.809801010946</v>
      </c>
      <c r="J25" s="115">
        <f t="shared" si="10"/>
        <v>16016.365612665566</v>
      </c>
      <c r="K25" s="115">
        <f t="shared" si="10"/>
        <v>20009.408527940916</v>
      </c>
      <c r="L25" s="115">
        <f t="shared" si="10"/>
        <v>23449.264537536135</v>
      </c>
      <c r="M25" s="115">
        <f t="shared" si="10"/>
        <v>27187.95340563882</v>
      </c>
      <c r="N25" s="115">
        <f t="shared" si="10"/>
        <v>31241.910939466874</v>
      </c>
      <c r="O25" s="115">
        <f t="shared" si="10"/>
        <v>35628.4769156352</v>
      </c>
      <c r="P25" s="115">
        <f t="shared" si="10"/>
        <v>40365.944798472505</v>
      </c>
      <c r="Q25" s="115">
        <f t="shared" si="10"/>
        <v>45473.61419284559</v>
      </c>
      <c r="R25" s="115">
        <f t="shared" si="10"/>
        <v>50971.84618188892</v>
      </c>
      <c r="S25" s="115">
        <f t="shared" si="10"/>
        <v>56512.32682830936</v>
      </c>
      <c r="T25" s="115">
        <f t="shared" si="10"/>
        <v>62487.51340666264</v>
      </c>
      <c r="U25" s="115">
        <f t="shared" si="10"/>
        <v>68921.31474320509</v>
      </c>
      <c r="V25" s="115">
        <f t="shared" si="10"/>
        <v>75838.95464963709</v>
      </c>
      <c r="W25" s="115">
        <f t="shared" si="10"/>
        <v>82756.59455606909</v>
      </c>
      <c r="X25" s="115">
        <f t="shared" si="10"/>
        <v>89674.23446250109</v>
      </c>
      <c r="Y25" s="115">
        <f t="shared" si="10"/>
        <v>96591.87436893309</v>
      </c>
      <c r="Z25" s="94">
        <f t="shared" si="10"/>
        <v>103509.51427536509</v>
      </c>
    </row>
    <row r="26" spans="2:26" ht="11.25">
      <c r="B26" s="104" t="str">
        <f>'Balance Profit(loss) EUR'!B27</f>
        <v>Share capital</v>
      </c>
      <c r="C26" s="93"/>
      <c r="D26" s="34"/>
      <c r="E26" s="34"/>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94">
        <v>0</v>
      </c>
    </row>
    <row r="27" spans="2:26" ht="11.25">
      <c r="B27" s="104" t="str">
        <f>'Balance Profit(loss) EUR'!B28</f>
        <v>Initial "capital"</v>
      </c>
      <c r="C27" s="108"/>
      <c r="D27" s="163"/>
      <c r="E27" s="163"/>
      <c r="F27" s="65">
        <v>0</v>
      </c>
      <c r="G27" s="65">
        <f>F27</f>
        <v>0</v>
      </c>
      <c r="H27" s="65">
        <f>G27</f>
        <v>0</v>
      </c>
      <c r="I27" s="65">
        <f aca="true" t="shared" si="11" ref="I27:Y27">H27</f>
        <v>0</v>
      </c>
      <c r="J27" s="65">
        <f t="shared" si="11"/>
        <v>0</v>
      </c>
      <c r="K27" s="65">
        <f t="shared" si="11"/>
        <v>0</v>
      </c>
      <c r="L27" s="65">
        <f t="shared" si="11"/>
        <v>0</v>
      </c>
      <c r="M27" s="65">
        <f t="shared" si="11"/>
        <v>0</v>
      </c>
      <c r="N27" s="65">
        <f t="shared" si="11"/>
        <v>0</v>
      </c>
      <c r="O27" s="65">
        <f t="shared" si="11"/>
        <v>0</v>
      </c>
      <c r="P27" s="65">
        <f t="shared" si="11"/>
        <v>0</v>
      </c>
      <c r="Q27" s="65">
        <f t="shared" si="11"/>
        <v>0</v>
      </c>
      <c r="R27" s="65">
        <f t="shared" si="11"/>
        <v>0</v>
      </c>
      <c r="S27" s="65">
        <f t="shared" si="11"/>
        <v>0</v>
      </c>
      <c r="T27" s="65">
        <f t="shared" si="11"/>
        <v>0</v>
      </c>
      <c r="U27" s="65">
        <f t="shared" si="11"/>
        <v>0</v>
      </c>
      <c r="V27" s="65">
        <f t="shared" si="11"/>
        <v>0</v>
      </c>
      <c r="W27" s="65">
        <f t="shared" si="11"/>
        <v>0</v>
      </c>
      <c r="X27" s="65">
        <f t="shared" si="11"/>
        <v>0</v>
      </c>
      <c r="Y27" s="65">
        <f t="shared" si="11"/>
        <v>0</v>
      </c>
      <c r="Z27" s="65">
        <f>Y27</f>
        <v>0</v>
      </c>
    </row>
    <row r="28" spans="2:26" ht="11.25">
      <c r="B28" s="100" t="str">
        <f>'Balance Profit(loss) EUR'!B29</f>
        <v>Retained earnings</v>
      </c>
      <c r="C28" s="95"/>
      <c r="D28" s="65"/>
      <c r="E28" s="65"/>
      <c r="F28" s="65">
        <f>F29+F30</f>
        <v>0</v>
      </c>
      <c r="G28" s="65">
        <f>G29+G30</f>
        <v>4296.54842443392</v>
      </c>
      <c r="H28" s="65">
        <f>H29+H30</f>
        <v>8821.744134968392</v>
      </c>
      <c r="I28" s="65">
        <f aca="true" t="shared" si="12" ref="I28:Z28">I29+I30</f>
        <v>12291.809801010946</v>
      </c>
      <c r="J28" s="65">
        <f t="shared" si="12"/>
        <v>16016.365612665566</v>
      </c>
      <c r="K28" s="65">
        <f t="shared" si="12"/>
        <v>20009.408527940916</v>
      </c>
      <c r="L28" s="65">
        <f t="shared" si="12"/>
        <v>23449.264537536135</v>
      </c>
      <c r="M28" s="65">
        <f t="shared" si="12"/>
        <v>27187.95340563882</v>
      </c>
      <c r="N28" s="65">
        <f t="shared" si="12"/>
        <v>31241.910939466874</v>
      </c>
      <c r="O28" s="65">
        <f t="shared" si="12"/>
        <v>35628.4769156352</v>
      </c>
      <c r="P28" s="65">
        <f t="shared" si="12"/>
        <v>40365.944798472505</v>
      </c>
      <c r="Q28" s="65">
        <f t="shared" si="12"/>
        <v>45473.61419284559</v>
      </c>
      <c r="R28" s="65">
        <f t="shared" si="12"/>
        <v>50971.84618188892</v>
      </c>
      <c r="S28" s="65">
        <f t="shared" si="12"/>
        <v>56512.32682830936</v>
      </c>
      <c r="T28" s="65">
        <f t="shared" si="12"/>
        <v>62487.51340666264</v>
      </c>
      <c r="U28" s="65">
        <f t="shared" si="12"/>
        <v>68921.31474320509</v>
      </c>
      <c r="V28" s="65">
        <f t="shared" si="12"/>
        <v>75838.95464963709</v>
      </c>
      <c r="W28" s="65">
        <f t="shared" si="12"/>
        <v>82756.59455606909</v>
      </c>
      <c r="X28" s="65">
        <f t="shared" si="12"/>
        <v>89674.23446250109</v>
      </c>
      <c r="Y28" s="65">
        <f t="shared" si="12"/>
        <v>96591.87436893309</v>
      </c>
      <c r="Z28" s="76">
        <f t="shared" si="12"/>
        <v>103509.51427536509</v>
      </c>
    </row>
    <row r="29" spans="2:26" ht="11.25">
      <c r="B29" s="104" t="str">
        <f>'Balance Profit(loss) EUR'!B30</f>
        <v>Current year profit</v>
      </c>
      <c r="C29" s="95"/>
      <c r="D29" s="65"/>
      <c r="E29" s="65"/>
      <c r="F29" s="65">
        <f>F12</f>
        <v>0</v>
      </c>
      <c r="G29" s="65">
        <f>G12</f>
        <v>4296.54842443392</v>
      </c>
      <c r="H29" s="65">
        <f>H12</f>
        <v>4525.195710534472</v>
      </c>
      <c r="I29" s="65">
        <f aca="true" t="shared" si="13" ref="I29:Z29">I12</f>
        <v>3470.065666042554</v>
      </c>
      <c r="J29" s="65">
        <f t="shared" si="13"/>
        <v>3724.5558116546194</v>
      </c>
      <c r="K29" s="65">
        <f t="shared" si="13"/>
        <v>3993.0429152753486</v>
      </c>
      <c r="L29" s="65">
        <f t="shared" si="13"/>
        <v>3439.856009595219</v>
      </c>
      <c r="M29" s="65">
        <f t="shared" si="13"/>
        <v>3738.6888681026817</v>
      </c>
      <c r="N29" s="65">
        <f t="shared" si="13"/>
        <v>4053.9575338280547</v>
      </c>
      <c r="O29" s="65">
        <f t="shared" si="13"/>
        <v>4386.565976168323</v>
      </c>
      <c r="P29" s="65">
        <f t="shared" si="13"/>
        <v>4737.467882837306</v>
      </c>
      <c r="Q29" s="65">
        <f t="shared" si="13"/>
        <v>5107.669394373083</v>
      </c>
      <c r="R29" s="65">
        <f t="shared" si="13"/>
        <v>5498.231989043328</v>
      </c>
      <c r="S29" s="65">
        <f t="shared" si="13"/>
        <v>5540.480646420437</v>
      </c>
      <c r="T29" s="65">
        <f t="shared" si="13"/>
        <v>5975.186578353286</v>
      </c>
      <c r="U29" s="65">
        <f t="shared" si="13"/>
        <v>6433.801336542441</v>
      </c>
      <c r="V29" s="65">
        <f t="shared" si="13"/>
        <v>6917.639906431999</v>
      </c>
      <c r="W29" s="65">
        <f t="shared" si="13"/>
        <v>6917.639906431999</v>
      </c>
      <c r="X29" s="65">
        <f t="shared" si="13"/>
        <v>6917.639906431999</v>
      </c>
      <c r="Y29" s="65">
        <f t="shared" si="13"/>
        <v>6917.639906431999</v>
      </c>
      <c r="Z29" s="76">
        <f t="shared" si="13"/>
        <v>6917.639906431999</v>
      </c>
    </row>
    <row r="30" spans="2:26" ht="11.25">
      <c r="B30" s="104" t="str">
        <f>'Balance Profit(loss) EUR'!B31</f>
        <v>Previous years profit</v>
      </c>
      <c r="C30" s="87"/>
      <c r="D30" s="87"/>
      <c r="E30" s="87"/>
      <c r="F30" s="114">
        <v>0</v>
      </c>
      <c r="G30" s="114">
        <v>0</v>
      </c>
      <c r="H30" s="114">
        <f>G28</f>
        <v>4296.54842443392</v>
      </c>
      <c r="I30" s="114">
        <f aca="true" t="shared" si="14" ref="I30:Z30">H28</f>
        <v>8821.744134968392</v>
      </c>
      <c r="J30" s="114">
        <f t="shared" si="14"/>
        <v>12291.809801010946</v>
      </c>
      <c r="K30" s="114">
        <f t="shared" si="14"/>
        <v>16016.365612665566</v>
      </c>
      <c r="L30" s="114">
        <f t="shared" si="14"/>
        <v>20009.408527940916</v>
      </c>
      <c r="M30" s="114">
        <f t="shared" si="14"/>
        <v>23449.264537536135</v>
      </c>
      <c r="N30" s="114">
        <f t="shared" si="14"/>
        <v>27187.95340563882</v>
      </c>
      <c r="O30" s="114">
        <f t="shared" si="14"/>
        <v>31241.910939466874</v>
      </c>
      <c r="P30" s="114">
        <f t="shared" si="14"/>
        <v>35628.4769156352</v>
      </c>
      <c r="Q30" s="114">
        <f t="shared" si="14"/>
        <v>40365.944798472505</v>
      </c>
      <c r="R30" s="114">
        <f t="shared" si="14"/>
        <v>45473.61419284559</v>
      </c>
      <c r="S30" s="114">
        <f t="shared" si="14"/>
        <v>50971.84618188892</v>
      </c>
      <c r="T30" s="114">
        <f t="shared" si="14"/>
        <v>56512.32682830936</v>
      </c>
      <c r="U30" s="114">
        <f t="shared" si="14"/>
        <v>62487.51340666264</v>
      </c>
      <c r="V30" s="114">
        <f t="shared" si="14"/>
        <v>68921.31474320509</v>
      </c>
      <c r="W30" s="114">
        <f t="shared" si="14"/>
        <v>75838.95464963709</v>
      </c>
      <c r="X30" s="114">
        <f t="shared" si="14"/>
        <v>82756.59455606909</v>
      </c>
      <c r="Y30" s="114">
        <f t="shared" si="14"/>
        <v>89674.23446250109</v>
      </c>
      <c r="Z30" s="76">
        <f t="shared" si="14"/>
        <v>96591.87436893309</v>
      </c>
    </row>
    <row r="31" spans="2:26" ht="11.25">
      <c r="B31" s="166" t="str">
        <f>'Balance Profit(loss) EUR'!B32</f>
        <v>LIABILITIES</v>
      </c>
      <c r="C31" s="115"/>
      <c r="D31" s="115"/>
      <c r="E31" s="115"/>
      <c r="F31" s="115">
        <f>F32+F33</f>
        <v>109597.43515136</v>
      </c>
      <c r="G31" s="115">
        <f>G32+G33</f>
        <v>109597.43515135998</v>
      </c>
      <c r="H31" s="115">
        <f aca="true" t="shared" si="15" ref="H31:Z31">H32+H33</f>
        <v>104706.584111776</v>
      </c>
      <c r="I31" s="115">
        <f t="shared" si="15"/>
        <v>99546.73626501489</v>
      </c>
      <c r="J31" s="115">
        <f t="shared" si="15"/>
        <v>94103.09678668193</v>
      </c>
      <c r="K31" s="115">
        <f t="shared" si="15"/>
        <v>88360.05713704065</v>
      </c>
      <c r="L31" s="115">
        <f t="shared" si="15"/>
        <v>82301.1503066691</v>
      </c>
      <c r="M31" s="115">
        <f t="shared" si="15"/>
        <v>75909.00360062711</v>
      </c>
      <c r="N31" s="115">
        <f t="shared" si="15"/>
        <v>69165.28882575282</v>
      </c>
      <c r="O31" s="115">
        <f t="shared" si="15"/>
        <v>62050.669738260454</v>
      </c>
      <c r="P31" s="115">
        <f t="shared" si="15"/>
        <v>54544.746600955994</v>
      </c>
      <c r="Q31" s="115">
        <f t="shared" si="15"/>
        <v>46625.9976910998</v>
      </c>
      <c r="R31" s="115">
        <f t="shared" si="15"/>
        <v>38271.717591201515</v>
      </c>
      <c r="S31" s="115">
        <f t="shared" si="15"/>
        <v>29457.952085808836</v>
      </c>
      <c r="T31" s="115">
        <f t="shared" si="15"/>
        <v>20159.429477619546</v>
      </c>
      <c r="U31" s="115">
        <f t="shared" si="15"/>
        <v>10349.488125979859</v>
      </c>
      <c r="V31" s="115">
        <f t="shared" si="15"/>
        <v>0</v>
      </c>
      <c r="W31" s="115">
        <f t="shared" si="15"/>
        <v>0</v>
      </c>
      <c r="X31" s="115">
        <f t="shared" si="15"/>
        <v>0</v>
      </c>
      <c r="Y31" s="115">
        <f t="shared" si="15"/>
        <v>0</v>
      </c>
      <c r="Z31" s="76">
        <f t="shared" si="15"/>
        <v>0</v>
      </c>
    </row>
    <row r="32" spans="2:26" ht="11.25">
      <c r="B32" s="100" t="str">
        <f>'Balance Profit(loss) EUR'!B33</f>
        <v>Long-term loans</v>
      </c>
      <c r="C32" s="95"/>
      <c r="D32" s="65"/>
      <c r="E32" s="65"/>
      <c r="F32" s="65">
        <f>Assumptions!B54*Assumptions!$B$17</f>
        <v>109597.43515136</v>
      </c>
      <c r="G32" s="65">
        <f>(Assumptions!B54-Assumptions!C53)*Assumptions!$B$17</f>
        <v>104706.584111776</v>
      </c>
      <c r="H32" s="65">
        <f>(Assumptions!C54-Assumptions!D53)*Assumptions!$B$17</f>
        <v>99546.7362650149</v>
      </c>
      <c r="I32" s="65">
        <f>(Assumptions!D54-Assumptions!E53)*Assumptions!$B$17</f>
        <v>94103.09678668193</v>
      </c>
      <c r="J32" s="65">
        <f>(Assumptions!E54-Assumptions!F53)*Assumptions!$B$17</f>
        <v>88360.05713704065</v>
      </c>
      <c r="K32" s="65">
        <f>(Assumptions!F54-Assumptions!G53)*Assumptions!$B$17</f>
        <v>82301.15030666911</v>
      </c>
      <c r="L32" s="65">
        <f>(Assumptions!G54-Assumptions!H53)*Assumptions!$B$17</f>
        <v>75909.00360062711</v>
      </c>
      <c r="M32" s="65">
        <f>(Assumptions!H54-Assumptions!I53)*Assumptions!$B$17</f>
        <v>69165.28882575282</v>
      </c>
      <c r="N32" s="65">
        <f>(Assumptions!I54-Assumptions!J53)*Assumptions!$B$17</f>
        <v>62050.669738260454</v>
      </c>
      <c r="O32" s="65">
        <f>(Assumptions!J54-Assumptions!K53)*Assumptions!$B$17</f>
        <v>54544.746600956</v>
      </c>
      <c r="P32" s="65">
        <f>(Assumptions!K54-Assumptions!L53)*Assumptions!$B$17</f>
        <v>46625.9976910998</v>
      </c>
      <c r="Q32" s="65">
        <f>(Assumptions!L54-Assumptions!M53)*Assumptions!$B$17</f>
        <v>38271.717591201515</v>
      </c>
      <c r="R32" s="65">
        <f>(Assumptions!M54-Assumptions!N53)*Assumptions!$B$17</f>
        <v>29457.952085808833</v>
      </c>
      <c r="S32" s="65">
        <f>(Assumptions!N54-Assumptions!O53)*Assumptions!$B$17</f>
        <v>20159.429477619546</v>
      </c>
      <c r="T32" s="65">
        <f>(Assumptions!O54-Assumptions!P53)*Assumptions!$B$17</f>
        <v>10349.488125979859</v>
      </c>
      <c r="U32" s="65">
        <f>(Assumptions!P54-Assumptions!Q53)*Assumptions!$B$17</f>
        <v>-1.0991061571985483E-11</v>
      </c>
      <c r="V32" s="65">
        <f>(Assumptions!Q54-Assumptions!R53)*Assumptions!$B$17</f>
        <v>0</v>
      </c>
      <c r="W32" s="65">
        <f>Assumptions!R54-Assumptions!S53</f>
        <v>0</v>
      </c>
      <c r="X32" s="65">
        <f>Assumptions!S54-Assumptions!T53</f>
        <v>0</v>
      </c>
      <c r="Y32" s="65">
        <f>Assumptions!T54-Assumptions!U53</f>
        <v>0</v>
      </c>
      <c r="Z32" s="76">
        <f>Assumptions!U54-Assumptions!V53</f>
        <v>0</v>
      </c>
    </row>
    <row r="33" spans="2:26" ht="11.25">
      <c r="B33" s="102" t="str">
        <f>'Balance Profit(loss) EUR'!B34</f>
        <v>Short-term part of long-term loan</v>
      </c>
      <c r="C33" s="109"/>
      <c r="D33" s="23"/>
      <c r="E33" s="23"/>
      <c r="F33" s="23">
        <f>Assumptions!B53</f>
        <v>0</v>
      </c>
      <c r="G33" s="23">
        <f>Assumptions!C53*Assumptions!$B$17</f>
        <v>4890.851039583985</v>
      </c>
      <c r="H33" s="23">
        <f>Assumptions!D53*Assumptions!$B$17</f>
        <v>5159.847846761105</v>
      </c>
      <c r="I33" s="23">
        <f>Assumptions!E53*Assumptions!$B$17</f>
        <v>5443.639478332964</v>
      </c>
      <c r="J33" s="23">
        <f>Assumptions!F53*Assumptions!$B$17</f>
        <v>5743.039649641277</v>
      </c>
      <c r="K33" s="23">
        <f>Assumptions!G53*Assumptions!$B$17</f>
        <v>6058.906830371545</v>
      </c>
      <c r="L33" s="23">
        <f>Assumptions!H53*Assumptions!$B$17</f>
        <v>6392.146706041977</v>
      </c>
      <c r="M33" s="23">
        <f>Assumptions!I53*Assumptions!$B$17</f>
        <v>6743.714774874286</v>
      </c>
      <c r="N33" s="23">
        <f>Assumptions!J53*Assumptions!$B$17</f>
        <v>7114.61908749237</v>
      </c>
      <c r="O33" s="23">
        <f>Assumptions!K53*Assumptions!$B$17</f>
        <v>7505.923137304452</v>
      </c>
      <c r="P33" s="23">
        <f>Assumptions!L53*Assumptions!$B$17</f>
        <v>7918.748909856195</v>
      </c>
      <c r="Q33" s="23">
        <f>Assumptions!M53*Assumptions!$B$17</f>
        <v>8354.280099898286</v>
      </c>
      <c r="R33" s="23">
        <f>Assumptions!N53*Assumptions!$B$17</f>
        <v>8813.765505392685</v>
      </c>
      <c r="S33" s="23">
        <f>Assumptions!O53*Assumptions!$B$17</f>
        <v>9298.522608189289</v>
      </c>
      <c r="T33" s="23">
        <f>Assumptions!P53*Assumptions!$B$17</f>
        <v>9809.941351639685</v>
      </c>
      <c r="U33" s="23">
        <f>Assumptions!Q53*Assumptions!$B$17</f>
        <v>10349.48812597987</v>
      </c>
      <c r="V33" s="23">
        <f>Assumptions!R53*Assumptions!$B$17</f>
        <v>0</v>
      </c>
      <c r="W33" s="23">
        <f>Assumptions!S53</f>
        <v>0</v>
      </c>
      <c r="X33" s="23">
        <f>Assumptions!T53</f>
        <v>0</v>
      </c>
      <c r="Y33" s="23">
        <f>Assumptions!U53</f>
        <v>0</v>
      </c>
      <c r="Z33" s="110">
        <f>Assumptions!V53</f>
        <v>0</v>
      </c>
    </row>
    <row r="34" spans="2:5" ht="11.25">
      <c r="B34" s="68"/>
      <c r="C34" s="68"/>
      <c r="D34" s="68"/>
      <c r="E34" s="68"/>
    </row>
    <row r="35" spans="2:11" ht="11.25">
      <c r="B35" s="116" t="s">
        <v>149</v>
      </c>
      <c r="C35" s="116"/>
      <c r="D35" s="116"/>
      <c r="E35" s="116"/>
      <c r="F35" s="116"/>
      <c r="G35" s="116"/>
      <c r="H35" s="117"/>
      <c r="I35" s="117"/>
      <c r="J35" s="118"/>
      <c r="K35" s="118"/>
    </row>
    <row r="36" spans="2:26" ht="11.25">
      <c r="B36" s="134" t="str">
        <f>'Balance Profit(loss) EUR'!B37</f>
        <v>Cash flow statement</v>
      </c>
      <c r="C36" s="134"/>
      <c r="D36" s="134"/>
      <c r="E36" s="134"/>
      <c r="F36" s="134">
        <f>F17</f>
        <v>2010</v>
      </c>
      <c r="G36" s="134">
        <f aca="true" t="shared" si="16" ref="G36:Z36">G17</f>
        <v>2011</v>
      </c>
      <c r="H36" s="134">
        <f t="shared" si="16"/>
        <v>2012</v>
      </c>
      <c r="I36" s="134">
        <f t="shared" si="16"/>
        <v>2013</v>
      </c>
      <c r="J36" s="134">
        <f t="shared" si="16"/>
        <v>2014</v>
      </c>
      <c r="K36" s="134">
        <f t="shared" si="16"/>
        <v>2015</v>
      </c>
      <c r="L36" s="134">
        <f t="shared" si="16"/>
        <v>2016</v>
      </c>
      <c r="M36" s="134">
        <f t="shared" si="16"/>
        <v>2017</v>
      </c>
      <c r="N36" s="134">
        <f t="shared" si="16"/>
        <v>2018</v>
      </c>
      <c r="O36" s="134">
        <f t="shared" si="16"/>
        <v>2019</v>
      </c>
      <c r="P36" s="134">
        <f t="shared" si="16"/>
        <v>2020</v>
      </c>
      <c r="Q36" s="134">
        <f t="shared" si="16"/>
        <v>2021</v>
      </c>
      <c r="R36" s="134">
        <f t="shared" si="16"/>
        <v>2022</v>
      </c>
      <c r="S36" s="134">
        <f t="shared" si="16"/>
        <v>2023</v>
      </c>
      <c r="T36" s="134">
        <f t="shared" si="16"/>
        <v>2024</v>
      </c>
      <c r="U36" s="134">
        <f t="shared" si="16"/>
        <v>2025</v>
      </c>
      <c r="V36" s="134">
        <f t="shared" si="16"/>
        <v>2026</v>
      </c>
      <c r="W36" s="134">
        <f t="shared" si="16"/>
        <v>2027</v>
      </c>
      <c r="X36" s="134">
        <f t="shared" si="16"/>
        <v>2028</v>
      </c>
      <c r="Y36" s="134">
        <f t="shared" si="16"/>
        <v>2029</v>
      </c>
      <c r="Z36" s="134">
        <f t="shared" si="16"/>
        <v>2030</v>
      </c>
    </row>
    <row r="37" spans="2:26" ht="11.25">
      <c r="B37" s="99" t="str">
        <f>'Balance Profit(loss) EUR'!B38</f>
        <v>Operating</v>
      </c>
      <c r="C37" s="126"/>
      <c r="D37" s="126"/>
      <c r="E37" s="126"/>
      <c r="F37" s="126">
        <f>F38+F39</f>
        <v>0</v>
      </c>
      <c r="G37" s="125">
        <f>G38+G39</f>
        <v>10743.45637451392</v>
      </c>
      <c r="H37" s="125">
        <f aca="true" t="shared" si="17" ref="H37:Z37">H38+H39</f>
        <v>10972.103660614472</v>
      </c>
      <c r="I37" s="125">
        <f t="shared" si="17"/>
        <v>9916.973616122554</v>
      </c>
      <c r="J37" s="125">
        <f t="shared" si="17"/>
        <v>10171.46376173462</v>
      </c>
      <c r="K37" s="125">
        <f t="shared" si="17"/>
        <v>10439.95086535535</v>
      </c>
      <c r="L37" s="125">
        <f t="shared" si="17"/>
        <v>9886.76395967522</v>
      </c>
      <c r="M37" s="125">
        <f t="shared" si="17"/>
        <v>10185.596818182681</v>
      </c>
      <c r="N37" s="125">
        <f t="shared" si="17"/>
        <v>10500.865483908055</v>
      </c>
      <c r="O37" s="125">
        <f t="shared" si="17"/>
        <v>10833.473926248324</v>
      </c>
      <c r="P37" s="125">
        <f t="shared" si="17"/>
        <v>11184.375832917307</v>
      </c>
      <c r="Q37" s="125">
        <f t="shared" si="17"/>
        <v>11554.577344453082</v>
      </c>
      <c r="R37" s="125">
        <f t="shared" si="17"/>
        <v>11945.139939123328</v>
      </c>
      <c r="S37" s="125">
        <f t="shared" si="17"/>
        <v>11987.388596500437</v>
      </c>
      <c r="T37" s="125">
        <f t="shared" si="17"/>
        <v>12422.094528433285</v>
      </c>
      <c r="U37" s="125">
        <f t="shared" si="17"/>
        <v>12880.709286622441</v>
      </c>
      <c r="V37" s="125">
        <f t="shared" si="17"/>
        <v>13364.547856512</v>
      </c>
      <c r="W37" s="125">
        <f t="shared" si="17"/>
        <v>13364.547856512</v>
      </c>
      <c r="X37" s="125">
        <f t="shared" si="17"/>
        <v>13364.547856512</v>
      </c>
      <c r="Y37" s="125">
        <f t="shared" si="17"/>
        <v>13364.547856512</v>
      </c>
      <c r="Z37" s="125">
        <f t="shared" si="17"/>
        <v>13364.547856512</v>
      </c>
    </row>
    <row r="38" spans="2:26" ht="11.25">
      <c r="B38" s="100" t="str">
        <f>'Balance Profit(loss) EUR'!B39</f>
        <v>   Net profit</v>
      </c>
      <c r="C38" s="127"/>
      <c r="D38" s="127"/>
      <c r="E38" s="127"/>
      <c r="F38" s="127">
        <f>F12</f>
        <v>0</v>
      </c>
      <c r="G38" s="124">
        <f>G12</f>
        <v>4296.54842443392</v>
      </c>
      <c r="H38" s="124">
        <f aca="true" t="shared" si="18" ref="H38:Z38">H12</f>
        <v>4525.195710534472</v>
      </c>
      <c r="I38" s="124">
        <f t="shared" si="18"/>
        <v>3470.065666042554</v>
      </c>
      <c r="J38" s="124">
        <f t="shared" si="18"/>
        <v>3724.5558116546194</v>
      </c>
      <c r="K38" s="124">
        <f t="shared" si="18"/>
        <v>3993.0429152753486</v>
      </c>
      <c r="L38" s="124">
        <f t="shared" si="18"/>
        <v>3439.856009595219</v>
      </c>
      <c r="M38" s="124">
        <f t="shared" si="18"/>
        <v>3738.6888681026817</v>
      </c>
      <c r="N38" s="124">
        <f t="shared" si="18"/>
        <v>4053.9575338280547</v>
      </c>
      <c r="O38" s="124">
        <f t="shared" si="18"/>
        <v>4386.565976168323</v>
      </c>
      <c r="P38" s="124">
        <f t="shared" si="18"/>
        <v>4737.467882837306</v>
      </c>
      <c r="Q38" s="124">
        <f t="shared" si="18"/>
        <v>5107.669394373083</v>
      </c>
      <c r="R38" s="124">
        <f t="shared" si="18"/>
        <v>5498.231989043328</v>
      </c>
      <c r="S38" s="124">
        <f t="shared" si="18"/>
        <v>5540.480646420437</v>
      </c>
      <c r="T38" s="124">
        <f t="shared" si="18"/>
        <v>5975.186578353286</v>
      </c>
      <c r="U38" s="124">
        <f t="shared" si="18"/>
        <v>6433.801336542441</v>
      </c>
      <c r="V38" s="124">
        <f t="shared" si="18"/>
        <v>6917.639906431999</v>
      </c>
      <c r="W38" s="124">
        <f t="shared" si="18"/>
        <v>6917.639906431999</v>
      </c>
      <c r="X38" s="124">
        <f t="shared" si="18"/>
        <v>6917.639906431999</v>
      </c>
      <c r="Y38" s="124">
        <f t="shared" si="18"/>
        <v>6917.639906431999</v>
      </c>
      <c r="Z38" s="124">
        <f t="shared" si="18"/>
        <v>6917.639906431999</v>
      </c>
    </row>
    <row r="39" spans="2:26" ht="11.25">
      <c r="B39" s="136" t="str">
        <f>'Balance Profit(loss) EUR'!B40</f>
        <v>   Depreciation</v>
      </c>
      <c r="C39" s="119"/>
      <c r="D39" s="119"/>
      <c r="E39" s="119"/>
      <c r="F39" s="119">
        <f>Assumptions!B44</f>
        <v>0</v>
      </c>
      <c r="G39" s="127">
        <f>Assumptions!C44*Assumptions!$B$17</f>
        <v>6446.90795008</v>
      </c>
      <c r="H39" s="127">
        <f>Assumptions!D44*Assumptions!$B$17</f>
        <v>6446.90795008</v>
      </c>
      <c r="I39" s="127">
        <f>Assumptions!E44*Assumptions!$B$17</f>
        <v>6446.90795008</v>
      </c>
      <c r="J39" s="127">
        <f>Assumptions!F44*Assumptions!$B$17</f>
        <v>6446.90795008</v>
      </c>
      <c r="K39" s="127">
        <f>Assumptions!G44*Assumptions!$B$17</f>
        <v>6446.90795008</v>
      </c>
      <c r="L39" s="127">
        <f>Assumptions!H44*Assumptions!$B$17</f>
        <v>6446.90795008</v>
      </c>
      <c r="M39" s="127">
        <f>Assumptions!I44*Assumptions!$B$17</f>
        <v>6446.90795008</v>
      </c>
      <c r="N39" s="127">
        <f>Assumptions!J44*Assumptions!$B$17</f>
        <v>6446.90795008</v>
      </c>
      <c r="O39" s="127">
        <f>Assumptions!K44*Assumptions!$B$17</f>
        <v>6446.90795008</v>
      </c>
      <c r="P39" s="127">
        <f>Assumptions!L44*Assumptions!$B$17</f>
        <v>6446.90795008</v>
      </c>
      <c r="Q39" s="127">
        <f>Assumptions!M44*Assumptions!$B$17</f>
        <v>6446.90795008</v>
      </c>
      <c r="R39" s="127">
        <f>Assumptions!N44*Assumptions!$B$17</f>
        <v>6446.90795008</v>
      </c>
      <c r="S39" s="127">
        <f>Assumptions!O44*Assumptions!$B$17</f>
        <v>6446.90795008</v>
      </c>
      <c r="T39" s="127">
        <f>Assumptions!P44*Assumptions!$B$17</f>
        <v>6446.90795008</v>
      </c>
      <c r="U39" s="127">
        <f>Assumptions!Q44*Assumptions!$B$17</f>
        <v>6446.90795008</v>
      </c>
      <c r="V39" s="127">
        <f>Assumptions!R44*Assumptions!$B$17</f>
        <v>6446.90795008</v>
      </c>
      <c r="W39" s="127">
        <f>Assumptions!S44*Assumptions!$B$17</f>
        <v>6446.90795008</v>
      </c>
      <c r="X39" s="127">
        <f>Assumptions!T44*Assumptions!$B$17</f>
        <v>6446.90795008</v>
      </c>
      <c r="Y39" s="127">
        <f>Assumptions!U44*Assumptions!$B$17</f>
        <v>6446.90795008</v>
      </c>
      <c r="Z39" s="127">
        <f>Assumptions!V44*Assumptions!$B$17</f>
        <v>6446.90795008</v>
      </c>
    </row>
    <row r="40" spans="2:11" ht="11.25">
      <c r="B40" s="100"/>
      <c r="C40" s="116"/>
      <c r="D40" s="116"/>
      <c r="E40" s="116"/>
      <c r="F40" s="116"/>
      <c r="G40" s="116"/>
      <c r="H40" s="122"/>
      <c r="I40" s="122"/>
      <c r="J40" s="118"/>
      <c r="K40" s="118"/>
    </row>
    <row r="41" spans="2:26" ht="11.25">
      <c r="B41" s="100" t="str">
        <f>'Balance Profit(loss) EUR'!B42</f>
        <v>Investing:</v>
      </c>
      <c r="C41" s="120"/>
      <c r="D41" s="120"/>
      <c r="E41" s="120"/>
      <c r="F41" s="120">
        <f>F42</f>
        <v>128938.15900159998</v>
      </c>
      <c r="G41" s="120">
        <f aca="true" t="shared" si="19" ref="G41:Z41">G42</f>
        <v>0</v>
      </c>
      <c r="H41" s="120">
        <f t="shared" si="19"/>
        <v>0</v>
      </c>
      <c r="I41" s="120">
        <f t="shared" si="19"/>
        <v>0</v>
      </c>
      <c r="J41" s="120">
        <f t="shared" si="19"/>
        <v>0</v>
      </c>
      <c r="K41" s="120">
        <f t="shared" si="19"/>
        <v>0</v>
      </c>
      <c r="L41" s="120">
        <f t="shared" si="19"/>
        <v>0</v>
      </c>
      <c r="M41" s="120">
        <f t="shared" si="19"/>
        <v>0</v>
      </c>
      <c r="N41" s="120">
        <f t="shared" si="19"/>
        <v>0</v>
      </c>
      <c r="O41" s="120">
        <f t="shared" si="19"/>
        <v>0</v>
      </c>
      <c r="P41" s="120">
        <f t="shared" si="19"/>
        <v>0</v>
      </c>
      <c r="Q41" s="120">
        <f t="shared" si="19"/>
        <v>0</v>
      </c>
      <c r="R41" s="120">
        <f t="shared" si="19"/>
        <v>0</v>
      </c>
      <c r="S41" s="120">
        <f t="shared" si="19"/>
        <v>0</v>
      </c>
      <c r="T41" s="120">
        <f t="shared" si="19"/>
        <v>0</v>
      </c>
      <c r="U41" s="120">
        <f t="shared" si="19"/>
        <v>0</v>
      </c>
      <c r="V41" s="120">
        <f t="shared" si="19"/>
        <v>0</v>
      </c>
      <c r="W41" s="120">
        <f t="shared" si="19"/>
        <v>0</v>
      </c>
      <c r="X41" s="120">
        <f t="shared" si="19"/>
        <v>0</v>
      </c>
      <c r="Y41" s="120">
        <f t="shared" si="19"/>
        <v>0</v>
      </c>
      <c r="Z41" s="120">
        <f t="shared" si="19"/>
        <v>0</v>
      </c>
    </row>
    <row r="42" spans="2:11" ht="11.25">
      <c r="B42" s="136" t="str">
        <f>'Balance Profit(loss) EUR'!B43</f>
        <v>  Investments into tangible assets</v>
      </c>
      <c r="C42" s="128"/>
      <c r="D42" s="128"/>
      <c r="E42" s="128"/>
      <c r="F42" s="168">
        <f>Assumptions!B15</f>
        <v>128938.15900159998</v>
      </c>
      <c r="G42" s="121"/>
      <c r="H42" s="117"/>
      <c r="I42" s="117"/>
      <c r="J42" s="118"/>
      <c r="K42" s="118"/>
    </row>
    <row r="43" spans="2:11" ht="11.25">
      <c r="B43" s="137"/>
      <c r="C43" s="123"/>
      <c r="D43" s="123"/>
      <c r="E43" s="123"/>
      <c r="F43" s="123"/>
      <c r="G43" s="123"/>
      <c r="H43" s="116"/>
      <c r="I43" s="116"/>
      <c r="J43" s="118"/>
      <c r="K43" s="118"/>
    </row>
    <row r="44" spans="2:26" ht="11.25">
      <c r="B44" s="100" t="str">
        <f>'Balance Profit(loss) EUR'!B45</f>
        <v>Financing:</v>
      </c>
      <c r="C44" s="125"/>
      <c r="D44" s="125"/>
      <c r="E44" s="125"/>
      <c r="F44" s="125">
        <f>F45-F46</f>
        <v>109597.43515136</v>
      </c>
      <c r="G44" s="125">
        <f>G45-G46</f>
        <v>-4890.851039583985</v>
      </c>
      <c r="H44" s="125">
        <f aca="true" t="shared" si="20" ref="H44:Z44">H45-H46</f>
        <v>-5159.847846761105</v>
      </c>
      <c r="I44" s="125">
        <f t="shared" si="20"/>
        <v>-5443.639478332964</v>
      </c>
      <c r="J44" s="125">
        <f t="shared" si="20"/>
        <v>-5743.039649641277</v>
      </c>
      <c r="K44" s="125">
        <f t="shared" si="20"/>
        <v>-6058.906830371545</v>
      </c>
      <c r="L44" s="125">
        <f t="shared" si="20"/>
        <v>-6392.146706041977</v>
      </c>
      <c r="M44" s="125">
        <f t="shared" si="20"/>
        <v>-6743.714774874286</v>
      </c>
      <c r="N44" s="125">
        <f t="shared" si="20"/>
        <v>-7114.61908749237</v>
      </c>
      <c r="O44" s="125">
        <f t="shared" si="20"/>
        <v>-7505.923137304452</v>
      </c>
      <c r="P44" s="125">
        <f t="shared" si="20"/>
        <v>-7918.748909856195</v>
      </c>
      <c r="Q44" s="125">
        <f t="shared" si="20"/>
        <v>-8354.280099898286</v>
      </c>
      <c r="R44" s="125">
        <f t="shared" si="20"/>
        <v>-8813.765505392685</v>
      </c>
      <c r="S44" s="125">
        <f t="shared" si="20"/>
        <v>-9298.522608189289</v>
      </c>
      <c r="T44" s="125">
        <f t="shared" si="20"/>
        <v>-9809.941351639685</v>
      </c>
      <c r="U44" s="125">
        <f t="shared" si="20"/>
        <v>-10349.48812597987</v>
      </c>
      <c r="V44" s="125">
        <f t="shared" si="20"/>
        <v>0</v>
      </c>
      <c r="W44" s="125">
        <f t="shared" si="20"/>
        <v>0</v>
      </c>
      <c r="X44" s="125">
        <f t="shared" si="20"/>
        <v>0</v>
      </c>
      <c r="Y44" s="125">
        <f t="shared" si="20"/>
        <v>0</v>
      </c>
      <c r="Z44" s="125">
        <f t="shared" si="20"/>
        <v>0</v>
      </c>
    </row>
    <row r="45" spans="2:11" ht="11.25">
      <c r="B45" s="100" t="str">
        <f>'Balance Profit(loss) EUR'!B46</f>
        <v>  Raising of external financing </v>
      </c>
      <c r="C45" s="124"/>
      <c r="D45" s="124"/>
      <c r="E45" s="124"/>
      <c r="F45" s="124">
        <f>Assumptions!B49*Assumptions!$B$17</f>
        <v>109597.43515136</v>
      </c>
      <c r="G45" s="116"/>
      <c r="H45" s="117"/>
      <c r="I45" s="117"/>
      <c r="J45" s="118"/>
      <c r="K45" s="118"/>
    </row>
    <row r="46" spans="2:26" ht="11.25">
      <c r="B46" s="100" t="str">
        <f>'Balance Profit(loss) EUR'!B47</f>
        <v>  Repayment of loan</v>
      </c>
      <c r="C46" s="124"/>
      <c r="D46" s="124"/>
      <c r="E46" s="124"/>
      <c r="F46" s="124">
        <f>Assumptions!B53</f>
        <v>0</v>
      </c>
      <c r="G46" s="124">
        <f>Assumptions!C53*Assumptions!$B$17</f>
        <v>4890.851039583985</v>
      </c>
      <c r="H46" s="124">
        <f>Assumptions!D53*Assumptions!$B$17</f>
        <v>5159.847846761105</v>
      </c>
      <c r="I46" s="124">
        <f>Assumptions!E53*Assumptions!$B$17</f>
        <v>5443.639478332964</v>
      </c>
      <c r="J46" s="124">
        <f>Assumptions!F53*Assumptions!$B$17</f>
        <v>5743.039649641277</v>
      </c>
      <c r="K46" s="124">
        <f>Assumptions!G53*Assumptions!$B$17</f>
        <v>6058.906830371545</v>
      </c>
      <c r="L46" s="124">
        <f>Assumptions!H53*Assumptions!$B$17</f>
        <v>6392.146706041977</v>
      </c>
      <c r="M46" s="124">
        <f>Assumptions!I53*Assumptions!$B$17</f>
        <v>6743.714774874286</v>
      </c>
      <c r="N46" s="124">
        <f>Assumptions!J53*Assumptions!$B$17</f>
        <v>7114.61908749237</v>
      </c>
      <c r="O46" s="124">
        <f>Assumptions!K53*Assumptions!$B$17</f>
        <v>7505.923137304452</v>
      </c>
      <c r="P46" s="124">
        <f>Assumptions!L53*Assumptions!$B$17</f>
        <v>7918.748909856195</v>
      </c>
      <c r="Q46" s="124">
        <f>Assumptions!M53*Assumptions!$B$17</f>
        <v>8354.280099898286</v>
      </c>
      <c r="R46" s="124">
        <f>Assumptions!N53*Assumptions!$B$17</f>
        <v>8813.765505392685</v>
      </c>
      <c r="S46" s="124">
        <f>Assumptions!O53*Assumptions!$B$17</f>
        <v>9298.522608189289</v>
      </c>
      <c r="T46" s="124">
        <f>Assumptions!P53*Assumptions!$B$17</f>
        <v>9809.941351639685</v>
      </c>
      <c r="U46" s="124">
        <f>Assumptions!Q53*Assumptions!$B$17</f>
        <v>10349.48812597987</v>
      </c>
      <c r="V46" s="124">
        <f>Assumptions!R53*Assumptions!$B$17</f>
        <v>0</v>
      </c>
      <c r="W46" s="124">
        <f>Assumptions!S53*Assumptions!$B$17</f>
        <v>0</v>
      </c>
      <c r="X46" s="124">
        <f>Assumptions!T53</f>
        <v>0</v>
      </c>
      <c r="Y46" s="124">
        <f>Assumptions!U53</f>
        <v>0</v>
      </c>
      <c r="Z46" s="124">
        <f>Assumptions!V53</f>
        <v>0</v>
      </c>
    </row>
    <row r="47" spans="2:11" ht="11.25">
      <c r="B47" s="100"/>
      <c r="C47" s="116"/>
      <c r="D47" s="116"/>
      <c r="E47" s="116"/>
      <c r="F47" s="116"/>
      <c r="G47" s="116"/>
      <c r="H47" s="116"/>
      <c r="I47" s="116"/>
      <c r="J47" s="118"/>
      <c r="K47" s="118"/>
    </row>
    <row r="48" spans="2:26" ht="11.25">
      <c r="B48" s="100" t="str">
        <f>'Balance Profit(loss) EUR'!B49</f>
        <v>Total cash flow:</v>
      </c>
      <c r="C48" s="125"/>
      <c r="D48" s="125"/>
      <c r="E48" s="125"/>
      <c r="F48" s="125">
        <f>F37-F41+F44</f>
        <v>-19340.723850239985</v>
      </c>
      <c r="G48" s="125">
        <f>G37-G41+G44</f>
        <v>5852.605334929935</v>
      </c>
      <c r="H48" s="125">
        <f>H37-H41+H44</f>
        <v>5812.255813853367</v>
      </c>
      <c r="I48" s="125">
        <f>I37-I41+I44</f>
        <v>4473.3341377895895</v>
      </c>
      <c r="J48" s="125">
        <f aca="true" t="shared" si="21" ref="J48:Z48">J37-J41+J44</f>
        <v>4428.424112093343</v>
      </c>
      <c r="K48" s="125">
        <f t="shared" si="21"/>
        <v>4381.0440349838045</v>
      </c>
      <c r="L48" s="125">
        <f t="shared" si="21"/>
        <v>3494.6172536332424</v>
      </c>
      <c r="M48" s="125">
        <f t="shared" si="21"/>
        <v>3441.8820433083947</v>
      </c>
      <c r="N48" s="125">
        <f t="shared" si="21"/>
        <v>3386.246396415685</v>
      </c>
      <c r="O48" s="125">
        <f t="shared" si="21"/>
        <v>3327.5507889438713</v>
      </c>
      <c r="P48" s="125">
        <f t="shared" si="21"/>
        <v>3265.6269230611124</v>
      </c>
      <c r="Q48" s="125">
        <f t="shared" si="21"/>
        <v>3200.2972445547966</v>
      </c>
      <c r="R48" s="125">
        <f t="shared" si="21"/>
        <v>3131.3744337306434</v>
      </c>
      <c r="S48" s="125">
        <f t="shared" si="21"/>
        <v>2688.8659883111486</v>
      </c>
      <c r="T48" s="125">
        <f t="shared" si="21"/>
        <v>2612.1531767935994</v>
      </c>
      <c r="U48" s="125">
        <f t="shared" si="21"/>
        <v>2531.2211606425717</v>
      </c>
      <c r="V48" s="125">
        <f t="shared" si="21"/>
        <v>13364.547856512</v>
      </c>
      <c r="W48" s="125">
        <f t="shared" si="21"/>
        <v>13364.547856512</v>
      </c>
      <c r="X48" s="125">
        <f t="shared" si="21"/>
        <v>13364.547856512</v>
      </c>
      <c r="Y48" s="125">
        <f t="shared" si="21"/>
        <v>13364.547856512</v>
      </c>
      <c r="Z48" s="125">
        <f t="shared" si="21"/>
        <v>13364.547856512</v>
      </c>
    </row>
    <row r="49" spans="2:26" ht="11.25">
      <c r="B49" s="100" t="str">
        <f>'Balance Profit(loss) EUR'!B50</f>
        <v>Cash at the beginning of the year</v>
      </c>
      <c r="C49" s="120"/>
      <c r="D49" s="120"/>
      <c r="E49" s="120"/>
      <c r="F49" s="120">
        <v>0</v>
      </c>
      <c r="G49" s="125">
        <f>F50</f>
        <v>-19340.723850239985</v>
      </c>
      <c r="H49" s="125">
        <f>G50</f>
        <v>-13488.118515310049</v>
      </c>
      <c r="I49" s="125">
        <f aca="true" t="shared" si="22" ref="I49:Z49">H50</f>
        <v>-7675.862701456682</v>
      </c>
      <c r="J49" s="125">
        <f t="shared" si="22"/>
        <v>-3202.5285636670924</v>
      </c>
      <c r="K49" s="125">
        <f t="shared" si="22"/>
        <v>1225.8955484262506</v>
      </c>
      <c r="L49" s="125">
        <f t="shared" si="22"/>
        <v>5606.939583410055</v>
      </c>
      <c r="M49" s="125">
        <f t="shared" si="22"/>
        <v>9101.556837043297</v>
      </c>
      <c r="N49" s="125">
        <f t="shared" si="22"/>
        <v>12543.438880351692</v>
      </c>
      <c r="O49" s="125">
        <f t="shared" si="22"/>
        <v>15929.685276767377</v>
      </c>
      <c r="P49" s="125">
        <f t="shared" si="22"/>
        <v>19257.236065711248</v>
      </c>
      <c r="Q49" s="125">
        <f t="shared" si="22"/>
        <v>22522.86298877236</v>
      </c>
      <c r="R49" s="125">
        <f t="shared" si="22"/>
        <v>25723.160233327155</v>
      </c>
      <c r="S49" s="125">
        <f t="shared" si="22"/>
        <v>28854.5346670578</v>
      </c>
      <c r="T49" s="125">
        <f t="shared" si="22"/>
        <v>31543.400655368947</v>
      </c>
      <c r="U49" s="125">
        <f t="shared" si="22"/>
        <v>34155.55383216255</v>
      </c>
      <c r="V49" s="125">
        <f t="shared" si="22"/>
        <v>36686.77499280512</v>
      </c>
      <c r="W49" s="125">
        <f t="shared" si="22"/>
        <v>50051.32284931712</v>
      </c>
      <c r="X49" s="125">
        <f t="shared" si="22"/>
        <v>63415.87070582912</v>
      </c>
      <c r="Y49" s="125">
        <f t="shared" si="22"/>
        <v>76780.41856234112</v>
      </c>
      <c r="Z49" s="125">
        <f t="shared" si="22"/>
        <v>90144.96641885312</v>
      </c>
    </row>
    <row r="50" spans="2:26" ht="11.25">
      <c r="B50" s="102" t="s">
        <v>146</v>
      </c>
      <c r="C50" s="135"/>
      <c r="D50" s="135"/>
      <c r="E50" s="135"/>
      <c r="F50" s="135">
        <f>F49+F48</f>
        <v>-19340.723850239985</v>
      </c>
      <c r="G50" s="135">
        <f>G48+G49</f>
        <v>-13488.118515310049</v>
      </c>
      <c r="H50" s="135">
        <f aca="true" t="shared" si="23" ref="H50:Z50">H48+H49</f>
        <v>-7675.862701456682</v>
      </c>
      <c r="I50" s="135">
        <f t="shared" si="23"/>
        <v>-3202.5285636670924</v>
      </c>
      <c r="J50" s="135">
        <f t="shared" si="23"/>
        <v>1225.8955484262506</v>
      </c>
      <c r="K50" s="135">
        <f t="shared" si="23"/>
        <v>5606.939583410055</v>
      </c>
      <c r="L50" s="135">
        <f t="shared" si="23"/>
        <v>9101.556837043297</v>
      </c>
      <c r="M50" s="135">
        <f t="shared" si="23"/>
        <v>12543.438880351692</v>
      </c>
      <c r="N50" s="135">
        <f t="shared" si="23"/>
        <v>15929.685276767377</v>
      </c>
      <c r="O50" s="135">
        <f t="shared" si="23"/>
        <v>19257.236065711248</v>
      </c>
      <c r="P50" s="135">
        <f t="shared" si="23"/>
        <v>22522.86298877236</v>
      </c>
      <c r="Q50" s="135">
        <f t="shared" si="23"/>
        <v>25723.160233327155</v>
      </c>
      <c r="R50" s="135">
        <f t="shared" si="23"/>
        <v>28854.5346670578</v>
      </c>
      <c r="S50" s="135">
        <f t="shared" si="23"/>
        <v>31543.400655368947</v>
      </c>
      <c r="T50" s="135">
        <f t="shared" si="23"/>
        <v>34155.55383216255</v>
      </c>
      <c r="U50" s="135">
        <f t="shared" si="23"/>
        <v>36686.77499280512</v>
      </c>
      <c r="V50" s="135">
        <f t="shared" si="23"/>
        <v>50051.32284931712</v>
      </c>
      <c r="W50" s="135">
        <f t="shared" si="23"/>
        <v>63415.87070582912</v>
      </c>
      <c r="X50" s="135">
        <f t="shared" si="23"/>
        <v>76780.41856234112</v>
      </c>
      <c r="Y50" s="135">
        <f t="shared" si="23"/>
        <v>90144.96641885312</v>
      </c>
      <c r="Z50" s="135">
        <f t="shared" si="23"/>
        <v>103509.51427536512</v>
      </c>
    </row>
    <row r="51" spans="2:11" ht="11.25">
      <c r="B51" s="118"/>
      <c r="C51" s="118"/>
      <c r="D51" s="118"/>
      <c r="E51" s="118"/>
      <c r="F51" s="118"/>
      <c r="G51" s="118"/>
      <c r="H51" s="118"/>
      <c r="I51" s="118"/>
      <c r="J51" s="118"/>
      <c r="K51" s="118"/>
    </row>
    <row r="52" spans="2:11" ht="11.25">
      <c r="B52" s="118"/>
      <c r="C52" s="118"/>
      <c r="D52" s="118"/>
      <c r="E52" s="118"/>
      <c r="F52" s="118"/>
      <c r="G52" s="118"/>
      <c r="H52" s="118"/>
      <c r="I52" s="118"/>
      <c r="J52" s="118"/>
      <c r="K52" s="11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dc:creator>
  <cp:keywords/>
  <dc:description/>
  <cp:lastModifiedBy>Ishmukhametov</cp:lastModifiedBy>
  <cp:lastPrinted>2005-10-18T13:03:06Z</cp:lastPrinted>
  <dcterms:created xsi:type="dcterms:W3CDTF">2005-07-28T14:48:17Z</dcterms:created>
  <dcterms:modified xsi:type="dcterms:W3CDTF">2011-04-21T14:17:02Z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-670333622</vt:i4>
  </property>
  <property fmtid="{D5CDD505-2E9C-101B-9397-08002B2CF9AE}" pid="3" name="_NewReviewCycle">
    <vt:lpwstr/>
  </property>
  <property fmtid="{D5CDD505-2E9C-101B-9397-08002B2CF9AE}" pid="4" name="_EmailSubject">
    <vt:lpwstr>Audito vadovo komentarai del DIDSILIU projekto</vt:lpwstr>
  </property>
  <property fmtid="{D5CDD505-2E9C-101B-9397-08002B2CF9AE}" pid="5" name="_AuthorEmail">
    <vt:lpwstr>inva@cowi.lt</vt:lpwstr>
  </property>
  <property fmtid="{D5CDD505-2E9C-101B-9397-08002B2CF9AE}" pid="6" name="_AuthorEmailDisplayName">
    <vt:lpwstr>Inga Valuntiené</vt:lpwstr>
  </property>
  <property fmtid="{D5CDD505-2E9C-101B-9397-08002B2CF9AE}" pid="7" name="_PreviousAdHocReviewCycleID">
    <vt:i4>-670333622</vt:i4>
  </property>
  <property fmtid="{D5CDD505-2E9C-101B-9397-08002B2CF9AE}" pid="8" name="_ReviewingToolsShownOnce">
    <vt:lpwstr/>
  </property>
</Properties>
</file>