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371" windowWidth="8970" windowHeight="7785" tabRatio="861" activeTab="0"/>
  </bookViews>
  <sheets>
    <sheet name="Overview " sheetId="1" r:id="rId1"/>
    <sheet name="General " sheetId="2" r:id="rId2"/>
    <sheet name="CMM consump.(2011)" sheetId="3" r:id="rId3"/>
    <sheet name="CMM consump.(2012)" sheetId="4" r:id="rId4"/>
    <sheet name="Emission factors " sheetId="5" r:id="rId5"/>
    <sheet name="Heat load (2011)" sheetId="6" r:id="rId6"/>
    <sheet name="Heat load (2012)" sheetId="7" r:id="rId7"/>
    <sheet name="Project emissions (2011)" sheetId="8" r:id="rId8"/>
    <sheet name="Project emissions (2012)" sheetId="9" r:id="rId9"/>
    <sheet name="Baseline emissions (2011) " sheetId="10" r:id="rId10"/>
    <sheet name="Baseline emissions (2012) " sheetId="11" r:id="rId11"/>
    <sheet name="Emission reductions" sheetId="12" r:id="rId12"/>
  </sheets>
  <externalReferences>
    <externalReference r:id="rId15"/>
  </externalReferences>
  <definedNames>
    <definedName name="_xlnm.Print_Area" localSheetId="9">'Baseline emissions (2011) '!$A$5:$L$109</definedName>
    <definedName name="_xlnm.Print_Area" localSheetId="4">'Emission factors '!$A$5:$L$37</definedName>
    <definedName name="_xlnm.Print_Area" localSheetId="11">'Emission reductions'!$A$1:$L$17</definedName>
    <definedName name="_xlnm.Print_Area" localSheetId="1">'General '!$A$1:$J$52</definedName>
    <definedName name="_xlnm.Print_Area" localSheetId="5">'Heat load (2011)'!$A$5:$H$23</definedName>
    <definedName name="_xlnm.Print_Area" localSheetId="7">'Project emissions (2011)'!$A$5:$N$79</definedName>
  </definedNames>
  <calcPr fullCalcOnLoad="1"/>
</workbook>
</file>

<file path=xl/comments3.xml><?xml version="1.0" encoding="utf-8"?>
<comments xmlns="http://schemas.openxmlformats.org/spreadsheetml/2006/main">
  <authors>
    <author>Lennard de Klerk</author>
    <author>1</author>
  </authors>
  <commentList>
    <comment ref="B115" authorId="0">
      <text>
        <r>
          <rPr>
            <b/>
            <sz val="8"/>
            <rFont val="Tahoma"/>
            <family val="0"/>
          </rPr>
          <t>Lennard de Klerk:</t>
        </r>
        <r>
          <rPr>
            <sz val="8"/>
            <rFont val="Tahoma"/>
            <family val="0"/>
          </rPr>
          <t xml:space="preserve">
Working hours have been reduced as 12 units will be commissioned in spring 2008.</t>
        </r>
      </text>
    </comment>
    <comment ref="A138" authorId="1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or as it is</t>
        </r>
      </text>
    </comment>
  </commentList>
</comments>
</file>

<file path=xl/comments4.xml><?xml version="1.0" encoding="utf-8"?>
<comments xmlns="http://schemas.openxmlformats.org/spreadsheetml/2006/main">
  <authors>
    <author>Lennard de Klerk</author>
    <author>1</author>
  </authors>
  <commentList>
    <comment ref="B106" authorId="0">
      <text>
        <r>
          <rPr>
            <b/>
            <sz val="8"/>
            <rFont val="Tahoma"/>
            <family val="0"/>
          </rPr>
          <t>Lennard de Klerk:</t>
        </r>
        <r>
          <rPr>
            <sz val="8"/>
            <rFont val="Tahoma"/>
            <family val="0"/>
          </rPr>
          <t xml:space="preserve">
Working hours have been reduced as 12 units will be commissioned in spring 2008.</t>
        </r>
      </text>
    </comment>
    <comment ref="A129" authorId="1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or as it is</t>
        </r>
      </text>
    </comment>
  </commentList>
</comments>
</file>

<file path=xl/sharedStrings.xml><?xml version="1.0" encoding="utf-8"?>
<sst xmlns="http://schemas.openxmlformats.org/spreadsheetml/2006/main" count="827" uniqueCount="296">
  <si>
    <t xml:space="preserve">Mwt </t>
  </si>
  <si>
    <t>Gcal/h</t>
  </si>
  <si>
    <t xml:space="preserve">      CHP technical characteristics </t>
  </si>
  <si>
    <t>%</t>
  </si>
  <si>
    <t>tC/TJ</t>
  </si>
  <si>
    <t>1 CHP   Unit,  MWthours</t>
  </si>
  <si>
    <t>24 CHP Units,MWthours</t>
  </si>
  <si>
    <t>Table3</t>
  </si>
  <si>
    <t xml:space="preserve">  1 CHP   Unit,   Gcal</t>
  </si>
  <si>
    <t>24 CHP   Units,  Gcal</t>
  </si>
  <si>
    <t>Table4</t>
  </si>
  <si>
    <t xml:space="preserve"> 1 CHP  Unit</t>
  </si>
  <si>
    <t>24 CHP Units</t>
  </si>
  <si>
    <t>Table5</t>
  </si>
  <si>
    <t>Methan consumption ,t/year</t>
  </si>
  <si>
    <t xml:space="preserve">  1 CHP  Unit</t>
  </si>
  <si>
    <t>24 CHP  Units</t>
  </si>
  <si>
    <t>Table6</t>
  </si>
  <si>
    <t>Vostochnaya Mine</t>
  </si>
  <si>
    <t>Years</t>
  </si>
  <si>
    <t>Total</t>
  </si>
  <si>
    <t>Consumption</t>
  </si>
  <si>
    <t>Gas-filling compressor plant AGFCP-45</t>
  </si>
  <si>
    <t>Value</t>
  </si>
  <si>
    <t>Units</t>
  </si>
  <si>
    <t>Gas capacity</t>
  </si>
  <si>
    <t>Suction presure</t>
  </si>
  <si>
    <t>Mpa</t>
  </si>
  <si>
    <t>Number of automobiles to be filled up</t>
  </si>
  <si>
    <t>unit/day</t>
  </si>
  <si>
    <t xml:space="preserve">min    </t>
  </si>
  <si>
    <t>Number of compressors</t>
  </si>
  <si>
    <t>unit</t>
  </si>
  <si>
    <t>Number of compression stages</t>
  </si>
  <si>
    <t>Total Power requirements</t>
  </si>
  <si>
    <t>kw</t>
  </si>
  <si>
    <t>250 working days in a year</t>
  </si>
  <si>
    <t>Formula:</t>
  </si>
  <si>
    <t>Yakovlevskaya</t>
  </si>
  <si>
    <t xml:space="preserve">Total </t>
  </si>
  <si>
    <t>The project emissions from methane destroyed</t>
  </si>
  <si>
    <t>Emissions of CHP</t>
  </si>
  <si>
    <t>The emissions of the CHPs are given by the following equation</t>
  </si>
  <si>
    <t xml:space="preserve">  </t>
  </si>
  <si>
    <t>where:</t>
  </si>
  <si>
    <t xml:space="preserve"> </t>
  </si>
  <si>
    <t>Year</t>
  </si>
  <si>
    <t>Emissions of gas utilization</t>
  </si>
  <si>
    <t>The emissions as a result are given by the following equations.</t>
  </si>
  <si>
    <t>Emissions from un-combusted methane</t>
  </si>
  <si>
    <t>Description</t>
  </si>
  <si>
    <t>MWh</t>
  </si>
  <si>
    <t>Zasyadko Mine</t>
  </si>
  <si>
    <t>Source: Ministry of Economic Affairs of the Netherlands, 2004, "Operational Guidelined for Project Design Documents of Joint Implementation Projects"</t>
  </si>
  <si>
    <t xml:space="preserve">Source: </t>
  </si>
  <si>
    <t>(GJ)</t>
  </si>
  <si>
    <t xml:space="preserve"> (GJ)</t>
  </si>
  <si>
    <t xml:space="preserve">Vehicle fuel provided by the project activity </t>
  </si>
  <si>
    <t>Vehicle engine efficiency</t>
  </si>
  <si>
    <t>Lower Heating Value</t>
  </si>
  <si>
    <t>Lower Heating Value of Metane</t>
  </si>
  <si>
    <t>Emission factors heat</t>
  </si>
  <si>
    <t>Coal at Zasaydko</t>
  </si>
  <si>
    <t>GJ/tcoal</t>
  </si>
  <si>
    <t>G grade coal</t>
  </si>
  <si>
    <t>Mass content</t>
  </si>
  <si>
    <t>EFcoal</t>
  </si>
  <si>
    <t>tC/GJ</t>
  </si>
  <si>
    <t>Natural gas</t>
  </si>
  <si>
    <t>Fuel type central</t>
  </si>
  <si>
    <t>coal</t>
  </si>
  <si>
    <t>Boiler efficiency central</t>
  </si>
  <si>
    <t>EFheat, cent</t>
  </si>
  <si>
    <t>Fuel type yakovlev</t>
  </si>
  <si>
    <t>natural gas</t>
  </si>
  <si>
    <t>Boiler eff yakovlev</t>
  </si>
  <si>
    <t>EFheat, yakov</t>
  </si>
  <si>
    <t>Fuel type vostochnaya</t>
  </si>
  <si>
    <t>Boiler eff vostochnaya</t>
  </si>
  <si>
    <t>EFheat,vost</t>
  </si>
  <si>
    <t>Fuel type District Heating</t>
  </si>
  <si>
    <t>Boiler eff DH</t>
  </si>
  <si>
    <t>EFheat,DH</t>
  </si>
  <si>
    <t>Emission factor fuel</t>
  </si>
  <si>
    <t>Fuel type</t>
  </si>
  <si>
    <t>Car efficiency is unknown, but a high number has been taken to be conservative</t>
  </si>
  <si>
    <t>EFv</t>
  </si>
  <si>
    <t xml:space="preserve">The baseline emissions of the replacement of electricity by the project activity are given by two equations. </t>
  </si>
  <si>
    <t xml:space="preserve">When the amount of electricity generated in a year by the project activity is less than the total amount </t>
  </si>
  <si>
    <t>of electricity consumed by the mine, the baseline emissions are as follows:</t>
  </si>
  <si>
    <t>When the amount of electricity generated in a year by the project activity is more than the total amount</t>
  </si>
  <si>
    <t xml:space="preserve"> of electricity consumed by the mine (i.e. electricity will be supplied to the grid), the baseline emissions are as follows:</t>
  </si>
  <si>
    <t>Baseline emissions</t>
  </si>
  <si>
    <t>Baseline emission from production of electricity, heat and vehicle fuel</t>
  </si>
  <si>
    <t>Total baseline emissions</t>
  </si>
  <si>
    <t>Electricity, MWh</t>
  </si>
  <si>
    <t xml:space="preserve">Amount of CHP Units, pc </t>
  </si>
  <si>
    <t>own electricity consumption CHP</t>
  </si>
  <si>
    <t>Project emissions</t>
  </si>
  <si>
    <t>Total project emissions</t>
  </si>
  <si>
    <t>Baseline emissions from release of methane into the atmosphere</t>
  </si>
  <si>
    <t>GJ</t>
  </si>
  <si>
    <t>Heat Loads for Vostochnaya Site</t>
  </si>
  <si>
    <t>Emission reductions</t>
  </si>
  <si>
    <t>Vostochnaya</t>
  </si>
  <si>
    <t>Title of the project: "Utilization of coal mine methane at the coal mine named after A.F. Zasyadko"</t>
  </si>
  <si>
    <t>Table 2</t>
  </si>
  <si>
    <t>Hours of operation of CHP unit</t>
  </si>
  <si>
    <t>Table7</t>
  </si>
  <si>
    <t>Hours of heat delivery</t>
  </si>
  <si>
    <t>Electricity production per year</t>
  </si>
  <si>
    <t>Heat production per year</t>
  </si>
  <si>
    <t>Gcal/year</t>
  </si>
  <si>
    <t>Of the total fossil fuel vehicle consumpiotn at Zasyadko 50% was diesel and 50% gasoline</t>
  </si>
  <si>
    <t>includes boilers at greenhouse and garage</t>
  </si>
  <si>
    <t>Emission factors boilers</t>
  </si>
  <si>
    <t>Efficiency of DH is currenlty unknown, but will be monitored. To be conservative a high number has been taken</t>
  </si>
  <si>
    <t>To be conservative 100% NG consumption has been assumed but actual fuel type will be measured</t>
  </si>
  <si>
    <t>Fixed ex-ante</t>
  </si>
  <si>
    <t>Monitored</t>
  </si>
  <si>
    <t>IPCC 2006 value</t>
  </si>
  <si>
    <t>Ignition gas consumption</t>
  </si>
  <si>
    <t>Fuel gas consumption</t>
  </si>
  <si>
    <t>Het Genaration,Gcal</t>
  </si>
  <si>
    <t>Month</t>
  </si>
  <si>
    <t>Input data</t>
  </si>
  <si>
    <t>1. CMM combustions in CHPs at:</t>
  </si>
  <si>
    <t>Ignition gas</t>
  </si>
  <si>
    <t>Fuel gas</t>
  </si>
  <si>
    <t>2. Electricity</t>
  </si>
  <si>
    <t>Net electricity generation by CHP</t>
  </si>
  <si>
    <t>Net electricity consumption delivery by CHP</t>
  </si>
  <si>
    <t>Net electricity to grid by CHP</t>
  </si>
  <si>
    <t>3. Heat supply by CHP to:</t>
  </si>
  <si>
    <t>Gcal</t>
  </si>
  <si>
    <t>Yakovlevskay</t>
  </si>
  <si>
    <t>Centralnaya</t>
  </si>
  <si>
    <t>District Heating</t>
  </si>
  <si>
    <t>4. CMM consumption AFGCP at:</t>
  </si>
  <si>
    <t>Total over Mine</t>
  </si>
  <si>
    <t>Avoided methane emissions</t>
  </si>
  <si>
    <t>Combustions of methane in CHP</t>
  </si>
  <si>
    <t>Uncombusted methane</t>
  </si>
  <si>
    <t>2. Electricity production</t>
  </si>
  <si>
    <t>Project emisisons</t>
  </si>
  <si>
    <t>3. Heat supply by CHP</t>
  </si>
  <si>
    <t>4. Methane supply to AFGCP</t>
  </si>
  <si>
    <t>Diesel emissions</t>
  </si>
  <si>
    <t>Combustion of methane in vehicles</t>
  </si>
  <si>
    <t>Uncombusted of methane in vehicles</t>
  </si>
  <si>
    <t>Total reductions</t>
  </si>
  <si>
    <t>Year 2011</t>
  </si>
  <si>
    <r>
      <t>Power genearation and CH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consumption</t>
    </r>
  </si>
  <si>
    <r>
      <t>CH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iginition gas</t>
    </r>
  </si>
  <si>
    <r>
      <t>CH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fuel gas</t>
    </r>
  </si>
  <si>
    <r>
      <t>BE</t>
    </r>
    <r>
      <rPr>
        <b/>
        <i/>
        <vertAlign val="subscript"/>
        <sz val="11"/>
        <rFont val="Arial"/>
        <family val="2"/>
      </rPr>
      <t>Use,el,y</t>
    </r>
  </si>
  <si>
    <r>
      <t>GEN</t>
    </r>
    <r>
      <rPr>
        <b/>
        <i/>
        <vertAlign val="subscript"/>
        <sz val="11"/>
        <rFont val="Arial"/>
        <family val="2"/>
      </rPr>
      <t>CHP</t>
    </r>
    <r>
      <rPr>
        <b/>
        <i/>
        <sz val="11"/>
        <rFont val="Arial"/>
        <family val="2"/>
      </rPr>
      <t xml:space="preserve"> </t>
    </r>
  </si>
  <si>
    <r>
      <t>EL</t>
    </r>
    <r>
      <rPr>
        <b/>
        <i/>
        <vertAlign val="subscript"/>
        <sz val="11"/>
        <rFont val="Arial"/>
        <family val="2"/>
      </rPr>
      <t xml:space="preserve">Consumed </t>
    </r>
  </si>
  <si>
    <r>
      <t>EF</t>
    </r>
    <r>
      <rPr>
        <b/>
        <i/>
        <vertAlign val="subscript"/>
        <sz val="11"/>
        <rFont val="Arial"/>
        <family val="2"/>
      </rPr>
      <t>grid,prodused</t>
    </r>
    <r>
      <rPr>
        <b/>
        <sz val="11"/>
        <rFont val="Arial"/>
        <family val="2"/>
      </rPr>
      <t xml:space="preserve"> </t>
    </r>
  </si>
  <si>
    <r>
      <t>EF</t>
    </r>
    <r>
      <rPr>
        <b/>
        <i/>
        <vertAlign val="subscript"/>
        <sz val="11"/>
        <rFont val="Arial"/>
        <family val="2"/>
      </rPr>
      <t>grid,redused</t>
    </r>
  </si>
  <si>
    <r>
      <t>tCO</t>
    </r>
    <r>
      <rPr>
        <b/>
        <vertAlign val="subscript"/>
        <sz val="11"/>
        <rFont val="Arial"/>
        <family val="2"/>
      </rPr>
      <t>2</t>
    </r>
  </si>
  <si>
    <r>
      <t>BE</t>
    </r>
    <r>
      <rPr>
        <i/>
        <vertAlign val="subscript"/>
        <sz val="11"/>
        <rFont val="Arial"/>
        <family val="2"/>
      </rPr>
      <t xml:space="preserve"> y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— Baseline emissions in year y</t>
    </r>
  </si>
  <si>
    <r>
      <t>BE</t>
    </r>
    <r>
      <rPr>
        <i/>
        <vertAlign val="subscript"/>
        <sz val="11"/>
        <rFont val="Arial"/>
        <family val="2"/>
      </rPr>
      <t>MR, y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— Baseline emissions from release of methane into the atmosphere in year y that is avoided by the project activity</t>
    </r>
  </si>
  <si>
    <r>
      <t xml:space="preserve">BE </t>
    </r>
    <r>
      <rPr>
        <i/>
        <vertAlign val="subscript"/>
        <sz val="11"/>
        <rFont val="Arial"/>
        <family val="2"/>
      </rPr>
      <t xml:space="preserve">Use, y </t>
    </r>
    <r>
      <rPr>
        <sz val="11"/>
        <rFont val="Arial"/>
        <family val="2"/>
      </rPr>
      <t>— Baseline emissions from the production of power, heat or supply to gas grid replaced by the project activity in year y</t>
    </r>
  </si>
  <si>
    <r>
      <t>tCO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e</t>
    </r>
  </si>
  <si>
    <r>
      <t>BE</t>
    </r>
    <r>
      <rPr>
        <i/>
        <vertAlign val="subscript"/>
        <sz val="11"/>
        <rFont val="Arial"/>
        <family val="2"/>
      </rPr>
      <t>Use,el,y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— Total baseline emissions from the production of power replaced by the project activity in year y </t>
    </r>
  </si>
  <si>
    <r>
      <t>GEN</t>
    </r>
    <r>
      <rPr>
        <i/>
        <vertAlign val="subscript"/>
        <sz val="11"/>
        <rFont val="Arial"/>
        <family val="2"/>
      </rPr>
      <t xml:space="preserve">CHP </t>
    </r>
    <r>
      <rPr>
        <sz val="11"/>
        <rFont val="Arial"/>
        <family val="2"/>
      </rPr>
      <t>— Net electricity generated by the project activity by the CHP plants</t>
    </r>
  </si>
  <si>
    <r>
      <t>EF</t>
    </r>
    <r>
      <rPr>
        <i/>
        <vertAlign val="subscript"/>
        <sz val="11"/>
        <rFont val="Arial"/>
        <family val="2"/>
      </rPr>
      <t xml:space="preserve">grid,prodused </t>
    </r>
    <r>
      <rPr>
        <sz val="11"/>
        <rFont val="Arial"/>
        <family val="2"/>
      </rPr>
      <t>— Emissions factor of electricity of displaced grid electricity production by the project activity</t>
    </r>
  </si>
  <si>
    <r>
      <t>EL</t>
    </r>
    <r>
      <rPr>
        <i/>
        <vertAlign val="subscript"/>
        <sz val="11"/>
        <rFont val="Arial"/>
        <family val="2"/>
      </rPr>
      <t xml:space="preserve">Consumed </t>
    </r>
    <r>
      <rPr>
        <sz val="11"/>
        <rFont val="Arial"/>
        <family val="2"/>
      </rPr>
      <t>— Net electricity consumed by the mine on-site</t>
    </r>
  </si>
  <si>
    <r>
      <t>HEAT</t>
    </r>
    <r>
      <rPr>
        <i/>
        <vertAlign val="subscript"/>
        <sz val="11"/>
        <rFont val="Arial"/>
        <family val="2"/>
      </rPr>
      <t xml:space="preserve">deliv,DH,y </t>
    </r>
    <r>
      <rPr>
        <sz val="11"/>
        <rFont val="Arial"/>
        <family val="2"/>
      </rPr>
      <t xml:space="preserve">— Heat generation by project activity in a year y and delivered to district heating    </t>
    </r>
  </si>
  <si>
    <r>
      <t>EF</t>
    </r>
    <r>
      <rPr>
        <i/>
        <vertAlign val="subscript"/>
        <sz val="11"/>
        <rFont val="Arial"/>
        <family val="2"/>
      </rPr>
      <t>Heat,DH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— Emissions factor for heat production at the District Heating system in the baseline scenario</t>
    </r>
  </si>
  <si>
    <r>
      <t>HEAT</t>
    </r>
    <r>
      <rPr>
        <i/>
        <vertAlign val="subscript"/>
        <sz val="11"/>
        <rFont val="Arial"/>
        <family val="2"/>
      </rPr>
      <t>cons,vost,y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— Heat consumed at Vostochnaya site delivered by the project year y </t>
    </r>
  </si>
  <si>
    <r>
      <t>EF</t>
    </r>
    <r>
      <rPr>
        <i/>
        <vertAlign val="subscript"/>
        <sz val="11"/>
        <rFont val="Arial"/>
        <family val="2"/>
      </rPr>
      <t xml:space="preserve">Heat,vost </t>
    </r>
    <r>
      <rPr>
        <sz val="11"/>
        <rFont val="Arial"/>
        <family val="2"/>
      </rPr>
      <t>— Emissions factor for heat at Vostochnaya sitein the baseline scenario</t>
    </r>
    <r>
      <rPr>
        <vertAlign val="subscript"/>
        <sz val="11"/>
        <rFont val="Arial"/>
        <family val="2"/>
      </rPr>
      <t xml:space="preserve"> </t>
    </r>
  </si>
  <si>
    <r>
      <t>HEAT</t>
    </r>
    <r>
      <rPr>
        <i/>
        <vertAlign val="subscript"/>
        <sz val="11"/>
        <rFont val="Arial"/>
        <family val="2"/>
      </rPr>
      <t xml:space="preserve">cons,yak,y </t>
    </r>
    <r>
      <rPr>
        <sz val="11"/>
        <rFont val="Arial"/>
        <family val="2"/>
      </rPr>
      <t>— Heat consumed at Yakovlevskaya site delivered by the project year y</t>
    </r>
  </si>
  <si>
    <r>
      <t>EF</t>
    </r>
    <r>
      <rPr>
        <i/>
        <vertAlign val="subscript"/>
        <sz val="11"/>
        <rFont val="Arial"/>
        <family val="2"/>
      </rPr>
      <t>Heat,yak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— Emissions factor for heat at Yakovlevskaya site in the baseline scenario</t>
    </r>
  </si>
  <si>
    <r>
      <t>HEAT</t>
    </r>
    <r>
      <rPr>
        <i/>
        <vertAlign val="subscript"/>
        <sz val="11"/>
        <rFont val="Arial"/>
        <family val="2"/>
      </rPr>
      <t xml:space="preserve">cons,centr,y </t>
    </r>
    <r>
      <rPr>
        <sz val="11"/>
        <rFont val="Arial"/>
        <family val="2"/>
      </rPr>
      <t>— Heat consumed at Centralnaya site delivered by the project year y</t>
    </r>
  </si>
  <si>
    <r>
      <t>EF</t>
    </r>
    <r>
      <rPr>
        <i/>
        <vertAlign val="subscript"/>
        <sz val="11"/>
        <rFont val="Arial"/>
        <family val="2"/>
      </rPr>
      <t>Heat,centr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— Emissions factor for heat at Centralnaya site in the baseline scenario</t>
    </r>
  </si>
  <si>
    <r>
      <t>VFUEL</t>
    </r>
    <r>
      <rPr>
        <i/>
        <vertAlign val="subscript"/>
        <sz val="11"/>
        <rFont val="Arial"/>
        <family val="2"/>
      </rPr>
      <t>y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— Vehicle fuel provided by the project activity</t>
    </r>
  </si>
  <si>
    <r>
      <t>EF</t>
    </r>
    <r>
      <rPr>
        <i/>
        <vertAlign val="subscript"/>
        <sz val="11"/>
        <rFont val="Arial"/>
        <family val="2"/>
      </rPr>
      <t xml:space="preserve">v </t>
    </r>
    <r>
      <rPr>
        <sz val="11"/>
        <rFont val="Arial"/>
        <family val="2"/>
      </rPr>
      <t>— Emissions factor for vehicle operation replaced by the project activity</t>
    </r>
  </si>
  <si>
    <r>
      <t>tCO</t>
    </r>
    <r>
      <rPr>
        <vertAlign val="subscript"/>
        <sz val="11"/>
        <rFont val="Arial"/>
        <family val="2"/>
      </rPr>
      <t>2</t>
    </r>
  </si>
  <si>
    <r>
      <t>tCO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 MWh</t>
    </r>
  </si>
  <si>
    <r>
      <t>EF</t>
    </r>
    <r>
      <rPr>
        <i/>
        <vertAlign val="subscript"/>
        <sz val="11"/>
        <rFont val="Arial"/>
        <family val="2"/>
      </rPr>
      <t>grid,redused</t>
    </r>
    <r>
      <rPr>
        <vertAlign val="subscript"/>
        <sz val="11"/>
        <rFont val="Arial"/>
        <family val="2"/>
      </rPr>
      <t xml:space="preserve"> </t>
    </r>
    <r>
      <rPr>
        <sz val="11"/>
        <rFont val="Arial"/>
        <family val="2"/>
      </rPr>
      <t>— Emissions factor of electricity of displace grid electricity consumption by the project activity</t>
    </r>
  </si>
  <si>
    <r>
      <t>(tCO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/GJ)</t>
    </r>
  </si>
  <si>
    <r>
      <t>CMM</t>
    </r>
    <r>
      <rPr>
        <b/>
        <i/>
        <vertAlign val="subscript"/>
        <sz val="11"/>
        <rFont val="Arial"/>
        <family val="2"/>
      </rPr>
      <t xml:space="preserve">PJ,CHP,y </t>
    </r>
  </si>
  <si>
    <r>
      <t>CMM</t>
    </r>
    <r>
      <rPr>
        <b/>
        <i/>
        <vertAlign val="subscript"/>
        <sz val="11"/>
        <rFont val="Arial"/>
        <family val="2"/>
      </rPr>
      <t>PJ,GAS,y</t>
    </r>
  </si>
  <si>
    <r>
      <t>BE</t>
    </r>
    <r>
      <rPr>
        <b/>
        <i/>
        <vertAlign val="subscript"/>
        <sz val="11"/>
        <rFont val="Arial"/>
        <family val="2"/>
      </rPr>
      <t>MR,y</t>
    </r>
  </si>
  <si>
    <r>
      <t>tCH</t>
    </r>
    <r>
      <rPr>
        <b/>
        <i/>
        <vertAlign val="subscript"/>
        <sz val="11"/>
        <rFont val="Arial"/>
        <family val="2"/>
      </rPr>
      <t>4</t>
    </r>
  </si>
  <si>
    <r>
      <t>tCO</t>
    </r>
    <r>
      <rPr>
        <b/>
        <i/>
        <vertAlign val="subscript"/>
        <sz val="11"/>
        <rFont val="Arial"/>
        <family val="2"/>
      </rPr>
      <t>2</t>
    </r>
    <r>
      <rPr>
        <b/>
        <i/>
        <sz val="11"/>
        <rFont val="Arial"/>
        <family val="2"/>
      </rPr>
      <t>e</t>
    </r>
  </si>
  <si>
    <r>
      <t>BE</t>
    </r>
    <r>
      <rPr>
        <b/>
        <i/>
        <vertAlign val="subscript"/>
        <sz val="11"/>
        <rFont val="Arial"/>
        <family val="2"/>
      </rPr>
      <t>Use,el,y</t>
    </r>
    <r>
      <rPr>
        <b/>
        <i/>
        <sz val="11"/>
        <rFont val="Arial"/>
        <family val="2"/>
      </rPr>
      <t xml:space="preserve"> = GEN</t>
    </r>
    <r>
      <rPr>
        <b/>
        <i/>
        <vertAlign val="subscript"/>
        <sz val="11"/>
        <rFont val="Arial"/>
        <family val="2"/>
      </rPr>
      <t>CHP,y</t>
    </r>
    <r>
      <rPr>
        <b/>
        <i/>
        <sz val="11"/>
        <rFont val="Arial"/>
        <family val="2"/>
      </rPr>
      <t xml:space="preserve"> x EF</t>
    </r>
    <r>
      <rPr>
        <b/>
        <i/>
        <vertAlign val="subscript"/>
        <sz val="11"/>
        <rFont val="Arial"/>
        <family val="2"/>
      </rPr>
      <t>grid,reduced</t>
    </r>
  </si>
  <si>
    <r>
      <t>BE</t>
    </r>
    <r>
      <rPr>
        <b/>
        <i/>
        <vertAlign val="subscript"/>
        <sz val="11"/>
        <rFont val="Arial"/>
        <family val="2"/>
      </rPr>
      <t>Use,y</t>
    </r>
    <r>
      <rPr>
        <b/>
        <i/>
        <sz val="11"/>
        <rFont val="Arial"/>
        <family val="2"/>
      </rPr>
      <t xml:space="preserve"> = BE</t>
    </r>
    <r>
      <rPr>
        <b/>
        <i/>
        <vertAlign val="subscript"/>
        <sz val="11"/>
        <rFont val="Arial"/>
        <family val="2"/>
      </rPr>
      <t>Use,el,y</t>
    </r>
    <r>
      <rPr>
        <b/>
        <i/>
        <sz val="11"/>
        <rFont val="Arial"/>
        <family val="2"/>
      </rPr>
      <t xml:space="preserve"> + BE</t>
    </r>
    <r>
      <rPr>
        <b/>
        <i/>
        <vertAlign val="subscript"/>
        <sz val="11"/>
        <rFont val="Arial"/>
        <family val="2"/>
      </rPr>
      <t>Use,heat,y</t>
    </r>
    <r>
      <rPr>
        <b/>
        <i/>
        <sz val="11"/>
        <rFont val="Arial"/>
        <family val="2"/>
      </rPr>
      <t xml:space="preserve"> + BE</t>
    </r>
    <r>
      <rPr>
        <b/>
        <i/>
        <vertAlign val="subscript"/>
        <sz val="11"/>
        <rFont val="Arial"/>
        <family val="2"/>
      </rPr>
      <t>Use,gas,y</t>
    </r>
  </si>
  <si>
    <r>
      <t xml:space="preserve">BE </t>
    </r>
    <r>
      <rPr>
        <b/>
        <i/>
        <vertAlign val="subscript"/>
        <sz val="11"/>
        <rFont val="Arial"/>
        <family val="2"/>
      </rPr>
      <t>MR,y</t>
    </r>
    <r>
      <rPr>
        <b/>
        <i/>
        <sz val="11"/>
        <rFont val="Arial"/>
        <family val="2"/>
      </rPr>
      <t xml:space="preserve"> = GWP</t>
    </r>
    <r>
      <rPr>
        <b/>
        <i/>
        <vertAlign val="subscript"/>
        <sz val="11"/>
        <rFont val="Arial"/>
        <family val="2"/>
      </rPr>
      <t>CH4</t>
    </r>
    <r>
      <rPr>
        <b/>
        <i/>
        <sz val="11"/>
        <rFont val="Arial"/>
        <family val="2"/>
      </rPr>
      <t xml:space="preserve"> x ( CMM</t>
    </r>
    <r>
      <rPr>
        <b/>
        <i/>
        <vertAlign val="subscript"/>
        <sz val="11"/>
        <rFont val="Arial"/>
        <family val="2"/>
      </rPr>
      <t>PJ,CHP,y</t>
    </r>
    <r>
      <rPr>
        <b/>
        <i/>
        <sz val="11"/>
        <rFont val="Arial"/>
        <family val="2"/>
      </rPr>
      <t xml:space="preserve"> + CMM</t>
    </r>
    <r>
      <rPr>
        <b/>
        <i/>
        <vertAlign val="subscript"/>
        <sz val="11"/>
        <rFont val="Arial"/>
        <family val="2"/>
      </rPr>
      <t>PJ,GAS,y</t>
    </r>
    <r>
      <rPr>
        <b/>
        <i/>
        <sz val="11"/>
        <rFont val="Arial"/>
        <family val="2"/>
      </rPr>
      <t>)</t>
    </r>
  </si>
  <si>
    <r>
      <t>BE</t>
    </r>
    <r>
      <rPr>
        <b/>
        <i/>
        <vertAlign val="subscript"/>
        <sz val="11"/>
        <rFont val="Arial"/>
        <family val="2"/>
      </rPr>
      <t xml:space="preserve"> y</t>
    </r>
    <r>
      <rPr>
        <b/>
        <i/>
        <sz val="11"/>
        <rFont val="Arial"/>
        <family val="2"/>
      </rPr>
      <t xml:space="preserve"> = BE </t>
    </r>
    <r>
      <rPr>
        <b/>
        <i/>
        <vertAlign val="subscript"/>
        <sz val="11"/>
        <rFont val="Arial"/>
        <family val="2"/>
      </rPr>
      <t>MR,y</t>
    </r>
    <r>
      <rPr>
        <b/>
        <i/>
        <sz val="11"/>
        <rFont val="Arial"/>
        <family val="2"/>
      </rPr>
      <t xml:space="preserve"> + BE </t>
    </r>
    <r>
      <rPr>
        <b/>
        <i/>
        <vertAlign val="subscript"/>
        <sz val="11"/>
        <rFont val="Arial"/>
        <family val="2"/>
      </rPr>
      <t>Use,y</t>
    </r>
  </si>
  <si>
    <r>
      <t>BE</t>
    </r>
    <r>
      <rPr>
        <b/>
        <i/>
        <vertAlign val="subscript"/>
        <sz val="11"/>
        <rFont val="Arial"/>
        <family val="2"/>
      </rPr>
      <t>Use,el,y</t>
    </r>
    <r>
      <rPr>
        <b/>
        <i/>
        <sz val="11"/>
        <rFont val="Arial"/>
        <family val="2"/>
      </rPr>
      <t xml:space="preserve"> = (GEN</t>
    </r>
    <r>
      <rPr>
        <b/>
        <i/>
        <vertAlign val="subscript"/>
        <sz val="11"/>
        <rFont val="Arial"/>
        <family val="2"/>
      </rPr>
      <t>CHP</t>
    </r>
    <r>
      <rPr>
        <b/>
        <i/>
        <sz val="11"/>
        <rFont val="Arial"/>
        <family val="2"/>
      </rPr>
      <t xml:space="preserve"> - EL</t>
    </r>
    <r>
      <rPr>
        <b/>
        <i/>
        <vertAlign val="subscript"/>
        <sz val="11"/>
        <rFont val="Arial"/>
        <family val="2"/>
      </rPr>
      <t xml:space="preserve"> Consumed</t>
    </r>
    <r>
      <rPr>
        <b/>
        <i/>
        <sz val="11"/>
        <rFont val="Arial"/>
        <family val="2"/>
      </rPr>
      <t>) х EF</t>
    </r>
    <r>
      <rPr>
        <b/>
        <i/>
        <vertAlign val="subscript"/>
        <sz val="11"/>
        <rFont val="Arial"/>
        <family val="2"/>
      </rPr>
      <t>grid,prodused</t>
    </r>
    <r>
      <rPr>
        <b/>
        <i/>
        <sz val="11"/>
        <rFont val="Arial"/>
        <family val="2"/>
      </rPr>
      <t xml:space="preserve"> + EL</t>
    </r>
    <r>
      <rPr>
        <b/>
        <i/>
        <vertAlign val="subscript"/>
        <sz val="11"/>
        <rFont val="Arial"/>
        <family val="2"/>
      </rPr>
      <t>Consumed</t>
    </r>
    <r>
      <rPr>
        <b/>
        <i/>
        <sz val="11"/>
        <rFont val="Arial"/>
        <family val="2"/>
      </rPr>
      <t xml:space="preserve"> x EF</t>
    </r>
    <r>
      <rPr>
        <b/>
        <i/>
        <vertAlign val="subscript"/>
        <sz val="11"/>
        <rFont val="Arial"/>
        <family val="2"/>
      </rPr>
      <t>grid,reduced</t>
    </r>
  </si>
  <si>
    <r>
      <t>BE</t>
    </r>
    <r>
      <rPr>
        <b/>
        <i/>
        <vertAlign val="subscript"/>
        <sz val="11"/>
        <rFont val="Arial"/>
        <family val="2"/>
      </rPr>
      <t>Use,Heat,y</t>
    </r>
    <r>
      <rPr>
        <b/>
        <i/>
        <sz val="11"/>
        <rFont val="Arial"/>
        <family val="2"/>
      </rPr>
      <t xml:space="preserve"> = HEAT</t>
    </r>
    <r>
      <rPr>
        <b/>
        <i/>
        <vertAlign val="subscript"/>
        <sz val="11"/>
        <rFont val="Arial"/>
        <family val="2"/>
      </rPr>
      <t>deliv,DH,y</t>
    </r>
    <r>
      <rPr>
        <b/>
        <i/>
        <sz val="11"/>
        <rFont val="Arial"/>
        <family val="2"/>
      </rPr>
      <t xml:space="preserve"> х EF</t>
    </r>
    <r>
      <rPr>
        <b/>
        <i/>
        <vertAlign val="subscript"/>
        <sz val="11"/>
        <rFont val="Arial"/>
        <family val="2"/>
      </rPr>
      <t>Heat,DH,y</t>
    </r>
    <r>
      <rPr>
        <b/>
        <i/>
        <sz val="11"/>
        <rFont val="Arial"/>
        <family val="2"/>
      </rPr>
      <t xml:space="preserve"> + HEAT</t>
    </r>
    <r>
      <rPr>
        <b/>
        <i/>
        <vertAlign val="subscript"/>
        <sz val="11"/>
        <rFont val="Arial"/>
        <family val="2"/>
      </rPr>
      <t>cons,vost,y</t>
    </r>
    <r>
      <rPr>
        <b/>
        <i/>
        <sz val="11"/>
        <rFont val="Arial"/>
        <family val="2"/>
      </rPr>
      <t xml:space="preserve"> х EF</t>
    </r>
    <r>
      <rPr>
        <b/>
        <i/>
        <vertAlign val="subscript"/>
        <sz val="11"/>
        <rFont val="Arial"/>
        <family val="2"/>
      </rPr>
      <t>Heat,vost</t>
    </r>
    <r>
      <rPr>
        <b/>
        <i/>
        <sz val="11"/>
        <rFont val="Arial"/>
        <family val="2"/>
      </rPr>
      <t xml:space="preserve"> + HEAT</t>
    </r>
    <r>
      <rPr>
        <b/>
        <i/>
        <vertAlign val="subscript"/>
        <sz val="11"/>
        <rFont val="Arial"/>
        <family val="2"/>
      </rPr>
      <t>cons,yak,y</t>
    </r>
    <r>
      <rPr>
        <b/>
        <i/>
        <sz val="11"/>
        <rFont val="Arial"/>
        <family val="2"/>
      </rPr>
      <t xml:space="preserve"> х EF</t>
    </r>
    <r>
      <rPr>
        <b/>
        <i/>
        <vertAlign val="subscript"/>
        <sz val="11"/>
        <rFont val="Arial"/>
        <family val="2"/>
      </rPr>
      <t>Heat,yak</t>
    </r>
    <r>
      <rPr>
        <b/>
        <i/>
        <sz val="11"/>
        <rFont val="Arial"/>
        <family val="2"/>
      </rPr>
      <t xml:space="preserve"> + HEAT</t>
    </r>
    <r>
      <rPr>
        <b/>
        <i/>
        <vertAlign val="subscript"/>
        <sz val="11"/>
        <rFont val="Arial"/>
        <family val="2"/>
      </rPr>
      <t>cons,centr,y</t>
    </r>
    <r>
      <rPr>
        <b/>
        <i/>
        <sz val="11"/>
        <rFont val="Arial"/>
        <family val="2"/>
      </rPr>
      <t xml:space="preserve"> х EF</t>
    </r>
    <r>
      <rPr>
        <b/>
        <i/>
        <vertAlign val="subscript"/>
        <sz val="11"/>
        <rFont val="Arial"/>
        <family val="2"/>
      </rPr>
      <t>Heat,centr</t>
    </r>
  </si>
  <si>
    <r>
      <t>BE</t>
    </r>
    <r>
      <rPr>
        <b/>
        <i/>
        <vertAlign val="subscript"/>
        <sz val="11"/>
        <rFont val="Arial"/>
        <family val="2"/>
      </rPr>
      <t xml:space="preserve">Use.Gas </t>
    </r>
    <r>
      <rPr>
        <b/>
        <i/>
        <sz val="11"/>
        <rFont val="Arial"/>
        <family val="2"/>
      </rPr>
      <t>= VFUEL</t>
    </r>
    <r>
      <rPr>
        <b/>
        <i/>
        <vertAlign val="subscript"/>
        <sz val="11"/>
        <rFont val="Arial"/>
        <family val="2"/>
      </rPr>
      <t>y</t>
    </r>
    <r>
      <rPr>
        <b/>
        <i/>
        <sz val="11"/>
        <rFont val="Arial"/>
        <family val="2"/>
      </rPr>
      <t xml:space="preserve"> x EF</t>
    </r>
    <r>
      <rPr>
        <b/>
        <i/>
        <vertAlign val="subscript"/>
        <sz val="11"/>
        <rFont val="Arial"/>
        <family val="2"/>
      </rPr>
      <t>v</t>
    </r>
  </si>
  <si>
    <r>
      <t>BE</t>
    </r>
    <r>
      <rPr>
        <b/>
        <i/>
        <vertAlign val="subscript"/>
        <sz val="11"/>
        <rFont val="Arial"/>
        <family val="2"/>
      </rPr>
      <t xml:space="preserve">y </t>
    </r>
    <r>
      <rPr>
        <b/>
        <i/>
        <sz val="11"/>
        <rFont val="Arial"/>
        <family val="2"/>
      </rPr>
      <t>= BE</t>
    </r>
    <r>
      <rPr>
        <b/>
        <i/>
        <vertAlign val="subscript"/>
        <sz val="11"/>
        <rFont val="Arial"/>
        <family val="2"/>
      </rPr>
      <t>MR,y</t>
    </r>
    <r>
      <rPr>
        <b/>
        <i/>
        <sz val="11"/>
        <rFont val="Arial"/>
        <family val="2"/>
      </rPr>
      <t xml:space="preserve"> + BE</t>
    </r>
    <r>
      <rPr>
        <b/>
        <i/>
        <vertAlign val="subscript"/>
        <sz val="11"/>
        <rFont val="Arial"/>
        <family val="2"/>
      </rPr>
      <t>Use,y</t>
    </r>
  </si>
  <si>
    <r>
      <t>[tCO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e/yr]</t>
    </r>
  </si>
  <si>
    <r>
      <t>[tCO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e]</t>
    </r>
  </si>
  <si>
    <r>
      <t>where:</t>
    </r>
    <r>
      <rPr>
        <vertAlign val="superscript"/>
        <sz val="11"/>
        <rFont val="Arial"/>
        <family val="2"/>
      </rPr>
      <t xml:space="preserve"> </t>
    </r>
  </si>
  <si>
    <r>
      <t>PE</t>
    </r>
    <r>
      <rPr>
        <i/>
        <vertAlign val="subscript"/>
        <sz val="11"/>
        <rFont val="Arial"/>
        <family val="2"/>
      </rPr>
      <t>y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— Project emission in year</t>
    </r>
  </si>
  <si>
    <r>
      <t>MD</t>
    </r>
    <r>
      <rPr>
        <i/>
        <vertAlign val="subscript"/>
        <sz val="11"/>
        <color indexed="8"/>
        <rFont val="Arial"/>
        <family val="2"/>
      </rPr>
      <t>CHP</t>
    </r>
    <r>
      <rPr>
        <sz val="11"/>
        <color indexed="8"/>
        <rFont val="Arial"/>
        <family val="2"/>
      </rPr>
      <t xml:space="preserve"> —  Methane destroyed through power and heat generation</t>
    </r>
  </si>
  <si>
    <r>
      <t>MM</t>
    </r>
    <r>
      <rPr>
        <i/>
        <vertAlign val="subscript"/>
        <sz val="11"/>
        <rFont val="Arial"/>
        <family val="2"/>
      </rPr>
      <t>CHP</t>
    </r>
    <r>
      <rPr>
        <sz val="11"/>
        <rFont val="Arial"/>
        <family val="2"/>
      </rPr>
      <t xml:space="preserve"> — Methane measured sent to power plant</t>
    </r>
  </si>
  <si>
    <r>
      <t>MM</t>
    </r>
    <r>
      <rPr>
        <i/>
        <vertAlign val="subscript"/>
        <sz val="11"/>
        <rFont val="Arial"/>
        <family val="2"/>
      </rPr>
      <t>GAS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— Methane measured supplied to gas grid for vehicle use </t>
    </r>
  </si>
  <si>
    <r>
      <t>Eff</t>
    </r>
    <r>
      <rPr>
        <i/>
        <vertAlign val="subscript"/>
        <sz val="11"/>
        <rFont val="Arial"/>
        <family val="2"/>
      </rPr>
      <t>GAS</t>
    </r>
    <r>
      <rPr>
        <sz val="11"/>
        <rFont val="Arial"/>
        <family val="2"/>
      </rPr>
      <t xml:space="preserve"> — Overall efficiency of methane destruction/oxidation through gas grid (taken as 98.5% from IPCC)</t>
    </r>
  </si>
  <si>
    <r>
      <t>y (tCO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e)</t>
    </r>
  </si>
  <si>
    <r>
      <t>PE</t>
    </r>
    <r>
      <rPr>
        <i/>
        <vertAlign val="subscript"/>
        <sz val="11"/>
        <rFont val="Arial"/>
        <family val="2"/>
      </rPr>
      <t>MD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— Project emissions from methane destroyed</t>
    </r>
  </si>
  <si>
    <r>
      <t>(tCO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e)</t>
    </r>
  </si>
  <si>
    <r>
      <t>PE</t>
    </r>
    <r>
      <rPr>
        <i/>
        <vertAlign val="subscript"/>
        <sz val="11"/>
        <rFont val="Arial"/>
        <family val="2"/>
      </rPr>
      <t xml:space="preserve">UM </t>
    </r>
    <r>
      <rPr>
        <sz val="11"/>
        <rFont val="Arial"/>
        <family val="2"/>
      </rPr>
      <t>— Project emissions from un-combusted methane</t>
    </r>
  </si>
  <si>
    <r>
      <t>(tCH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)</t>
    </r>
  </si>
  <si>
    <r>
      <t>Eff</t>
    </r>
    <r>
      <rPr>
        <i/>
        <vertAlign val="subscript"/>
        <sz val="11"/>
        <rFont val="Arial"/>
        <family val="2"/>
      </rPr>
      <t>CHP</t>
    </r>
    <r>
      <rPr>
        <sz val="11"/>
        <rFont val="Arial"/>
        <family val="2"/>
      </rPr>
      <t xml:space="preserve"> — Efficiency of methane destruction/oxidation in power plant (taken as 99.5% from IPCC)</t>
    </r>
  </si>
  <si>
    <r>
      <t>MD</t>
    </r>
    <r>
      <rPr>
        <i/>
        <vertAlign val="subscript"/>
        <sz val="11"/>
        <rFont val="Arial"/>
        <family val="2"/>
      </rPr>
      <t>GAS</t>
    </r>
    <r>
      <rPr>
        <sz val="11"/>
        <rFont val="Arial"/>
        <family val="2"/>
      </rPr>
      <t xml:space="preserve"> — Methane destroyed after being supplied to the gas filling stations</t>
    </r>
  </si>
  <si>
    <r>
      <t>PE</t>
    </r>
    <r>
      <rPr>
        <b/>
        <i/>
        <vertAlign val="subscript"/>
        <sz val="11"/>
        <rFont val="Arial"/>
        <family val="2"/>
      </rPr>
      <t>y</t>
    </r>
    <r>
      <rPr>
        <b/>
        <i/>
        <sz val="11"/>
        <rFont val="Arial"/>
        <family val="2"/>
      </rPr>
      <t xml:space="preserve"> = PE</t>
    </r>
    <r>
      <rPr>
        <b/>
        <i/>
        <vertAlign val="subscript"/>
        <sz val="11"/>
        <rFont val="Arial"/>
        <family val="2"/>
      </rPr>
      <t>MD</t>
    </r>
    <r>
      <rPr>
        <b/>
        <i/>
        <sz val="11"/>
        <rFont val="Arial"/>
        <family val="2"/>
      </rPr>
      <t xml:space="preserve"> + PE</t>
    </r>
    <r>
      <rPr>
        <b/>
        <i/>
        <vertAlign val="subscript"/>
        <sz val="11"/>
        <rFont val="Arial"/>
        <family val="2"/>
      </rPr>
      <t>UM</t>
    </r>
  </si>
  <si>
    <r>
      <t>PE</t>
    </r>
    <r>
      <rPr>
        <b/>
        <i/>
        <vertAlign val="subscript"/>
        <sz val="11"/>
        <rFont val="Arial"/>
        <family val="2"/>
      </rPr>
      <t>MD</t>
    </r>
    <r>
      <rPr>
        <b/>
        <i/>
        <sz val="11"/>
        <rFont val="Arial"/>
        <family val="2"/>
      </rPr>
      <t xml:space="preserve"> = (MD</t>
    </r>
    <r>
      <rPr>
        <b/>
        <i/>
        <vertAlign val="subscript"/>
        <sz val="11"/>
        <rFont val="Arial"/>
        <family val="2"/>
      </rPr>
      <t>CHP</t>
    </r>
    <r>
      <rPr>
        <b/>
        <i/>
        <sz val="11"/>
        <rFont val="Arial"/>
        <family val="2"/>
      </rPr>
      <t xml:space="preserve"> + MD</t>
    </r>
    <r>
      <rPr>
        <b/>
        <i/>
        <vertAlign val="subscript"/>
        <sz val="11"/>
        <rFont val="Arial"/>
        <family val="2"/>
      </rPr>
      <t>GAS</t>
    </r>
    <r>
      <rPr>
        <b/>
        <i/>
        <sz val="11"/>
        <rFont val="Arial"/>
        <family val="2"/>
      </rPr>
      <t>) x СEF</t>
    </r>
    <r>
      <rPr>
        <b/>
        <i/>
        <vertAlign val="subscript"/>
        <sz val="11"/>
        <rFont val="Arial"/>
        <family val="2"/>
      </rPr>
      <t>CH4</t>
    </r>
  </si>
  <si>
    <r>
      <t>MD</t>
    </r>
    <r>
      <rPr>
        <b/>
        <i/>
        <vertAlign val="subscript"/>
        <sz val="11"/>
        <rFont val="Arial"/>
        <family val="2"/>
      </rPr>
      <t>CHP</t>
    </r>
    <r>
      <rPr>
        <b/>
        <i/>
        <sz val="11"/>
        <rFont val="Arial"/>
        <family val="2"/>
      </rPr>
      <t xml:space="preserve"> = MM</t>
    </r>
    <r>
      <rPr>
        <b/>
        <i/>
        <vertAlign val="subscript"/>
        <sz val="11"/>
        <rFont val="Arial"/>
        <family val="2"/>
      </rPr>
      <t>CHP</t>
    </r>
    <r>
      <rPr>
        <b/>
        <i/>
        <sz val="11"/>
        <rFont val="Arial"/>
        <family val="2"/>
      </rPr>
      <t xml:space="preserve"> x Eff</t>
    </r>
    <r>
      <rPr>
        <b/>
        <i/>
        <vertAlign val="subscript"/>
        <sz val="11"/>
        <rFont val="Arial"/>
        <family val="2"/>
      </rPr>
      <t>CHP</t>
    </r>
  </si>
  <si>
    <r>
      <t>MD</t>
    </r>
    <r>
      <rPr>
        <b/>
        <i/>
        <vertAlign val="subscript"/>
        <sz val="11"/>
        <rFont val="Arial"/>
        <family val="2"/>
      </rPr>
      <t>GAS</t>
    </r>
    <r>
      <rPr>
        <b/>
        <i/>
        <sz val="11"/>
        <rFont val="Arial"/>
        <family val="2"/>
      </rPr>
      <t xml:space="preserve"> = MM</t>
    </r>
    <r>
      <rPr>
        <b/>
        <i/>
        <vertAlign val="subscript"/>
        <sz val="11"/>
        <rFont val="Arial"/>
        <family val="2"/>
      </rPr>
      <t>GAS</t>
    </r>
    <r>
      <rPr>
        <b/>
        <i/>
        <sz val="11"/>
        <rFont val="Arial"/>
        <family val="2"/>
      </rPr>
      <t xml:space="preserve"> х Eff</t>
    </r>
    <r>
      <rPr>
        <b/>
        <i/>
        <vertAlign val="subscript"/>
        <sz val="11"/>
        <rFont val="Arial"/>
        <family val="2"/>
      </rPr>
      <t>GAS</t>
    </r>
  </si>
  <si>
    <r>
      <t>PE</t>
    </r>
    <r>
      <rPr>
        <b/>
        <i/>
        <vertAlign val="subscript"/>
        <sz val="11"/>
        <rFont val="Arial"/>
        <family val="2"/>
      </rPr>
      <t>UM</t>
    </r>
    <r>
      <rPr>
        <b/>
        <i/>
        <sz val="11"/>
        <rFont val="Arial"/>
        <family val="2"/>
      </rPr>
      <t xml:space="preserve"> = GWP</t>
    </r>
    <r>
      <rPr>
        <b/>
        <i/>
        <vertAlign val="subscript"/>
        <sz val="11"/>
        <rFont val="Arial"/>
        <family val="2"/>
      </rPr>
      <t>CH4</t>
    </r>
    <r>
      <rPr>
        <b/>
        <i/>
        <sz val="11"/>
        <rFont val="Arial"/>
        <family val="2"/>
      </rPr>
      <t xml:space="preserve"> х [( MM</t>
    </r>
    <r>
      <rPr>
        <b/>
        <i/>
        <vertAlign val="subscript"/>
        <sz val="11"/>
        <rFont val="Arial"/>
        <family val="2"/>
      </rPr>
      <t>CHP</t>
    </r>
    <r>
      <rPr>
        <b/>
        <i/>
        <sz val="11"/>
        <rFont val="Arial"/>
        <family val="2"/>
      </rPr>
      <t xml:space="preserve"> х (1 - Eff</t>
    </r>
    <r>
      <rPr>
        <b/>
        <i/>
        <vertAlign val="subscript"/>
        <sz val="11"/>
        <rFont val="Arial"/>
        <family val="2"/>
      </rPr>
      <t>CHP</t>
    </r>
    <r>
      <rPr>
        <b/>
        <i/>
        <sz val="11"/>
        <rFont val="Arial"/>
        <family val="2"/>
      </rPr>
      <t>) + MM</t>
    </r>
    <r>
      <rPr>
        <b/>
        <i/>
        <vertAlign val="subscript"/>
        <sz val="11"/>
        <rFont val="Arial"/>
        <family val="2"/>
      </rPr>
      <t>GAS</t>
    </r>
    <r>
      <rPr>
        <b/>
        <i/>
        <sz val="11"/>
        <rFont val="Arial"/>
        <family val="2"/>
      </rPr>
      <t xml:space="preserve"> x (1 - Eff</t>
    </r>
    <r>
      <rPr>
        <b/>
        <i/>
        <vertAlign val="subscript"/>
        <sz val="11"/>
        <rFont val="Arial"/>
        <family val="2"/>
      </rPr>
      <t>GAS</t>
    </r>
    <r>
      <rPr>
        <b/>
        <i/>
        <sz val="11"/>
        <rFont val="Arial"/>
        <family val="2"/>
      </rPr>
      <t>)]</t>
    </r>
  </si>
  <si>
    <r>
      <t>PE</t>
    </r>
    <r>
      <rPr>
        <b/>
        <i/>
        <vertAlign val="subscript"/>
        <sz val="11"/>
        <rFont val="Arial"/>
        <family val="2"/>
      </rPr>
      <t>Y</t>
    </r>
    <r>
      <rPr>
        <b/>
        <i/>
        <sz val="11"/>
        <rFont val="Arial"/>
        <family val="2"/>
      </rPr>
      <t xml:space="preserve"> = PE</t>
    </r>
    <r>
      <rPr>
        <b/>
        <i/>
        <vertAlign val="subscript"/>
        <sz val="11"/>
        <rFont val="Arial"/>
        <family val="2"/>
      </rPr>
      <t>MD</t>
    </r>
    <r>
      <rPr>
        <b/>
        <i/>
        <sz val="11"/>
        <rFont val="Arial"/>
        <family val="2"/>
      </rPr>
      <t xml:space="preserve"> + PE</t>
    </r>
    <r>
      <rPr>
        <b/>
        <i/>
        <vertAlign val="subscript"/>
        <sz val="11"/>
        <rFont val="Arial"/>
        <family val="2"/>
      </rPr>
      <t>UM</t>
    </r>
  </si>
  <si>
    <r>
      <t>EF CO</t>
    </r>
    <r>
      <rPr>
        <i/>
        <vertAlign val="subscript"/>
        <sz val="11"/>
        <rFont val="Arial"/>
        <family val="2"/>
      </rPr>
      <t>2</t>
    </r>
    <r>
      <rPr>
        <i/>
        <sz val="11"/>
        <rFont val="Arial"/>
        <family val="2"/>
      </rPr>
      <t>,coal</t>
    </r>
  </si>
  <si>
    <r>
      <t>EF CO</t>
    </r>
    <r>
      <rPr>
        <i/>
        <vertAlign val="subscript"/>
        <sz val="11"/>
        <rFont val="Arial"/>
        <family val="2"/>
      </rPr>
      <t>2</t>
    </r>
    <r>
      <rPr>
        <i/>
        <sz val="11"/>
        <rFont val="Arial"/>
        <family val="2"/>
      </rPr>
      <t>,ng</t>
    </r>
  </si>
  <si>
    <r>
      <t>tCO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/GJ</t>
    </r>
  </si>
  <si>
    <r>
      <t>EF CO</t>
    </r>
    <r>
      <rPr>
        <i/>
        <vertAlign val="subscript"/>
        <sz val="11"/>
        <rFont val="Arial"/>
        <family val="2"/>
      </rPr>
      <t>2,</t>
    </r>
    <r>
      <rPr>
        <i/>
        <sz val="11"/>
        <rFont val="Arial"/>
        <family val="2"/>
      </rPr>
      <t>gasoline</t>
    </r>
  </si>
  <si>
    <r>
      <t>EF CO</t>
    </r>
    <r>
      <rPr>
        <i/>
        <vertAlign val="subscript"/>
        <sz val="11"/>
        <rFont val="Arial"/>
        <family val="2"/>
      </rPr>
      <t>2</t>
    </r>
    <r>
      <rPr>
        <i/>
        <sz val="11"/>
        <rFont val="Arial"/>
        <family val="2"/>
      </rPr>
      <t>,diesel</t>
    </r>
  </si>
  <si>
    <r>
      <t>EF CO</t>
    </r>
    <r>
      <rPr>
        <i/>
        <vertAlign val="subscript"/>
        <sz val="11"/>
        <rFont val="Arial"/>
        <family val="2"/>
      </rPr>
      <t>2</t>
    </r>
    <r>
      <rPr>
        <i/>
        <sz val="11"/>
        <rFont val="Arial"/>
        <family val="2"/>
      </rPr>
      <t>,mix</t>
    </r>
  </si>
  <si>
    <r>
      <t>CH</t>
    </r>
    <r>
      <rPr>
        <vertAlign val="subscript"/>
        <sz val="11"/>
        <rFont val="Arial"/>
        <family val="2"/>
      </rPr>
      <t xml:space="preserve">4 </t>
    </r>
    <r>
      <rPr>
        <sz val="11"/>
        <rFont val="Arial"/>
        <family val="2"/>
      </rPr>
      <t>iginition gas, m</t>
    </r>
    <r>
      <rPr>
        <vertAlign val="superscript"/>
        <sz val="11"/>
        <rFont val="Arial"/>
        <family val="2"/>
      </rPr>
      <t>3</t>
    </r>
  </si>
  <si>
    <r>
      <t>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 xml:space="preserve"> fuel gas, m</t>
    </r>
    <r>
      <rPr>
        <vertAlign val="superscript"/>
        <sz val="11"/>
        <rFont val="Arial"/>
        <family val="2"/>
      </rPr>
      <t>3</t>
    </r>
  </si>
  <si>
    <r>
      <t>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 xml:space="preserve"> consumption, tn</t>
    </r>
  </si>
  <si>
    <r>
      <t>m</t>
    </r>
    <r>
      <rPr>
        <vertAlign val="superscript"/>
        <sz val="10"/>
        <rFont val="Arial"/>
        <family val="2"/>
      </rPr>
      <t>3</t>
    </r>
  </si>
  <si>
    <r>
      <t>tCH</t>
    </r>
    <r>
      <rPr>
        <vertAlign val="subscript"/>
        <sz val="10"/>
        <rFont val="Arial"/>
        <family val="2"/>
      </rPr>
      <t>4</t>
    </r>
  </si>
  <si>
    <r>
      <t>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</t>
    </r>
  </si>
  <si>
    <r>
      <t>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</t>
    </r>
  </si>
  <si>
    <r>
      <t>P</t>
    </r>
    <r>
      <rPr>
        <b/>
        <sz val="10"/>
        <rFont val="Arial"/>
        <family val="2"/>
      </rPr>
      <t>el</t>
    </r>
  </si>
  <si>
    <r>
      <t>P</t>
    </r>
    <r>
      <rPr>
        <b/>
        <sz val="10"/>
        <rFont val="Arial"/>
        <family val="2"/>
      </rPr>
      <t>ht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</si>
  <si>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/h</t>
    </r>
  </si>
  <si>
    <r>
      <t>Methan consumption ,m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/year 100% load</t>
    </r>
  </si>
  <si>
    <r>
      <t>CO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emissions t/year</t>
    </r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</si>
  <si>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/day</t>
    </r>
  </si>
  <si>
    <t xml:space="preserve">max </t>
  </si>
  <si>
    <t>GJ/1000 m3</t>
  </si>
  <si>
    <r>
      <t>BE</t>
    </r>
    <r>
      <rPr>
        <b/>
        <i/>
        <vertAlign val="subscript"/>
        <sz val="11"/>
        <rFont val="Arial"/>
        <family val="2"/>
      </rPr>
      <t>Use,Heat,y</t>
    </r>
  </si>
  <si>
    <r>
      <t>HEAT</t>
    </r>
    <r>
      <rPr>
        <b/>
        <i/>
        <vertAlign val="subscript"/>
        <sz val="11"/>
        <rFont val="Arial"/>
        <family val="2"/>
      </rPr>
      <t>deliv,DH,y</t>
    </r>
  </si>
  <si>
    <r>
      <t>EF</t>
    </r>
    <r>
      <rPr>
        <b/>
        <i/>
        <vertAlign val="subscript"/>
        <sz val="11"/>
        <rFont val="Arial"/>
        <family val="2"/>
      </rPr>
      <t>Heat,DH</t>
    </r>
  </si>
  <si>
    <r>
      <t>HEAT</t>
    </r>
    <r>
      <rPr>
        <b/>
        <i/>
        <vertAlign val="subscript"/>
        <sz val="11"/>
        <rFont val="Arial"/>
        <family val="2"/>
      </rPr>
      <t>cons,vost,y</t>
    </r>
  </si>
  <si>
    <r>
      <t>EF</t>
    </r>
    <r>
      <rPr>
        <b/>
        <i/>
        <vertAlign val="subscript"/>
        <sz val="11"/>
        <rFont val="Arial"/>
        <family val="2"/>
      </rPr>
      <t>Heat,vost</t>
    </r>
  </si>
  <si>
    <r>
      <t>HEAT</t>
    </r>
    <r>
      <rPr>
        <b/>
        <i/>
        <vertAlign val="subscript"/>
        <sz val="11"/>
        <rFont val="Arial"/>
        <family val="2"/>
      </rPr>
      <t>cons,yak,y</t>
    </r>
  </si>
  <si>
    <r>
      <t>EF</t>
    </r>
    <r>
      <rPr>
        <b/>
        <i/>
        <vertAlign val="subscript"/>
        <sz val="11"/>
        <rFont val="Arial"/>
        <family val="2"/>
      </rPr>
      <t>Heat,yak</t>
    </r>
  </si>
  <si>
    <r>
      <t>HEAT</t>
    </r>
    <r>
      <rPr>
        <b/>
        <i/>
        <vertAlign val="subscript"/>
        <sz val="11"/>
        <rFont val="Arial"/>
        <family val="2"/>
      </rPr>
      <t>cons,centr,y</t>
    </r>
  </si>
  <si>
    <r>
      <t>EF</t>
    </r>
    <r>
      <rPr>
        <b/>
        <i/>
        <vertAlign val="subscript"/>
        <sz val="11"/>
        <rFont val="Arial"/>
        <family val="2"/>
      </rPr>
      <t>Heat,centr</t>
    </r>
  </si>
  <si>
    <r>
      <t>tCO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,y</t>
    </r>
  </si>
  <si>
    <r>
      <t>(tCO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/GJ)</t>
    </r>
  </si>
  <si>
    <r>
      <t>BE</t>
    </r>
    <r>
      <rPr>
        <b/>
        <i/>
        <vertAlign val="subscript"/>
        <sz val="11"/>
        <rFont val="Arial"/>
        <family val="2"/>
      </rPr>
      <t>Use.Gas</t>
    </r>
  </si>
  <si>
    <r>
      <t>EF</t>
    </r>
    <r>
      <rPr>
        <b/>
        <i/>
        <vertAlign val="subscript"/>
        <sz val="11"/>
        <rFont val="Arial"/>
        <family val="2"/>
      </rPr>
      <t>v</t>
    </r>
  </si>
  <si>
    <r>
      <t>BE</t>
    </r>
    <r>
      <rPr>
        <b/>
        <i/>
        <vertAlign val="subscript"/>
        <sz val="11"/>
        <rFont val="Arial"/>
        <family val="2"/>
      </rPr>
      <t>y</t>
    </r>
  </si>
  <si>
    <r>
      <t>BE</t>
    </r>
    <r>
      <rPr>
        <b/>
        <i/>
        <vertAlign val="subscript"/>
        <sz val="11"/>
        <rFont val="Arial"/>
        <family val="2"/>
      </rPr>
      <t>Use,Heat, y</t>
    </r>
  </si>
  <si>
    <r>
      <t>tCO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y</t>
    </r>
  </si>
  <si>
    <r>
      <t>m</t>
    </r>
    <r>
      <rPr>
        <b/>
        <vertAlign val="superscript"/>
        <sz val="11"/>
        <rFont val="Arial"/>
        <family val="2"/>
      </rPr>
      <t>3</t>
    </r>
  </si>
  <si>
    <r>
      <t>MM</t>
    </r>
    <r>
      <rPr>
        <b/>
        <i/>
        <vertAlign val="subscript"/>
        <sz val="11"/>
        <rFont val="Arial"/>
        <family val="2"/>
      </rPr>
      <t>CHP</t>
    </r>
  </si>
  <si>
    <r>
      <t>Eff</t>
    </r>
    <r>
      <rPr>
        <b/>
        <i/>
        <vertAlign val="subscript"/>
        <sz val="11"/>
        <rFont val="Arial"/>
        <family val="2"/>
      </rPr>
      <t>CHP</t>
    </r>
  </si>
  <si>
    <r>
      <t>MD</t>
    </r>
    <r>
      <rPr>
        <b/>
        <i/>
        <vertAlign val="subscript"/>
        <sz val="11"/>
        <rFont val="Arial"/>
        <family val="2"/>
      </rPr>
      <t>CHP</t>
    </r>
  </si>
  <si>
    <r>
      <t>MM</t>
    </r>
    <r>
      <rPr>
        <b/>
        <vertAlign val="subscript"/>
        <sz val="11"/>
        <rFont val="Arial"/>
        <family val="2"/>
      </rPr>
      <t>GAS</t>
    </r>
  </si>
  <si>
    <r>
      <t>Eff</t>
    </r>
    <r>
      <rPr>
        <b/>
        <i/>
        <vertAlign val="subscript"/>
        <sz val="11"/>
        <rFont val="Arial"/>
        <family val="2"/>
      </rPr>
      <t>GAS</t>
    </r>
  </si>
  <si>
    <r>
      <t>MD</t>
    </r>
    <r>
      <rPr>
        <b/>
        <i/>
        <vertAlign val="subscript"/>
        <sz val="11"/>
        <rFont val="Arial"/>
        <family val="2"/>
      </rPr>
      <t>GAS</t>
    </r>
  </si>
  <si>
    <r>
      <t>PE</t>
    </r>
    <r>
      <rPr>
        <b/>
        <i/>
        <vertAlign val="subscript"/>
        <sz val="11"/>
        <rFont val="Arial"/>
        <family val="2"/>
      </rPr>
      <t>MD</t>
    </r>
  </si>
  <si>
    <r>
      <t>CEF</t>
    </r>
    <r>
      <rPr>
        <b/>
        <i/>
        <vertAlign val="subscript"/>
        <sz val="11"/>
        <rFont val="Arial"/>
        <family val="2"/>
      </rPr>
      <t>CH4</t>
    </r>
  </si>
  <si>
    <r>
      <t>1 - Eff</t>
    </r>
    <r>
      <rPr>
        <b/>
        <i/>
        <vertAlign val="subscript"/>
        <sz val="11"/>
        <rFont val="Arial"/>
        <family val="2"/>
      </rPr>
      <t>CHP</t>
    </r>
  </si>
  <si>
    <r>
      <t>MM</t>
    </r>
    <r>
      <rPr>
        <b/>
        <i/>
        <vertAlign val="subscript"/>
        <sz val="11"/>
        <color indexed="8"/>
        <rFont val="Arial"/>
        <family val="2"/>
      </rPr>
      <t>GAS</t>
    </r>
  </si>
  <si>
    <r>
      <t>1 - Eff</t>
    </r>
    <r>
      <rPr>
        <b/>
        <i/>
        <vertAlign val="subscript"/>
        <sz val="11"/>
        <rFont val="Arial"/>
        <family val="2"/>
      </rPr>
      <t>GAS</t>
    </r>
  </si>
  <si>
    <r>
      <t>PE</t>
    </r>
    <r>
      <rPr>
        <b/>
        <i/>
        <vertAlign val="subscript"/>
        <sz val="11"/>
        <color indexed="8"/>
        <rFont val="Arial"/>
        <family val="2"/>
      </rPr>
      <t>UM</t>
    </r>
  </si>
  <si>
    <r>
      <t>PE</t>
    </r>
    <r>
      <rPr>
        <b/>
        <i/>
        <vertAlign val="subscript"/>
        <sz val="11"/>
        <color indexed="8"/>
        <rFont val="Arial"/>
        <family val="2"/>
      </rPr>
      <t>Y</t>
    </r>
  </si>
  <si>
    <r>
      <t>CH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</si>
  <si>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CH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(t)</t>
    </r>
  </si>
  <si>
    <r>
      <t>tCH</t>
    </r>
    <r>
      <rPr>
        <b/>
        <vertAlign val="subscript"/>
        <sz val="11"/>
        <rFont val="Arial"/>
        <family val="2"/>
      </rPr>
      <t>4</t>
    </r>
  </si>
  <si>
    <r>
      <t>AGFC plant 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 xml:space="preserve"> Consumption</t>
    </r>
  </si>
  <si>
    <r>
      <t>The Methane consumption for power and heat generation( tCH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):</t>
    </r>
  </si>
  <si>
    <t>Source: Order of State Environmental Investment Agency of Ukraine Nr. 75 dd. May 12, 2011</t>
  </si>
  <si>
    <t>June</t>
  </si>
  <si>
    <t>July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</si>
  <si>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</si>
  <si>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</si>
  <si>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</si>
  <si>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</si>
  <si>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</si>
  <si>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Total (01/06/2011-31/12/2011)</t>
  </si>
  <si>
    <t>From 01.06.2011 to 31.12.2011</t>
  </si>
  <si>
    <t>Total  (01/06/2011-31/12/2011)</t>
  </si>
  <si>
    <t>Year 2012</t>
  </si>
  <si>
    <t>From 01.01.2012 to 30.04.2012</t>
  </si>
  <si>
    <t>Total (01/01/2012-30/04/2012)</t>
  </si>
  <si>
    <t>January</t>
  </si>
  <si>
    <t>February</t>
  </si>
  <si>
    <t>March</t>
  </si>
  <si>
    <t>April</t>
  </si>
  <si>
    <r>
      <t xml:space="preserve">The project emissions from methane destroyed are given by the following equation.                                                                                                                                  All methane will be destroyed in CHPs. Therefore </t>
    </r>
    <r>
      <rPr>
        <i/>
        <sz val="11"/>
        <rFont val="Arial"/>
        <family val="2"/>
      </rPr>
      <t>MD</t>
    </r>
    <r>
      <rPr>
        <i/>
        <vertAlign val="subscript"/>
        <sz val="11"/>
        <rFont val="Arial"/>
        <family val="2"/>
      </rPr>
      <t>ELEC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MD</t>
    </r>
    <r>
      <rPr>
        <i/>
        <vertAlign val="subscript"/>
        <sz val="11"/>
        <rFont val="Arial"/>
        <family val="2"/>
      </rPr>
      <t>HEAT</t>
    </r>
    <r>
      <rPr>
        <sz val="11"/>
        <rFont val="Arial"/>
        <family val="2"/>
      </rPr>
      <t xml:space="preserve"> are combined into </t>
    </r>
    <r>
      <rPr>
        <i/>
        <sz val="11"/>
        <rFont val="Arial"/>
        <family val="2"/>
      </rPr>
      <t>MD</t>
    </r>
    <r>
      <rPr>
        <i/>
        <vertAlign val="subscript"/>
        <sz val="11"/>
        <rFont val="Arial"/>
        <family val="2"/>
      </rPr>
      <t>CHP</t>
    </r>
    <r>
      <rPr>
        <i/>
        <sz val="11"/>
        <rFont val="Arial"/>
        <family val="2"/>
      </rPr>
      <t xml:space="preserve">. </t>
    </r>
    <r>
      <rPr>
        <sz val="11"/>
        <rFont val="Arial"/>
        <family val="2"/>
      </rPr>
      <t xml:space="preserve">No flaring takes place so </t>
    </r>
    <r>
      <rPr>
        <i/>
        <sz val="11"/>
        <rFont val="Arial"/>
        <family val="2"/>
      </rPr>
      <t>MD</t>
    </r>
    <r>
      <rPr>
        <i/>
        <vertAlign val="subscript"/>
        <sz val="11"/>
        <rFont val="Arial"/>
        <family val="2"/>
      </rPr>
      <t>FL</t>
    </r>
    <r>
      <rPr>
        <sz val="11"/>
        <rFont val="Arial"/>
        <family val="2"/>
      </rPr>
      <t xml:space="preserve"> = 0</t>
    </r>
  </si>
  <si>
    <r>
      <t xml:space="preserve">The project emissions from methane destroyed are given by the following equation.                                                                                                                               All methane will be destroyed in CHPs. Therefore </t>
    </r>
    <r>
      <rPr>
        <i/>
        <sz val="11"/>
        <rFont val="Arial"/>
        <family val="2"/>
      </rPr>
      <t>MD</t>
    </r>
    <r>
      <rPr>
        <i/>
        <vertAlign val="subscript"/>
        <sz val="11"/>
        <rFont val="Arial"/>
        <family val="2"/>
      </rPr>
      <t>ELEC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MD</t>
    </r>
    <r>
      <rPr>
        <i/>
        <vertAlign val="subscript"/>
        <sz val="11"/>
        <rFont val="Arial"/>
        <family val="2"/>
      </rPr>
      <t>HEAT</t>
    </r>
    <r>
      <rPr>
        <sz val="11"/>
        <rFont val="Arial"/>
        <family val="2"/>
      </rPr>
      <t xml:space="preserve"> are combined into </t>
    </r>
    <r>
      <rPr>
        <i/>
        <sz val="11"/>
        <rFont val="Arial"/>
        <family val="2"/>
      </rPr>
      <t>MD</t>
    </r>
    <r>
      <rPr>
        <i/>
        <vertAlign val="subscript"/>
        <sz val="11"/>
        <rFont val="Arial"/>
        <family val="2"/>
      </rPr>
      <t>CHP</t>
    </r>
    <r>
      <rPr>
        <i/>
        <sz val="11"/>
        <rFont val="Arial"/>
        <family val="2"/>
      </rPr>
      <t xml:space="preserve">. </t>
    </r>
    <r>
      <rPr>
        <sz val="11"/>
        <rFont val="Arial"/>
        <family val="2"/>
      </rPr>
      <t xml:space="preserve">No flaring takes place so </t>
    </r>
    <r>
      <rPr>
        <i/>
        <sz val="11"/>
        <rFont val="Arial"/>
        <family val="2"/>
      </rPr>
      <t>MD</t>
    </r>
    <r>
      <rPr>
        <i/>
        <vertAlign val="subscript"/>
        <sz val="11"/>
        <rFont val="Arial"/>
        <family val="2"/>
      </rPr>
      <t>FL</t>
    </r>
    <r>
      <rPr>
        <sz val="11"/>
        <rFont val="Arial"/>
        <family val="2"/>
      </rPr>
      <t xml:space="preserve"> = 0</t>
    </r>
  </si>
  <si>
    <t>Total  (01/01/2012-30/04/2012)</t>
  </si>
  <si>
    <t>25 May 2012</t>
  </si>
  <si>
    <t>Version 3.0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</si>
</sst>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#,##0.000000000"/>
    <numFmt numFmtId="179" formatCode="#,##0.000"/>
    <numFmt numFmtId="180" formatCode="0.00000"/>
    <numFmt numFmtId="181" formatCode="0.0"/>
    <numFmt numFmtId="182" formatCode="_-* #,##0.000_-;_-* #,##0.000\-;_-* &quot;-&quot;??_-;_-@_-"/>
    <numFmt numFmtId="183" formatCode="_-* #,##0.0000_-;_-* #,##0.0000\-;_-* &quot;-&quot;??_-;_-@_-"/>
    <numFmt numFmtId="184" formatCode="_-* #,##0.0_р_._-;\-* #,##0.0_р_._-;_-* &quot;-&quot;??_р_._-;_-@_-"/>
    <numFmt numFmtId="185" formatCode="_-* #,##0_р_._-;\-* #,##0_р_._-;_-* &quot;-&quot;??_р_._-;_-@_-"/>
    <numFmt numFmtId="186" formatCode="#,##0.0"/>
    <numFmt numFmtId="187" formatCode="#,##0&quot;р.&quot;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"/>
    <numFmt numFmtId="194" formatCode="#,##0;[Red]#,##0"/>
    <numFmt numFmtId="195" formatCode="#,##0_ ;\-#,##0\ "/>
    <numFmt numFmtId="196" formatCode="#,##0.0000"/>
  </numFmts>
  <fonts count="61">
    <font>
      <sz val="10"/>
      <name val="Times New Roman"/>
      <family val="0"/>
    </font>
    <font>
      <sz val="8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0"/>
    </font>
    <font>
      <sz val="8"/>
      <name val="Arial"/>
      <family val="0"/>
    </font>
    <font>
      <vertAlign val="subscript"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vertAlign val="subscript"/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i/>
      <sz val="12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1"/>
      <name val="Arial"/>
      <family val="2"/>
    </font>
    <font>
      <b/>
      <i/>
      <vertAlign val="subscript"/>
      <sz val="11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sz val="11"/>
      <color indexed="12"/>
      <name val="Arial"/>
      <family val="2"/>
    </font>
    <font>
      <vertAlign val="subscript"/>
      <sz val="11"/>
      <color indexed="8"/>
      <name val="Arial"/>
      <family val="2"/>
    </font>
    <font>
      <i/>
      <sz val="11"/>
      <color indexed="8"/>
      <name val="Arial"/>
      <family val="2"/>
    </font>
    <font>
      <i/>
      <vertAlign val="subscript"/>
      <sz val="11"/>
      <color indexed="8"/>
      <name val="Arial"/>
      <family val="2"/>
    </font>
    <font>
      <b/>
      <sz val="12"/>
      <color indexed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i/>
      <sz val="11"/>
      <color indexed="8"/>
      <name val="Arial"/>
      <family val="2"/>
    </font>
    <font>
      <b/>
      <i/>
      <vertAlign val="subscript"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b/>
      <sz val="8"/>
      <name val="Times New Roman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0" xfId="59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33" fillId="0" borderId="0" xfId="0" applyFont="1" applyFill="1" applyBorder="1" applyAlignment="1">
      <alignment horizontal="right" vertical="center" wrapText="1"/>
    </xf>
    <xf numFmtId="1" fontId="33" fillId="0" borderId="0" xfId="60" applyNumberFormat="1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/>
    </xf>
    <xf numFmtId="0" fontId="31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31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4" fontId="31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4" fontId="3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4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37" fillId="0" borderId="0" xfId="0" applyFont="1" applyAlignment="1">
      <alignment/>
    </xf>
    <xf numFmtId="4" fontId="7" fillId="0" borderId="0" xfId="0" applyNumberFormat="1" applyFont="1" applyAlignment="1">
      <alignment/>
    </xf>
    <xf numFmtId="3" fontId="31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3" fontId="31" fillId="0" borderId="0" xfId="0" applyNumberFormat="1" applyFont="1" applyBorder="1" applyAlignment="1" quotePrefix="1">
      <alignment horizontal="right"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9" fontId="7" fillId="11" borderId="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30" fillId="0" borderId="11" xfId="0" applyFont="1" applyBorder="1" applyAlignment="1">
      <alignment horizontal="left" shrinkToFit="1"/>
    </xf>
    <xf numFmtId="0" fontId="30" fillId="0" borderId="0" xfId="0" applyFont="1" applyAlignment="1">
      <alignment horizontal="left" shrinkToFit="1"/>
    </xf>
    <xf numFmtId="0" fontId="30" fillId="0" borderId="0" xfId="0" applyFont="1" applyAlignment="1">
      <alignment vertical="top" wrapText="1"/>
    </xf>
    <xf numFmtId="0" fontId="44" fillId="0" borderId="0" xfId="0" applyFont="1" applyFill="1" applyAlignment="1">
      <alignment/>
    </xf>
    <xf numFmtId="0" fontId="36" fillId="0" borderId="0" xfId="0" applyFont="1" applyAlignment="1">
      <alignment vertical="top" wrapText="1"/>
    </xf>
    <xf numFmtId="0" fontId="30" fillId="0" borderId="0" xfId="0" applyFont="1" applyAlignment="1">
      <alignment horizontal="left"/>
    </xf>
    <xf numFmtId="0" fontId="30" fillId="0" borderId="12" xfId="0" applyFont="1" applyFill="1" applyBorder="1" applyAlignment="1">
      <alignment horizontal="right"/>
    </xf>
    <xf numFmtId="0" fontId="30" fillId="0" borderId="13" xfId="0" applyFont="1" applyFill="1" applyBorder="1" applyAlignment="1">
      <alignment/>
    </xf>
    <xf numFmtId="3" fontId="30" fillId="0" borderId="13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0" fontId="30" fillId="24" borderId="15" xfId="0" applyFont="1" applyFill="1" applyBorder="1" applyAlignment="1">
      <alignment horizontal="right" vertical="center"/>
    </xf>
    <xf numFmtId="3" fontId="30" fillId="24" borderId="15" xfId="0" applyNumberFormat="1" applyFont="1" applyFill="1" applyBorder="1" applyAlignment="1">
      <alignment horizontal="right" vertical="center"/>
    </xf>
    <xf numFmtId="3" fontId="30" fillId="24" borderId="16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2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3" fontId="30" fillId="24" borderId="17" xfId="0" applyNumberFormat="1" applyFont="1" applyFill="1" applyBorder="1" applyAlignment="1">
      <alignment horizontal="right" vertical="center"/>
    </xf>
    <xf numFmtId="3" fontId="30" fillId="24" borderId="18" xfId="0" applyNumberFormat="1" applyFont="1" applyFill="1" applyBorder="1" applyAlignment="1">
      <alignment horizontal="right" vertical="center"/>
    </xf>
    <xf numFmtId="179" fontId="30" fillId="24" borderId="17" xfId="60" applyNumberFormat="1" applyFont="1" applyFill="1" applyBorder="1" applyAlignment="1">
      <alignment horizontal="right" vertical="center" wrapText="1"/>
      <protection/>
    </xf>
    <xf numFmtId="179" fontId="30" fillId="24" borderId="17" xfId="0" applyNumberFormat="1" applyFont="1" applyFill="1" applyBorder="1" applyAlignment="1">
      <alignment horizontal="right" vertical="center"/>
    </xf>
    <xf numFmtId="3" fontId="30" fillId="24" borderId="19" xfId="0" applyNumberFormat="1" applyFont="1" applyFill="1" applyBorder="1" applyAlignment="1">
      <alignment horizontal="right" vertical="center"/>
    </xf>
    <xf numFmtId="179" fontId="30" fillId="24" borderId="20" xfId="60" applyNumberFormat="1" applyFont="1" applyFill="1" applyBorder="1" applyAlignment="1">
      <alignment horizontal="right" vertical="center" wrapText="1"/>
      <protection/>
    </xf>
    <xf numFmtId="179" fontId="30" fillId="24" borderId="19" xfId="0" applyNumberFormat="1" applyFont="1" applyFill="1" applyBorder="1" applyAlignment="1">
      <alignment horizontal="right" vertical="center"/>
    </xf>
    <xf numFmtId="3" fontId="30" fillId="24" borderId="21" xfId="0" applyNumberFormat="1" applyFont="1" applyFill="1" applyBorder="1" applyAlignment="1">
      <alignment horizontal="right" vertical="center"/>
    </xf>
    <xf numFmtId="179" fontId="30" fillId="24" borderId="20" xfId="0" applyNumberFormat="1" applyFont="1" applyFill="1" applyBorder="1" applyAlignment="1">
      <alignment horizontal="right" vertical="center"/>
    </xf>
    <xf numFmtId="3" fontId="30" fillId="24" borderId="22" xfId="0" applyNumberFormat="1" applyFont="1" applyFill="1" applyBorder="1" applyAlignment="1">
      <alignment horizontal="right" vertical="center"/>
    </xf>
    <xf numFmtId="172" fontId="30" fillId="0" borderId="13" xfId="0" applyNumberFormat="1" applyFont="1" applyFill="1" applyBorder="1" applyAlignment="1">
      <alignment/>
    </xf>
    <xf numFmtId="172" fontId="30" fillId="0" borderId="14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4" fontId="30" fillId="0" borderId="0" xfId="0" applyNumberFormat="1" applyFont="1" applyBorder="1" applyAlignment="1">
      <alignment/>
    </xf>
    <xf numFmtId="0" fontId="30" fillId="0" borderId="23" xfId="0" applyFont="1" applyBorder="1" applyAlignment="1">
      <alignment/>
    </xf>
    <xf numFmtId="4" fontId="30" fillId="0" borderId="13" xfId="0" applyNumberFormat="1" applyFont="1" applyFill="1" applyBorder="1" applyAlignment="1">
      <alignment/>
    </xf>
    <xf numFmtId="3" fontId="30" fillId="0" borderId="18" xfId="0" applyNumberFormat="1" applyFont="1" applyFill="1" applyBorder="1" applyAlignment="1">
      <alignment/>
    </xf>
    <xf numFmtId="0" fontId="30" fillId="0" borderId="14" xfId="0" applyFont="1" applyFill="1" applyBorder="1" applyAlignment="1">
      <alignment/>
    </xf>
    <xf numFmtId="3" fontId="30" fillId="0" borderId="0" xfId="0" applyNumberFormat="1" applyFont="1" applyAlignment="1">
      <alignment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32" fillId="0" borderId="32" xfId="0" applyFont="1" applyBorder="1" applyAlignment="1">
      <alignment horizontal="center" vertical="center"/>
    </xf>
    <xf numFmtId="0" fontId="32" fillId="4" borderId="33" xfId="0" applyFont="1" applyFill="1" applyBorder="1" applyAlignment="1">
      <alignment horizontal="right" vertical="center"/>
    </xf>
    <xf numFmtId="3" fontId="32" fillId="4" borderId="33" xfId="0" applyNumberFormat="1" applyFont="1" applyFill="1" applyBorder="1" applyAlignment="1">
      <alignment horizontal="right" vertical="center"/>
    </xf>
    <xf numFmtId="3" fontId="32" fillId="4" borderId="34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shrinkToFit="1"/>
    </xf>
    <xf numFmtId="0" fontId="46" fillId="0" borderId="0" xfId="0" applyFont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36" fillId="0" borderId="0" xfId="0" applyFont="1" applyAlignment="1">
      <alignment horizontal="justify" vertical="top" wrapText="1"/>
    </xf>
    <xf numFmtId="0" fontId="40" fillId="0" borderId="0" xfId="0" applyFont="1" applyAlignment="1">
      <alignment vertical="top" wrapText="1"/>
    </xf>
    <xf numFmtId="0" fontId="48" fillId="0" borderId="0" xfId="0" applyFont="1" applyBorder="1" applyAlignment="1">
      <alignment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right" vertical="top"/>
    </xf>
    <xf numFmtId="0" fontId="32" fillId="0" borderId="12" xfId="0" applyFont="1" applyFill="1" applyBorder="1" applyAlignment="1">
      <alignment horizontal="right"/>
    </xf>
    <xf numFmtId="3" fontId="32" fillId="0" borderId="13" xfId="0" applyNumberFormat="1" applyFont="1" applyFill="1" applyBorder="1" applyAlignment="1">
      <alignment/>
    </xf>
    <xf numFmtId="0" fontId="32" fillId="0" borderId="13" xfId="0" applyFont="1" applyFill="1" applyBorder="1" applyAlignment="1">
      <alignment/>
    </xf>
    <xf numFmtId="3" fontId="32" fillId="0" borderId="14" xfId="0" applyNumberFormat="1" applyFont="1" applyFill="1" applyBorder="1" applyAlignment="1">
      <alignment/>
    </xf>
    <xf numFmtId="0" fontId="30" fillId="0" borderId="35" xfId="0" applyFont="1" applyFill="1" applyBorder="1" applyAlignment="1">
      <alignment horizontal="right"/>
    </xf>
    <xf numFmtId="3" fontId="30" fillId="0" borderId="30" xfId="0" applyNumberFormat="1" applyFont="1" applyFill="1" applyBorder="1" applyAlignment="1">
      <alignment/>
    </xf>
    <xf numFmtId="0" fontId="30" fillId="0" borderId="30" xfId="0" applyFont="1" applyFill="1" applyBorder="1" applyAlignment="1">
      <alignment/>
    </xf>
    <xf numFmtId="3" fontId="30" fillId="0" borderId="31" xfId="0" applyNumberFormat="1" applyFont="1" applyFill="1" applyBorder="1" applyAlignment="1">
      <alignment/>
    </xf>
    <xf numFmtId="2" fontId="30" fillId="0" borderId="13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30" fillId="0" borderId="0" xfId="0" applyNumberFormat="1" applyFont="1" applyAlignment="1">
      <alignment/>
    </xf>
    <xf numFmtId="1" fontId="30" fillId="0" borderId="14" xfId="0" applyNumberFormat="1" applyFont="1" applyFill="1" applyBorder="1" applyAlignment="1">
      <alignment/>
    </xf>
    <xf numFmtId="3" fontId="30" fillId="0" borderId="19" xfId="0" applyNumberFormat="1" applyFont="1" applyFill="1" applyBorder="1" applyAlignment="1">
      <alignment/>
    </xf>
    <xf numFmtId="0" fontId="32" fillId="0" borderId="36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9" fontId="50" fillId="0" borderId="0" xfId="0" applyNumberFormat="1" applyFont="1" applyAlignment="1">
      <alignment/>
    </xf>
    <xf numFmtId="0" fontId="32" fillId="0" borderId="0" xfId="0" applyFont="1" applyFill="1" applyBorder="1" applyAlignment="1">
      <alignment horizontal="left" vertical="center"/>
    </xf>
    <xf numFmtId="3" fontId="30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/>
    </xf>
    <xf numFmtId="0" fontId="30" fillId="0" borderId="23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 horizontal="center"/>
    </xf>
    <xf numFmtId="0" fontId="42" fillId="4" borderId="37" xfId="0" applyFont="1" applyFill="1" applyBorder="1" applyAlignment="1">
      <alignment/>
    </xf>
    <xf numFmtId="0" fontId="32" fillId="0" borderId="0" xfId="59" applyFont="1">
      <alignment/>
      <protection/>
    </xf>
    <xf numFmtId="0" fontId="30" fillId="0" borderId="0" xfId="59" applyFont="1">
      <alignment/>
      <protection/>
    </xf>
    <xf numFmtId="10" fontId="30" fillId="0" borderId="0" xfId="62" applyNumberFormat="1" applyFont="1" applyFill="1" applyAlignment="1">
      <alignment/>
    </xf>
    <xf numFmtId="0" fontId="44" fillId="0" borderId="0" xfId="59" applyFont="1" applyFill="1">
      <alignment/>
      <protection/>
    </xf>
    <xf numFmtId="177" fontId="30" fillId="0" borderId="0" xfId="59" applyNumberFormat="1" applyFont="1">
      <alignment/>
      <protection/>
    </xf>
    <xf numFmtId="181" fontId="30" fillId="0" borderId="0" xfId="59" applyNumberFormat="1" applyFont="1">
      <alignment/>
      <protection/>
    </xf>
    <xf numFmtId="0" fontId="44" fillId="0" borderId="0" xfId="59" applyFont="1">
      <alignment/>
      <protection/>
    </xf>
    <xf numFmtId="9" fontId="30" fillId="0" borderId="0" xfId="62" applyFont="1" applyFill="1" applyAlignment="1">
      <alignment/>
    </xf>
    <xf numFmtId="172" fontId="30" fillId="0" borderId="0" xfId="59" applyNumberFormat="1" applyFont="1">
      <alignment/>
      <protection/>
    </xf>
    <xf numFmtId="0" fontId="30" fillId="0" borderId="0" xfId="59" applyFont="1" applyFill="1">
      <alignment/>
      <protection/>
    </xf>
    <xf numFmtId="172" fontId="44" fillId="0" borderId="0" xfId="59" applyNumberFormat="1" applyFont="1">
      <alignment/>
      <protection/>
    </xf>
    <xf numFmtId="182" fontId="30" fillId="0" borderId="0" xfId="65" applyNumberFormat="1" applyFont="1" applyAlignment="1">
      <alignment/>
    </xf>
    <xf numFmtId="0" fontId="30" fillId="0" borderId="28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38" xfId="0" applyFont="1" applyBorder="1" applyAlignment="1">
      <alignment/>
    </xf>
    <xf numFmtId="0" fontId="42" fillId="4" borderId="39" xfId="0" applyFont="1" applyFill="1" applyBorder="1" applyAlignment="1">
      <alignment/>
    </xf>
    <xf numFmtId="3" fontId="42" fillId="4" borderId="40" xfId="0" applyNumberFormat="1" applyFont="1" applyFill="1" applyBorder="1" applyAlignment="1">
      <alignment horizontal="right" vertical="center"/>
    </xf>
    <xf numFmtId="179" fontId="30" fillId="24" borderId="31" xfId="0" applyNumberFormat="1" applyFont="1" applyFill="1" applyBorder="1" applyAlignment="1">
      <alignment horizontal="right" vertical="center"/>
    </xf>
    <xf numFmtId="0" fontId="30" fillId="24" borderId="14" xfId="0" applyFont="1" applyFill="1" applyBorder="1" applyAlignment="1">
      <alignment horizontal="right" vertical="center"/>
    </xf>
    <xf numFmtId="3" fontId="30" fillId="24" borderId="14" xfId="0" applyNumberFormat="1" applyFont="1" applyFill="1" applyBorder="1" applyAlignment="1">
      <alignment horizontal="right" vertical="center"/>
    </xf>
    <xf numFmtId="3" fontId="30" fillId="24" borderId="34" xfId="0" applyNumberFormat="1" applyFont="1" applyFill="1" applyBorder="1" applyAlignment="1">
      <alignment horizontal="right" vertical="center"/>
    </xf>
    <xf numFmtId="3" fontId="42" fillId="4" borderId="41" xfId="0" applyNumberFormat="1" applyFont="1" applyFill="1" applyBorder="1" applyAlignment="1">
      <alignment horizontal="right" vertical="center"/>
    </xf>
    <xf numFmtId="0" fontId="31" fillId="25" borderId="23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3" fontId="7" fillId="25" borderId="13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26" borderId="13" xfId="0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0" fontId="28" fillId="0" borderId="23" xfId="0" applyFont="1" applyBorder="1" applyAlignment="1">
      <alignment/>
    </xf>
    <xf numFmtId="0" fontId="31" fillId="25" borderId="23" xfId="0" applyFont="1" applyFill="1" applyBorder="1" applyAlignment="1">
      <alignment/>
    </xf>
    <xf numFmtId="179" fontId="31" fillId="24" borderId="13" xfId="0" applyNumberFormat="1" applyFont="1" applyFill="1" applyBorder="1" applyAlignment="1">
      <alignment/>
    </xf>
    <xf numFmtId="3" fontId="7" fillId="26" borderId="13" xfId="0" applyNumberFormat="1" applyFont="1" applyFill="1" applyBorder="1" applyAlignment="1">
      <alignment/>
    </xf>
    <xf numFmtId="0" fontId="7" fillId="26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25" borderId="13" xfId="0" applyFont="1" applyFill="1" applyBorder="1" applyAlignment="1">
      <alignment/>
    </xf>
    <xf numFmtId="0" fontId="7" fillId="0" borderId="23" xfId="0" applyFont="1" applyBorder="1" applyAlignment="1">
      <alignment horizontal="left"/>
    </xf>
    <xf numFmtId="3" fontId="31" fillId="10" borderId="13" xfId="0" applyNumberFormat="1" applyFont="1" applyFill="1" applyBorder="1" applyAlignment="1">
      <alignment/>
    </xf>
    <xf numFmtId="0" fontId="7" fillId="7" borderId="13" xfId="0" applyFont="1" applyFill="1" applyBorder="1" applyAlignment="1">
      <alignment/>
    </xf>
    <xf numFmtId="3" fontId="7" fillId="7" borderId="13" xfId="0" applyNumberFormat="1" applyFont="1" applyFill="1" applyBorder="1" applyAlignment="1">
      <alignment/>
    </xf>
    <xf numFmtId="0" fontId="31" fillId="14" borderId="23" xfId="0" applyFont="1" applyFill="1" applyBorder="1" applyAlignment="1">
      <alignment/>
    </xf>
    <xf numFmtId="0" fontId="7" fillId="14" borderId="13" xfId="0" applyFont="1" applyFill="1" applyBorder="1" applyAlignment="1">
      <alignment/>
    </xf>
    <xf numFmtId="3" fontId="7" fillId="14" borderId="13" xfId="0" applyNumberFormat="1" applyFont="1" applyFill="1" applyBorder="1" applyAlignment="1">
      <alignment/>
    </xf>
    <xf numFmtId="0" fontId="31" fillId="24" borderId="13" xfId="0" applyFont="1" applyFill="1" applyBorder="1" applyAlignment="1">
      <alignment/>
    </xf>
    <xf numFmtId="0" fontId="31" fillId="15" borderId="13" xfId="0" applyFont="1" applyFill="1" applyBorder="1" applyAlignment="1">
      <alignment/>
    </xf>
    <xf numFmtId="3" fontId="31" fillId="7" borderId="13" xfId="0" applyNumberFormat="1" applyFont="1" applyFill="1" applyBorder="1" applyAlignment="1">
      <alignment/>
    </xf>
    <xf numFmtId="0" fontId="28" fillId="0" borderId="23" xfId="0" applyFont="1" applyBorder="1" applyAlignment="1">
      <alignment/>
    </xf>
    <xf numFmtId="0" fontId="28" fillId="0" borderId="4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25" borderId="14" xfId="0" applyFont="1" applyFill="1" applyBorder="1" applyAlignment="1">
      <alignment/>
    </xf>
    <xf numFmtId="0" fontId="7" fillId="0" borderId="14" xfId="0" applyFont="1" applyBorder="1" applyAlignment="1">
      <alignment horizontal="left" indent="1"/>
    </xf>
    <xf numFmtId="0" fontId="7" fillId="7" borderId="14" xfId="0" applyFont="1" applyFill="1" applyBorder="1" applyAlignment="1">
      <alignment/>
    </xf>
    <xf numFmtId="0" fontId="7" fillId="14" borderId="14" xfId="0" applyFont="1" applyFill="1" applyBorder="1" applyAlignment="1">
      <alignment/>
    </xf>
    <xf numFmtId="0" fontId="31" fillId="15" borderId="14" xfId="0" applyFont="1" applyFill="1" applyBorder="1" applyAlignment="1">
      <alignment/>
    </xf>
    <xf numFmtId="0" fontId="31" fillId="0" borderId="0" xfId="0" applyFont="1" applyFill="1" applyAlignment="1">
      <alignment/>
    </xf>
    <xf numFmtId="0" fontId="7" fillId="0" borderId="34" xfId="0" applyFont="1" applyBorder="1" applyAlignment="1">
      <alignment/>
    </xf>
    <xf numFmtId="0" fontId="30" fillId="26" borderId="13" xfId="0" applyFont="1" applyFill="1" applyBorder="1" applyAlignment="1">
      <alignment/>
    </xf>
    <xf numFmtId="0" fontId="30" fillId="26" borderId="14" xfId="0" applyFont="1" applyFill="1" applyBorder="1" applyAlignment="1">
      <alignment/>
    </xf>
    <xf numFmtId="0" fontId="32" fillId="26" borderId="23" xfId="0" applyFont="1" applyFill="1" applyBorder="1" applyAlignment="1">
      <alignment/>
    </xf>
    <xf numFmtId="0" fontId="32" fillId="7" borderId="23" xfId="0" applyFont="1" applyFill="1" applyBorder="1" applyAlignment="1">
      <alignment/>
    </xf>
    <xf numFmtId="0" fontId="32" fillId="15" borderId="23" xfId="0" applyFont="1" applyFill="1" applyBorder="1" applyAlignment="1">
      <alignment/>
    </xf>
    <xf numFmtId="0" fontId="31" fillId="0" borderId="43" xfId="0" applyFont="1" applyBorder="1" applyAlignment="1">
      <alignment horizontal="left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34" fillId="0" borderId="2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172" fontId="7" fillId="0" borderId="42" xfId="0" applyNumberFormat="1" applyFont="1" applyBorder="1" applyAlignment="1">
      <alignment horizontal="center"/>
    </xf>
    <xf numFmtId="172" fontId="7" fillId="0" borderId="33" xfId="0" applyNumberFormat="1" applyFont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left"/>
    </xf>
    <xf numFmtId="172" fontId="7" fillId="0" borderId="43" xfId="0" applyNumberFormat="1" applyFont="1" applyBorder="1" applyAlignment="1">
      <alignment horizontal="left"/>
    </xf>
    <xf numFmtId="172" fontId="7" fillId="0" borderId="44" xfId="0" applyNumberFormat="1" applyFont="1" applyBorder="1" applyAlignment="1">
      <alignment horizontal="center"/>
    </xf>
    <xf numFmtId="172" fontId="7" fillId="0" borderId="42" xfId="0" applyNumberFormat="1" applyFont="1" applyBorder="1" applyAlignment="1">
      <alignment horizontal="left"/>
    </xf>
    <xf numFmtId="0" fontId="31" fillId="0" borderId="43" xfId="0" applyFont="1" applyBorder="1" applyAlignment="1">
      <alignment/>
    </xf>
    <xf numFmtId="0" fontId="31" fillId="0" borderId="23" xfId="0" applyFont="1" applyBorder="1" applyAlignment="1">
      <alignment horizontal="left"/>
    </xf>
    <xf numFmtId="0" fontId="31" fillId="0" borderId="42" xfId="0" applyFont="1" applyBorder="1" applyAlignment="1">
      <alignment horizontal="left"/>
    </xf>
    <xf numFmtId="172" fontId="7" fillId="0" borderId="0" xfId="0" applyNumberFormat="1" applyFont="1" applyBorder="1" applyAlignment="1">
      <alignment/>
    </xf>
    <xf numFmtId="0" fontId="31" fillId="0" borderId="42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34" fillId="0" borderId="0" xfId="0" applyFont="1" applyFill="1" applyAlignment="1">
      <alignment/>
    </xf>
    <xf numFmtId="0" fontId="31" fillId="0" borderId="23" xfId="0" applyFont="1" applyBorder="1" applyAlignment="1">
      <alignment/>
    </xf>
    <xf numFmtId="0" fontId="31" fillId="0" borderId="33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justify" wrapText="1"/>
    </xf>
    <xf numFmtId="0" fontId="7" fillId="0" borderId="23" xfId="0" applyFont="1" applyBorder="1" applyAlignment="1">
      <alignment horizontal="left" vertical="justify" wrapText="1"/>
    </xf>
    <xf numFmtId="0" fontId="7" fillId="0" borderId="33" xfId="0" applyFont="1" applyBorder="1" applyAlignment="1">
      <alignment wrapText="1"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/>
    </xf>
    <xf numFmtId="1" fontId="7" fillId="0" borderId="46" xfId="0" applyNumberFormat="1" applyFont="1" applyBorder="1" applyAlignment="1">
      <alignment horizontal="right" vertical="center"/>
    </xf>
    <xf numFmtId="1" fontId="7" fillId="0" borderId="34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7" fillId="0" borderId="14" xfId="0" applyNumberFormat="1" applyFont="1" applyBorder="1" applyAlignment="1">
      <alignment horizontal="right" vertical="center"/>
    </xf>
    <xf numFmtId="1" fontId="7" fillId="0" borderId="14" xfId="0" applyNumberFormat="1" applyFont="1" applyBorder="1" applyAlignment="1">
      <alignment horizontal="right" vertical="center"/>
    </xf>
    <xf numFmtId="1" fontId="7" fillId="0" borderId="16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/>
    </xf>
    <xf numFmtId="9" fontId="30" fillId="11" borderId="32" xfId="0" applyNumberFormat="1" applyFont="1" applyFill="1" applyBorder="1" applyAlignment="1">
      <alignment/>
    </xf>
    <xf numFmtId="188" fontId="30" fillId="0" borderId="32" xfId="0" applyNumberFormat="1" applyFont="1" applyBorder="1" applyAlignment="1">
      <alignment/>
    </xf>
    <xf numFmtId="3" fontId="30" fillId="24" borderId="0" xfId="0" applyNumberFormat="1" applyFont="1" applyFill="1" applyBorder="1" applyAlignment="1">
      <alignment horizontal="right" vertical="center"/>
    </xf>
    <xf numFmtId="1" fontId="30" fillId="24" borderId="17" xfId="0" applyNumberFormat="1" applyFont="1" applyFill="1" applyBorder="1" applyAlignment="1">
      <alignment horizontal="right" vertical="center"/>
    </xf>
    <xf numFmtId="3" fontId="30" fillId="24" borderId="52" xfId="0" applyNumberFormat="1" applyFont="1" applyFill="1" applyBorder="1" applyAlignment="1">
      <alignment horizontal="right" vertical="center"/>
    </xf>
    <xf numFmtId="195" fontId="30" fillId="24" borderId="13" xfId="0" applyNumberFormat="1" applyFont="1" applyFill="1" applyBorder="1" applyAlignment="1">
      <alignment horizontal="right" vertical="center" wrapText="1"/>
    </xf>
    <xf numFmtId="195" fontId="30" fillId="24" borderId="53" xfId="60" applyNumberFormat="1" applyFont="1" applyFill="1" applyBorder="1" applyAlignment="1">
      <alignment horizontal="right" vertical="center" wrapText="1"/>
      <protection/>
    </xf>
    <xf numFmtId="1" fontId="30" fillId="24" borderId="19" xfId="0" applyNumberFormat="1" applyFont="1" applyFill="1" applyBorder="1" applyAlignment="1">
      <alignment horizontal="right" vertical="center"/>
    </xf>
    <xf numFmtId="3" fontId="30" fillId="24" borderId="20" xfId="0" applyNumberFormat="1" applyFont="1" applyFill="1" applyBorder="1" applyAlignment="1">
      <alignment horizontal="right" vertical="center"/>
    </xf>
    <xf numFmtId="194" fontId="30" fillId="24" borderId="30" xfId="0" applyNumberFormat="1" applyFont="1" applyFill="1" applyBorder="1" applyAlignment="1">
      <alignment horizontal="right" vertical="center" wrapText="1"/>
    </xf>
    <xf numFmtId="194" fontId="30" fillId="24" borderId="13" xfId="0" applyNumberFormat="1" applyFont="1" applyFill="1" applyBorder="1" applyAlignment="1">
      <alignment horizontal="right" vertical="center" wrapText="1"/>
    </xf>
    <xf numFmtId="194" fontId="30" fillId="24" borderId="20" xfId="0" applyNumberFormat="1" applyFont="1" applyFill="1" applyBorder="1" applyAlignment="1">
      <alignment horizontal="right" vertical="center"/>
    </xf>
    <xf numFmtId="3" fontId="30" fillId="24" borderId="13" xfId="0" applyNumberFormat="1" applyFont="1" applyFill="1" applyBorder="1" applyAlignment="1">
      <alignment horizontal="right" vertical="center" wrapText="1"/>
    </xf>
    <xf numFmtId="3" fontId="30" fillId="24" borderId="10" xfId="0" applyNumberFormat="1" applyFont="1" applyFill="1" applyBorder="1" applyAlignment="1">
      <alignment horizontal="right" vertical="center"/>
    </xf>
    <xf numFmtId="3" fontId="30" fillId="24" borderId="20" xfId="0" applyNumberFormat="1" applyFont="1" applyFill="1" applyBorder="1" applyAlignment="1">
      <alignment horizontal="right" vertical="center" wrapText="1"/>
    </xf>
    <xf numFmtId="0" fontId="32" fillId="24" borderId="11" xfId="0" applyFont="1" applyFill="1" applyBorder="1" applyAlignment="1">
      <alignment horizontal="right" vertical="center"/>
    </xf>
    <xf numFmtId="0" fontId="32" fillId="24" borderId="50" xfId="0" applyFont="1" applyFill="1" applyBorder="1" applyAlignment="1">
      <alignment horizontal="right" vertical="center"/>
    </xf>
    <xf numFmtId="3" fontId="32" fillId="24" borderId="32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179" fontId="30" fillId="24" borderId="10" xfId="60" applyNumberFormat="1" applyFont="1" applyFill="1" applyBorder="1" applyAlignment="1">
      <alignment horizontal="right" vertical="center" wrapText="1"/>
      <protection/>
    </xf>
    <xf numFmtId="179" fontId="30" fillId="24" borderId="10" xfId="0" applyNumberFormat="1" applyFont="1" applyFill="1" applyBorder="1" applyAlignment="1">
      <alignment horizontal="right" vertical="center"/>
    </xf>
    <xf numFmtId="3" fontId="32" fillId="4" borderId="40" xfId="0" applyNumberFormat="1" applyFont="1" applyFill="1" applyBorder="1" applyAlignment="1">
      <alignment horizontal="right" vertical="center"/>
    </xf>
    <xf numFmtId="179" fontId="32" fillId="4" borderId="40" xfId="0" applyNumberFormat="1" applyFont="1" applyFill="1" applyBorder="1" applyAlignment="1">
      <alignment horizontal="right" vertical="center"/>
    </xf>
    <xf numFmtId="3" fontId="32" fillId="0" borderId="40" xfId="0" applyNumberFormat="1" applyFont="1" applyBorder="1" applyAlignment="1">
      <alignment horizontal="right" vertical="center"/>
    </xf>
    <xf numFmtId="172" fontId="30" fillId="24" borderId="15" xfId="0" applyNumberFormat="1" applyFont="1" applyFill="1" applyBorder="1" applyAlignment="1">
      <alignment horizontal="right" vertical="center"/>
    </xf>
    <xf numFmtId="172" fontId="30" fillId="24" borderId="16" xfId="0" applyNumberFormat="1" applyFont="1" applyFill="1" applyBorder="1" applyAlignment="1">
      <alignment horizontal="right" vertical="center"/>
    </xf>
    <xf numFmtId="0" fontId="32" fillId="0" borderId="33" xfId="0" applyFont="1" applyBorder="1" applyAlignment="1">
      <alignment horizontal="right" vertical="center"/>
    </xf>
    <xf numFmtId="0" fontId="32" fillId="0" borderId="34" xfId="0" applyFont="1" applyBorder="1" applyAlignment="1">
      <alignment horizontal="right" vertical="center"/>
    </xf>
    <xf numFmtId="4" fontId="30" fillId="24" borderId="15" xfId="0" applyNumberFormat="1" applyFont="1" applyFill="1" applyBorder="1" applyAlignment="1">
      <alignment horizontal="right" vertical="center"/>
    </xf>
    <xf numFmtId="0" fontId="30" fillId="24" borderId="16" xfId="0" applyFont="1" applyFill="1" applyBorder="1" applyAlignment="1">
      <alignment horizontal="right" vertical="center"/>
    </xf>
    <xf numFmtId="3" fontId="32" fillId="0" borderId="33" xfId="0" applyNumberFormat="1" applyFont="1" applyBorder="1" applyAlignment="1">
      <alignment horizontal="right" vertical="center"/>
    </xf>
    <xf numFmtId="3" fontId="32" fillId="4" borderId="54" xfId="0" applyNumberFormat="1" applyFont="1" applyFill="1" applyBorder="1" applyAlignment="1">
      <alignment horizontal="right" vertical="center"/>
    </xf>
    <xf numFmtId="0" fontId="42" fillId="4" borderId="38" xfId="0" applyFont="1" applyFill="1" applyBorder="1" applyAlignment="1">
      <alignment horizontal="left" vertical="center"/>
    </xf>
    <xf numFmtId="0" fontId="42" fillId="4" borderId="40" xfId="0" applyFont="1" applyFill="1" applyBorder="1" applyAlignment="1">
      <alignment horizontal="left" vertical="center"/>
    </xf>
    <xf numFmtId="0" fontId="42" fillId="4" borderId="38" xfId="0" applyFont="1" applyFill="1" applyBorder="1" applyAlignment="1">
      <alignment vertical="center"/>
    </xf>
    <xf numFmtId="3" fontId="30" fillId="24" borderId="55" xfId="0" applyNumberFormat="1" applyFont="1" applyFill="1" applyBorder="1" applyAlignment="1">
      <alignment horizontal="right" vertical="center"/>
    </xf>
    <xf numFmtId="3" fontId="30" fillId="24" borderId="56" xfId="0" applyNumberFormat="1" applyFont="1" applyFill="1" applyBorder="1" applyAlignment="1">
      <alignment horizontal="right" vertical="center"/>
    </xf>
    <xf numFmtId="1" fontId="30" fillId="24" borderId="57" xfId="0" applyNumberFormat="1" applyFont="1" applyFill="1" applyBorder="1" applyAlignment="1">
      <alignment horizontal="right" vertical="center"/>
    </xf>
    <xf numFmtId="0" fontId="30" fillId="4" borderId="33" xfId="0" applyFont="1" applyFill="1" applyBorder="1" applyAlignment="1">
      <alignment horizontal="right" vertical="center"/>
    </xf>
    <xf numFmtId="4" fontId="30" fillId="24" borderId="56" xfId="0" applyNumberFormat="1" applyFont="1" applyFill="1" applyBorder="1" applyAlignment="1">
      <alignment horizontal="right" vertical="center"/>
    </xf>
    <xf numFmtId="2" fontId="30" fillId="24" borderId="15" xfId="0" applyNumberFormat="1" applyFont="1" applyFill="1" applyBorder="1" applyAlignment="1">
      <alignment horizontal="right" vertical="center"/>
    </xf>
    <xf numFmtId="0" fontId="42" fillId="0" borderId="58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6" fillId="0" borderId="19" xfId="0" applyFont="1" applyFill="1" applyBorder="1" applyAlignment="1">
      <alignment horizontal="left" vertical="center"/>
    </xf>
    <xf numFmtId="0" fontId="30" fillId="27" borderId="39" xfId="0" applyFont="1" applyFill="1" applyBorder="1" applyAlignment="1">
      <alignment vertical="center"/>
    </xf>
    <xf numFmtId="0" fontId="30" fillId="27" borderId="60" xfId="0" applyFont="1" applyFill="1" applyBorder="1" applyAlignment="1">
      <alignment horizontal="center" vertical="center"/>
    </xf>
    <xf numFmtId="0" fontId="30" fillId="27" borderId="35" xfId="0" applyFont="1" applyFill="1" applyBorder="1" applyAlignment="1">
      <alignment vertical="center"/>
    </xf>
    <xf numFmtId="0" fontId="30" fillId="27" borderId="61" xfId="0" applyFont="1" applyFill="1" applyBorder="1" applyAlignment="1">
      <alignment horizontal="center" vertical="center"/>
    </xf>
    <xf numFmtId="0" fontId="42" fillId="27" borderId="38" xfId="0" applyFont="1" applyFill="1" applyBorder="1" applyAlignment="1">
      <alignment vertical="center"/>
    </xf>
    <xf numFmtId="0" fontId="30" fillId="27" borderId="48" xfId="0" applyFont="1" applyFill="1" applyBorder="1" applyAlignment="1">
      <alignment horizontal="center" vertical="center"/>
    </xf>
    <xf numFmtId="0" fontId="30" fillId="27" borderId="30" xfId="0" applyFont="1" applyFill="1" applyBorder="1" applyAlignment="1">
      <alignment horizontal="center" vertical="center"/>
    </xf>
    <xf numFmtId="0" fontId="30" fillId="27" borderId="33" xfId="0" applyFont="1" applyFill="1" applyBorder="1" applyAlignment="1">
      <alignment horizontal="center" vertical="center"/>
    </xf>
    <xf numFmtId="0" fontId="30" fillId="23" borderId="39" xfId="0" applyFont="1" applyFill="1" applyBorder="1" applyAlignment="1">
      <alignment vertical="center"/>
    </xf>
    <xf numFmtId="0" fontId="30" fillId="23" borderId="60" xfId="0" applyFont="1" applyFill="1" applyBorder="1" applyAlignment="1">
      <alignment horizontal="center" vertical="center"/>
    </xf>
    <xf numFmtId="0" fontId="30" fillId="23" borderId="62" xfId="0" applyFont="1" applyFill="1" applyBorder="1" applyAlignment="1">
      <alignment vertical="center"/>
    </xf>
    <xf numFmtId="0" fontId="30" fillId="23" borderId="44" xfId="0" applyFont="1" applyFill="1" applyBorder="1" applyAlignment="1">
      <alignment horizontal="center" vertical="center"/>
    </xf>
    <xf numFmtId="0" fontId="30" fillId="23" borderId="34" xfId="0" applyFont="1" applyFill="1" applyBorder="1" applyAlignment="1">
      <alignment horizontal="center" vertical="center"/>
    </xf>
    <xf numFmtId="0" fontId="30" fillId="28" borderId="39" xfId="0" applyFont="1" applyFill="1" applyBorder="1" applyAlignment="1">
      <alignment vertical="center"/>
    </xf>
    <xf numFmtId="0" fontId="30" fillId="28" borderId="60" xfId="0" applyFont="1" applyFill="1" applyBorder="1" applyAlignment="1">
      <alignment horizontal="center" vertical="center"/>
    </xf>
    <xf numFmtId="0" fontId="30" fillId="28" borderId="35" xfId="0" applyFont="1" applyFill="1" applyBorder="1" applyAlignment="1">
      <alignment vertical="center"/>
    </xf>
    <xf numFmtId="0" fontId="30" fillId="28" borderId="61" xfId="0" applyFont="1" applyFill="1" applyBorder="1" applyAlignment="1">
      <alignment horizontal="center" vertical="center"/>
    </xf>
    <xf numFmtId="0" fontId="42" fillId="28" borderId="38" xfId="0" applyFont="1" applyFill="1" applyBorder="1" applyAlignment="1">
      <alignment vertical="center"/>
    </xf>
    <xf numFmtId="0" fontId="30" fillId="28" borderId="48" xfId="0" applyFont="1" applyFill="1" applyBorder="1" applyAlignment="1">
      <alignment horizontal="center" vertical="center"/>
    </xf>
    <xf numFmtId="0" fontId="30" fillId="28" borderId="30" xfId="0" applyFont="1" applyFill="1" applyBorder="1" applyAlignment="1">
      <alignment horizontal="center" vertical="center"/>
    </xf>
    <xf numFmtId="0" fontId="30" fillId="28" borderId="33" xfId="0" applyFont="1" applyFill="1" applyBorder="1" applyAlignment="1">
      <alignment horizontal="center" vertical="center"/>
    </xf>
    <xf numFmtId="0" fontId="30" fillId="29" borderId="39" xfId="0" applyFont="1" applyFill="1" applyBorder="1" applyAlignment="1">
      <alignment vertical="center"/>
    </xf>
    <xf numFmtId="0" fontId="30" fillId="29" borderId="60" xfId="0" applyFont="1" applyFill="1" applyBorder="1" applyAlignment="1">
      <alignment horizontal="center" vertical="center"/>
    </xf>
    <xf numFmtId="0" fontId="30" fillId="29" borderId="62" xfId="0" applyFont="1" applyFill="1" applyBorder="1" applyAlignment="1">
      <alignment vertical="center"/>
    </xf>
    <xf numFmtId="0" fontId="30" fillId="29" borderId="44" xfId="0" applyFont="1" applyFill="1" applyBorder="1" applyAlignment="1">
      <alignment horizontal="center" vertical="center"/>
    </xf>
    <xf numFmtId="0" fontId="30" fillId="29" borderId="34" xfId="0" applyFont="1" applyFill="1" applyBorder="1" applyAlignment="1">
      <alignment horizontal="center" vertical="center"/>
    </xf>
    <xf numFmtId="179" fontId="30" fillId="0" borderId="0" xfId="0" applyNumberFormat="1" applyFont="1" applyAlignment="1">
      <alignment/>
    </xf>
    <xf numFmtId="3" fontId="57" fillId="0" borderId="13" xfId="0" applyNumberFormat="1" applyFont="1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49" fontId="32" fillId="0" borderId="45" xfId="0" applyNumberFormat="1" applyFont="1" applyBorder="1" applyAlignment="1">
      <alignment horizontal="left"/>
    </xf>
    <xf numFmtId="0" fontId="32" fillId="0" borderId="58" xfId="0" applyFont="1" applyBorder="1" applyAlignment="1">
      <alignment horizontal="left"/>
    </xf>
    <xf numFmtId="0" fontId="32" fillId="0" borderId="5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vertical="top" wrapText="1"/>
    </xf>
    <xf numFmtId="0" fontId="48" fillId="0" borderId="0" xfId="0" applyFont="1" applyAlignment="1">
      <alignment horizontal="justify" vertical="top" wrapText="1"/>
    </xf>
    <xf numFmtId="0" fontId="30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/>
    </xf>
    <xf numFmtId="0" fontId="0" fillId="0" borderId="66" xfId="0" applyBorder="1" applyAlignment="1">
      <alignment/>
    </xf>
    <xf numFmtId="0" fontId="0" fillId="0" borderId="28" xfId="0" applyBorder="1" applyAlignment="1">
      <alignment/>
    </xf>
    <xf numFmtId="0" fontId="42" fillId="0" borderId="27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44" fillId="0" borderId="0" xfId="0" applyFont="1" applyAlignment="1">
      <alignment shrinkToFit="1"/>
    </xf>
    <xf numFmtId="0" fontId="30" fillId="0" borderId="0" xfId="0" applyFont="1" applyAlignment="1">
      <alignment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Emission factors Zasyadko" xfId="59"/>
    <cellStyle name="Обычный_Object" xfId="60"/>
    <cellStyle name="Followed Hyperlink" xfId="61"/>
    <cellStyle name="Percent" xfId="62"/>
    <cellStyle name="Comma" xfId="63"/>
    <cellStyle name="Comma [0]" xfId="64"/>
    <cellStyle name="Финансовый_Emission factors Zasyadko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0;&#1080;&#1077;&#1074;%2001.06.11\&#1056;&#1072;&#1073;&#1086;&#1090;&#1072;%20&#1050;&#1048;&#1054;&#1058;%202011\11\2011\&#1053;&#1086;&#1074;&#1072;&#1103;%20&#1087;&#1072;&#1087;&#1082;&#1072;%20(3)\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view_H12008"/>
      <sheetName val="General "/>
      <sheetName val="CMM consumption_H12008"/>
      <sheetName val="Emission factors "/>
      <sheetName val="Heat load_H12008"/>
      <sheetName val="Project emissions_H12008"/>
      <sheetName val="Baseline emissions_H12008"/>
    </sheetNames>
    <sheetDataSet>
      <sheetData sheetId="6">
        <row r="67">
          <cell r="C67">
            <v>0</v>
          </cell>
          <cell r="G67">
            <v>0</v>
          </cell>
          <cell r="I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4"/>
  <sheetViews>
    <sheetView tabSelected="1" zoomScale="85" zoomScaleNormal="85" workbookViewId="0" topLeftCell="A1">
      <selection activeCell="G21" sqref="G21"/>
    </sheetView>
  </sheetViews>
  <sheetFormatPr defaultColWidth="9.33203125" defaultRowHeight="12.75"/>
  <cols>
    <col min="1" max="1" width="46.33203125" style="8" customWidth="1"/>
    <col min="2" max="2" width="7.16015625" style="0" bestFit="1" customWidth="1"/>
    <col min="3" max="3" width="25.5" style="0" bestFit="1" customWidth="1"/>
    <col min="4" max="4" width="19" style="0" customWidth="1"/>
    <col min="5" max="5" width="19.5" style="0" customWidth="1"/>
    <col min="6" max="6" width="17.33203125" style="3" customWidth="1"/>
    <col min="7" max="10" width="17.33203125" style="0" customWidth="1"/>
    <col min="11" max="11" width="17.83203125" style="0" customWidth="1"/>
    <col min="12" max="12" width="23.5" style="0" customWidth="1"/>
    <col min="13" max="13" width="15.5" style="0" customWidth="1"/>
  </cols>
  <sheetData>
    <row r="1" spans="1:11" s="12" customFormat="1" ht="18.75" customHeight="1">
      <c r="A1" s="344" t="s">
        <v>105</v>
      </c>
      <c r="B1" s="345"/>
      <c r="C1" s="345"/>
      <c r="D1" s="345"/>
      <c r="K1" s="17"/>
    </row>
    <row r="2" spans="1:11" s="12" customFormat="1" ht="18.75" customHeight="1">
      <c r="A2" s="32"/>
      <c r="B2" s="345"/>
      <c r="C2" s="343" t="s">
        <v>295</v>
      </c>
      <c r="D2" s="345"/>
      <c r="K2" s="17"/>
    </row>
    <row r="3" spans="1:11" s="12" customFormat="1" ht="18.75" customHeight="1">
      <c r="A3" s="32"/>
      <c r="B3" s="345"/>
      <c r="C3" s="343" t="s">
        <v>294</v>
      </c>
      <c r="D3" s="345"/>
      <c r="K3" s="17"/>
    </row>
    <row r="4" spans="1:6" s="12" customFormat="1" ht="18.75" customHeight="1">
      <c r="A4" s="185"/>
      <c r="B4" s="164"/>
      <c r="C4" s="164"/>
      <c r="D4" s="188"/>
      <c r="E4" s="189"/>
      <c r="F4" s="17"/>
    </row>
    <row r="5" spans="1:6" s="11" customFormat="1" ht="18.75" customHeight="1">
      <c r="A5" s="199" t="s">
        <v>125</v>
      </c>
      <c r="B5" s="197"/>
      <c r="C5" s="197"/>
      <c r="D5" s="197"/>
      <c r="E5" s="198"/>
      <c r="F5" s="41"/>
    </row>
    <row r="6" spans="1:6" s="12" customFormat="1" ht="18.75" customHeight="1">
      <c r="A6" s="185"/>
      <c r="B6" s="164"/>
      <c r="C6" s="164"/>
      <c r="D6" s="165"/>
      <c r="E6" s="189"/>
      <c r="F6" s="17"/>
    </row>
    <row r="7" spans="1:6" s="12" customFormat="1" ht="18.75" customHeight="1">
      <c r="A7" s="160" t="s">
        <v>126</v>
      </c>
      <c r="B7" s="161"/>
      <c r="C7" s="161"/>
      <c r="D7" s="162"/>
      <c r="E7" s="190"/>
      <c r="F7" s="17"/>
    </row>
    <row r="8" spans="1:6" s="12" customFormat="1" ht="18.75" customHeight="1">
      <c r="A8" s="163" t="s">
        <v>104</v>
      </c>
      <c r="B8" s="164"/>
      <c r="C8" s="164"/>
      <c r="D8" s="165"/>
      <c r="E8" s="189"/>
      <c r="F8" s="17"/>
    </row>
    <row r="9" spans="1:6" s="12" customFormat="1" ht="18.75" customHeight="1">
      <c r="A9" s="163" t="s">
        <v>127</v>
      </c>
      <c r="B9" s="166" t="s">
        <v>226</v>
      </c>
      <c r="C9" s="167">
        <f>'CMM consump.(2011)'!H12+'CMM consump.(2012)'!H12</f>
        <v>849375.52</v>
      </c>
      <c r="D9" s="342">
        <f>SUM(C9:C9)</f>
        <v>849375.52</v>
      </c>
      <c r="E9" s="189"/>
      <c r="F9" s="17"/>
    </row>
    <row r="10" spans="1:6" s="12" customFormat="1" ht="18.75" customHeight="1">
      <c r="A10" s="163" t="s">
        <v>128</v>
      </c>
      <c r="B10" s="166" t="s">
        <v>226</v>
      </c>
      <c r="C10" s="167">
        <f>'CMM consump.(2011)'!H13+'CMM consump.(2012)'!H13</f>
        <v>22411173.05</v>
      </c>
      <c r="D10" s="342">
        <f>SUM(C10:C10)</f>
        <v>22411173.05</v>
      </c>
      <c r="E10" s="191"/>
      <c r="F10" s="17"/>
    </row>
    <row r="11" spans="1:6" s="12" customFormat="1" ht="18.75" customHeight="1">
      <c r="A11" s="163" t="s">
        <v>20</v>
      </c>
      <c r="B11" s="166" t="s">
        <v>227</v>
      </c>
      <c r="C11" s="167">
        <f>'CMM consump.(2011)'!H14+'CMM consump.(2012)'!H14</f>
        <v>16670.835160119</v>
      </c>
      <c r="D11" s="342">
        <f>SUM(C11:C11)</f>
        <v>16670.835160119</v>
      </c>
      <c r="E11" s="189"/>
      <c r="F11" s="17"/>
    </row>
    <row r="12" spans="1:6" s="12" customFormat="1" ht="18.75" customHeight="1">
      <c r="A12" s="163" t="s">
        <v>38</v>
      </c>
      <c r="B12" s="166"/>
      <c r="C12" s="167"/>
      <c r="D12" s="342"/>
      <c r="E12" s="189"/>
      <c r="F12" s="17"/>
    </row>
    <row r="13" spans="1:6" s="12" customFormat="1" ht="18.75" customHeight="1">
      <c r="A13" s="163" t="s">
        <v>127</v>
      </c>
      <c r="B13" s="166" t="s">
        <v>226</v>
      </c>
      <c r="C13" s="167"/>
      <c r="D13" s="342">
        <f>SUM(C13:C13)</f>
        <v>0</v>
      </c>
      <c r="E13" s="189"/>
      <c r="F13" s="17"/>
    </row>
    <row r="14" spans="1:6" s="12" customFormat="1" ht="18.75" customHeight="1">
      <c r="A14" s="163" t="s">
        <v>128</v>
      </c>
      <c r="B14" s="166" t="s">
        <v>226</v>
      </c>
      <c r="C14" s="167"/>
      <c r="D14" s="342">
        <f>SUM(C14:C14)</f>
        <v>0</v>
      </c>
      <c r="E14" s="189"/>
      <c r="F14" s="17"/>
    </row>
    <row r="15" spans="1:6" s="12" customFormat="1" ht="18.75" customHeight="1">
      <c r="A15" s="163" t="s">
        <v>20</v>
      </c>
      <c r="B15" s="166" t="s">
        <v>227</v>
      </c>
      <c r="C15" s="167"/>
      <c r="D15" s="342">
        <f>SUM(C15:C15)</f>
        <v>0</v>
      </c>
      <c r="E15" s="189"/>
      <c r="F15" s="17"/>
    </row>
    <row r="16" spans="1:6" s="12" customFormat="1" ht="18.75" customHeight="1">
      <c r="A16" s="163" t="s">
        <v>20</v>
      </c>
      <c r="B16" s="166" t="s">
        <v>226</v>
      </c>
      <c r="C16" s="167">
        <f>ROUNDUP((C9+C10+C12+C13),0)</f>
        <v>23260549</v>
      </c>
      <c r="D16" s="342">
        <f>SUM(C16:C16)</f>
        <v>23260549</v>
      </c>
      <c r="E16" s="189"/>
      <c r="F16" s="17"/>
    </row>
    <row r="17" spans="1:7" s="12" customFormat="1" ht="18.75" customHeight="1">
      <c r="A17" s="168"/>
      <c r="B17" s="166" t="s">
        <v>227</v>
      </c>
      <c r="C17" s="167">
        <f>C11+C15</f>
        <v>16670.835160119</v>
      </c>
      <c r="D17" s="342">
        <f>SUM(C17:C17)</f>
        <v>16670.835160119</v>
      </c>
      <c r="E17" s="189"/>
      <c r="F17" s="17"/>
      <c r="G17" s="31"/>
    </row>
    <row r="18" spans="1:6" s="12" customFormat="1" ht="18.75" customHeight="1">
      <c r="A18" s="168"/>
      <c r="B18" s="164"/>
      <c r="C18" s="164"/>
      <c r="D18" s="165"/>
      <c r="E18" s="189"/>
      <c r="F18" s="17"/>
    </row>
    <row r="19" spans="1:6" s="12" customFormat="1" ht="18.75" customHeight="1">
      <c r="A19" s="169" t="s">
        <v>129</v>
      </c>
      <c r="B19" s="161"/>
      <c r="C19" s="161"/>
      <c r="D19" s="162"/>
      <c r="E19" s="190"/>
      <c r="F19" s="17"/>
    </row>
    <row r="20" spans="1:6" s="12" customFormat="1" ht="18.75" customHeight="1">
      <c r="A20" s="163" t="s">
        <v>130</v>
      </c>
      <c r="B20" s="166" t="s">
        <v>51</v>
      </c>
      <c r="C20" s="170">
        <f>C21</f>
        <v>76927.8186</v>
      </c>
      <c r="D20" s="165">
        <f>SUM(C20:C20)</f>
        <v>76927.8186</v>
      </c>
      <c r="E20" s="189"/>
      <c r="F20" s="17"/>
    </row>
    <row r="21" spans="1:6" s="12" customFormat="1" ht="18.75" customHeight="1">
      <c r="A21" s="163" t="s">
        <v>131</v>
      </c>
      <c r="B21" s="166" t="s">
        <v>51</v>
      </c>
      <c r="C21" s="170">
        <f>'Baseline emissions (2011) '!C60+'Baseline emissions (2012) '!C57</f>
        <v>76927.8186</v>
      </c>
      <c r="D21" s="165">
        <f>SUM(C21:C21)</f>
        <v>76927.8186</v>
      </c>
      <c r="E21" s="189"/>
      <c r="F21" s="17"/>
    </row>
    <row r="22" spans="1:6" s="12" customFormat="1" ht="18.75" customHeight="1">
      <c r="A22" s="163" t="s">
        <v>132</v>
      </c>
      <c r="B22" s="166" t="s">
        <v>51</v>
      </c>
      <c r="C22" s="171"/>
      <c r="D22" s="165">
        <f>SUM(C22:C22)</f>
        <v>0</v>
      </c>
      <c r="E22" s="189"/>
      <c r="F22" s="17"/>
    </row>
    <row r="23" spans="1:6" s="12" customFormat="1" ht="18.75" customHeight="1">
      <c r="A23" s="163"/>
      <c r="B23" s="164"/>
      <c r="C23" s="164"/>
      <c r="D23" s="165"/>
      <c r="E23" s="189"/>
      <c r="F23" s="17"/>
    </row>
    <row r="24" spans="1:6" s="12" customFormat="1" ht="18.75" customHeight="1">
      <c r="A24" s="169" t="s">
        <v>133</v>
      </c>
      <c r="B24" s="161"/>
      <c r="C24" s="161"/>
      <c r="D24" s="162"/>
      <c r="E24" s="190"/>
      <c r="F24" s="17"/>
    </row>
    <row r="25" spans="1:6" s="12" customFormat="1" ht="18.75" customHeight="1">
      <c r="A25" s="163" t="s">
        <v>104</v>
      </c>
      <c r="B25" s="172" t="s">
        <v>101</v>
      </c>
      <c r="C25" s="167">
        <f>'Heat load (2011)'!B14+'Heat load (2012)'!B11</f>
        <v>90961.035156</v>
      </c>
      <c r="D25" s="342">
        <f>C25</f>
        <v>90961.035156</v>
      </c>
      <c r="E25" s="189"/>
      <c r="F25" s="17"/>
    </row>
    <row r="26" spans="1:6" s="12" customFormat="1" ht="18.75" customHeight="1">
      <c r="A26" s="163"/>
      <c r="B26" s="172" t="s">
        <v>134</v>
      </c>
      <c r="C26" s="167">
        <f>'Heat load (2011)'!C14+'Heat load (2012)'!C11</f>
        <v>21725.670000000002</v>
      </c>
      <c r="D26" s="342">
        <f>SUM(C26:C26)</f>
        <v>21725.670000000002</v>
      </c>
      <c r="E26" s="189"/>
      <c r="F26" s="17"/>
    </row>
    <row r="27" spans="1:6" s="12" customFormat="1" ht="18.75" customHeight="1">
      <c r="A27" s="163" t="s">
        <v>135</v>
      </c>
      <c r="B27" s="172" t="s">
        <v>101</v>
      </c>
      <c r="C27" s="167">
        <f>'[1]Baseline emissions_H12008'!G67</f>
        <v>0</v>
      </c>
      <c r="D27" s="342">
        <f>SUM(C27:C27)</f>
        <v>0</v>
      </c>
      <c r="E27" s="189"/>
      <c r="F27" s="17"/>
    </row>
    <row r="28" spans="1:6" s="12" customFormat="1" ht="18.75" customHeight="1">
      <c r="A28" s="163"/>
      <c r="B28" s="172" t="s">
        <v>134</v>
      </c>
      <c r="C28" s="167">
        <f>C27/4.184</f>
        <v>0</v>
      </c>
      <c r="D28" s="342">
        <f>D27/4.184</f>
        <v>0</v>
      </c>
      <c r="E28" s="189"/>
      <c r="F28" s="17"/>
    </row>
    <row r="29" spans="1:6" s="12" customFormat="1" ht="18.75" customHeight="1">
      <c r="A29" s="163" t="s">
        <v>136</v>
      </c>
      <c r="B29" s="172" t="s">
        <v>101</v>
      </c>
      <c r="C29" s="167">
        <f>'[1]Baseline emissions_H12008'!I67</f>
        <v>0</v>
      </c>
      <c r="D29" s="342">
        <f>SUM(C29:C29)</f>
        <v>0</v>
      </c>
      <c r="E29" s="189"/>
      <c r="F29" s="17"/>
    </row>
    <row r="30" spans="1:6" s="12" customFormat="1" ht="18.75" customHeight="1">
      <c r="A30" s="163"/>
      <c r="B30" s="172" t="s">
        <v>134</v>
      </c>
      <c r="C30" s="167">
        <f>C29/4.184</f>
        <v>0</v>
      </c>
      <c r="D30" s="342">
        <f>D29/4.184</f>
        <v>0</v>
      </c>
      <c r="E30" s="189"/>
      <c r="F30" s="17"/>
    </row>
    <row r="31" spans="1:6" s="12" customFormat="1" ht="18.75" customHeight="1">
      <c r="A31" s="163" t="s">
        <v>137</v>
      </c>
      <c r="B31" s="172" t="s">
        <v>101</v>
      </c>
      <c r="C31" s="167">
        <f>'[1]Baseline emissions_H12008'!C67</f>
        <v>0</v>
      </c>
      <c r="D31" s="342">
        <f>SUM(C31:C31)</f>
        <v>0</v>
      </c>
      <c r="E31" s="189"/>
      <c r="F31" s="17"/>
    </row>
    <row r="32" spans="1:6" s="12" customFormat="1" ht="18.75" customHeight="1">
      <c r="A32" s="163"/>
      <c r="B32" s="172" t="s">
        <v>134</v>
      </c>
      <c r="C32" s="167">
        <f>C31/4.184</f>
        <v>0</v>
      </c>
      <c r="D32" s="342">
        <f>D31/4.184</f>
        <v>0</v>
      </c>
      <c r="E32" s="189"/>
      <c r="F32" s="17"/>
    </row>
    <row r="33" spans="1:6" s="12" customFormat="1" ht="18.75" customHeight="1">
      <c r="A33" s="163" t="s">
        <v>20</v>
      </c>
      <c r="B33" s="172" t="s">
        <v>101</v>
      </c>
      <c r="C33" s="167">
        <f>C25</f>
        <v>90961.035156</v>
      </c>
      <c r="D33" s="342">
        <f>C33</f>
        <v>90961.035156</v>
      </c>
      <c r="E33" s="189"/>
      <c r="F33" s="17"/>
    </row>
    <row r="34" spans="1:8" s="12" customFormat="1" ht="18.75" customHeight="1">
      <c r="A34" s="163"/>
      <c r="B34" s="172" t="s">
        <v>134</v>
      </c>
      <c r="C34" s="167">
        <f>C26</f>
        <v>21725.670000000002</v>
      </c>
      <c r="D34" s="342">
        <f>SUM(C34:C34)</f>
        <v>21725.670000000002</v>
      </c>
      <c r="E34" s="189"/>
      <c r="F34" s="17"/>
      <c r="H34" s="31"/>
    </row>
    <row r="35" spans="1:6" s="12" customFormat="1" ht="18.75" customHeight="1">
      <c r="A35" s="168"/>
      <c r="B35" s="173"/>
      <c r="C35" s="164"/>
      <c r="D35" s="165"/>
      <c r="E35" s="189"/>
      <c r="F35" s="17"/>
    </row>
    <row r="36" spans="1:6" s="12" customFormat="1" ht="18.75" customHeight="1">
      <c r="A36" s="169" t="s">
        <v>138</v>
      </c>
      <c r="B36" s="174"/>
      <c r="C36" s="161"/>
      <c r="D36" s="162"/>
      <c r="E36" s="190"/>
      <c r="F36" s="17"/>
    </row>
    <row r="37" spans="1:6" s="12" customFormat="1" ht="18.75" customHeight="1">
      <c r="A37" s="163" t="s">
        <v>136</v>
      </c>
      <c r="B37" s="172" t="s">
        <v>226</v>
      </c>
      <c r="C37" s="167">
        <f>'CMM consump.(2011)'!B29+'CMM consump.(2012)'!B26</f>
        <v>1226782.53</v>
      </c>
      <c r="D37" s="342">
        <f>C37</f>
        <v>1226782.53</v>
      </c>
      <c r="E37" s="189"/>
      <c r="F37" s="17"/>
    </row>
    <row r="38" spans="1:6" s="12" customFormat="1" ht="18.75" customHeight="1">
      <c r="A38" s="163"/>
      <c r="B38" s="172" t="s">
        <v>227</v>
      </c>
      <c r="C38" s="167">
        <f>'CMM consump.(2011)'!C29+'CMM consump.(2012)'!C26</f>
        <v>879.235039251</v>
      </c>
      <c r="D38" s="342">
        <f>C38</f>
        <v>879.235039251</v>
      </c>
      <c r="E38" s="189"/>
      <c r="F38" s="17"/>
    </row>
    <row r="39" spans="1:6" s="12" customFormat="1" ht="18.75" customHeight="1">
      <c r="A39" s="175" t="s">
        <v>38</v>
      </c>
      <c r="B39" s="172" t="s">
        <v>226</v>
      </c>
      <c r="C39" s="167"/>
      <c r="D39" s="342">
        <v>0</v>
      </c>
      <c r="E39" s="189"/>
      <c r="F39" s="17"/>
    </row>
    <row r="40" spans="1:6" s="12" customFormat="1" ht="18.75" customHeight="1">
      <c r="A40" s="163"/>
      <c r="B40" s="172" t="s">
        <v>227</v>
      </c>
      <c r="C40" s="167"/>
      <c r="D40" s="342">
        <v>0</v>
      </c>
      <c r="E40" s="189"/>
      <c r="F40" s="17"/>
    </row>
    <row r="41" spans="1:6" s="12" customFormat="1" ht="18.75" customHeight="1">
      <c r="A41" s="175" t="s">
        <v>20</v>
      </c>
      <c r="B41" s="172" t="s">
        <v>226</v>
      </c>
      <c r="C41" s="167">
        <f>C37</f>
        <v>1226782.53</v>
      </c>
      <c r="D41" s="342">
        <f>D37</f>
        <v>1226782.53</v>
      </c>
      <c r="E41" s="189"/>
      <c r="F41" s="17"/>
    </row>
    <row r="42" spans="1:6" s="12" customFormat="1" ht="18.75" customHeight="1">
      <c r="A42" s="163"/>
      <c r="B42" s="172" t="s">
        <v>227</v>
      </c>
      <c r="C42" s="167">
        <f>C38</f>
        <v>879.235039251</v>
      </c>
      <c r="D42" s="342">
        <f>D38</f>
        <v>879.235039251</v>
      </c>
      <c r="E42" s="189"/>
      <c r="F42" s="17"/>
    </row>
    <row r="43" spans="1:6" s="12" customFormat="1" ht="18.75" customHeight="1">
      <c r="A43" s="163" t="s">
        <v>139</v>
      </c>
      <c r="B43" s="164"/>
      <c r="C43" s="176">
        <f>C41+C16</f>
        <v>24487331.53</v>
      </c>
      <c r="D43" s="165"/>
      <c r="E43" s="189"/>
      <c r="F43" s="17"/>
    </row>
    <row r="44" spans="1:6" s="12" customFormat="1" ht="18.75" customHeight="1">
      <c r="A44" s="200" t="s">
        <v>103</v>
      </c>
      <c r="B44" s="177"/>
      <c r="C44" s="177"/>
      <c r="D44" s="178"/>
      <c r="E44" s="192"/>
      <c r="F44" s="17"/>
    </row>
    <row r="45" spans="1:6" s="12" customFormat="1" ht="18.75" customHeight="1">
      <c r="A45" s="179" t="s">
        <v>126</v>
      </c>
      <c r="B45" s="180"/>
      <c r="C45" s="180"/>
      <c r="D45" s="181"/>
      <c r="E45" s="193"/>
      <c r="F45" s="17"/>
    </row>
    <row r="46" spans="1:6" s="12" customFormat="1" ht="18.75" customHeight="1">
      <c r="A46" s="163" t="s">
        <v>92</v>
      </c>
      <c r="B46" s="164"/>
      <c r="C46" s="164"/>
      <c r="D46" s="165"/>
      <c r="E46" s="189"/>
      <c r="F46" s="17"/>
    </row>
    <row r="47" spans="1:6" s="12" customFormat="1" ht="18.75" customHeight="1">
      <c r="A47" s="163" t="s">
        <v>140</v>
      </c>
      <c r="B47" s="166" t="s">
        <v>228</v>
      </c>
      <c r="C47" s="167">
        <f>21*C17</f>
        <v>350087.53836249904</v>
      </c>
      <c r="D47" s="165">
        <f>SUM(C47:C47)</f>
        <v>350087.53836249904</v>
      </c>
      <c r="E47" s="189"/>
      <c r="F47" s="17"/>
    </row>
    <row r="48" spans="1:6" s="12" customFormat="1" ht="18.75" customHeight="1">
      <c r="A48" s="163" t="s">
        <v>98</v>
      </c>
      <c r="B48" s="166"/>
      <c r="C48" s="182"/>
      <c r="D48" s="165"/>
      <c r="E48" s="189"/>
      <c r="F48" s="17"/>
    </row>
    <row r="49" spans="1:6" s="12" customFormat="1" ht="18.75" customHeight="1">
      <c r="A49" s="163" t="s">
        <v>141</v>
      </c>
      <c r="B49" s="166" t="s">
        <v>228</v>
      </c>
      <c r="C49" s="167">
        <f>2.75*0.995*C17</f>
        <v>45615.57270687562</v>
      </c>
      <c r="D49" s="165">
        <f>SUM(C49:C49)</f>
        <v>45615.57270687562</v>
      </c>
      <c r="E49" s="189"/>
      <c r="F49" s="17"/>
    </row>
    <row r="50" spans="1:6" s="12" customFormat="1" ht="18.75" customHeight="1">
      <c r="A50" s="163" t="s">
        <v>142</v>
      </c>
      <c r="B50" s="166" t="s">
        <v>228</v>
      </c>
      <c r="C50" s="167">
        <f>0.005*21*C17</f>
        <v>1750.437691812495</v>
      </c>
      <c r="D50" s="165">
        <f>SUM(C50:C50)</f>
        <v>1750.437691812495</v>
      </c>
      <c r="E50" s="189"/>
      <c r="F50" s="17"/>
    </row>
    <row r="51" spans="1:6" s="12" customFormat="1" ht="18.75" customHeight="1">
      <c r="A51" s="163" t="s">
        <v>103</v>
      </c>
      <c r="B51" s="166" t="s">
        <v>228</v>
      </c>
      <c r="C51" s="167">
        <f>C47-C49-C50</f>
        <v>302721.5279638109</v>
      </c>
      <c r="D51" s="165">
        <f>SUM(C51:C51)</f>
        <v>302721.5279638109</v>
      </c>
      <c r="E51" s="189"/>
      <c r="F51" s="17"/>
    </row>
    <row r="52" spans="1:6" s="12" customFormat="1" ht="18.75" customHeight="1">
      <c r="A52" s="163"/>
      <c r="B52" s="164"/>
      <c r="C52" s="164"/>
      <c r="D52" s="165"/>
      <c r="E52" s="189"/>
      <c r="F52" s="17"/>
    </row>
    <row r="53" spans="1:6" s="12" customFormat="1" ht="18.75" customHeight="1">
      <c r="A53" s="179" t="s">
        <v>143</v>
      </c>
      <c r="B53" s="180"/>
      <c r="C53" s="180"/>
      <c r="D53" s="181"/>
      <c r="E53" s="193"/>
      <c r="F53" s="17"/>
    </row>
    <row r="54" spans="1:6" s="12" customFormat="1" ht="18.75" customHeight="1">
      <c r="A54" s="163" t="s">
        <v>92</v>
      </c>
      <c r="B54" s="166" t="s">
        <v>228</v>
      </c>
      <c r="C54" s="167">
        <f>'Baseline emissions (2011) '!B60+'Baseline emissions (2012) '!E100</f>
        <v>83851.32227399999</v>
      </c>
      <c r="D54" s="342">
        <f>SUM(C54:C54)</f>
        <v>83851.32227399999</v>
      </c>
      <c r="E54" s="189"/>
      <c r="F54" s="17"/>
    </row>
    <row r="55" spans="1:6" s="12" customFormat="1" ht="18.75" customHeight="1">
      <c r="A55" s="163" t="s">
        <v>144</v>
      </c>
      <c r="B55" s="166" t="s">
        <v>228</v>
      </c>
      <c r="C55" s="182"/>
      <c r="D55" s="342"/>
      <c r="E55" s="189"/>
      <c r="F55" s="17"/>
    </row>
    <row r="56" spans="1:6" s="12" customFormat="1" ht="18.75" customHeight="1">
      <c r="A56" s="163" t="s">
        <v>103</v>
      </c>
      <c r="B56" s="166" t="s">
        <v>228</v>
      </c>
      <c r="C56" s="167">
        <f>C54</f>
        <v>83851.32227399999</v>
      </c>
      <c r="D56" s="342">
        <f>SUM(C56:C56)</f>
        <v>83851.32227399999</v>
      </c>
      <c r="E56" s="189"/>
      <c r="F56" s="17"/>
    </row>
    <row r="57" spans="1:6" s="12" customFormat="1" ht="18.75" customHeight="1">
      <c r="A57" s="163"/>
      <c r="B57" s="164"/>
      <c r="C57" s="164"/>
      <c r="D57" s="165"/>
      <c r="E57" s="189"/>
      <c r="F57" s="17"/>
    </row>
    <row r="58" spans="1:6" s="12" customFormat="1" ht="18.75" customHeight="1">
      <c r="A58" s="179" t="s">
        <v>145</v>
      </c>
      <c r="B58" s="180"/>
      <c r="C58" s="180"/>
      <c r="D58" s="181"/>
      <c r="E58" s="193"/>
      <c r="F58" s="17"/>
    </row>
    <row r="59" spans="1:7" s="12" customFormat="1" ht="18.75" customHeight="1">
      <c r="A59" s="163" t="s">
        <v>92</v>
      </c>
      <c r="B59" s="166" t="s">
        <v>228</v>
      </c>
      <c r="C59" s="167">
        <f>'Baseline emissions (2011) '!B80+'Baseline emissions (2012) '!D100</f>
        <v>5730.545214828</v>
      </c>
      <c r="D59" s="342">
        <f>SUM(C59:C59)</f>
        <v>5730.545214828</v>
      </c>
      <c r="E59" s="189"/>
      <c r="F59" s="17"/>
      <c r="G59" s="31"/>
    </row>
    <row r="60" spans="1:6" s="12" customFormat="1" ht="18.75" customHeight="1">
      <c r="A60" s="163" t="s">
        <v>98</v>
      </c>
      <c r="B60" s="166" t="s">
        <v>228</v>
      </c>
      <c r="C60" s="182"/>
      <c r="D60" s="342"/>
      <c r="E60" s="189"/>
      <c r="F60" s="17"/>
    </row>
    <row r="61" spans="1:6" s="12" customFormat="1" ht="18.75" customHeight="1">
      <c r="A61" s="163" t="s">
        <v>103</v>
      </c>
      <c r="B61" s="166" t="s">
        <v>228</v>
      </c>
      <c r="C61" s="167">
        <f>C59-C60</f>
        <v>5730.545214828</v>
      </c>
      <c r="D61" s="342">
        <f>SUM(C61:C61)</f>
        <v>5730.545214828</v>
      </c>
      <c r="E61" s="189"/>
      <c r="F61" s="17"/>
    </row>
    <row r="62" spans="1:6" s="12" customFormat="1" ht="18.75" customHeight="1">
      <c r="A62" s="163"/>
      <c r="B62" s="164"/>
      <c r="C62" s="164"/>
      <c r="D62" s="165"/>
      <c r="E62" s="189"/>
      <c r="F62" s="17"/>
    </row>
    <row r="63" spans="1:6" s="12" customFormat="1" ht="18.75" customHeight="1">
      <c r="A63" s="179" t="s">
        <v>146</v>
      </c>
      <c r="B63" s="180"/>
      <c r="C63" s="180"/>
      <c r="D63" s="181"/>
      <c r="E63" s="193"/>
      <c r="F63" s="17"/>
    </row>
    <row r="64" spans="1:6" s="12" customFormat="1" ht="18.75" customHeight="1">
      <c r="A64" s="163" t="s">
        <v>92</v>
      </c>
      <c r="B64" s="164"/>
      <c r="C64" s="164"/>
      <c r="D64" s="165"/>
      <c r="E64" s="189"/>
      <c r="F64" s="17"/>
    </row>
    <row r="65" spans="1:6" s="12" customFormat="1" ht="18.75" customHeight="1">
      <c r="A65" s="163" t="s">
        <v>140</v>
      </c>
      <c r="B65" s="166" t="s">
        <v>228</v>
      </c>
      <c r="C65" s="167">
        <f>21*C42</f>
        <v>18463.935824271</v>
      </c>
      <c r="D65" s="165">
        <f>SUM(C65:C65)</f>
        <v>18463.935824271</v>
      </c>
      <c r="E65" s="189"/>
      <c r="F65" s="17"/>
    </row>
    <row r="66" spans="1:6" s="12" customFormat="1" ht="18.75" customHeight="1">
      <c r="A66" s="163" t="s">
        <v>147</v>
      </c>
      <c r="B66" s="166" t="s">
        <v>228</v>
      </c>
      <c r="C66" s="167">
        <f>'Baseline emissions (2011) '!B90+'Baseline emissions (2012) '!C100</f>
        <v>3163.9212161711994</v>
      </c>
      <c r="D66" s="342">
        <f>SUM(C66:C66)</f>
        <v>3163.9212161711994</v>
      </c>
      <c r="E66" s="189"/>
      <c r="F66" s="17"/>
    </row>
    <row r="67" spans="1:6" s="12" customFormat="1" ht="18.75" customHeight="1">
      <c r="A67" s="163" t="s">
        <v>98</v>
      </c>
      <c r="B67" s="166"/>
      <c r="C67" s="182"/>
      <c r="D67" s="165"/>
      <c r="E67" s="189"/>
      <c r="F67" s="17"/>
    </row>
    <row r="68" spans="1:6" s="12" customFormat="1" ht="18.75" customHeight="1">
      <c r="A68" s="163" t="s">
        <v>148</v>
      </c>
      <c r="B68" s="166" t="s">
        <v>228</v>
      </c>
      <c r="C68" s="167">
        <f>2.75*0.985*C42</f>
        <v>2381.627912571146</v>
      </c>
      <c r="D68" s="165">
        <f>SUM(C68:C68)</f>
        <v>2381.627912571146</v>
      </c>
      <c r="E68" s="189"/>
      <c r="F68" s="17"/>
    </row>
    <row r="69" spans="1:6" s="12" customFormat="1" ht="18.75" customHeight="1">
      <c r="A69" s="163" t="s">
        <v>149</v>
      </c>
      <c r="B69" s="166" t="s">
        <v>228</v>
      </c>
      <c r="C69" s="167">
        <f>0.015*21*C42</f>
        <v>276.959037364065</v>
      </c>
      <c r="D69" s="165">
        <f>SUM(C69:C69)</f>
        <v>276.959037364065</v>
      </c>
      <c r="E69" s="189"/>
      <c r="F69" s="17"/>
    </row>
    <row r="70" spans="1:6" s="12" customFormat="1" ht="18.75" customHeight="1">
      <c r="A70" s="163" t="s">
        <v>103</v>
      </c>
      <c r="B70" s="166" t="s">
        <v>228</v>
      </c>
      <c r="C70" s="167">
        <f>C65+C66-C68-C69</f>
        <v>18969.27009050699</v>
      </c>
      <c r="D70" s="165">
        <f>SUM(C70:C70)</f>
        <v>18969.27009050699</v>
      </c>
      <c r="E70" s="189"/>
      <c r="F70" s="17"/>
    </row>
    <row r="71" spans="1:6" s="12" customFormat="1" ht="18.75" customHeight="1">
      <c r="A71" s="163"/>
      <c r="B71" s="164"/>
      <c r="C71" s="164"/>
      <c r="D71" s="165"/>
      <c r="E71" s="189"/>
      <c r="F71" s="17"/>
    </row>
    <row r="72" spans="1:6" s="9" customFormat="1" ht="18.75" customHeight="1">
      <c r="A72" s="201" t="s">
        <v>150</v>
      </c>
      <c r="B72" s="183" t="s">
        <v>229</v>
      </c>
      <c r="C72" s="167">
        <f>ROUNDDOWN((C51+C56+C61+C70),1)</f>
        <v>411272.6</v>
      </c>
      <c r="D72" s="184">
        <f>ROUNDDOWN((D51+D56+D61+D70),1)</f>
        <v>411272.6</v>
      </c>
      <c r="E72" s="194"/>
      <c r="F72" s="195"/>
    </row>
    <row r="73" spans="1:6" s="12" customFormat="1" ht="18.75" customHeight="1">
      <c r="A73" s="185"/>
      <c r="B73" s="164"/>
      <c r="C73" s="164"/>
      <c r="D73" s="164"/>
      <c r="E73" s="189"/>
      <c r="F73" s="17"/>
    </row>
    <row r="74" spans="1:6" s="12" customFormat="1" ht="18.75" customHeight="1" thickBot="1">
      <c r="A74" s="186"/>
      <c r="B74" s="187"/>
      <c r="C74" s="187"/>
      <c r="D74" s="187"/>
      <c r="E74" s="196"/>
      <c r="F74" s="17"/>
    </row>
  </sheetData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N111"/>
  <sheetViews>
    <sheetView zoomScale="85" zoomScaleNormal="85" zoomScalePageLayoutView="0" workbookViewId="0" topLeftCell="A1">
      <selection activeCell="C2" sqref="C2"/>
    </sheetView>
  </sheetViews>
  <sheetFormatPr defaultColWidth="9.33203125" defaultRowHeight="12.75"/>
  <cols>
    <col min="1" max="1" width="40.33203125" style="0" customWidth="1"/>
    <col min="2" max="2" width="14.16015625" style="0" bestFit="1" customWidth="1"/>
    <col min="3" max="4" width="15.33203125" style="0" customWidth="1"/>
    <col min="5" max="5" width="21.33203125" style="0" customWidth="1"/>
    <col min="6" max="6" width="22.66015625" style="0" customWidth="1"/>
    <col min="7" max="7" width="16.83203125" style="0" customWidth="1"/>
    <col min="8" max="8" width="11.5" style="0" customWidth="1"/>
    <col min="9" max="9" width="18.5" style="0" bestFit="1" customWidth="1"/>
    <col min="10" max="10" width="13" style="0" customWidth="1"/>
    <col min="11" max="11" width="10.83203125" style="0" bestFit="1" customWidth="1"/>
  </cols>
  <sheetData>
    <row r="1" spans="1:11" s="12" customFormat="1" ht="18.75" customHeight="1">
      <c r="A1" s="344" t="s">
        <v>105</v>
      </c>
      <c r="B1" s="345"/>
      <c r="C1" s="345"/>
      <c r="D1" s="345"/>
      <c r="K1" s="17"/>
    </row>
    <row r="2" spans="1:11" s="12" customFormat="1" ht="18.75" customHeight="1">
      <c r="A2" s="32"/>
      <c r="B2" s="345"/>
      <c r="C2" s="343" t="s">
        <v>295</v>
      </c>
      <c r="D2" s="345"/>
      <c r="K2" s="17"/>
    </row>
    <row r="3" spans="1:11" s="12" customFormat="1" ht="18.75" customHeight="1">
      <c r="A3" s="32"/>
      <c r="B3" s="345"/>
      <c r="C3" s="343" t="s">
        <v>294</v>
      </c>
      <c r="D3" s="345"/>
      <c r="K3" s="17"/>
    </row>
    <row r="5" s="11" customFormat="1" ht="18.75" customHeight="1">
      <c r="A5" s="10" t="s">
        <v>92</v>
      </c>
    </row>
    <row r="6" s="11" customFormat="1" ht="18.75" customHeight="1"/>
    <row r="7" s="11" customFormat="1" ht="18.75" customHeight="1"/>
    <row r="8" s="11" customFormat="1" ht="18.75" customHeight="1">
      <c r="A8" s="11" t="s">
        <v>37</v>
      </c>
    </row>
    <row r="9" s="11" customFormat="1" ht="18.75" customHeight="1">
      <c r="A9" s="93" t="s">
        <v>191</v>
      </c>
    </row>
    <row r="10" s="11" customFormat="1" ht="18.75" customHeight="1"/>
    <row r="11" spans="2:10" s="11" customFormat="1" ht="18.75" customHeight="1">
      <c r="B11" s="369" t="s">
        <v>161</v>
      </c>
      <c r="C11" s="364"/>
      <c r="D11" s="364"/>
      <c r="E11" s="364"/>
      <c r="F11" s="364"/>
      <c r="G11" s="364"/>
      <c r="J11" s="49" t="s">
        <v>164</v>
      </c>
    </row>
    <row r="12" spans="2:10" s="11" customFormat="1" ht="18.75" customHeight="1">
      <c r="B12" s="363" t="s">
        <v>162</v>
      </c>
      <c r="C12" s="364"/>
      <c r="D12" s="364"/>
      <c r="E12" s="364"/>
      <c r="F12" s="364"/>
      <c r="G12" s="364"/>
      <c r="H12" s="364"/>
      <c r="I12" s="364"/>
      <c r="J12" s="49" t="s">
        <v>164</v>
      </c>
    </row>
    <row r="13" spans="1:10" s="11" customFormat="1" ht="18.75" customHeight="1">
      <c r="A13" s="43"/>
      <c r="B13" s="363" t="s">
        <v>163</v>
      </c>
      <c r="C13" s="364"/>
      <c r="D13" s="364"/>
      <c r="E13" s="364"/>
      <c r="F13" s="364"/>
      <c r="G13" s="364"/>
      <c r="H13" s="364"/>
      <c r="I13" s="364"/>
      <c r="J13" s="49" t="s">
        <v>164</v>
      </c>
    </row>
    <row r="14" s="11" customFormat="1" ht="18.75" customHeight="1"/>
    <row r="15" s="11" customFormat="1" ht="18.75" customHeight="1">
      <c r="A15" s="43"/>
    </row>
    <row r="16" s="11" customFormat="1" ht="18.75" customHeight="1">
      <c r="A16" s="10" t="s">
        <v>100</v>
      </c>
    </row>
    <row r="17" s="11" customFormat="1" ht="18.75" customHeight="1"/>
    <row r="18" s="10" customFormat="1" ht="18.75" customHeight="1">
      <c r="A18" s="93" t="s">
        <v>190</v>
      </c>
    </row>
    <row r="19" s="10" customFormat="1" ht="18.75" customHeight="1" thickBot="1"/>
    <row r="20" spans="1:5" s="11" customFormat="1" ht="18.75" customHeight="1">
      <c r="A20" s="85" t="s">
        <v>46</v>
      </c>
      <c r="B20" s="86"/>
      <c r="C20" s="87" t="s">
        <v>183</v>
      </c>
      <c r="D20" s="87" t="s">
        <v>184</v>
      </c>
      <c r="E20" s="88" t="s">
        <v>185</v>
      </c>
    </row>
    <row r="21" spans="1:5" s="11" customFormat="1" ht="18.75" customHeight="1">
      <c r="A21" s="89"/>
      <c r="B21" s="90"/>
      <c r="C21" s="91" t="s">
        <v>186</v>
      </c>
      <c r="D21" s="91" t="s">
        <v>186</v>
      </c>
      <c r="E21" s="92" t="s">
        <v>187</v>
      </c>
    </row>
    <row r="22" spans="1:10" s="11" customFormat="1" ht="18.75" customHeight="1">
      <c r="A22" s="50"/>
      <c r="B22" s="51"/>
      <c r="C22" s="52"/>
      <c r="D22" s="52"/>
      <c r="E22" s="53"/>
      <c r="F22" s="44"/>
      <c r="G22" s="45"/>
      <c r="H22" s="45"/>
      <c r="I22" s="45"/>
      <c r="J22" s="45"/>
    </row>
    <row r="23" spans="1:7" s="57" customFormat="1" ht="18.75" customHeight="1">
      <c r="A23" s="281">
        <v>2011</v>
      </c>
      <c r="B23" s="54">
        <v>21</v>
      </c>
      <c r="C23" s="55">
        <f>'CMM consump.(2011)'!H14</f>
        <v>10392.471884304001</v>
      </c>
      <c r="D23" s="55">
        <f>'CMM consump.(2011)'!C29</f>
        <v>550.565937027</v>
      </c>
      <c r="E23" s="56">
        <f>B23*(C23+D23)</f>
        <v>229803.79424795104</v>
      </c>
      <c r="G23" s="58"/>
    </row>
    <row r="24" spans="1:5" s="11" customFormat="1" ht="18.75" customHeight="1" thickBot="1">
      <c r="A24" s="298" t="s">
        <v>281</v>
      </c>
      <c r="B24" s="97"/>
      <c r="C24" s="98">
        <f>SUM(C22:C23)</f>
        <v>10392.471884304001</v>
      </c>
      <c r="D24" s="98">
        <f>SUM(D22:D23)</f>
        <v>550.565937027</v>
      </c>
      <c r="E24" s="99">
        <f>SUM(E22:E23)</f>
        <v>229803.79424795104</v>
      </c>
    </row>
    <row r="25" spans="1:5" s="11" customFormat="1" ht="18.75" customHeight="1">
      <c r="A25" s="59"/>
      <c r="B25" s="60"/>
      <c r="C25" s="61"/>
      <c r="D25" s="61"/>
      <c r="E25" s="62"/>
    </row>
    <row r="26" spans="1:5" s="11" customFormat="1" ht="18.75" customHeight="1">
      <c r="A26" s="63" t="s">
        <v>93</v>
      </c>
      <c r="B26" s="60"/>
      <c r="C26" s="61"/>
      <c r="D26" s="61"/>
      <c r="E26" s="62"/>
    </row>
    <row r="27" s="11" customFormat="1" ht="18.75" customHeight="1"/>
    <row r="28" spans="1:2" s="11" customFormat="1" ht="18.75" customHeight="1">
      <c r="A28" s="93" t="s">
        <v>189</v>
      </c>
      <c r="B28" s="64"/>
    </row>
    <row r="29" s="11" customFormat="1" ht="18.75" customHeight="1"/>
    <row r="30" s="11" customFormat="1" ht="18.75" customHeight="1">
      <c r="A30" s="11" t="s">
        <v>87</v>
      </c>
    </row>
    <row r="31" s="11" customFormat="1" ht="18.75" customHeight="1"/>
    <row r="32" s="11" customFormat="1" ht="18.75" customHeight="1">
      <c r="A32" s="11" t="s">
        <v>88</v>
      </c>
    </row>
    <row r="33" s="11" customFormat="1" ht="18.75" customHeight="1">
      <c r="A33" s="11" t="s">
        <v>89</v>
      </c>
    </row>
    <row r="34" s="11" customFormat="1" ht="18.75" customHeight="1"/>
    <row r="35" s="11" customFormat="1" ht="18.75" customHeight="1">
      <c r="A35" s="93" t="s">
        <v>188</v>
      </c>
    </row>
    <row r="36" s="11" customFormat="1" ht="18.75" customHeight="1"/>
    <row r="37" s="11" customFormat="1" ht="18.75" customHeight="1"/>
    <row r="38" s="11" customFormat="1" ht="18.75" customHeight="1"/>
    <row r="39" s="11" customFormat="1" ht="18.75" customHeight="1">
      <c r="A39" s="11" t="s">
        <v>90</v>
      </c>
    </row>
    <row r="40" s="11" customFormat="1" ht="18.75" customHeight="1">
      <c r="A40" s="11" t="s">
        <v>91</v>
      </c>
    </row>
    <row r="41" s="11" customFormat="1" ht="18.75" customHeight="1"/>
    <row r="42" spans="1:5" s="11" customFormat="1" ht="18.75" customHeight="1">
      <c r="A42" s="93" t="s">
        <v>192</v>
      </c>
      <c r="B42" s="65"/>
      <c r="C42" s="43"/>
      <c r="D42" s="43"/>
      <c r="E42" s="43"/>
    </row>
    <row r="43" s="11" customFormat="1" ht="18.75" customHeight="1"/>
    <row r="44" spans="2:10" s="11" customFormat="1" ht="18.75" customHeight="1">
      <c r="B44" s="363" t="s">
        <v>165</v>
      </c>
      <c r="C44" s="364"/>
      <c r="D44" s="364"/>
      <c r="E44" s="364"/>
      <c r="F44" s="364"/>
      <c r="G44" s="364"/>
      <c r="H44" s="364"/>
      <c r="I44" s="364"/>
      <c r="J44" s="49" t="s">
        <v>179</v>
      </c>
    </row>
    <row r="45" spans="1:14" s="11" customFormat="1" ht="18.75" customHeight="1">
      <c r="A45" s="48"/>
      <c r="B45" s="363" t="s">
        <v>166</v>
      </c>
      <c r="C45" s="364"/>
      <c r="D45" s="364"/>
      <c r="E45" s="364"/>
      <c r="F45" s="364"/>
      <c r="G45" s="364"/>
      <c r="J45" s="49" t="s">
        <v>51</v>
      </c>
      <c r="M45" s="43" t="s">
        <v>54</v>
      </c>
      <c r="N45" s="43" t="s">
        <v>52</v>
      </c>
    </row>
    <row r="46" spans="1:13" s="11" customFormat="1" ht="18.75" customHeight="1">
      <c r="A46" s="46"/>
      <c r="B46" s="363" t="s">
        <v>167</v>
      </c>
      <c r="C46" s="364"/>
      <c r="D46" s="364"/>
      <c r="E46" s="364"/>
      <c r="F46" s="364"/>
      <c r="G46" s="364"/>
      <c r="H46" s="364"/>
      <c r="J46" s="49" t="s">
        <v>180</v>
      </c>
      <c r="M46" s="47" t="s">
        <v>273</v>
      </c>
    </row>
    <row r="47" spans="1:14" s="11" customFormat="1" ht="18.75" customHeight="1">
      <c r="A47" s="46"/>
      <c r="B47" s="363" t="s">
        <v>168</v>
      </c>
      <c r="C47" s="364"/>
      <c r="D47" s="364"/>
      <c r="E47" s="364"/>
      <c r="F47" s="364"/>
      <c r="G47" s="364"/>
      <c r="J47" s="49" t="s">
        <v>51</v>
      </c>
      <c r="M47" s="47" t="s">
        <v>53</v>
      </c>
      <c r="N47" s="43" t="s">
        <v>52</v>
      </c>
    </row>
    <row r="48" spans="1:13" s="11" customFormat="1" ht="18.75" customHeight="1">
      <c r="A48" s="48"/>
      <c r="B48" s="363" t="s">
        <v>181</v>
      </c>
      <c r="C48" s="364"/>
      <c r="D48" s="364"/>
      <c r="E48" s="364"/>
      <c r="F48" s="364"/>
      <c r="G48" s="364"/>
      <c r="H48" s="364"/>
      <c r="J48" s="49" t="s">
        <v>180</v>
      </c>
      <c r="M48" s="47" t="s">
        <v>273</v>
      </c>
    </row>
    <row r="49" s="11" customFormat="1" ht="18.75" customHeight="1">
      <c r="A49" s="48"/>
    </row>
    <row r="50" s="11" customFormat="1" ht="18.75" customHeight="1" thickBot="1"/>
    <row r="51" spans="1:6" s="11" customFormat="1" ht="18.75" customHeight="1">
      <c r="A51" s="361" t="s">
        <v>124</v>
      </c>
      <c r="B51" s="42" t="s">
        <v>155</v>
      </c>
      <c r="C51" s="42" t="s">
        <v>156</v>
      </c>
      <c r="D51" s="42" t="s">
        <v>157</v>
      </c>
      <c r="E51" s="376" t="s">
        <v>158</v>
      </c>
      <c r="F51" s="376" t="s">
        <v>159</v>
      </c>
    </row>
    <row r="52" spans="1:6" s="11" customFormat="1" ht="18.75" customHeight="1" thickBot="1">
      <c r="A52" s="378"/>
      <c r="B52" s="96" t="s">
        <v>160</v>
      </c>
      <c r="C52" s="96" t="s">
        <v>51</v>
      </c>
      <c r="D52" s="96" t="s">
        <v>51</v>
      </c>
      <c r="E52" s="377"/>
      <c r="F52" s="377"/>
    </row>
    <row r="53" spans="1:6" s="11" customFormat="1" ht="18.75" customHeight="1">
      <c r="A53" s="132" t="s">
        <v>274</v>
      </c>
      <c r="B53" s="66">
        <f aca="true" t="shared" si="0" ref="B53:B59">(C53)*F53/1000</f>
        <v>14660.516241000001</v>
      </c>
      <c r="C53" s="285">
        <v>13450.0149</v>
      </c>
      <c r="D53" s="286">
        <v>17558.319</v>
      </c>
      <c r="E53" s="67">
        <v>1063</v>
      </c>
      <c r="F53" s="66">
        <v>1090</v>
      </c>
    </row>
    <row r="54" spans="1:6" s="11" customFormat="1" ht="18.75" customHeight="1">
      <c r="A54" s="132" t="s">
        <v>275</v>
      </c>
      <c r="B54" s="66">
        <f t="shared" si="0"/>
        <v>9432.633389</v>
      </c>
      <c r="C54" s="68">
        <v>8653.7921</v>
      </c>
      <c r="D54" s="69">
        <v>17521.307</v>
      </c>
      <c r="E54" s="67">
        <v>1063</v>
      </c>
      <c r="F54" s="66">
        <v>1090</v>
      </c>
    </row>
    <row r="55" spans="1:6" s="11" customFormat="1" ht="18.75" customHeight="1">
      <c r="A55" s="314" t="s">
        <v>276</v>
      </c>
      <c r="B55" s="66">
        <f t="shared" si="0"/>
        <v>7052.279617</v>
      </c>
      <c r="C55" s="68">
        <v>6469.9813</v>
      </c>
      <c r="D55" s="69">
        <v>17004.339</v>
      </c>
      <c r="E55" s="67">
        <v>1063</v>
      </c>
      <c r="F55" s="66">
        <v>1090</v>
      </c>
    </row>
    <row r="56" spans="1:6" s="11" customFormat="1" ht="18.75" customHeight="1">
      <c r="A56" s="314" t="s">
        <v>277</v>
      </c>
      <c r="B56" s="66">
        <f t="shared" si="0"/>
        <v>5275.1765350000005</v>
      </c>
      <c r="C56" s="68">
        <v>4839.6115</v>
      </c>
      <c r="D56" s="69">
        <v>16018.547</v>
      </c>
      <c r="E56" s="67">
        <v>1063</v>
      </c>
      <c r="F56" s="66">
        <v>1090</v>
      </c>
    </row>
    <row r="57" spans="1:6" s="11" customFormat="1" ht="18.75" customHeight="1">
      <c r="A57" s="314" t="s">
        <v>278</v>
      </c>
      <c r="B57" s="70">
        <f t="shared" si="0"/>
        <v>5632.338143</v>
      </c>
      <c r="C57" s="71">
        <v>5167.2827</v>
      </c>
      <c r="D57" s="72">
        <v>16192.82</v>
      </c>
      <c r="E57" s="73">
        <v>1063</v>
      </c>
      <c r="F57" s="70">
        <v>1090</v>
      </c>
    </row>
    <row r="58" spans="1:6" s="11" customFormat="1" ht="18.75" customHeight="1">
      <c r="A58" s="314" t="s">
        <v>279</v>
      </c>
      <c r="B58" s="70">
        <f t="shared" si="0"/>
        <v>3482.675241</v>
      </c>
      <c r="C58" s="71">
        <v>3195.1149</v>
      </c>
      <c r="D58" s="72">
        <v>18057.759</v>
      </c>
      <c r="E58" s="73">
        <v>1063</v>
      </c>
      <c r="F58" s="70">
        <v>1090</v>
      </c>
    </row>
    <row r="59" spans="1:6" s="11" customFormat="1" ht="18.75" customHeight="1" thickBot="1">
      <c r="A59" s="314" t="s">
        <v>280</v>
      </c>
      <c r="B59" s="70">
        <f t="shared" si="0"/>
        <v>6589.728416</v>
      </c>
      <c r="C59" s="74">
        <v>6045.6224</v>
      </c>
      <c r="D59" s="72">
        <v>17947.001</v>
      </c>
      <c r="E59" s="73">
        <v>1063</v>
      </c>
      <c r="F59" s="70">
        <v>1090</v>
      </c>
    </row>
    <row r="60" spans="1:6" s="11" customFormat="1" ht="18.75" customHeight="1" thickBot="1">
      <c r="A60" s="299" t="s">
        <v>281</v>
      </c>
      <c r="B60" s="287">
        <f>SUM(B53:B59)</f>
        <v>52125.347581999995</v>
      </c>
      <c r="C60" s="288">
        <f>SUM(C53:C59)</f>
        <v>47821.419799999996</v>
      </c>
      <c r="D60" s="288">
        <f>SUM(D53:D59)</f>
        <v>120300.09199999999</v>
      </c>
      <c r="E60" s="289"/>
      <c r="F60" s="289"/>
    </row>
    <row r="61" s="11" customFormat="1" ht="18.75" customHeight="1">
      <c r="I61" s="341"/>
    </row>
    <row r="62" s="11" customFormat="1" ht="18.75" customHeight="1"/>
    <row r="63" spans="1:8" s="11" customFormat="1" ht="18.75" customHeight="1">
      <c r="A63" s="93" t="s">
        <v>193</v>
      </c>
      <c r="B63" s="43"/>
      <c r="C63" s="43"/>
      <c r="D63" s="43"/>
      <c r="E63" s="43"/>
      <c r="F63" s="43"/>
      <c r="G63" s="43"/>
      <c r="H63" s="43"/>
    </row>
    <row r="64" s="11" customFormat="1" ht="18.75" customHeight="1"/>
    <row r="65" spans="2:10" s="11" customFormat="1" ht="18.75" customHeight="1">
      <c r="B65" s="363" t="s">
        <v>169</v>
      </c>
      <c r="C65" s="364"/>
      <c r="D65" s="364"/>
      <c r="E65" s="364"/>
      <c r="F65" s="364"/>
      <c r="G65" s="364"/>
      <c r="H65" s="364"/>
      <c r="J65" s="11" t="s">
        <v>55</v>
      </c>
    </row>
    <row r="66" spans="1:10" s="11" customFormat="1" ht="18.75" customHeight="1">
      <c r="A66" s="43"/>
      <c r="B66" s="379" t="s">
        <v>170</v>
      </c>
      <c r="C66" s="380"/>
      <c r="D66" s="380"/>
      <c r="E66" s="380"/>
      <c r="F66" s="380"/>
      <c r="G66" s="380"/>
      <c r="H66" s="380"/>
      <c r="I66" s="380"/>
      <c r="J66" s="11" t="s">
        <v>182</v>
      </c>
    </row>
    <row r="67" spans="2:10" s="11" customFormat="1" ht="18.75" customHeight="1">
      <c r="B67" s="363" t="s">
        <v>171</v>
      </c>
      <c r="C67" s="364"/>
      <c r="D67" s="364"/>
      <c r="E67" s="364"/>
      <c r="F67" s="364"/>
      <c r="G67" s="364"/>
      <c r="H67" s="364"/>
      <c r="J67" s="11" t="s">
        <v>55</v>
      </c>
    </row>
    <row r="68" spans="2:10" s="11" customFormat="1" ht="18.75" customHeight="1">
      <c r="B68" s="363" t="s">
        <v>172</v>
      </c>
      <c r="C68" s="364"/>
      <c r="D68" s="364"/>
      <c r="E68" s="364"/>
      <c r="F68" s="364"/>
      <c r="G68" s="364"/>
      <c r="H68" s="364"/>
      <c r="J68" s="11" t="s">
        <v>182</v>
      </c>
    </row>
    <row r="69" spans="2:10" s="11" customFormat="1" ht="18.75" customHeight="1">
      <c r="B69" s="363" t="s">
        <v>173</v>
      </c>
      <c r="C69" s="364"/>
      <c r="D69" s="364"/>
      <c r="E69" s="364"/>
      <c r="F69" s="364"/>
      <c r="G69" s="364"/>
      <c r="H69" s="364"/>
      <c r="J69" s="11" t="s">
        <v>55</v>
      </c>
    </row>
    <row r="70" spans="2:10" s="11" customFormat="1" ht="18.75" customHeight="1">
      <c r="B70" s="363" t="s">
        <v>174</v>
      </c>
      <c r="C70" s="364"/>
      <c r="D70" s="364"/>
      <c r="E70" s="364"/>
      <c r="F70" s="364"/>
      <c r="G70" s="364"/>
      <c r="H70" s="364"/>
      <c r="J70" s="11" t="s">
        <v>182</v>
      </c>
    </row>
    <row r="71" spans="2:10" s="11" customFormat="1" ht="18.75" customHeight="1">
      <c r="B71" s="363" t="s">
        <v>175</v>
      </c>
      <c r="C71" s="364"/>
      <c r="D71" s="364"/>
      <c r="E71" s="364"/>
      <c r="F71" s="364"/>
      <c r="G71" s="364"/>
      <c r="H71" s="364"/>
      <c r="J71" s="11" t="s">
        <v>56</v>
      </c>
    </row>
    <row r="72" spans="2:10" s="11" customFormat="1" ht="18.75" customHeight="1">
      <c r="B72" s="363" t="s">
        <v>176</v>
      </c>
      <c r="C72" s="364"/>
      <c r="D72" s="364"/>
      <c r="E72" s="364"/>
      <c r="F72" s="364"/>
      <c r="G72" s="364"/>
      <c r="H72" s="364"/>
      <c r="J72" s="11" t="s">
        <v>182</v>
      </c>
    </row>
    <row r="73" s="11" customFormat="1" ht="18.75" customHeight="1"/>
    <row r="74" s="11" customFormat="1" ht="18.75" customHeight="1"/>
    <row r="75" s="11" customFormat="1" ht="18.75" customHeight="1" thickBot="1"/>
    <row r="76" spans="1:10" s="11" customFormat="1" ht="18.75" customHeight="1">
      <c r="A76" s="357" t="s">
        <v>46</v>
      </c>
      <c r="B76" s="254" t="s">
        <v>238</v>
      </c>
      <c r="C76" s="254" t="s">
        <v>239</v>
      </c>
      <c r="D76" s="254" t="s">
        <v>240</v>
      </c>
      <c r="E76" s="254" t="s">
        <v>241</v>
      </c>
      <c r="F76" s="254" t="s">
        <v>242</v>
      </c>
      <c r="G76" s="254" t="s">
        <v>243</v>
      </c>
      <c r="H76" s="254" t="s">
        <v>244</v>
      </c>
      <c r="I76" s="254" t="s">
        <v>245</v>
      </c>
      <c r="J76" s="255" t="s">
        <v>246</v>
      </c>
    </row>
    <row r="77" spans="1:10" s="11" customFormat="1" ht="18.75" customHeight="1">
      <c r="A77" s="358"/>
      <c r="B77" s="256" t="s">
        <v>247</v>
      </c>
      <c r="C77" s="256" t="s">
        <v>55</v>
      </c>
      <c r="D77" s="256" t="s">
        <v>248</v>
      </c>
      <c r="E77" s="256" t="s">
        <v>55</v>
      </c>
      <c r="F77" s="256" t="s">
        <v>248</v>
      </c>
      <c r="G77" s="256" t="s">
        <v>55</v>
      </c>
      <c r="H77" s="256" t="s">
        <v>248</v>
      </c>
      <c r="I77" s="256" t="s">
        <v>55</v>
      </c>
      <c r="J77" s="257" t="s">
        <v>248</v>
      </c>
    </row>
    <row r="78" spans="1:10" s="11" customFormat="1" ht="18.75" customHeight="1">
      <c r="A78" s="50"/>
      <c r="B78" s="52"/>
      <c r="C78" s="52"/>
      <c r="D78" s="76"/>
      <c r="E78" s="52"/>
      <c r="F78" s="76"/>
      <c r="G78" s="52"/>
      <c r="H78" s="76"/>
      <c r="I78" s="52"/>
      <c r="J78" s="77"/>
    </row>
    <row r="79" spans="1:10" s="11" customFormat="1" ht="18.75" customHeight="1">
      <c r="A79" s="281">
        <v>2011</v>
      </c>
      <c r="B79" s="55">
        <f>C79*D79+E79*F79+G79*H79+I79*J79</f>
        <v>3224.5766030520003</v>
      </c>
      <c r="C79" s="55"/>
      <c r="D79" s="290">
        <v>0.063</v>
      </c>
      <c r="E79" s="55">
        <f>'Heat load (2011)'!B14</f>
        <v>51183.755604000005</v>
      </c>
      <c r="F79" s="290">
        <v>0.063</v>
      </c>
      <c r="G79" s="55">
        <v>0</v>
      </c>
      <c r="H79" s="290">
        <f>'Emission factors '!B25</f>
        <v>0.063</v>
      </c>
      <c r="I79" s="55">
        <v>0</v>
      </c>
      <c r="J79" s="291">
        <f>J78</f>
        <v>0</v>
      </c>
    </row>
    <row r="80" spans="1:10" s="11" customFormat="1" ht="18.75" customHeight="1" thickBot="1">
      <c r="A80" s="300" t="s">
        <v>281</v>
      </c>
      <c r="B80" s="98">
        <f>SUM(B78:B79)</f>
        <v>3224.5766030520003</v>
      </c>
      <c r="C80" s="98">
        <f>SUM(C78:C78)</f>
        <v>0</v>
      </c>
      <c r="D80" s="292"/>
      <c r="E80" s="98">
        <f>SUM(E78:E79)</f>
        <v>51183.755604000005</v>
      </c>
      <c r="F80" s="292"/>
      <c r="G80" s="98">
        <f>SUM(G78:G78)</f>
        <v>0</v>
      </c>
      <c r="H80" s="292"/>
      <c r="I80" s="98">
        <f>SUM(I78:I78)</f>
        <v>0</v>
      </c>
      <c r="J80" s="293"/>
    </row>
    <row r="81" spans="1:10" s="11" customFormat="1" ht="18.75" customHeight="1">
      <c r="A81" s="59"/>
      <c r="B81" s="78"/>
      <c r="C81" s="79"/>
      <c r="D81" s="60"/>
      <c r="E81" s="79"/>
      <c r="F81" s="60"/>
      <c r="G81" s="79"/>
      <c r="H81" s="60"/>
      <c r="I81" s="79"/>
      <c r="J81" s="60"/>
    </row>
    <row r="82" spans="1:10" s="11" customFormat="1" ht="18.75" customHeight="1">
      <c r="A82" s="94" t="s">
        <v>194</v>
      </c>
      <c r="B82" s="78"/>
      <c r="C82" s="79"/>
      <c r="D82" s="60"/>
      <c r="E82" s="79"/>
      <c r="F82" s="60"/>
      <c r="G82" s="79"/>
      <c r="H82" s="60"/>
      <c r="I82" s="79"/>
      <c r="J82" s="60"/>
    </row>
    <row r="83" s="11" customFormat="1" ht="18.75" customHeight="1">
      <c r="A83" s="59"/>
    </row>
    <row r="84" spans="2:10" s="11" customFormat="1" ht="18.75" customHeight="1">
      <c r="B84" s="363" t="s">
        <v>177</v>
      </c>
      <c r="C84" s="364"/>
      <c r="D84" s="364"/>
      <c r="E84" s="364"/>
      <c r="F84" s="364"/>
      <c r="G84" s="364"/>
      <c r="H84" s="364"/>
      <c r="J84" s="11" t="s">
        <v>55</v>
      </c>
    </row>
    <row r="85" spans="2:10" s="11" customFormat="1" ht="18.75" customHeight="1" thickBot="1">
      <c r="B85" s="363" t="s">
        <v>178</v>
      </c>
      <c r="C85" s="364"/>
      <c r="D85" s="364"/>
      <c r="E85" s="364"/>
      <c r="F85" s="364"/>
      <c r="G85" s="364"/>
      <c r="H85" s="364"/>
      <c r="J85" s="11" t="s">
        <v>182</v>
      </c>
    </row>
    <row r="86" spans="1:5" s="11" customFormat="1" ht="60" customHeight="1">
      <c r="A86" s="253" t="s">
        <v>46</v>
      </c>
      <c r="B86" s="87" t="s">
        <v>249</v>
      </c>
      <c r="C86" s="258" t="s">
        <v>60</v>
      </c>
      <c r="D86" s="258" t="s">
        <v>57</v>
      </c>
      <c r="E86" s="88" t="s">
        <v>250</v>
      </c>
    </row>
    <row r="87" spans="1:5" s="11" customFormat="1" ht="18.75" customHeight="1">
      <c r="A87" s="80"/>
      <c r="B87" s="256" t="s">
        <v>253</v>
      </c>
      <c r="C87" s="256" t="s">
        <v>237</v>
      </c>
      <c r="D87" s="311" t="s">
        <v>254</v>
      </c>
      <c r="E87" s="257" t="s">
        <v>248</v>
      </c>
    </row>
    <row r="88" spans="1:5" s="11" customFormat="1" ht="18.75" customHeight="1">
      <c r="A88" s="50"/>
      <c r="B88" s="52"/>
      <c r="C88" s="81"/>
      <c r="D88" s="82"/>
      <c r="E88" s="83"/>
    </row>
    <row r="89" spans="1:5" s="11" customFormat="1" ht="18.75" customHeight="1">
      <c r="A89" s="281">
        <v>2011</v>
      </c>
      <c r="B89" s="55">
        <f>C89*D89*E89/1000</f>
        <v>1981.2077218224</v>
      </c>
      <c r="C89" s="294">
        <v>35.82</v>
      </c>
      <c r="D89" s="268">
        <f>'CMM consump.(2011)'!B29</f>
        <v>768195.81</v>
      </c>
      <c r="E89" s="295">
        <f>'Emission factors '!$B$36</f>
        <v>0.072</v>
      </c>
    </row>
    <row r="90" spans="1:9" s="11" customFormat="1" ht="18.75" customHeight="1" thickBot="1">
      <c r="A90" s="298" t="s">
        <v>281</v>
      </c>
      <c r="B90" s="98">
        <f>SUM(B88:B89)</f>
        <v>1981.2077218224</v>
      </c>
      <c r="C90" s="296"/>
      <c r="D90" s="297">
        <f>SUM(D88:D89)</f>
        <v>768195.81</v>
      </c>
      <c r="E90" s="293"/>
      <c r="I90" s="57"/>
    </row>
    <row r="91" s="11" customFormat="1" ht="18.75" customHeight="1">
      <c r="D91" s="84"/>
    </row>
    <row r="92" s="11" customFormat="1" ht="18.75" customHeight="1"/>
    <row r="93" s="11" customFormat="1" ht="18.75" customHeight="1">
      <c r="A93" s="10" t="s">
        <v>94</v>
      </c>
    </row>
    <row r="94" s="11" customFormat="1" ht="18.75" customHeight="1"/>
    <row r="95" spans="1:6" s="11" customFormat="1" ht="18.75" customHeight="1">
      <c r="A95" s="95" t="s">
        <v>195</v>
      </c>
      <c r="F95" s="41"/>
    </row>
    <row r="96" s="11" customFormat="1" ht="18.75" customHeight="1">
      <c r="A96" s="43"/>
    </row>
    <row r="97" s="11" customFormat="1" ht="18.75" customHeight="1"/>
    <row r="98" spans="1:7" s="11" customFormat="1" ht="18.75" customHeight="1" thickBot="1">
      <c r="A98" s="41"/>
      <c r="B98" s="41"/>
      <c r="C98" s="41"/>
      <c r="D98" s="41"/>
      <c r="E98" s="41"/>
      <c r="F98" s="41"/>
      <c r="G98" s="41"/>
    </row>
    <row r="99" spans="1:7" s="11" customFormat="1" ht="18.75" customHeight="1">
      <c r="A99" s="357" t="s">
        <v>46</v>
      </c>
      <c r="B99" s="374" t="s">
        <v>251</v>
      </c>
      <c r="C99" s="374" t="s">
        <v>249</v>
      </c>
      <c r="D99" s="374" t="s">
        <v>252</v>
      </c>
      <c r="E99" s="374" t="s">
        <v>155</v>
      </c>
      <c r="F99" s="372" t="s">
        <v>185</v>
      </c>
      <c r="G99" s="41"/>
    </row>
    <row r="100" spans="1:7" s="11" customFormat="1" ht="18.75" customHeight="1">
      <c r="A100" s="370"/>
      <c r="B100" s="375"/>
      <c r="C100" s="375"/>
      <c r="D100" s="375"/>
      <c r="E100" s="375"/>
      <c r="F100" s="373"/>
      <c r="G100" s="41"/>
    </row>
    <row r="101" spans="1:7" s="11" customFormat="1" ht="18.75" customHeight="1">
      <c r="A101" s="371"/>
      <c r="B101" s="256" t="s">
        <v>253</v>
      </c>
      <c r="C101" s="256" t="s">
        <v>253</v>
      </c>
      <c r="D101" s="256" t="s">
        <v>253</v>
      </c>
      <c r="E101" s="256" t="s">
        <v>253</v>
      </c>
      <c r="F101" s="257" t="s">
        <v>253</v>
      </c>
      <c r="G101" s="41"/>
    </row>
    <row r="102" spans="1:7" s="11" customFormat="1" ht="18.75" customHeight="1">
      <c r="A102" s="50"/>
      <c r="B102" s="52"/>
      <c r="C102" s="52"/>
      <c r="D102" s="52"/>
      <c r="E102" s="52"/>
      <c r="F102" s="53"/>
      <c r="G102" s="41"/>
    </row>
    <row r="103" spans="1:7" s="11" customFormat="1" ht="18.75" customHeight="1">
      <c r="A103" s="281">
        <v>2011</v>
      </c>
      <c r="B103" s="55">
        <f>ROUND((C103+D103+E103+F103),0)</f>
        <v>287135</v>
      </c>
      <c r="C103" s="301">
        <f>$B$89</f>
        <v>1981.2077218224</v>
      </c>
      <c r="D103" s="301">
        <f>$B$79</f>
        <v>3224.5766030520003</v>
      </c>
      <c r="E103" s="301">
        <f>$B$60</f>
        <v>52125.347581999995</v>
      </c>
      <c r="F103" s="302">
        <f>$E$23</f>
        <v>229803.79424795104</v>
      </c>
      <c r="G103" s="41"/>
    </row>
    <row r="104" spans="1:7" s="11" customFormat="1" ht="18.75" customHeight="1" thickBot="1">
      <c r="A104" s="298" t="s">
        <v>281</v>
      </c>
      <c r="B104" s="98">
        <f>SUM(B102:B103)</f>
        <v>287135</v>
      </c>
      <c r="C104" s="98">
        <f>SUM(C102:C103)</f>
        <v>1981.2077218224</v>
      </c>
      <c r="D104" s="98">
        <f>SUM(D102:D103)</f>
        <v>3224.5766030520003</v>
      </c>
      <c r="E104" s="98">
        <f>SUM(E102:E103)</f>
        <v>52125.347581999995</v>
      </c>
      <c r="F104" s="99">
        <f>SUM(F102:F103)</f>
        <v>229803.79424795104</v>
      </c>
      <c r="G104" s="41"/>
    </row>
    <row r="105" spans="1:7" s="11" customFormat="1" ht="18.75" customHeight="1">
      <c r="A105" s="41"/>
      <c r="B105" s="41"/>
      <c r="C105" s="41"/>
      <c r="D105" s="41"/>
      <c r="E105" s="41"/>
      <c r="F105" s="41"/>
      <c r="G105" s="41"/>
    </row>
    <row r="106" spans="1:6" s="11" customFormat="1" ht="18.75" customHeight="1">
      <c r="A106" s="41"/>
      <c r="B106" s="41"/>
      <c r="C106" s="41"/>
      <c r="D106" s="41"/>
      <c r="E106" s="41"/>
      <c r="F106" s="41"/>
    </row>
    <row r="107" s="11" customFormat="1" ht="18.75" customHeight="1"/>
    <row r="108" s="11" customFormat="1" ht="18.75" customHeight="1"/>
    <row r="109" s="11" customFormat="1" ht="18.75" customHeight="1"/>
    <row r="110" ht="18.75" customHeight="1"/>
    <row r="111" ht="18.75" customHeight="1">
      <c r="C111" s="2"/>
    </row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</sheetData>
  <sheetProtection/>
  <mergeCells count="28">
    <mergeCell ref="F51:F52"/>
    <mergeCell ref="B84:H84"/>
    <mergeCell ref="B85:H85"/>
    <mergeCell ref="A76:A77"/>
    <mergeCell ref="A51:A52"/>
    <mergeCell ref="B67:H67"/>
    <mergeCell ref="E51:E52"/>
    <mergeCell ref="B72:H72"/>
    <mergeCell ref="B66:I66"/>
    <mergeCell ref="B65:H65"/>
    <mergeCell ref="A99:A101"/>
    <mergeCell ref="F99:F100"/>
    <mergeCell ref="B99:B100"/>
    <mergeCell ref="C99:C100"/>
    <mergeCell ref="D99:D100"/>
    <mergeCell ref="E99:E100"/>
    <mergeCell ref="B11:G11"/>
    <mergeCell ref="B12:I12"/>
    <mergeCell ref="B13:I13"/>
    <mergeCell ref="B44:I44"/>
    <mergeCell ref="B45:G45"/>
    <mergeCell ref="B46:H46"/>
    <mergeCell ref="B47:G47"/>
    <mergeCell ref="B48:H48"/>
    <mergeCell ref="B68:H68"/>
    <mergeCell ref="B69:H69"/>
    <mergeCell ref="B70:H70"/>
    <mergeCell ref="B71:H71"/>
  </mergeCells>
  <printOptions/>
  <pageMargins left="0.75" right="0.75" top="1" bottom="1" header="0.5" footer="0.5"/>
  <pageSetup horizontalDpi="600" verticalDpi="600" orientation="landscape" paperSize="9" scale="65" r:id="rId1"/>
  <rowBreaks count="2" manualBreakCount="2">
    <brk id="50" max="255" man="1"/>
    <brk id="9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N108"/>
  <sheetViews>
    <sheetView zoomScale="85" zoomScaleNormal="85" workbookViewId="0" topLeftCell="A1">
      <selection activeCell="C2" sqref="C2"/>
    </sheetView>
  </sheetViews>
  <sheetFormatPr defaultColWidth="9.33203125" defaultRowHeight="12.75"/>
  <cols>
    <col min="1" max="1" width="36.66015625" style="0" customWidth="1"/>
    <col min="2" max="2" width="16" style="0" customWidth="1"/>
    <col min="3" max="3" width="17.33203125" style="0" customWidth="1"/>
    <col min="4" max="4" width="15.33203125" style="0" customWidth="1"/>
    <col min="5" max="5" width="21.33203125" style="0" customWidth="1"/>
    <col min="6" max="6" width="22.66015625" style="0" customWidth="1"/>
    <col min="7" max="7" width="16.83203125" style="0" customWidth="1"/>
    <col min="8" max="8" width="11.5" style="0" customWidth="1"/>
    <col min="9" max="9" width="18.5" style="0" bestFit="1" customWidth="1"/>
    <col min="10" max="10" width="13" style="0" customWidth="1"/>
    <col min="11" max="11" width="10.83203125" style="0" bestFit="1" customWidth="1"/>
  </cols>
  <sheetData>
    <row r="1" spans="1:11" s="12" customFormat="1" ht="18.75" customHeight="1">
      <c r="A1" s="344" t="s">
        <v>105</v>
      </c>
      <c r="B1" s="345"/>
      <c r="C1" s="345"/>
      <c r="D1" s="345"/>
      <c r="K1" s="17"/>
    </row>
    <row r="2" spans="1:11" s="12" customFormat="1" ht="18.75" customHeight="1">
      <c r="A2" s="32"/>
      <c r="B2" s="345"/>
      <c r="C2" s="343" t="s">
        <v>295</v>
      </c>
      <c r="D2" s="345"/>
      <c r="K2" s="17"/>
    </row>
    <row r="3" spans="1:11" s="12" customFormat="1" ht="18.75" customHeight="1">
      <c r="A3" s="32"/>
      <c r="B3" s="345"/>
      <c r="C3" s="343" t="s">
        <v>294</v>
      </c>
      <c r="D3" s="345"/>
      <c r="K3" s="17"/>
    </row>
    <row r="5" s="11" customFormat="1" ht="18.75" customHeight="1">
      <c r="A5" s="10" t="s">
        <v>92</v>
      </c>
    </row>
    <row r="6" s="11" customFormat="1" ht="18.75" customHeight="1"/>
    <row r="7" s="11" customFormat="1" ht="18.75" customHeight="1"/>
    <row r="8" s="11" customFormat="1" ht="18.75" customHeight="1">
      <c r="A8" s="11" t="s">
        <v>37</v>
      </c>
    </row>
    <row r="9" s="11" customFormat="1" ht="18.75" customHeight="1">
      <c r="A9" s="93" t="s">
        <v>191</v>
      </c>
    </row>
    <row r="10" s="11" customFormat="1" ht="18.75" customHeight="1"/>
    <row r="11" spans="2:10" s="11" customFormat="1" ht="18.75" customHeight="1">
      <c r="B11" s="369" t="s">
        <v>161</v>
      </c>
      <c r="C11" s="364"/>
      <c r="D11" s="364"/>
      <c r="E11" s="364"/>
      <c r="F11" s="364"/>
      <c r="G11" s="364"/>
      <c r="J11" s="49" t="s">
        <v>164</v>
      </c>
    </row>
    <row r="12" spans="2:10" s="11" customFormat="1" ht="18.75" customHeight="1">
      <c r="B12" s="363" t="s">
        <v>162</v>
      </c>
      <c r="C12" s="364"/>
      <c r="D12" s="364"/>
      <c r="E12" s="364"/>
      <c r="F12" s="364"/>
      <c r="G12" s="364"/>
      <c r="H12" s="364"/>
      <c r="I12" s="364"/>
      <c r="J12" s="49" t="s">
        <v>164</v>
      </c>
    </row>
    <row r="13" spans="1:10" s="11" customFormat="1" ht="18.75" customHeight="1">
      <c r="A13" s="43"/>
      <c r="B13" s="363" t="s">
        <v>163</v>
      </c>
      <c r="C13" s="364"/>
      <c r="D13" s="364"/>
      <c r="E13" s="364"/>
      <c r="F13" s="364"/>
      <c r="G13" s="364"/>
      <c r="H13" s="364"/>
      <c r="I13" s="364"/>
      <c r="J13" s="49" t="s">
        <v>164</v>
      </c>
    </row>
    <row r="14" s="11" customFormat="1" ht="18.75" customHeight="1"/>
    <row r="15" s="11" customFormat="1" ht="18.75" customHeight="1">
      <c r="A15" s="43"/>
    </row>
    <row r="16" s="11" customFormat="1" ht="18.75" customHeight="1">
      <c r="A16" s="10" t="s">
        <v>100</v>
      </c>
    </row>
    <row r="17" s="11" customFormat="1" ht="18.75" customHeight="1"/>
    <row r="18" s="10" customFormat="1" ht="18.75" customHeight="1">
      <c r="A18" s="93" t="s">
        <v>190</v>
      </c>
    </row>
    <row r="19" s="10" customFormat="1" ht="18.75" customHeight="1" thickBot="1"/>
    <row r="20" spans="1:5" s="11" customFormat="1" ht="18.75" customHeight="1">
      <c r="A20" s="85" t="s">
        <v>46</v>
      </c>
      <c r="B20" s="86"/>
      <c r="C20" s="87" t="s">
        <v>183</v>
      </c>
      <c r="D20" s="87" t="s">
        <v>184</v>
      </c>
      <c r="E20" s="88" t="s">
        <v>185</v>
      </c>
    </row>
    <row r="21" spans="1:5" s="11" customFormat="1" ht="18.75" customHeight="1">
      <c r="A21" s="89"/>
      <c r="B21" s="90"/>
      <c r="C21" s="91" t="s">
        <v>186</v>
      </c>
      <c r="D21" s="91" t="s">
        <v>186</v>
      </c>
      <c r="E21" s="92" t="s">
        <v>187</v>
      </c>
    </row>
    <row r="22" spans="1:10" s="11" customFormat="1" ht="18.75" customHeight="1">
      <c r="A22" s="50"/>
      <c r="B22" s="51"/>
      <c r="C22" s="52"/>
      <c r="D22" s="52"/>
      <c r="E22" s="53"/>
      <c r="F22" s="44"/>
      <c r="G22" s="45"/>
      <c r="H22" s="45"/>
      <c r="I22" s="45"/>
      <c r="J22" s="45"/>
    </row>
    <row r="23" spans="1:7" s="57" customFormat="1" ht="18.75" customHeight="1">
      <c r="A23" s="281">
        <v>2012</v>
      </c>
      <c r="B23" s="54">
        <v>21</v>
      </c>
      <c r="C23" s="55">
        <f>'CMM consump.(2012)'!H14</f>
        <v>6278.363275815</v>
      </c>
      <c r="D23" s="55">
        <f>'CMM consump.(2012)'!G26</f>
        <v>328.669102224</v>
      </c>
      <c r="E23" s="56">
        <f>B23*(C23+D23)</f>
        <v>138747.679938819</v>
      </c>
      <c r="G23" s="58"/>
    </row>
    <row r="24" spans="1:5" s="11" customFormat="1" ht="18.75" customHeight="1" thickBot="1">
      <c r="A24" s="298" t="s">
        <v>286</v>
      </c>
      <c r="B24" s="97"/>
      <c r="C24" s="98">
        <f>SUM(C22:C23)</f>
        <v>6278.363275815</v>
      </c>
      <c r="D24" s="98">
        <f>SUM(D22:D23)</f>
        <v>328.669102224</v>
      </c>
      <c r="E24" s="99">
        <f>SUM(E22:E23)</f>
        <v>138747.679938819</v>
      </c>
    </row>
    <row r="25" spans="1:5" s="11" customFormat="1" ht="18.75" customHeight="1">
      <c r="A25" s="59"/>
      <c r="B25" s="60"/>
      <c r="C25" s="61"/>
      <c r="D25" s="61"/>
      <c r="E25" s="62"/>
    </row>
    <row r="26" spans="1:5" s="11" customFormat="1" ht="18.75" customHeight="1">
      <c r="A26" s="63" t="s">
        <v>93</v>
      </c>
      <c r="B26" s="60"/>
      <c r="C26" s="61"/>
      <c r="D26" s="61"/>
      <c r="E26" s="62"/>
    </row>
    <row r="27" s="11" customFormat="1" ht="18.75" customHeight="1"/>
    <row r="28" spans="1:2" s="11" customFormat="1" ht="18.75" customHeight="1">
      <c r="A28" s="93" t="s">
        <v>189</v>
      </c>
      <c r="B28" s="64"/>
    </row>
    <row r="29" s="11" customFormat="1" ht="18.75" customHeight="1"/>
    <row r="30" s="11" customFormat="1" ht="18.75" customHeight="1">
      <c r="A30" s="11" t="s">
        <v>87</v>
      </c>
    </row>
    <row r="31" s="11" customFormat="1" ht="18.75" customHeight="1"/>
    <row r="32" s="11" customFormat="1" ht="18.75" customHeight="1">
      <c r="A32" s="11" t="s">
        <v>88</v>
      </c>
    </row>
    <row r="33" s="11" customFormat="1" ht="18.75" customHeight="1">
      <c r="A33" s="11" t="s">
        <v>89</v>
      </c>
    </row>
    <row r="34" s="11" customFormat="1" ht="18.75" customHeight="1"/>
    <row r="35" s="11" customFormat="1" ht="18.75" customHeight="1">
      <c r="A35" s="93" t="s">
        <v>188</v>
      </c>
    </row>
    <row r="36" s="11" customFormat="1" ht="18.75" customHeight="1"/>
    <row r="37" s="11" customFormat="1" ht="18.75" customHeight="1"/>
    <row r="38" s="11" customFormat="1" ht="18.75" customHeight="1"/>
    <row r="39" s="11" customFormat="1" ht="18.75" customHeight="1">
      <c r="A39" s="11" t="s">
        <v>90</v>
      </c>
    </row>
    <row r="40" s="11" customFormat="1" ht="18.75" customHeight="1">
      <c r="A40" s="11" t="s">
        <v>91</v>
      </c>
    </row>
    <row r="41" s="11" customFormat="1" ht="18.75" customHeight="1"/>
    <row r="42" spans="1:5" s="11" customFormat="1" ht="18.75" customHeight="1">
      <c r="A42" s="93" t="s">
        <v>192</v>
      </c>
      <c r="B42" s="65"/>
      <c r="C42" s="43"/>
      <c r="D42" s="43"/>
      <c r="E42" s="43"/>
    </row>
    <row r="43" s="11" customFormat="1" ht="18.75" customHeight="1"/>
    <row r="44" spans="2:10" s="11" customFormat="1" ht="18.75" customHeight="1">
      <c r="B44" s="363" t="s">
        <v>165</v>
      </c>
      <c r="C44" s="364"/>
      <c r="D44" s="364"/>
      <c r="E44" s="364"/>
      <c r="F44" s="364"/>
      <c r="G44" s="364"/>
      <c r="H44" s="364"/>
      <c r="I44" s="364"/>
      <c r="J44" s="49" t="s">
        <v>179</v>
      </c>
    </row>
    <row r="45" spans="1:14" s="11" customFormat="1" ht="18.75" customHeight="1">
      <c r="A45" s="48"/>
      <c r="B45" s="363" t="s">
        <v>166</v>
      </c>
      <c r="C45" s="364"/>
      <c r="D45" s="364"/>
      <c r="E45" s="364"/>
      <c r="F45" s="364"/>
      <c r="G45" s="364"/>
      <c r="J45" s="49" t="s">
        <v>51</v>
      </c>
      <c r="M45" s="43" t="s">
        <v>54</v>
      </c>
      <c r="N45" s="43" t="s">
        <v>52</v>
      </c>
    </row>
    <row r="46" spans="1:13" s="11" customFormat="1" ht="18.75" customHeight="1">
      <c r="A46" s="46"/>
      <c r="B46" s="363" t="s">
        <v>167</v>
      </c>
      <c r="C46" s="364"/>
      <c r="D46" s="364"/>
      <c r="E46" s="364"/>
      <c r="F46" s="364"/>
      <c r="G46" s="364"/>
      <c r="H46" s="364"/>
      <c r="J46" s="49" t="s">
        <v>180</v>
      </c>
      <c r="M46" s="47" t="s">
        <v>273</v>
      </c>
    </row>
    <row r="47" spans="1:14" s="11" customFormat="1" ht="18.75" customHeight="1">
      <c r="A47" s="46"/>
      <c r="B47" s="363" t="s">
        <v>168</v>
      </c>
      <c r="C47" s="364"/>
      <c r="D47" s="364"/>
      <c r="E47" s="364"/>
      <c r="F47" s="364"/>
      <c r="G47" s="364"/>
      <c r="J47" s="49" t="s">
        <v>51</v>
      </c>
      <c r="M47" s="47" t="s">
        <v>53</v>
      </c>
      <c r="N47" s="43" t="s">
        <v>52</v>
      </c>
    </row>
    <row r="48" spans="1:13" s="11" customFormat="1" ht="18.75" customHeight="1">
      <c r="A48" s="48"/>
      <c r="B48" s="363" t="s">
        <v>181</v>
      </c>
      <c r="C48" s="364"/>
      <c r="D48" s="364"/>
      <c r="E48" s="364"/>
      <c r="F48" s="364"/>
      <c r="G48" s="364"/>
      <c r="H48" s="364"/>
      <c r="J48" s="49" t="s">
        <v>180</v>
      </c>
      <c r="M48" s="47" t="s">
        <v>273</v>
      </c>
    </row>
    <row r="49" s="11" customFormat="1" ht="18.75" customHeight="1">
      <c r="A49" s="48"/>
    </row>
    <row r="50" s="11" customFormat="1" ht="18.75" customHeight="1" thickBot="1"/>
    <row r="51" spans="1:6" s="11" customFormat="1" ht="18.75" customHeight="1">
      <c r="A51" s="361" t="s">
        <v>124</v>
      </c>
      <c r="B51" s="42" t="s">
        <v>155</v>
      </c>
      <c r="C51" s="42" t="s">
        <v>156</v>
      </c>
      <c r="D51" s="42" t="s">
        <v>157</v>
      </c>
      <c r="E51" s="376" t="s">
        <v>158</v>
      </c>
      <c r="F51" s="376" t="s">
        <v>159</v>
      </c>
    </row>
    <row r="52" spans="1:6" s="11" customFormat="1" ht="18.75" customHeight="1" thickBot="1">
      <c r="A52" s="378"/>
      <c r="B52" s="96" t="s">
        <v>160</v>
      </c>
      <c r="C52" s="96" t="s">
        <v>51</v>
      </c>
      <c r="D52" s="96" t="s">
        <v>51</v>
      </c>
      <c r="E52" s="377"/>
      <c r="F52" s="377"/>
    </row>
    <row r="53" spans="1:6" s="11" customFormat="1" ht="18.75" customHeight="1">
      <c r="A53" s="132" t="s">
        <v>287</v>
      </c>
      <c r="B53" s="66">
        <f>(C53)*F53/1000</f>
        <v>8249.12654</v>
      </c>
      <c r="C53" s="285">
        <v>7568.006</v>
      </c>
      <c r="D53" s="286">
        <v>18475.766</v>
      </c>
      <c r="E53" s="67">
        <v>1063</v>
      </c>
      <c r="F53" s="66">
        <v>1090</v>
      </c>
    </row>
    <row r="54" spans="1:6" s="11" customFormat="1" ht="18.75" customHeight="1">
      <c r="A54" s="132" t="s">
        <v>288</v>
      </c>
      <c r="B54" s="66">
        <f>(C54)*F54/1000</f>
        <v>7874.410918</v>
      </c>
      <c r="C54" s="68">
        <v>7224.2302</v>
      </c>
      <c r="D54" s="69">
        <v>18080.961</v>
      </c>
      <c r="E54" s="67">
        <v>1063</v>
      </c>
      <c r="F54" s="66">
        <v>1090</v>
      </c>
    </row>
    <row r="55" spans="1:6" s="11" customFormat="1" ht="18.75" customHeight="1">
      <c r="A55" s="314" t="s">
        <v>289</v>
      </c>
      <c r="B55" s="66">
        <f>(C55)*F55/1000</f>
        <v>7646.584459000001</v>
      </c>
      <c r="C55" s="68">
        <v>7015.2151</v>
      </c>
      <c r="D55" s="69">
        <v>18156.212</v>
      </c>
      <c r="E55" s="67">
        <v>1063</v>
      </c>
      <c r="F55" s="66">
        <v>1090</v>
      </c>
    </row>
    <row r="56" spans="1:6" s="11" customFormat="1" ht="18.75" customHeight="1" thickBot="1">
      <c r="A56" s="314" t="s">
        <v>290</v>
      </c>
      <c r="B56" s="66">
        <f>(C56)*F56/1000</f>
        <v>7955.852775</v>
      </c>
      <c r="C56" s="68">
        <v>7298.9475</v>
      </c>
      <c r="D56" s="69">
        <v>14316.107</v>
      </c>
      <c r="E56" s="67">
        <v>1063</v>
      </c>
      <c r="F56" s="66">
        <v>1090</v>
      </c>
    </row>
    <row r="57" spans="1:6" s="11" customFormat="1" ht="18.75" customHeight="1" thickBot="1">
      <c r="A57" s="299" t="s">
        <v>286</v>
      </c>
      <c r="B57" s="287">
        <f>SUM(B53:B56)</f>
        <v>31725.974692</v>
      </c>
      <c r="C57" s="288">
        <f>SUM(C53:C56)</f>
        <v>29106.398800000003</v>
      </c>
      <c r="D57" s="288">
        <f>SUM(D53:D56)</f>
        <v>69029.046</v>
      </c>
      <c r="E57" s="289"/>
      <c r="F57" s="289"/>
    </row>
    <row r="58" s="11" customFormat="1" ht="18.75" customHeight="1"/>
    <row r="59" s="11" customFormat="1" ht="18.75" customHeight="1">
      <c r="D59" s="341"/>
    </row>
    <row r="60" spans="1:8" s="11" customFormat="1" ht="18.75" customHeight="1">
      <c r="A60" s="93" t="s">
        <v>193</v>
      </c>
      <c r="B60" s="43"/>
      <c r="C60" s="43"/>
      <c r="D60" s="43"/>
      <c r="E60" s="43"/>
      <c r="F60" s="43"/>
      <c r="G60" s="43"/>
      <c r="H60" s="43"/>
    </row>
    <row r="61" s="11" customFormat="1" ht="18.75" customHeight="1"/>
    <row r="62" spans="2:10" s="11" customFormat="1" ht="18.75" customHeight="1">
      <c r="B62" s="363" t="s">
        <v>169</v>
      </c>
      <c r="C62" s="364"/>
      <c r="D62" s="364"/>
      <c r="E62" s="364"/>
      <c r="F62" s="364"/>
      <c r="G62" s="364"/>
      <c r="H62" s="364"/>
      <c r="J62" s="11" t="s">
        <v>55</v>
      </c>
    </row>
    <row r="63" spans="1:10" s="11" customFormat="1" ht="18.75" customHeight="1">
      <c r="A63" s="43"/>
      <c r="B63" s="379" t="s">
        <v>170</v>
      </c>
      <c r="C63" s="380"/>
      <c r="D63" s="380"/>
      <c r="E63" s="380"/>
      <c r="F63" s="380"/>
      <c r="G63" s="380"/>
      <c r="H63" s="380"/>
      <c r="I63" s="380"/>
      <c r="J63" s="11" t="s">
        <v>182</v>
      </c>
    </row>
    <row r="64" spans="2:10" s="11" customFormat="1" ht="18.75" customHeight="1">
      <c r="B64" s="363" t="s">
        <v>171</v>
      </c>
      <c r="C64" s="364"/>
      <c r="D64" s="364"/>
      <c r="E64" s="364"/>
      <c r="F64" s="364"/>
      <c r="G64" s="364"/>
      <c r="H64" s="364"/>
      <c r="J64" s="11" t="s">
        <v>55</v>
      </c>
    </row>
    <row r="65" spans="2:10" s="11" customFormat="1" ht="18.75" customHeight="1">
      <c r="B65" s="363" t="s">
        <v>172</v>
      </c>
      <c r="C65" s="364"/>
      <c r="D65" s="364"/>
      <c r="E65" s="364"/>
      <c r="F65" s="364"/>
      <c r="G65" s="364"/>
      <c r="H65" s="364"/>
      <c r="J65" s="11" t="s">
        <v>182</v>
      </c>
    </row>
    <row r="66" spans="2:10" s="11" customFormat="1" ht="18.75" customHeight="1">
      <c r="B66" s="363" t="s">
        <v>173</v>
      </c>
      <c r="C66" s="364"/>
      <c r="D66" s="364"/>
      <c r="E66" s="364"/>
      <c r="F66" s="364"/>
      <c r="G66" s="364"/>
      <c r="H66" s="364"/>
      <c r="J66" s="11" t="s">
        <v>55</v>
      </c>
    </row>
    <row r="67" spans="2:10" s="11" customFormat="1" ht="18.75" customHeight="1">
      <c r="B67" s="363" t="s">
        <v>174</v>
      </c>
      <c r="C67" s="364"/>
      <c r="D67" s="364"/>
      <c r="E67" s="364"/>
      <c r="F67" s="364"/>
      <c r="G67" s="364"/>
      <c r="H67" s="364"/>
      <c r="J67" s="11" t="s">
        <v>182</v>
      </c>
    </row>
    <row r="68" spans="2:10" s="11" customFormat="1" ht="18.75" customHeight="1">
      <c r="B68" s="363" t="s">
        <v>175</v>
      </c>
      <c r="C68" s="364"/>
      <c r="D68" s="364"/>
      <c r="E68" s="364"/>
      <c r="F68" s="364"/>
      <c r="G68" s="364"/>
      <c r="H68" s="364"/>
      <c r="J68" s="11" t="s">
        <v>56</v>
      </c>
    </row>
    <row r="69" spans="2:10" s="11" customFormat="1" ht="18.75" customHeight="1">
      <c r="B69" s="363" t="s">
        <v>176</v>
      </c>
      <c r="C69" s="364"/>
      <c r="D69" s="364"/>
      <c r="E69" s="364"/>
      <c r="F69" s="364"/>
      <c r="G69" s="364"/>
      <c r="H69" s="364"/>
      <c r="J69" s="11" t="s">
        <v>182</v>
      </c>
    </row>
    <row r="70" s="11" customFormat="1" ht="18.75" customHeight="1"/>
    <row r="71" s="11" customFormat="1" ht="18.75" customHeight="1"/>
    <row r="72" s="11" customFormat="1" ht="18.75" customHeight="1" thickBot="1"/>
    <row r="73" spans="1:10" s="11" customFormat="1" ht="18.75" customHeight="1">
      <c r="A73" s="357" t="s">
        <v>46</v>
      </c>
      <c r="B73" s="254" t="s">
        <v>238</v>
      </c>
      <c r="C73" s="254" t="s">
        <v>239</v>
      </c>
      <c r="D73" s="254" t="s">
        <v>240</v>
      </c>
      <c r="E73" s="254" t="s">
        <v>241</v>
      </c>
      <c r="F73" s="254" t="s">
        <v>242</v>
      </c>
      <c r="G73" s="254" t="s">
        <v>243</v>
      </c>
      <c r="H73" s="254" t="s">
        <v>244</v>
      </c>
      <c r="I73" s="254" t="s">
        <v>245</v>
      </c>
      <c r="J73" s="255" t="s">
        <v>246</v>
      </c>
    </row>
    <row r="74" spans="1:10" s="11" customFormat="1" ht="18.75" customHeight="1">
      <c r="A74" s="358"/>
      <c r="B74" s="256" t="s">
        <v>247</v>
      </c>
      <c r="C74" s="256" t="s">
        <v>55</v>
      </c>
      <c r="D74" s="256" t="s">
        <v>248</v>
      </c>
      <c r="E74" s="256" t="s">
        <v>55</v>
      </c>
      <c r="F74" s="256" t="s">
        <v>248</v>
      </c>
      <c r="G74" s="256" t="s">
        <v>55</v>
      </c>
      <c r="H74" s="256" t="s">
        <v>248</v>
      </c>
      <c r="I74" s="256" t="s">
        <v>55</v>
      </c>
      <c r="J74" s="257" t="s">
        <v>248</v>
      </c>
    </row>
    <row r="75" spans="1:10" s="11" customFormat="1" ht="18.75" customHeight="1">
      <c r="A75" s="50"/>
      <c r="B75" s="52"/>
      <c r="C75" s="52"/>
      <c r="D75" s="76"/>
      <c r="E75" s="52"/>
      <c r="F75" s="76"/>
      <c r="G75" s="52"/>
      <c r="H75" s="76"/>
      <c r="I75" s="52"/>
      <c r="J75" s="77"/>
    </row>
    <row r="76" spans="1:10" s="11" customFormat="1" ht="18.75" customHeight="1">
      <c r="A76" s="281">
        <v>2012</v>
      </c>
      <c r="B76" s="55">
        <f>C76*D76+E76*F76+G76*H76+I76*J76</f>
        <v>2505.9686117759998</v>
      </c>
      <c r="C76" s="55"/>
      <c r="D76" s="290">
        <v>0.063</v>
      </c>
      <c r="E76" s="55">
        <f>'Heat load (2012)'!B11</f>
        <v>39777.27955199999</v>
      </c>
      <c r="F76" s="290">
        <v>0.063</v>
      </c>
      <c r="G76" s="55">
        <v>0</v>
      </c>
      <c r="H76" s="290">
        <f>'Emission factors '!B25</f>
        <v>0.063</v>
      </c>
      <c r="I76" s="55">
        <v>0</v>
      </c>
      <c r="J76" s="291">
        <f>J75</f>
        <v>0</v>
      </c>
    </row>
    <row r="77" spans="1:10" s="11" customFormat="1" ht="18.75" customHeight="1" thickBot="1">
      <c r="A77" s="300" t="s">
        <v>286</v>
      </c>
      <c r="B77" s="98">
        <f>SUM(B75:B76)</f>
        <v>2505.9686117759998</v>
      </c>
      <c r="C77" s="98">
        <f>SUM(C75:C75)</f>
        <v>0</v>
      </c>
      <c r="D77" s="292"/>
      <c r="E77" s="98">
        <f>SUM(E75:E76)</f>
        <v>39777.27955199999</v>
      </c>
      <c r="F77" s="292"/>
      <c r="G77" s="98">
        <f>SUM(G75:G75)</f>
        <v>0</v>
      </c>
      <c r="H77" s="292"/>
      <c r="I77" s="98">
        <f>SUM(I75:I75)</f>
        <v>0</v>
      </c>
      <c r="J77" s="293"/>
    </row>
    <row r="78" spans="1:10" s="11" customFormat="1" ht="18.75" customHeight="1">
      <c r="A78" s="59"/>
      <c r="B78" s="78"/>
      <c r="C78" s="79"/>
      <c r="D78" s="60"/>
      <c r="E78" s="79"/>
      <c r="F78" s="60"/>
      <c r="G78" s="79"/>
      <c r="H78" s="60"/>
      <c r="I78" s="79"/>
      <c r="J78" s="60"/>
    </row>
    <row r="79" spans="1:10" s="11" customFormat="1" ht="18.75" customHeight="1">
      <c r="A79" s="94" t="s">
        <v>194</v>
      </c>
      <c r="B79" s="78"/>
      <c r="C79" s="79"/>
      <c r="D79" s="60"/>
      <c r="E79" s="79"/>
      <c r="F79" s="60"/>
      <c r="G79" s="79"/>
      <c r="H79" s="60"/>
      <c r="I79" s="79"/>
      <c r="J79" s="60"/>
    </row>
    <row r="80" s="11" customFormat="1" ht="18.75" customHeight="1">
      <c r="A80" s="59"/>
    </row>
    <row r="81" spans="2:10" s="11" customFormat="1" ht="18.75" customHeight="1">
      <c r="B81" s="363" t="s">
        <v>177</v>
      </c>
      <c r="C81" s="364"/>
      <c r="D81" s="364"/>
      <c r="E81" s="364"/>
      <c r="F81" s="364"/>
      <c r="G81" s="364"/>
      <c r="H81" s="364"/>
      <c r="J81" s="11" t="s">
        <v>55</v>
      </c>
    </row>
    <row r="82" spans="2:10" s="11" customFormat="1" ht="18.75" customHeight="1" thickBot="1">
      <c r="B82" s="363" t="s">
        <v>178</v>
      </c>
      <c r="C82" s="364"/>
      <c r="D82" s="364"/>
      <c r="E82" s="364"/>
      <c r="F82" s="364"/>
      <c r="G82" s="364"/>
      <c r="H82" s="364"/>
      <c r="J82" s="11" t="s">
        <v>182</v>
      </c>
    </row>
    <row r="83" spans="1:5" s="11" customFormat="1" ht="60" customHeight="1">
      <c r="A83" s="253" t="s">
        <v>46</v>
      </c>
      <c r="B83" s="87" t="s">
        <v>249</v>
      </c>
      <c r="C83" s="258" t="s">
        <v>60</v>
      </c>
      <c r="D83" s="258" t="s">
        <v>57</v>
      </c>
      <c r="E83" s="88" t="s">
        <v>250</v>
      </c>
    </row>
    <row r="84" spans="1:5" s="11" customFormat="1" ht="18.75" customHeight="1">
      <c r="A84" s="80"/>
      <c r="B84" s="256" t="s">
        <v>253</v>
      </c>
      <c r="C84" s="256" t="s">
        <v>237</v>
      </c>
      <c r="D84" s="311" t="s">
        <v>254</v>
      </c>
      <c r="E84" s="257" t="s">
        <v>248</v>
      </c>
    </row>
    <row r="85" spans="1:5" s="11" customFormat="1" ht="18.75" customHeight="1">
      <c r="A85" s="50"/>
      <c r="B85" s="52"/>
      <c r="C85" s="81"/>
      <c r="D85" s="82"/>
      <c r="E85" s="83"/>
    </row>
    <row r="86" spans="1:5" s="11" customFormat="1" ht="18.75" customHeight="1">
      <c r="A86" s="281">
        <v>2012</v>
      </c>
      <c r="B86" s="55">
        <f>C86*D86*E86/1000</f>
        <v>1182.7134943487997</v>
      </c>
      <c r="C86" s="294">
        <v>35.82</v>
      </c>
      <c r="D86" s="268">
        <f>'CMM consump.(2012)'!F26</f>
        <v>458586.72</v>
      </c>
      <c r="E86" s="295">
        <f>'Emission factors '!$B$36</f>
        <v>0.072</v>
      </c>
    </row>
    <row r="87" spans="1:9" s="11" customFormat="1" ht="18.75" customHeight="1" thickBot="1">
      <c r="A87" s="298" t="s">
        <v>286</v>
      </c>
      <c r="B87" s="98">
        <f>SUM(B85:B86)</f>
        <v>1182.7134943487997</v>
      </c>
      <c r="C87" s="296"/>
      <c r="D87" s="297">
        <f>SUM(D85:D86)</f>
        <v>458586.72</v>
      </c>
      <c r="E87" s="293"/>
      <c r="I87" s="57"/>
    </row>
    <row r="88" s="11" customFormat="1" ht="18.75" customHeight="1">
      <c r="D88" s="84"/>
    </row>
    <row r="89" s="11" customFormat="1" ht="18.75" customHeight="1"/>
    <row r="90" s="11" customFormat="1" ht="18.75" customHeight="1">
      <c r="A90" s="10" t="s">
        <v>94</v>
      </c>
    </row>
    <row r="91" s="11" customFormat="1" ht="18.75" customHeight="1"/>
    <row r="92" spans="1:6" s="11" customFormat="1" ht="18.75" customHeight="1">
      <c r="A92" s="95" t="s">
        <v>195</v>
      </c>
      <c r="F92" s="41"/>
    </row>
    <row r="93" s="11" customFormat="1" ht="18.75" customHeight="1">
      <c r="A93" s="43"/>
    </row>
    <row r="94" s="11" customFormat="1" ht="18.75" customHeight="1"/>
    <row r="95" spans="1:7" s="11" customFormat="1" ht="18.75" customHeight="1" thickBot="1">
      <c r="A95" s="41"/>
      <c r="B95" s="41"/>
      <c r="C95" s="41"/>
      <c r="D95" s="41"/>
      <c r="E95" s="41"/>
      <c r="F95" s="41"/>
      <c r="G95" s="41"/>
    </row>
    <row r="96" spans="1:7" s="11" customFormat="1" ht="18.75" customHeight="1">
      <c r="A96" s="357" t="s">
        <v>46</v>
      </c>
      <c r="B96" s="374" t="s">
        <v>251</v>
      </c>
      <c r="C96" s="374" t="s">
        <v>249</v>
      </c>
      <c r="D96" s="374" t="s">
        <v>252</v>
      </c>
      <c r="E96" s="374" t="s">
        <v>155</v>
      </c>
      <c r="F96" s="372" t="s">
        <v>185</v>
      </c>
      <c r="G96" s="41"/>
    </row>
    <row r="97" spans="1:7" s="11" customFormat="1" ht="18.75" customHeight="1">
      <c r="A97" s="370"/>
      <c r="B97" s="375"/>
      <c r="C97" s="375"/>
      <c r="D97" s="375"/>
      <c r="E97" s="375"/>
      <c r="F97" s="373"/>
      <c r="G97" s="41"/>
    </row>
    <row r="98" spans="1:7" s="11" customFormat="1" ht="18.75" customHeight="1">
      <c r="A98" s="371"/>
      <c r="B98" s="256" t="s">
        <v>253</v>
      </c>
      <c r="C98" s="256" t="s">
        <v>253</v>
      </c>
      <c r="D98" s="256" t="s">
        <v>253</v>
      </c>
      <c r="E98" s="256" t="s">
        <v>253</v>
      </c>
      <c r="F98" s="257" t="s">
        <v>253</v>
      </c>
      <c r="G98" s="41"/>
    </row>
    <row r="99" spans="1:7" s="11" customFormat="1" ht="18.75" customHeight="1">
      <c r="A99" s="50"/>
      <c r="B99" s="52"/>
      <c r="C99" s="52"/>
      <c r="D99" s="52"/>
      <c r="E99" s="52"/>
      <c r="F99" s="53"/>
      <c r="G99" s="41"/>
    </row>
    <row r="100" spans="1:7" s="11" customFormat="1" ht="18.75" customHeight="1">
      <c r="A100" s="281">
        <v>2012</v>
      </c>
      <c r="B100" s="55">
        <f>ROUND((C100+D100+E100+F100),0)</f>
        <v>174162</v>
      </c>
      <c r="C100" s="301">
        <f>$B$86</f>
        <v>1182.7134943487997</v>
      </c>
      <c r="D100" s="301">
        <f>$B$76</f>
        <v>2505.9686117759998</v>
      </c>
      <c r="E100" s="301">
        <f>$B$57</f>
        <v>31725.974692</v>
      </c>
      <c r="F100" s="302">
        <f>$E$23</f>
        <v>138747.679938819</v>
      </c>
      <c r="G100" s="41"/>
    </row>
    <row r="101" spans="1:7" s="11" customFormat="1" ht="18.75" customHeight="1" thickBot="1">
      <c r="A101" s="298" t="s">
        <v>286</v>
      </c>
      <c r="B101" s="98">
        <f>SUM(B99:B100)</f>
        <v>174162</v>
      </c>
      <c r="C101" s="98">
        <f>SUM(C99:C100)</f>
        <v>1182.7134943487997</v>
      </c>
      <c r="D101" s="98">
        <f>SUM(D99:D100)</f>
        <v>2505.9686117759998</v>
      </c>
      <c r="E101" s="98">
        <f>SUM(E99:E100)</f>
        <v>31725.974692</v>
      </c>
      <c r="F101" s="99">
        <f>SUM(F99:F100)</f>
        <v>138747.679938819</v>
      </c>
      <c r="G101" s="41"/>
    </row>
    <row r="102" spans="1:7" s="11" customFormat="1" ht="18.75" customHeight="1">
      <c r="A102" s="41"/>
      <c r="B102" s="41"/>
      <c r="C102" s="41"/>
      <c r="D102" s="41"/>
      <c r="E102" s="41"/>
      <c r="F102" s="41"/>
      <c r="G102" s="41"/>
    </row>
    <row r="103" spans="1:6" s="11" customFormat="1" ht="18.75" customHeight="1">
      <c r="A103" s="41"/>
      <c r="B103" s="41"/>
      <c r="C103" s="41"/>
      <c r="D103" s="41"/>
      <c r="E103" s="41"/>
      <c r="F103" s="41"/>
    </row>
    <row r="104" s="11" customFormat="1" ht="18.75" customHeight="1"/>
    <row r="105" s="11" customFormat="1" ht="18.75" customHeight="1"/>
    <row r="106" s="11" customFormat="1" ht="18.75" customHeight="1"/>
    <row r="107" ht="18.75" customHeight="1"/>
    <row r="108" ht="18.75" customHeight="1">
      <c r="C108" s="2"/>
    </row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</sheetData>
  <mergeCells count="28">
    <mergeCell ref="B11:G11"/>
    <mergeCell ref="B12:I12"/>
    <mergeCell ref="B13:I13"/>
    <mergeCell ref="B44:I44"/>
    <mergeCell ref="B45:G45"/>
    <mergeCell ref="B46:H46"/>
    <mergeCell ref="B47:G47"/>
    <mergeCell ref="B48:H48"/>
    <mergeCell ref="A51:A52"/>
    <mergeCell ref="E51:E52"/>
    <mergeCell ref="F51:F52"/>
    <mergeCell ref="B62:H62"/>
    <mergeCell ref="B63:I63"/>
    <mergeCell ref="B64:H64"/>
    <mergeCell ref="B65:H65"/>
    <mergeCell ref="B66:H66"/>
    <mergeCell ref="B67:H67"/>
    <mergeCell ref="B68:H68"/>
    <mergeCell ref="B69:H69"/>
    <mergeCell ref="A73:A74"/>
    <mergeCell ref="B81:H81"/>
    <mergeCell ref="B82:H82"/>
    <mergeCell ref="A96:A98"/>
    <mergeCell ref="B96:B97"/>
    <mergeCell ref="C96:C97"/>
    <mergeCell ref="D96:D97"/>
    <mergeCell ref="E96:E97"/>
    <mergeCell ref="F96:F9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M25"/>
  <sheetViews>
    <sheetView zoomScale="85" zoomScaleNormal="85" zoomScalePageLayoutView="0" workbookViewId="0" topLeftCell="A1">
      <selection activeCell="Q54" sqref="Q54"/>
    </sheetView>
  </sheetViews>
  <sheetFormatPr defaultColWidth="9.33203125" defaultRowHeight="12.75"/>
  <cols>
    <col min="1" max="1" width="34.83203125" style="0" customWidth="1"/>
    <col min="2" max="2" width="12" style="0" bestFit="1" customWidth="1"/>
    <col min="3" max="3" width="10.16015625" style="0" bestFit="1" customWidth="1"/>
    <col min="4" max="4" width="8.83203125" style="0" customWidth="1"/>
    <col min="5" max="10" width="0" style="0" hidden="1" customWidth="1"/>
    <col min="11" max="11" width="35.83203125" style="0" customWidth="1"/>
    <col min="12" max="12" width="12" style="0" bestFit="1" customWidth="1"/>
    <col min="13" max="13" width="10" style="0" customWidth="1"/>
  </cols>
  <sheetData>
    <row r="1" spans="1:11" s="12" customFormat="1" ht="18.75" customHeight="1">
      <c r="A1" s="344" t="s">
        <v>105</v>
      </c>
      <c r="B1" s="345"/>
      <c r="C1" s="345"/>
      <c r="D1" s="345"/>
      <c r="K1" s="17"/>
    </row>
    <row r="2" spans="1:11" s="12" customFormat="1" ht="18.75" customHeight="1">
      <c r="A2" s="32"/>
      <c r="B2" s="345"/>
      <c r="C2" s="343" t="s">
        <v>295</v>
      </c>
      <c r="D2" s="345"/>
      <c r="K2" s="17"/>
    </row>
    <row r="3" spans="1:11" s="12" customFormat="1" ht="18.75" customHeight="1">
      <c r="A3" s="32"/>
      <c r="B3" s="345"/>
      <c r="C3" s="343" t="s">
        <v>294</v>
      </c>
      <c r="D3" s="345"/>
      <c r="K3" s="17"/>
    </row>
    <row r="4" spans="1:10" s="346" customFormat="1" ht="12.75">
      <c r="A4" s="5"/>
      <c r="B4" s="6"/>
      <c r="C4" s="6"/>
      <c r="D4" s="347"/>
      <c r="E4" s="347"/>
      <c r="F4" s="348"/>
      <c r="G4" s="348"/>
      <c r="H4" s="348"/>
      <c r="I4" s="348"/>
      <c r="J4" s="348"/>
    </row>
    <row r="5" ht="13.5" thickBot="1"/>
    <row r="6" spans="1:13" s="11" customFormat="1" ht="18.75" customHeight="1" thickBot="1">
      <c r="A6" s="315"/>
      <c r="B6" s="316"/>
      <c r="C6" s="282">
        <v>2011</v>
      </c>
      <c r="K6" s="328"/>
      <c r="L6" s="329"/>
      <c r="M6" s="282">
        <v>2012</v>
      </c>
    </row>
    <row r="7" spans="1:13" s="11" customFormat="1" ht="18.75" customHeight="1">
      <c r="A7" s="317" t="s">
        <v>98</v>
      </c>
      <c r="B7" s="318" t="s">
        <v>196</v>
      </c>
      <c r="C7" s="70">
        <f>'Project emissions (2011)'!D77</f>
        <v>31192</v>
      </c>
      <c r="K7" s="330" t="s">
        <v>98</v>
      </c>
      <c r="L7" s="331" t="s">
        <v>196</v>
      </c>
      <c r="M7" s="70">
        <f>'Project emissions (2012)'!D76</f>
        <v>18832</v>
      </c>
    </row>
    <row r="8" spans="1:13" s="11" customFormat="1" ht="18.75" customHeight="1" thickBot="1">
      <c r="A8" s="319" t="s">
        <v>283</v>
      </c>
      <c r="B8" s="320" t="s">
        <v>197</v>
      </c>
      <c r="C8" s="283">
        <f>C7</f>
        <v>31192</v>
      </c>
      <c r="K8" s="332" t="s">
        <v>293</v>
      </c>
      <c r="L8" s="333" t="s">
        <v>197</v>
      </c>
      <c r="M8" s="283">
        <f>M7</f>
        <v>18832</v>
      </c>
    </row>
    <row r="9" spans="3:13" s="11" customFormat="1" ht="18.75" customHeight="1" thickBot="1">
      <c r="C9" s="284"/>
      <c r="M9" s="284"/>
    </row>
    <row r="10" spans="1:13" s="11" customFormat="1" ht="18.75" customHeight="1" thickBot="1">
      <c r="A10" s="315"/>
      <c r="B10" s="316"/>
      <c r="C10" s="282">
        <v>2011</v>
      </c>
      <c r="K10" s="328"/>
      <c r="L10" s="329"/>
      <c r="M10" s="282">
        <v>2012</v>
      </c>
    </row>
    <row r="11" spans="1:13" s="11" customFormat="1" ht="18.75" customHeight="1">
      <c r="A11" s="317" t="s">
        <v>92</v>
      </c>
      <c r="B11" s="321" t="s">
        <v>196</v>
      </c>
      <c r="C11" s="70">
        <f>'Baseline emissions (2011) '!B104</f>
        <v>287135</v>
      </c>
      <c r="K11" s="330" t="s">
        <v>92</v>
      </c>
      <c r="L11" s="334" t="s">
        <v>196</v>
      </c>
      <c r="M11" s="70">
        <f>'Baseline emissions (2012) '!B100</f>
        <v>174162</v>
      </c>
    </row>
    <row r="12" spans="1:13" s="11" customFormat="1" ht="18.75" customHeight="1" thickBot="1">
      <c r="A12" s="319" t="s">
        <v>283</v>
      </c>
      <c r="B12" s="322" t="s">
        <v>197</v>
      </c>
      <c r="C12" s="283">
        <f>C11</f>
        <v>287135</v>
      </c>
      <c r="K12" s="332" t="s">
        <v>293</v>
      </c>
      <c r="L12" s="335" t="s">
        <v>197</v>
      </c>
      <c r="M12" s="283">
        <f>M11</f>
        <v>174162</v>
      </c>
    </row>
    <row r="13" spans="3:13" s="11" customFormat="1" ht="18.75" customHeight="1" thickBot="1">
      <c r="C13" s="284"/>
      <c r="M13" s="284"/>
    </row>
    <row r="14" spans="1:13" s="11" customFormat="1" ht="18.75" customHeight="1" thickBot="1">
      <c r="A14" s="323"/>
      <c r="B14" s="324"/>
      <c r="C14" s="282">
        <v>2011</v>
      </c>
      <c r="K14" s="336"/>
      <c r="L14" s="337"/>
      <c r="M14" s="282">
        <v>2012</v>
      </c>
    </row>
    <row r="15" spans="1:13" s="11" customFormat="1" ht="18.75" customHeight="1">
      <c r="A15" s="325" t="s">
        <v>103</v>
      </c>
      <c r="B15" s="326" t="s">
        <v>196</v>
      </c>
      <c r="C15" s="70">
        <f>C11-C7</f>
        <v>255943</v>
      </c>
      <c r="K15" s="338" t="s">
        <v>103</v>
      </c>
      <c r="L15" s="339" t="s">
        <v>196</v>
      </c>
      <c r="M15" s="70">
        <f>M11-M7</f>
        <v>155330</v>
      </c>
    </row>
    <row r="16" spans="1:13" s="11" customFormat="1" ht="18.75" customHeight="1" thickBot="1">
      <c r="A16" s="319" t="s">
        <v>283</v>
      </c>
      <c r="B16" s="327" t="s">
        <v>197</v>
      </c>
      <c r="C16" s="283">
        <f>C15</f>
        <v>255943</v>
      </c>
      <c r="K16" s="332" t="s">
        <v>293</v>
      </c>
      <c r="L16" s="340" t="s">
        <v>197</v>
      </c>
      <c r="M16" s="283">
        <f>M15</f>
        <v>155330</v>
      </c>
    </row>
    <row r="23" ht="12.75">
      <c r="D23" s="2"/>
    </row>
    <row r="24" ht="12.75">
      <c r="D24" s="2"/>
    </row>
    <row r="25" ht="12.75">
      <c r="D25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="85" zoomScaleNormal="85" zoomScalePageLayoutView="0" workbookViewId="0" topLeftCell="A1">
      <selection activeCell="C2" sqref="C2"/>
    </sheetView>
  </sheetViews>
  <sheetFormatPr defaultColWidth="9.33203125" defaultRowHeight="12.75"/>
  <cols>
    <col min="1" max="1" width="16.33203125" style="0" customWidth="1"/>
    <col min="2" max="2" width="21.83203125" style="0" customWidth="1"/>
    <col min="3" max="3" width="14.33203125" style="0" customWidth="1"/>
    <col min="4" max="4" width="14.83203125" style="0" customWidth="1"/>
    <col min="5" max="5" width="13.5" style="0" customWidth="1"/>
    <col min="7" max="7" width="9.66015625" style="0" customWidth="1"/>
    <col min="8" max="10" width="9.66015625" style="0" bestFit="1" customWidth="1"/>
    <col min="13" max="13" width="10.66015625" style="0" bestFit="1" customWidth="1"/>
    <col min="14" max="14" width="9.66015625" style="0" bestFit="1" customWidth="1"/>
  </cols>
  <sheetData>
    <row r="1" spans="1:11" s="12" customFormat="1" ht="18.75" customHeight="1">
      <c r="A1" s="344" t="s">
        <v>105</v>
      </c>
      <c r="B1" s="345"/>
      <c r="C1" s="345"/>
      <c r="D1" s="345"/>
      <c r="K1" s="17"/>
    </row>
    <row r="2" spans="1:11" s="12" customFormat="1" ht="18.75" customHeight="1">
      <c r="A2" s="32"/>
      <c r="B2" s="345"/>
      <c r="C2" s="343" t="s">
        <v>295</v>
      </c>
      <c r="D2" s="345"/>
      <c r="K2" s="17"/>
    </row>
    <row r="3" spans="1:11" s="12" customFormat="1" ht="18.75" customHeight="1" thickBot="1">
      <c r="A3" s="32"/>
      <c r="B3" s="345"/>
      <c r="C3" s="343" t="s">
        <v>294</v>
      </c>
      <c r="D3" s="345"/>
      <c r="K3" s="17"/>
    </row>
    <row r="4" spans="1:4" s="12" customFormat="1" ht="12.75">
      <c r="A4" s="202" t="s">
        <v>2</v>
      </c>
      <c r="B4" s="203"/>
      <c r="C4" s="204"/>
      <c r="D4" s="205"/>
    </row>
    <row r="5" spans="1:4" s="12" customFormat="1" ht="50.25" customHeight="1">
      <c r="A5" s="206" t="s">
        <v>230</v>
      </c>
      <c r="B5" s="207" t="s">
        <v>231</v>
      </c>
      <c r="C5" s="208" t="s">
        <v>121</v>
      </c>
      <c r="D5" s="252" t="s">
        <v>122</v>
      </c>
    </row>
    <row r="6" spans="1:4" s="12" customFormat="1" ht="12.75" customHeight="1">
      <c r="A6" s="209" t="s">
        <v>0</v>
      </c>
      <c r="B6" s="210" t="s">
        <v>1</v>
      </c>
      <c r="C6" s="211" t="s">
        <v>232</v>
      </c>
      <c r="D6" s="212" t="s">
        <v>232</v>
      </c>
    </row>
    <row r="7" spans="1:11" s="12" customFormat="1" ht="13.5" thickBot="1">
      <c r="A7" s="213">
        <v>3.035</v>
      </c>
      <c r="B7" s="214">
        <v>2.63</v>
      </c>
      <c r="C7" s="215">
        <v>35.37</v>
      </c>
      <c r="D7" s="216">
        <v>707.43</v>
      </c>
      <c r="E7" s="236"/>
      <c r="F7" s="237"/>
      <c r="G7" s="237"/>
      <c r="H7" s="237"/>
      <c r="I7" s="237"/>
      <c r="J7" s="237"/>
      <c r="K7" s="237"/>
    </row>
    <row r="8" spans="1:11" s="12" customFormat="1" ht="12.75">
      <c r="A8" s="217"/>
      <c r="B8" s="217"/>
      <c r="C8" s="217"/>
      <c r="F8" s="237"/>
      <c r="G8" s="237"/>
      <c r="H8" s="237"/>
      <c r="I8" s="237"/>
      <c r="J8" s="237"/>
      <c r="K8" s="237"/>
    </row>
    <row r="9" spans="1:11" s="12" customFormat="1" ht="13.5" thickBot="1">
      <c r="A9" s="218" t="s">
        <v>106</v>
      </c>
      <c r="B9" s="217"/>
      <c r="C9" s="217"/>
      <c r="F9" s="237"/>
      <c r="G9" s="237"/>
      <c r="H9" s="237"/>
      <c r="I9" s="237"/>
      <c r="J9" s="237"/>
      <c r="K9" s="237"/>
    </row>
    <row r="10" spans="1:11" s="12" customFormat="1" ht="12.75">
      <c r="A10" s="219" t="s">
        <v>107</v>
      </c>
      <c r="B10" s="220"/>
      <c r="C10" s="238">
        <v>6800</v>
      </c>
      <c r="F10" s="237"/>
      <c r="G10" s="237"/>
      <c r="H10" s="237"/>
      <c r="I10" s="237"/>
      <c r="J10" s="237"/>
      <c r="K10" s="237"/>
    </row>
    <row r="11" spans="1:11" s="12" customFormat="1" ht="13.5" thickBot="1">
      <c r="A11" s="221" t="s">
        <v>109</v>
      </c>
      <c r="B11" s="214"/>
      <c r="C11" s="239">
        <v>4360</v>
      </c>
      <c r="F11" s="237"/>
      <c r="G11" s="237"/>
      <c r="H11" s="237"/>
      <c r="I11" s="237"/>
      <c r="J11" s="237"/>
      <c r="K11" s="237"/>
    </row>
    <row r="12" spans="1:11" s="12" customFormat="1" ht="12.75">
      <c r="A12" s="218"/>
      <c r="B12" s="217"/>
      <c r="C12" s="240"/>
      <c r="F12" s="237"/>
      <c r="G12" s="237"/>
      <c r="H12" s="237"/>
      <c r="I12" s="237"/>
      <c r="J12" s="237"/>
      <c r="K12" s="237"/>
    </row>
    <row r="13" spans="1:3" s="12" customFormat="1" ht="13.5" thickBot="1">
      <c r="A13" s="12" t="s">
        <v>7</v>
      </c>
      <c r="C13" s="241"/>
    </row>
    <row r="14" spans="1:6" s="12" customFormat="1" ht="18">
      <c r="A14" s="222" t="s">
        <v>110</v>
      </c>
      <c r="B14" s="203"/>
      <c r="C14" s="242"/>
      <c r="E14" s="228"/>
      <c r="F14" s="17"/>
    </row>
    <row r="15" spans="1:3" s="12" customFormat="1" ht="12.75">
      <c r="A15" s="223" t="s">
        <v>5</v>
      </c>
      <c r="B15" s="164"/>
      <c r="C15" s="243">
        <f>A7*C10</f>
        <v>20638</v>
      </c>
    </row>
    <row r="16" spans="1:3" s="12" customFormat="1" ht="13.5" thickBot="1">
      <c r="A16" s="224" t="s">
        <v>6</v>
      </c>
      <c r="B16" s="187"/>
      <c r="C16" s="244">
        <f>C15*24</f>
        <v>495312</v>
      </c>
    </row>
    <row r="17" spans="1:5" s="12" customFormat="1" ht="12.75">
      <c r="A17" s="19"/>
      <c r="B17" s="19"/>
      <c r="C17" s="240"/>
      <c r="D17" s="225"/>
      <c r="E17" s="225"/>
    </row>
    <row r="18" spans="1:3" s="12" customFormat="1" ht="13.5" thickBot="1">
      <c r="A18" s="12" t="s">
        <v>10</v>
      </c>
      <c r="C18" s="241"/>
    </row>
    <row r="19" spans="1:11" s="12" customFormat="1" ht="12.75">
      <c r="A19" s="222" t="s">
        <v>111</v>
      </c>
      <c r="B19" s="203"/>
      <c r="C19" s="242"/>
      <c r="F19" s="17"/>
      <c r="G19" s="17"/>
      <c r="H19" s="17"/>
      <c r="I19" s="17"/>
      <c r="J19" s="17"/>
      <c r="K19" s="17"/>
    </row>
    <row r="20" spans="1:3" s="12" customFormat="1" ht="12.75">
      <c r="A20" s="223" t="s">
        <v>8</v>
      </c>
      <c r="B20" s="164"/>
      <c r="C20" s="243">
        <f>B7*C11</f>
        <v>11466.8</v>
      </c>
    </row>
    <row r="21" spans="1:3" s="12" customFormat="1" ht="13.5" thickBot="1">
      <c r="A21" s="226" t="s">
        <v>9</v>
      </c>
      <c r="B21" s="187"/>
      <c r="C21" s="244">
        <f>C20*24</f>
        <v>275203.19999999995</v>
      </c>
    </row>
    <row r="22" spans="1:4" s="12" customFormat="1" ht="12.75">
      <c r="A22" s="19"/>
      <c r="B22" s="19"/>
      <c r="C22" s="240"/>
      <c r="D22" s="225"/>
    </row>
    <row r="23" spans="1:3" s="12" customFormat="1" ht="13.5" thickBot="1">
      <c r="A23" s="12" t="s">
        <v>13</v>
      </c>
      <c r="C23" s="241"/>
    </row>
    <row r="24" spans="1:3" s="12" customFormat="1" ht="14.25">
      <c r="A24" s="222" t="s">
        <v>233</v>
      </c>
      <c r="B24" s="203"/>
      <c r="C24" s="242"/>
    </row>
    <row r="25" spans="1:3" s="12" customFormat="1" ht="12.75">
      <c r="A25" s="223" t="s">
        <v>11</v>
      </c>
      <c r="B25" s="164"/>
      <c r="C25" s="243">
        <f>(C7+D7)*C10</f>
        <v>5051040</v>
      </c>
    </row>
    <row r="26" spans="1:3" s="12" customFormat="1" ht="13.5" thickBot="1">
      <c r="A26" s="224" t="s">
        <v>12</v>
      </c>
      <c r="B26" s="187"/>
      <c r="C26" s="244">
        <f>C25*24</f>
        <v>121224960</v>
      </c>
    </row>
    <row r="27" spans="1:3" s="12" customFormat="1" ht="12.75">
      <c r="A27" s="19"/>
      <c r="B27" s="19"/>
      <c r="C27" s="245"/>
    </row>
    <row r="28" spans="1:3" s="12" customFormat="1" ht="13.5" thickBot="1">
      <c r="A28" s="13" t="s">
        <v>17</v>
      </c>
      <c r="C28" s="241"/>
    </row>
    <row r="29" spans="1:3" s="12" customFormat="1" ht="12.75">
      <c r="A29" s="222" t="s">
        <v>14</v>
      </c>
      <c r="B29" s="203"/>
      <c r="C29" s="242"/>
    </row>
    <row r="30" spans="1:4" s="12" customFormat="1" ht="18">
      <c r="A30" s="223" t="s">
        <v>15</v>
      </c>
      <c r="B30" s="164"/>
      <c r="C30" s="246">
        <f>C25*0.7167/1000</f>
        <v>3620.0803680000004</v>
      </c>
      <c r="D30" s="228"/>
    </row>
    <row r="31" spans="1:3" s="12" customFormat="1" ht="13.5" thickBot="1">
      <c r="A31" s="224" t="s">
        <v>16</v>
      </c>
      <c r="B31" s="187"/>
      <c r="C31" s="244">
        <f>C30*24</f>
        <v>86881.928832</v>
      </c>
    </row>
    <row r="32" s="12" customFormat="1" ht="12.75">
      <c r="C32" s="247"/>
    </row>
    <row r="33" spans="1:3" s="12" customFormat="1" ht="13.5" thickBot="1">
      <c r="A33" s="13" t="s">
        <v>108</v>
      </c>
      <c r="C33" s="247"/>
    </row>
    <row r="34" spans="1:3" s="12" customFormat="1" ht="14.25">
      <c r="A34" s="222" t="s">
        <v>234</v>
      </c>
      <c r="B34" s="203"/>
      <c r="C34" s="242"/>
    </row>
    <row r="35" spans="1:3" s="12" customFormat="1" ht="12.75">
      <c r="A35" s="229" t="s">
        <v>15</v>
      </c>
      <c r="B35" s="164"/>
      <c r="C35" s="243">
        <f>C30*21</f>
        <v>76021.687728</v>
      </c>
    </row>
    <row r="36" spans="1:3" s="9" customFormat="1" ht="13.5" thickBot="1">
      <c r="A36" s="226" t="s">
        <v>16</v>
      </c>
      <c r="B36" s="230"/>
      <c r="C36" s="244">
        <f>C35*24</f>
        <v>1824520.5054720002</v>
      </c>
    </row>
    <row r="37" spans="1:3" s="12" customFormat="1" ht="12.75">
      <c r="A37" s="19"/>
      <c r="B37" s="19"/>
      <c r="C37" s="227"/>
    </row>
    <row r="38" s="12" customFormat="1" ht="12.75"/>
    <row r="39" s="12" customFormat="1" ht="12.75"/>
    <row r="40" s="12" customFormat="1" ht="19.5" customHeight="1" thickBot="1">
      <c r="A40" s="12" t="s">
        <v>22</v>
      </c>
    </row>
    <row r="41" spans="1:4" s="12" customFormat="1" ht="19.5" customHeight="1">
      <c r="A41" s="231" t="s">
        <v>50</v>
      </c>
      <c r="B41" s="203" t="s">
        <v>24</v>
      </c>
      <c r="C41" s="204" t="s">
        <v>23</v>
      </c>
      <c r="D41" s="205"/>
    </row>
    <row r="42" spans="1:4" s="12" customFormat="1" ht="15" customHeight="1">
      <c r="A42" s="354" t="s">
        <v>25</v>
      </c>
      <c r="B42" s="232" t="s">
        <v>235</v>
      </c>
      <c r="C42" s="251" t="s">
        <v>30</v>
      </c>
      <c r="D42" s="243">
        <v>2640</v>
      </c>
    </row>
    <row r="43" spans="1:4" s="12" customFormat="1" ht="11.25" customHeight="1">
      <c r="A43" s="355"/>
      <c r="B43" s="232"/>
      <c r="C43" s="251" t="s">
        <v>236</v>
      </c>
      <c r="D43" s="243">
        <v>5472</v>
      </c>
    </row>
    <row r="44" spans="1:4" s="12" customFormat="1" ht="12.75">
      <c r="A44" s="354" t="s">
        <v>26</v>
      </c>
      <c r="B44" s="351" t="s">
        <v>27</v>
      </c>
      <c r="C44" s="251" t="s">
        <v>30</v>
      </c>
      <c r="D44" s="248">
        <v>0.05</v>
      </c>
    </row>
    <row r="45" spans="1:4" s="12" customFormat="1" ht="15" customHeight="1">
      <c r="A45" s="355"/>
      <c r="B45" s="353"/>
      <c r="C45" s="251" t="s">
        <v>236</v>
      </c>
      <c r="D45" s="248">
        <v>0.3</v>
      </c>
    </row>
    <row r="46" spans="1:4" s="12" customFormat="1" ht="20.25" customHeight="1">
      <c r="A46" s="349" t="s">
        <v>28</v>
      </c>
      <c r="B46" s="351" t="s">
        <v>29</v>
      </c>
      <c r="C46" s="251" t="s">
        <v>30</v>
      </c>
      <c r="D46" s="249">
        <v>45</v>
      </c>
    </row>
    <row r="47" spans="1:4" s="12" customFormat="1" ht="15" customHeight="1">
      <c r="A47" s="356"/>
      <c r="B47" s="353"/>
      <c r="C47" s="251" t="s">
        <v>236</v>
      </c>
      <c r="D47" s="249">
        <v>110</v>
      </c>
    </row>
    <row r="48" spans="1:4" s="12" customFormat="1" ht="25.5" customHeight="1">
      <c r="A48" s="233" t="s">
        <v>31</v>
      </c>
      <c r="B48" s="232" t="s">
        <v>32</v>
      </c>
      <c r="C48" s="251"/>
      <c r="D48" s="249">
        <v>1</v>
      </c>
    </row>
    <row r="49" spans="1:4" s="12" customFormat="1" ht="24" customHeight="1">
      <c r="A49" s="234" t="s">
        <v>33</v>
      </c>
      <c r="B49" s="232" t="s">
        <v>32</v>
      </c>
      <c r="C49" s="251"/>
      <c r="D49" s="249">
        <v>5</v>
      </c>
    </row>
    <row r="50" spans="1:4" s="12" customFormat="1" ht="13.5" customHeight="1">
      <c r="A50" s="349" t="s">
        <v>34</v>
      </c>
      <c r="B50" s="351" t="s">
        <v>35</v>
      </c>
      <c r="C50" s="251" t="s">
        <v>30</v>
      </c>
      <c r="D50" s="250">
        <v>33</v>
      </c>
    </row>
    <row r="51" spans="1:4" s="12" customFormat="1" ht="13.5" thickBot="1">
      <c r="A51" s="350"/>
      <c r="B51" s="352"/>
      <c r="C51" s="235" t="s">
        <v>236</v>
      </c>
      <c r="D51" s="239">
        <v>61</v>
      </c>
    </row>
  </sheetData>
  <sheetProtection/>
  <mergeCells count="7">
    <mergeCell ref="A50:A51"/>
    <mergeCell ref="B50:B51"/>
    <mergeCell ref="B46:B47"/>
    <mergeCell ref="A42:A43"/>
    <mergeCell ref="B44:B45"/>
    <mergeCell ref="A46:A47"/>
    <mergeCell ref="A44:A4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151"/>
  <sheetViews>
    <sheetView zoomScale="85" zoomScaleNormal="85" zoomScalePageLayoutView="0" workbookViewId="0" topLeftCell="A1">
      <selection activeCell="C2" sqref="C2"/>
    </sheetView>
  </sheetViews>
  <sheetFormatPr defaultColWidth="9.33203125" defaultRowHeight="12.75"/>
  <cols>
    <col min="1" max="1" width="36.83203125" style="12" customWidth="1"/>
    <col min="2" max="3" width="27.83203125" style="12" customWidth="1"/>
    <col min="4" max="4" width="28.16015625" style="12" customWidth="1"/>
    <col min="5" max="5" width="21.33203125" style="12" customWidth="1"/>
    <col min="6" max="6" width="14" style="12" bestFit="1" customWidth="1"/>
    <col min="7" max="7" width="28.33203125" style="12" bestFit="1" customWidth="1"/>
    <col min="8" max="10" width="17.33203125" style="12" customWidth="1"/>
    <col min="11" max="11" width="17.33203125" style="17" customWidth="1"/>
    <col min="12" max="15" width="17.33203125" style="12" customWidth="1"/>
    <col min="16" max="16" width="17.83203125" style="12" customWidth="1"/>
    <col min="17" max="17" width="23.5" style="12" customWidth="1"/>
    <col min="18" max="18" width="15.5" style="12" customWidth="1"/>
    <col min="19" max="16384" width="9.33203125" style="12" customWidth="1"/>
  </cols>
  <sheetData>
    <row r="1" spans="1:4" ht="18.75" customHeight="1">
      <c r="A1" s="344" t="s">
        <v>105</v>
      </c>
      <c r="B1" s="345"/>
      <c r="C1" s="345"/>
      <c r="D1" s="345"/>
    </row>
    <row r="2" spans="1:4" ht="18.75" customHeight="1">
      <c r="A2" s="32"/>
      <c r="B2" s="345"/>
      <c r="C2" s="343" t="s">
        <v>295</v>
      </c>
      <c r="D2" s="345"/>
    </row>
    <row r="3" spans="1:4" ht="18.75" customHeight="1">
      <c r="A3" s="32"/>
      <c r="B3" s="345"/>
      <c r="C3" s="343" t="s">
        <v>294</v>
      </c>
      <c r="D3" s="345"/>
    </row>
    <row r="4" ht="18.75" customHeight="1">
      <c r="A4" s="9"/>
    </row>
    <row r="5" ht="18.75" customHeight="1">
      <c r="D5" s="10" t="s">
        <v>152</v>
      </c>
    </row>
    <row r="6" spans="1:11" ht="18.75" customHeight="1">
      <c r="A6" s="19"/>
      <c r="B6" s="19"/>
      <c r="J6" s="17"/>
      <c r="K6" s="12"/>
    </row>
    <row r="7" spans="1:14" ht="18.75" customHeight="1" thickBot="1">
      <c r="A7" s="18"/>
      <c r="B7" s="18"/>
      <c r="C7" s="19"/>
      <c r="D7" s="18"/>
      <c r="E7" s="18"/>
      <c r="F7" s="19"/>
      <c r="G7" s="10" t="s">
        <v>151</v>
      </c>
      <c r="H7" s="10" t="s">
        <v>18</v>
      </c>
      <c r="I7" s="13"/>
      <c r="J7" s="19"/>
      <c r="K7" s="19"/>
      <c r="L7" s="19"/>
      <c r="M7" s="19"/>
      <c r="N7" s="19"/>
    </row>
    <row r="8" spans="1:13" ht="18.75" customHeight="1">
      <c r="A8" s="20"/>
      <c r="B8" s="19"/>
      <c r="C8" s="21"/>
      <c r="D8" s="20"/>
      <c r="E8" s="19"/>
      <c r="F8" s="21"/>
      <c r="G8" s="359" t="s">
        <v>282</v>
      </c>
      <c r="H8" s="360"/>
      <c r="I8" s="14"/>
      <c r="J8" s="21"/>
      <c r="K8" s="21"/>
      <c r="L8" s="21"/>
      <c r="M8" s="22"/>
    </row>
    <row r="9" spans="1:13" ht="18.75" customHeight="1">
      <c r="A9" s="18"/>
      <c r="B9" s="23"/>
      <c r="C9" s="24"/>
      <c r="D9" s="18"/>
      <c r="E9" s="25"/>
      <c r="F9" s="24"/>
      <c r="G9" s="149" t="s">
        <v>95</v>
      </c>
      <c r="H9" s="155">
        <f>'Baseline emissions (2011) '!C60</f>
        <v>47821.419799999996</v>
      </c>
      <c r="I9" s="15"/>
      <c r="J9" s="24"/>
      <c r="K9" s="24"/>
      <c r="L9" s="24"/>
      <c r="M9" s="26"/>
    </row>
    <row r="10" spans="1:13" ht="18.75" customHeight="1">
      <c r="A10" s="18"/>
      <c r="B10" s="14"/>
      <c r="C10" s="14"/>
      <c r="D10" s="18"/>
      <c r="E10" s="27"/>
      <c r="F10" s="14"/>
      <c r="G10" s="80" t="s">
        <v>96</v>
      </c>
      <c r="H10" s="156">
        <v>12</v>
      </c>
      <c r="I10" s="16"/>
      <c r="J10" s="14"/>
      <c r="K10" s="14"/>
      <c r="L10" s="14"/>
      <c r="M10" s="19"/>
    </row>
    <row r="11" spans="1:13" ht="18.75" customHeight="1">
      <c r="A11" s="18"/>
      <c r="B11" s="23"/>
      <c r="C11" s="14"/>
      <c r="D11" s="18"/>
      <c r="E11" s="25"/>
      <c r="F11" s="14"/>
      <c r="G11" s="80" t="s">
        <v>123</v>
      </c>
      <c r="H11" s="157">
        <f>'Heat load (2011)'!C14</f>
        <v>12225.030000000002</v>
      </c>
      <c r="I11" s="16"/>
      <c r="J11" s="14"/>
      <c r="K11" s="14"/>
      <c r="L11" s="14"/>
      <c r="M11" s="19"/>
    </row>
    <row r="12" spans="1:15" ht="18.75" customHeight="1">
      <c r="A12" s="18"/>
      <c r="B12" s="23"/>
      <c r="C12" s="25"/>
      <c r="D12" s="18"/>
      <c r="E12" s="25"/>
      <c r="F12" s="23"/>
      <c r="G12" s="150" t="s">
        <v>223</v>
      </c>
      <c r="H12" s="157">
        <f>B42</f>
        <v>536357.05</v>
      </c>
      <c r="I12" s="16"/>
      <c r="J12" s="23"/>
      <c r="K12" s="23"/>
      <c r="L12" s="23"/>
      <c r="M12" s="26"/>
      <c r="O12" s="28"/>
    </row>
    <row r="13" spans="1:15" ht="18.75" customHeight="1">
      <c r="A13" s="29"/>
      <c r="B13" s="25"/>
      <c r="C13" s="25"/>
      <c r="D13" s="29"/>
      <c r="E13" s="25"/>
      <c r="F13" s="23"/>
      <c r="G13" s="151" t="s">
        <v>224</v>
      </c>
      <c r="H13" s="157">
        <f>B54</f>
        <v>13964092.07</v>
      </c>
      <c r="I13" s="16"/>
      <c r="J13" s="23"/>
      <c r="K13" s="23"/>
      <c r="L13" s="23"/>
      <c r="M13" s="26"/>
      <c r="O13" s="28"/>
    </row>
    <row r="14" spans="1:13" ht="18.75" customHeight="1" thickBot="1">
      <c r="A14" s="18"/>
      <c r="B14" s="23"/>
      <c r="C14" s="30"/>
      <c r="D14" s="18"/>
      <c r="E14" s="25"/>
      <c r="F14" s="30"/>
      <c r="G14" s="152" t="s">
        <v>225</v>
      </c>
      <c r="H14" s="158">
        <f>G54+G42</f>
        <v>10392.471884304001</v>
      </c>
      <c r="I14" s="16"/>
      <c r="J14" s="30"/>
      <c r="K14" s="30"/>
      <c r="L14" s="30"/>
      <c r="M14" s="26"/>
    </row>
    <row r="15" spans="1:2" ht="18.75" customHeight="1">
      <c r="A15" s="264" t="s">
        <v>97</v>
      </c>
      <c r="B15" s="265"/>
    </row>
    <row r="16" spans="1:2" ht="18.75" customHeight="1" thickBot="1">
      <c r="A16" s="266">
        <v>0.05</v>
      </c>
      <c r="B16" s="267">
        <v>0.035</v>
      </c>
    </row>
    <row r="17" ht="18.75" customHeight="1"/>
    <row r="18" ht="18.75" customHeight="1">
      <c r="A18" s="11" t="s">
        <v>271</v>
      </c>
    </row>
    <row r="19" ht="18.75" customHeight="1" thickBot="1">
      <c r="A19" s="11" t="s">
        <v>36</v>
      </c>
    </row>
    <row r="20" spans="1:7" ht="18.75" customHeight="1">
      <c r="A20" s="361" t="s">
        <v>19</v>
      </c>
      <c r="B20" s="260" t="s">
        <v>268</v>
      </c>
      <c r="C20" s="261" t="s">
        <v>269</v>
      </c>
      <c r="D20" s="261" t="s">
        <v>268</v>
      </c>
      <c r="E20" s="261" t="s">
        <v>269</v>
      </c>
      <c r="F20" s="261" t="s">
        <v>20</v>
      </c>
      <c r="G20" s="261" t="s">
        <v>39</v>
      </c>
    </row>
    <row r="21" spans="1:7" ht="18.75" customHeight="1" thickBot="1">
      <c r="A21" s="362"/>
      <c r="B21" s="262" t="s">
        <v>104</v>
      </c>
      <c r="C21" s="262" t="s">
        <v>104</v>
      </c>
      <c r="D21" s="262" t="s">
        <v>38</v>
      </c>
      <c r="E21" s="262" t="s">
        <v>38</v>
      </c>
      <c r="F21" s="262" t="s">
        <v>254</v>
      </c>
      <c r="G21" s="262" t="s">
        <v>270</v>
      </c>
    </row>
    <row r="22" spans="1:7" ht="18.75" customHeight="1">
      <c r="A22" s="132" t="s">
        <v>274</v>
      </c>
      <c r="B22" s="268">
        <v>126924.54</v>
      </c>
      <c r="C22" s="269">
        <f aca="true" t="shared" si="0" ref="C22:C28">0.7167*B22/1000</f>
        <v>90.966817818</v>
      </c>
      <c r="D22" s="67">
        <v>0</v>
      </c>
      <c r="E22" s="66">
        <f aca="true" t="shared" si="1" ref="E22:E28">0.7167*D22/1000</f>
        <v>0</v>
      </c>
      <c r="F22" s="270">
        <f aca="true" t="shared" si="2" ref="F22:F28">B22+D22</f>
        <v>126924.54</v>
      </c>
      <c r="G22" s="66">
        <f aca="true" t="shared" si="3" ref="G22:G28">C22+D22</f>
        <v>90.966817818</v>
      </c>
    </row>
    <row r="23" spans="1:7" s="17" customFormat="1" ht="18.75" customHeight="1">
      <c r="A23" s="132" t="s">
        <v>275</v>
      </c>
      <c r="B23" s="271">
        <v>119048.37</v>
      </c>
      <c r="C23" s="269">
        <f t="shared" si="0"/>
        <v>85.321966779</v>
      </c>
      <c r="D23" s="67">
        <v>0</v>
      </c>
      <c r="E23" s="66">
        <f t="shared" si="1"/>
        <v>0</v>
      </c>
      <c r="F23" s="270">
        <f t="shared" si="2"/>
        <v>119048.37</v>
      </c>
      <c r="G23" s="66">
        <f t="shared" si="3"/>
        <v>85.321966779</v>
      </c>
    </row>
    <row r="24" spans="1:7" s="17" customFormat="1" ht="18.75" customHeight="1">
      <c r="A24" s="314" t="s">
        <v>276</v>
      </c>
      <c r="B24" s="272">
        <v>120459.18</v>
      </c>
      <c r="C24" s="273">
        <f t="shared" si="0"/>
        <v>86.33309430599999</v>
      </c>
      <c r="D24" s="274">
        <v>0</v>
      </c>
      <c r="E24" s="70">
        <f t="shared" si="1"/>
        <v>0</v>
      </c>
      <c r="F24" s="270">
        <f t="shared" si="2"/>
        <v>120459.18</v>
      </c>
      <c r="G24" s="66">
        <f t="shared" si="3"/>
        <v>86.33309430599999</v>
      </c>
    </row>
    <row r="25" spans="1:7" s="17" customFormat="1" ht="18.75" customHeight="1">
      <c r="A25" s="314" t="s">
        <v>277</v>
      </c>
      <c r="B25" s="272">
        <v>104475.27</v>
      </c>
      <c r="C25" s="273">
        <f t="shared" si="0"/>
        <v>74.877426009</v>
      </c>
      <c r="D25" s="274">
        <v>0</v>
      </c>
      <c r="E25" s="70">
        <f t="shared" si="1"/>
        <v>0</v>
      </c>
      <c r="F25" s="270">
        <f t="shared" si="2"/>
        <v>104475.27</v>
      </c>
      <c r="G25" s="66">
        <f t="shared" si="3"/>
        <v>74.877426009</v>
      </c>
    </row>
    <row r="26" spans="1:7" s="17" customFormat="1" ht="18.75" customHeight="1">
      <c r="A26" s="314" t="s">
        <v>278</v>
      </c>
      <c r="B26" s="272">
        <v>100838.04</v>
      </c>
      <c r="C26" s="273">
        <f t="shared" si="0"/>
        <v>72.270623268</v>
      </c>
      <c r="D26" s="274">
        <v>0</v>
      </c>
      <c r="E26" s="70">
        <f t="shared" si="1"/>
        <v>0</v>
      </c>
      <c r="F26" s="270">
        <f t="shared" si="2"/>
        <v>100838.04</v>
      </c>
      <c r="G26" s="66">
        <f t="shared" si="3"/>
        <v>72.270623268</v>
      </c>
    </row>
    <row r="27" spans="1:7" s="17" customFormat="1" ht="18.75" customHeight="1">
      <c r="A27" s="314" t="s">
        <v>279</v>
      </c>
      <c r="B27" s="272">
        <v>98408.88</v>
      </c>
      <c r="C27" s="273">
        <f t="shared" si="0"/>
        <v>70.529644296</v>
      </c>
      <c r="D27" s="274">
        <v>0</v>
      </c>
      <c r="E27" s="70">
        <f t="shared" si="1"/>
        <v>0</v>
      </c>
      <c r="F27" s="270">
        <f t="shared" si="2"/>
        <v>98408.88</v>
      </c>
      <c r="G27" s="66">
        <f t="shared" si="3"/>
        <v>70.529644296</v>
      </c>
    </row>
    <row r="28" spans="1:7" s="17" customFormat="1" ht="18.75" customHeight="1" thickBot="1">
      <c r="A28" s="314" t="s">
        <v>280</v>
      </c>
      <c r="B28" s="274">
        <v>98041.53</v>
      </c>
      <c r="C28" s="273">
        <f t="shared" si="0"/>
        <v>70.26636455100001</v>
      </c>
      <c r="D28" s="274">
        <v>0</v>
      </c>
      <c r="E28" s="70">
        <f t="shared" si="1"/>
        <v>0</v>
      </c>
      <c r="F28" s="270">
        <f t="shared" si="2"/>
        <v>98041.53</v>
      </c>
      <c r="G28" s="66">
        <f t="shared" si="3"/>
        <v>70.26636455100001</v>
      </c>
    </row>
    <row r="29" spans="1:14" ht="18.75" customHeight="1" thickBot="1">
      <c r="A29" s="153" t="s">
        <v>281</v>
      </c>
      <c r="B29" s="154">
        <f>SUM(B22:B28)</f>
        <v>768195.81</v>
      </c>
      <c r="C29" s="154">
        <f>SUM(C22:C28)</f>
        <v>550.565937027</v>
      </c>
      <c r="D29" s="154">
        <f>SUM(D23:D28)</f>
        <v>0</v>
      </c>
      <c r="E29" s="154">
        <f>SUM(E23:E28)</f>
        <v>0</v>
      </c>
      <c r="F29" s="154">
        <f>SUM(F22:F28)</f>
        <v>768195.81</v>
      </c>
      <c r="G29" s="154">
        <f>SUM(G22:G28)</f>
        <v>550.565937027</v>
      </c>
      <c r="K29" s="12"/>
      <c r="N29" s="17"/>
    </row>
    <row r="30" ht="18.75" customHeight="1">
      <c r="B30" s="31"/>
    </row>
    <row r="31" ht="18.75" customHeight="1">
      <c r="C31" s="31">
        <f>C29+'CMM consump.(2012)'!C26</f>
        <v>879.235039251</v>
      </c>
    </row>
    <row r="32" ht="18.75" customHeight="1" thickBot="1">
      <c r="A32" s="32" t="s">
        <v>153</v>
      </c>
    </row>
    <row r="33" spans="1:7" ht="18.75" customHeight="1">
      <c r="A33" s="361" t="s">
        <v>19</v>
      </c>
      <c r="B33" s="260" t="s">
        <v>268</v>
      </c>
      <c r="C33" s="261" t="s">
        <v>269</v>
      </c>
      <c r="D33" s="261" t="s">
        <v>268</v>
      </c>
      <c r="E33" s="261" t="s">
        <v>269</v>
      </c>
      <c r="F33" s="261" t="s">
        <v>20</v>
      </c>
      <c r="G33" s="261" t="s">
        <v>39</v>
      </c>
    </row>
    <row r="34" spans="1:7" ht="18.75" customHeight="1" thickBot="1">
      <c r="A34" s="362"/>
      <c r="B34" s="262" t="s">
        <v>104</v>
      </c>
      <c r="C34" s="262" t="s">
        <v>104</v>
      </c>
      <c r="D34" s="262" t="s">
        <v>38</v>
      </c>
      <c r="E34" s="262" t="s">
        <v>38</v>
      </c>
      <c r="F34" s="262" t="s">
        <v>254</v>
      </c>
      <c r="G34" s="262" t="s">
        <v>270</v>
      </c>
    </row>
    <row r="35" spans="1:9" ht="18.75" customHeight="1">
      <c r="A35" s="132" t="s">
        <v>274</v>
      </c>
      <c r="B35" s="275">
        <v>159348.99</v>
      </c>
      <c r="C35" s="66">
        <f aca="true" t="shared" si="4" ref="C35:C41">0.7167*B35/1000</f>
        <v>114.205421133</v>
      </c>
      <c r="D35" s="67">
        <v>0</v>
      </c>
      <c r="E35" s="66">
        <f aca="true" t="shared" si="5" ref="E35:E41">0.7167*D35/1000</f>
        <v>0</v>
      </c>
      <c r="F35" s="270">
        <f aca="true" t="shared" si="6" ref="F35:F41">B35+D35</f>
        <v>159348.99</v>
      </c>
      <c r="G35" s="66">
        <f aca="true" t="shared" si="7" ref="G35:G41">C35+D35</f>
        <v>114.205421133</v>
      </c>
      <c r="I35" s="31"/>
    </row>
    <row r="36" spans="1:9" ht="18.75" customHeight="1">
      <c r="A36" s="132" t="s">
        <v>275</v>
      </c>
      <c r="B36" s="275">
        <v>103107.24</v>
      </c>
      <c r="C36" s="66">
        <f t="shared" si="4"/>
        <v>73.896958908</v>
      </c>
      <c r="D36" s="67">
        <v>0</v>
      </c>
      <c r="E36" s="66">
        <f t="shared" si="5"/>
        <v>0</v>
      </c>
      <c r="F36" s="270">
        <f t="shared" si="6"/>
        <v>103107.24</v>
      </c>
      <c r="G36" s="66">
        <f t="shared" si="7"/>
        <v>73.896958908</v>
      </c>
      <c r="I36" s="31"/>
    </row>
    <row r="37" spans="1:9" ht="18.75" customHeight="1">
      <c r="A37" s="314" t="s">
        <v>276</v>
      </c>
      <c r="B37" s="275">
        <v>79071.4</v>
      </c>
      <c r="C37" s="66">
        <f t="shared" si="4"/>
        <v>56.67047238</v>
      </c>
      <c r="D37" s="67">
        <v>0</v>
      </c>
      <c r="E37" s="66">
        <f t="shared" si="5"/>
        <v>0</v>
      </c>
      <c r="F37" s="270">
        <f t="shared" si="6"/>
        <v>79071.4</v>
      </c>
      <c r="G37" s="66">
        <f t="shared" si="7"/>
        <v>56.67047238</v>
      </c>
      <c r="I37" s="31"/>
    </row>
    <row r="38" spans="1:9" ht="18.75" customHeight="1">
      <c r="A38" s="314" t="s">
        <v>277</v>
      </c>
      <c r="B38" s="275">
        <v>53048.13</v>
      </c>
      <c r="C38" s="66">
        <f t="shared" si="4"/>
        <v>38.019594770999994</v>
      </c>
      <c r="D38" s="67">
        <v>0</v>
      </c>
      <c r="E38" s="66">
        <f t="shared" si="5"/>
        <v>0</v>
      </c>
      <c r="F38" s="270">
        <f t="shared" si="6"/>
        <v>53048.13</v>
      </c>
      <c r="G38" s="66">
        <f t="shared" si="7"/>
        <v>38.019594770999994</v>
      </c>
      <c r="I38" s="31"/>
    </row>
    <row r="39" spans="1:9" ht="18.75" customHeight="1">
      <c r="A39" s="314" t="s">
        <v>278</v>
      </c>
      <c r="B39" s="276">
        <v>52328.31</v>
      </c>
      <c r="C39" s="70">
        <f t="shared" si="4"/>
        <v>37.503699777</v>
      </c>
      <c r="D39" s="274">
        <v>0</v>
      </c>
      <c r="E39" s="70">
        <f t="shared" si="5"/>
        <v>0</v>
      </c>
      <c r="F39" s="270">
        <f t="shared" si="6"/>
        <v>52328.31</v>
      </c>
      <c r="G39" s="66">
        <f t="shared" si="7"/>
        <v>37.503699777</v>
      </c>
      <c r="I39" s="31"/>
    </row>
    <row r="40" spans="1:9" ht="18.75" customHeight="1">
      <c r="A40" s="314" t="s">
        <v>279</v>
      </c>
      <c r="B40" s="276">
        <v>26442.69</v>
      </c>
      <c r="C40" s="70">
        <f t="shared" si="4"/>
        <v>18.951475922999997</v>
      </c>
      <c r="D40" s="274">
        <v>0</v>
      </c>
      <c r="E40" s="70">
        <f t="shared" si="5"/>
        <v>0</v>
      </c>
      <c r="F40" s="270">
        <f t="shared" si="6"/>
        <v>26442.69</v>
      </c>
      <c r="G40" s="66">
        <f t="shared" si="7"/>
        <v>18.951475922999997</v>
      </c>
      <c r="I40" s="31"/>
    </row>
    <row r="41" spans="1:7" ht="18.75" customHeight="1" thickBot="1">
      <c r="A41" s="314" t="s">
        <v>280</v>
      </c>
      <c r="B41" s="277">
        <v>63010.29</v>
      </c>
      <c r="C41" s="70">
        <f t="shared" si="4"/>
        <v>45.159474843000005</v>
      </c>
      <c r="D41" s="274">
        <v>0</v>
      </c>
      <c r="E41" s="70">
        <f t="shared" si="5"/>
        <v>0</v>
      </c>
      <c r="F41" s="270">
        <f t="shared" si="6"/>
        <v>63010.29</v>
      </c>
      <c r="G41" s="66">
        <f t="shared" si="7"/>
        <v>45.159474843000005</v>
      </c>
    </row>
    <row r="42" spans="1:7" ht="18.75" customHeight="1" thickBot="1">
      <c r="A42" s="153" t="s">
        <v>281</v>
      </c>
      <c r="B42" s="154">
        <f aca="true" t="shared" si="8" ref="B42:G42">SUM(B35:B41)</f>
        <v>536357.05</v>
      </c>
      <c r="C42" s="154">
        <f t="shared" si="8"/>
        <v>384.407097735</v>
      </c>
      <c r="D42" s="154">
        <f t="shared" si="8"/>
        <v>0</v>
      </c>
      <c r="E42" s="154">
        <f t="shared" si="8"/>
        <v>0</v>
      </c>
      <c r="F42" s="154">
        <f t="shared" si="8"/>
        <v>536357.05</v>
      </c>
      <c r="G42" s="154">
        <f t="shared" si="8"/>
        <v>384.407097735</v>
      </c>
    </row>
    <row r="43" ht="18.75" customHeight="1"/>
    <row r="44" ht="18.75" customHeight="1" thickBot="1">
      <c r="A44" s="32" t="s">
        <v>154</v>
      </c>
    </row>
    <row r="45" spans="1:11" s="11" customFormat="1" ht="18.75" customHeight="1">
      <c r="A45" s="361" t="s">
        <v>19</v>
      </c>
      <c r="B45" s="260" t="s">
        <v>268</v>
      </c>
      <c r="C45" s="261" t="s">
        <v>269</v>
      </c>
      <c r="D45" s="261" t="s">
        <v>268</v>
      </c>
      <c r="E45" s="261" t="s">
        <v>269</v>
      </c>
      <c r="F45" s="261" t="s">
        <v>20</v>
      </c>
      <c r="G45" s="261" t="s">
        <v>39</v>
      </c>
      <c r="K45" s="41"/>
    </row>
    <row r="46" spans="1:11" s="11" customFormat="1" ht="18.75" customHeight="1" thickBot="1">
      <c r="A46" s="362"/>
      <c r="B46" s="262" t="s">
        <v>104</v>
      </c>
      <c r="C46" s="262" t="s">
        <v>104</v>
      </c>
      <c r="D46" s="262" t="s">
        <v>38</v>
      </c>
      <c r="E46" s="262" t="s">
        <v>38</v>
      </c>
      <c r="F46" s="262" t="s">
        <v>254</v>
      </c>
      <c r="G46" s="262" t="s">
        <v>270</v>
      </c>
      <c r="K46" s="41"/>
    </row>
    <row r="47" spans="1:7" ht="18.75" customHeight="1">
      <c r="A47" s="132" t="s">
        <v>274</v>
      </c>
      <c r="B47" s="278">
        <v>3946647.2</v>
      </c>
      <c r="C47" s="70">
        <f aca="true" t="shared" si="9" ref="C47:C53">0.7167*B47/1000</f>
        <v>2828.56204824</v>
      </c>
      <c r="D47" s="67">
        <v>0</v>
      </c>
      <c r="E47" s="279">
        <f aca="true" t="shared" si="10" ref="E47:E53">0.7167*D47/1000</f>
        <v>0</v>
      </c>
      <c r="F47" s="270">
        <f aca="true" t="shared" si="11" ref="F47:F53">B47+D47</f>
        <v>3946647.2</v>
      </c>
      <c r="G47" s="66">
        <f aca="true" t="shared" si="12" ref="G47:G53">C47+D47</f>
        <v>2828.56204824</v>
      </c>
    </row>
    <row r="48" spans="1:7" ht="18.75" customHeight="1">
      <c r="A48" s="132" t="s">
        <v>275</v>
      </c>
      <c r="B48" s="278">
        <v>2532957.12</v>
      </c>
      <c r="C48" s="70">
        <f t="shared" si="9"/>
        <v>1815.370367904</v>
      </c>
      <c r="D48" s="67">
        <v>0</v>
      </c>
      <c r="E48" s="66">
        <f t="shared" si="10"/>
        <v>0</v>
      </c>
      <c r="F48" s="270">
        <f t="shared" si="11"/>
        <v>2532957.12</v>
      </c>
      <c r="G48" s="66">
        <f t="shared" si="12"/>
        <v>1815.370367904</v>
      </c>
    </row>
    <row r="49" spans="1:7" ht="18.75" customHeight="1">
      <c r="A49" s="314" t="s">
        <v>276</v>
      </c>
      <c r="B49" s="278">
        <v>1908285.17</v>
      </c>
      <c r="C49" s="70">
        <f t="shared" si="9"/>
        <v>1367.6679813389999</v>
      </c>
      <c r="D49" s="67">
        <v>0</v>
      </c>
      <c r="E49" s="66">
        <f t="shared" si="10"/>
        <v>0</v>
      </c>
      <c r="F49" s="270">
        <f t="shared" si="11"/>
        <v>1908285.17</v>
      </c>
      <c r="G49" s="66">
        <f t="shared" si="12"/>
        <v>1367.6679813389999</v>
      </c>
    </row>
    <row r="50" spans="1:7" ht="18.75" customHeight="1">
      <c r="A50" s="314" t="s">
        <v>277</v>
      </c>
      <c r="B50" s="278">
        <v>1418946.32</v>
      </c>
      <c r="C50" s="70">
        <f t="shared" si="9"/>
        <v>1016.958827544</v>
      </c>
      <c r="D50" s="67">
        <v>0</v>
      </c>
      <c r="E50" s="66">
        <f t="shared" si="10"/>
        <v>0</v>
      </c>
      <c r="F50" s="270">
        <f t="shared" si="11"/>
        <v>1418946.32</v>
      </c>
      <c r="G50" s="66">
        <f t="shared" si="12"/>
        <v>1016.958827544</v>
      </c>
    </row>
    <row r="51" spans="1:7" ht="18.75" customHeight="1">
      <c r="A51" s="314" t="s">
        <v>278</v>
      </c>
      <c r="B51" s="278">
        <v>1499246.28</v>
      </c>
      <c r="C51" s="70">
        <f t="shared" si="9"/>
        <v>1074.509808876</v>
      </c>
      <c r="D51" s="274">
        <v>0</v>
      </c>
      <c r="E51" s="70">
        <f t="shared" si="10"/>
        <v>0</v>
      </c>
      <c r="F51" s="270">
        <f t="shared" si="11"/>
        <v>1499246.28</v>
      </c>
      <c r="G51" s="66">
        <f t="shared" si="12"/>
        <v>1074.509808876</v>
      </c>
    </row>
    <row r="52" spans="1:9" ht="18.75" customHeight="1">
      <c r="A52" s="314" t="s">
        <v>279</v>
      </c>
      <c r="B52" s="278">
        <v>940027.71</v>
      </c>
      <c r="C52" s="70">
        <f t="shared" si="9"/>
        <v>673.717859757</v>
      </c>
      <c r="D52" s="274">
        <v>0</v>
      </c>
      <c r="E52" s="70">
        <f t="shared" si="10"/>
        <v>0</v>
      </c>
      <c r="F52" s="270">
        <f t="shared" si="11"/>
        <v>940027.71</v>
      </c>
      <c r="G52" s="66">
        <f t="shared" si="12"/>
        <v>673.717859757</v>
      </c>
      <c r="I52" s="33"/>
    </row>
    <row r="53" spans="1:7" ht="18.75" customHeight="1" thickBot="1">
      <c r="A53" s="314" t="s">
        <v>280</v>
      </c>
      <c r="B53" s="280">
        <v>1717982.27</v>
      </c>
      <c r="C53" s="70">
        <f t="shared" si="9"/>
        <v>1231.277892909</v>
      </c>
      <c r="D53" s="274">
        <v>0</v>
      </c>
      <c r="E53" s="70">
        <f t="shared" si="10"/>
        <v>0</v>
      </c>
      <c r="F53" s="270">
        <f t="shared" si="11"/>
        <v>1717982.27</v>
      </c>
      <c r="G53" s="66">
        <f t="shared" si="12"/>
        <v>1231.277892909</v>
      </c>
    </row>
    <row r="54" spans="1:7" ht="18.75" customHeight="1" thickBot="1">
      <c r="A54" s="153" t="s">
        <v>281</v>
      </c>
      <c r="B54" s="154">
        <f aca="true" t="shared" si="13" ref="B54:G54">SUM(B47:B53)</f>
        <v>13964092.07</v>
      </c>
      <c r="C54" s="154">
        <f t="shared" si="13"/>
        <v>10008.064786569</v>
      </c>
      <c r="D54" s="154">
        <f t="shared" si="13"/>
        <v>0</v>
      </c>
      <c r="E54" s="154">
        <f t="shared" si="13"/>
        <v>0</v>
      </c>
      <c r="F54" s="154">
        <f t="shared" si="13"/>
        <v>13964092.07</v>
      </c>
      <c r="G54" s="154">
        <f t="shared" si="13"/>
        <v>10008.064786569</v>
      </c>
    </row>
    <row r="55" ht="18.75" customHeight="1"/>
    <row r="56" ht="18.75" customHeight="1"/>
    <row r="57" ht="18.75" customHeight="1">
      <c r="G57" s="31"/>
    </row>
    <row r="58" ht="18.75" customHeight="1">
      <c r="G58" s="31"/>
    </row>
    <row r="59" spans="1:2" ht="18.75" customHeight="1">
      <c r="A59" s="11" t="s">
        <v>272</v>
      </c>
      <c r="B59" s="11"/>
    </row>
    <row r="60" ht="18.75" customHeight="1" thickBot="1"/>
    <row r="61" spans="1:2" ht="18.75" customHeight="1">
      <c r="A61" s="357" t="s">
        <v>46</v>
      </c>
      <c r="B61" s="260" t="s">
        <v>21</v>
      </c>
    </row>
    <row r="62" spans="1:2" ht="18.75" customHeight="1">
      <c r="A62" s="358"/>
      <c r="B62" s="263" t="s">
        <v>270</v>
      </c>
    </row>
    <row r="63" spans="1:3" ht="18.75" customHeight="1" thickBot="1">
      <c r="A63" s="281">
        <v>2011</v>
      </c>
      <c r="B63" s="56">
        <f>G54+G42+G29</f>
        <v>10943.037821331001</v>
      </c>
      <c r="C63" s="31"/>
    </row>
    <row r="64" spans="1:2" ht="18.75" customHeight="1" thickBot="1">
      <c r="A64" s="153" t="s">
        <v>281</v>
      </c>
      <c r="B64" s="159">
        <f>SUM(B63:B63)</f>
        <v>10943.037821331001</v>
      </c>
    </row>
    <row r="65" ht="18.75" customHeight="1"/>
    <row r="66" spans="1:2" ht="12.75">
      <c r="A66" s="18"/>
      <c r="B66" s="18"/>
    </row>
    <row r="67" spans="1:2" ht="12.75">
      <c r="A67" s="20"/>
      <c r="B67" s="19"/>
    </row>
    <row r="68" spans="1:2" ht="12.75">
      <c r="A68" s="18"/>
      <c r="B68" s="34"/>
    </row>
    <row r="69" spans="1:2" ht="12.75">
      <c r="A69" s="18"/>
      <c r="B69" s="14"/>
    </row>
    <row r="70" spans="1:2" ht="12.75">
      <c r="A70" s="18"/>
      <c r="B70" s="23"/>
    </row>
    <row r="71" spans="1:2" ht="12.75">
      <c r="A71" s="18"/>
      <c r="B71" s="23"/>
    </row>
    <row r="72" spans="1:2" ht="12.75">
      <c r="A72" s="29"/>
      <c r="B72" s="25"/>
    </row>
    <row r="73" spans="1:2" ht="12.75">
      <c r="A73" s="18"/>
      <c r="B73" s="23"/>
    </row>
    <row r="76" spans="1:2" ht="15">
      <c r="A76" s="35"/>
      <c r="B76" s="21"/>
    </row>
    <row r="77" spans="1:2" ht="12.75">
      <c r="A77" s="18"/>
      <c r="B77" s="34"/>
    </row>
    <row r="78" spans="1:2" ht="12.75">
      <c r="A78" s="18"/>
      <c r="B78" s="36"/>
    </row>
    <row r="79" spans="1:2" ht="12.75">
      <c r="A79" s="18"/>
      <c r="B79" s="36"/>
    </row>
    <row r="80" spans="1:2" ht="12.75">
      <c r="A80" s="29"/>
      <c r="B80" s="25"/>
    </row>
    <row r="81" spans="1:2" ht="12.75">
      <c r="A81" s="29"/>
      <c r="B81" s="25"/>
    </row>
    <row r="82" spans="1:2" ht="12.75">
      <c r="A82" s="18"/>
      <c r="B82" s="23"/>
    </row>
    <row r="83" spans="1:2" ht="12.75">
      <c r="A83" s="19"/>
      <c r="B83" s="19"/>
    </row>
    <row r="84" spans="1:2" ht="15">
      <c r="A84" s="35"/>
      <c r="B84" s="21"/>
    </row>
    <row r="85" spans="1:2" ht="12.75">
      <c r="A85" s="18"/>
      <c r="B85" s="37"/>
    </row>
    <row r="86" spans="1:2" ht="12.75">
      <c r="A86" s="18"/>
      <c r="B86" s="23"/>
    </row>
    <row r="87" spans="1:2" ht="12.75">
      <c r="A87" s="18"/>
      <c r="B87" s="23"/>
    </row>
    <row r="88" spans="1:2" ht="12.75">
      <c r="A88" s="29"/>
      <c r="B88" s="23"/>
    </row>
    <row r="89" spans="1:2" ht="12.75">
      <c r="A89" s="29"/>
      <c r="B89" s="23"/>
    </row>
    <row r="90" spans="1:2" ht="12.75">
      <c r="A90" s="18"/>
      <c r="B90" s="23"/>
    </row>
    <row r="91" spans="1:2" ht="12.75">
      <c r="A91" s="19"/>
      <c r="B91" s="19"/>
    </row>
    <row r="92" spans="1:2" ht="15">
      <c r="A92" s="35"/>
      <c r="B92" s="21"/>
    </row>
    <row r="93" spans="1:2" ht="12.75">
      <c r="A93" s="18"/>
      <c r="B93" s="34"/>
    </row>
    <row r="94" spans="1:2" ht="12.75">
      <c r="A94" s="18"/>
      <c r="B94" s="38"/>
    </row>
    <row r="95" spans="1:2" ht="12.75">
      <c r="A95" s="18"/>
      <c r="B95" s="23"/>
    </row>
    <row r="96" spans="1:2" ht="12.75">
      <c r="A96" s="29"/>
      <c r="B96" s="23"/>
    </row>
    <row r="97" spans="1:2" ht="12.75">
      <c r="A97" s="29"/>
      <c r="B97" s="23"/>
    </row>
    <row r="98" spans="1:2" ht="12.75">
      <c r="A98" s="18"/>
      <c r="B98" s="23"/>
    </row>
    <row r="99" spans="1:2" ht="12.75">
      <c r="A99" s="19"/>
      <c r="B99" s="19"/>
    </row>
    <row r="100" spans="1:2" ht="12.75">
      <c r="A100" s="19"/>
      <c r="B100" s="19"/>
    </row>
    <row r="101" spans="1:2" ht="12.75">
      <c r="A101" s="19"/>
      <c r="B101" s="19"/>
    </row>
    <row r="102" spans="1:2" ht="12.75">
      <c r="A102" s="29"/>
      <c r="B102" s="29"/>
    </row>
    <row r="103" spans="1:2" ht="12.75">
      <c r="A103" s="18"/>
      <c r="B103" s="18"/>
    </row>
    <row r="104" spans="1:2" ht="12.75">
      <c r="A104" s="18"/>
      <c r="B104" s="18"/>
    </row>
    <row r="105" spans="1:2" ht="12.75">
      <c r="A105" s="18"/>
      <c r="B105" s="18"/>
    </row>
    <row r="106" spans="1:2" ht="12.75">
      <c r="A106" s="29"/>
      <c r="B106" s="29"/>
    </row>
    <row r="107" spans="1:2" ht="12.75">
      <c r="A107" s="29"/>
      <c r="B107" s="29"/>
    </row>
    <row r="108" spans="1:2" ht="12.75">
      <c r="A108" s="18"/>
      <c r="B108" s="19"/>
    </row>
    <row r="109" spans="1:2" ht="12.75">
      <c r="A109" s="19"/>
      <c r="B109" s="19"/>
    </row>
    <row r="110" spans="1:2" ht="12.75">
      <c r="A110" s="19"/>
      <c r="B110" s="19"/>
    </row>
    <row r="111" spans="1:2" ht="12.75">
      <c r="A111" s="19"/>
      <c r="B111" s="19"/>
    </row>
    <row r="112" spans="1:2" ht="15">
      <c r="A112" s="35"/>
      <c r="B112" s="21"/>
    </row>
    <row r="113" spans="1:2" ht="12.75">
      <c r="A113" s="18"/>
      <c r="B113" s="34"/>
    </row>
    <row r="114" spans="1:2" ht="12.75">
      <c r="A114" s="18"/>
      <c r="B114" s="23"/>
    </row>
    <row r="115" spans="1:2" ht="12.75">
      <c r="A115" s="18"/>
      <c r="B115" s="23"/>
    </row>
    <row r="116" spans="1:2" ht="12.75">
      <c r="A116" s="29"/>
      <c r="B116" s="23"/>
    </row>
    <row r="117" spans="1:2" ht="12.75">
      <c r="A117" s="29"/>
      <c r="B117" s="23"/>
    </row>
    <row r="118" spans="1:2" ht="12.75">
      <c r="A118" s="18"/>
      <c r="B118" s="23"/>
    </row>
    <row r="119" spans="1:2" ht="12.75">
      <c r="A119" s="19"/>
      <c r="B119" s="19"/>
    </row>
    <row r="120" spans="1:2" ht="15">
      <c r="A120" s="35"/>
      <c r="B120" s="21"/>
    </row>
    <row r="121" spans="1:2" ht="12.75">
      <c r="A121" s="18"/>
      <c r="B121" s="37"/>
    </row>
    <row r="122" spans="1:2" ht="12.75">
      <c r="A122" s="18"/>
      <c r="B122" s="23"/>
    </row>
    <row r="123" spans="1:2" ht="12.75">
      <c r="A123" s="18"/>
      <c r="B123" s="23"/>
    </row>
    <row r="124" spans="1:2" ht="12.75">
      <c r="A124" s="29"/>
      <c r="B124" s="23"/>
    </row>
    <row r="125" spans="1:2" ht="12.75">
      <c r="A125" s="29"/>
      <c r="B125" s="23"/>
    </row>
    <row r="126" spans="1:2" ht="12.75">
      <c r="A126" s="18"/>
      <c r="B126" s="23"/>
    </row>
    <row r="127" spans="1:2" ht="12.75">
      <c r="A127" s="19"/>
      <c r="B127" s="19"/>
    </row>
    <row r="128" spans="1:2" ht="15">
      <c r="A128" s="35"/>
      <c r="B128" s="21"/>
    </row>
    <row r="129" spans="1:2" ht="12.75">
      <c r="A129" s="18"/>
      <c r="B129" s="34"/>
    </row>
    <row r="130" spans="1:2" ht="12.75">
      <c r="A130" s="18"/>
      <c r="B130" s="23"/>
    </row>
    <row r="131" spans="1:2" ht="12.75">
      <c r="A131" s="18"/>
      <c r="B131" s="23"/>
    </row>
    <row r="132" spans="1:2" ht="12.75">
      <c r="A132" s="29"/>
      <c r="B132" s="23"/>
    </row>
    <row r="133" spans="1:2" ht="12.75">
      <c r="A133" s="29"/>
      <c r="B133" s="23"/>
    </row>
    <row r="134" spans="1:2" ht="12.75">
      <c r="A134" s="18"/>
      <c r="B134" s="23"/>
    </row>
    <row r="135" spans="1:2" ht="12.75">
      <c r="A135" s="19"/>
      <c r="B135" s="19"/>
    </row>
    <row r="136" spans="1:2" ht="12.75">
      <c r="A136" s="19"/>
      <c r="B136" s="19"/>
    </row>
    <row r="137" spans="1:2" ht="12.75">
      <c r="A137" s="39"/>
      <c r="B137" s="19"/>
    </row>
    <row r="138" spans="1:2" ht="12.75">
      <c r="A138" s="40"/>
      <c r="B138" s="19"/>
    </row>
    <row r="139" spans="1:2" ht="12.75">
      <c r="A139" s="19"/>
      <c r="B139" s="19"/>
    </row>
    <row r="140" spans="1:2" ht="12.75">
      <c r="A140" s="19"/>
      <c r="B140" s="19"/>
    </row>
    <row r="141" spans="1:2" ht="12.75">
      <c r="A141" s="19"/>
      <c r="B141" s="19"/>
    </row>
    <row r="142" spans="1:2" ht="12.75">
      <c r="A142" s="19"/>
      <c r="B142" s="19"/>
    </row>
    <row r="143" spans="1:2" ht="12.75">
      <c r="A143" s="19"/>
      <c r="B143" s="19"/>
    </row>
    <row r="144" spans="1:2" ht="12.75">
      <c r="A144" s="19"/>
      <c r="B144" s="19"/>
    </row>
    <row r="145" spans="1:2" ht="12.75">
      <c r="A145" s="19"/>
      <c r="B145" s="19"/>
    </row>
    <row r="146" spans="1:2" ht="12.75">
      <c r="A146" s="19"/>
      <c r="B146" s="19"/>
    </row>
    <row r="147" spans="1:2" ht="12.75">
      <c r="A147" s="19"/>
      <c r="B147" s="19"/>
    </row>
    <row r="148" spans="1:2" ht="12.75">
      <c r="A148" s="19"/>
      <c r="B148" s="19"/>
    </row>
    <row r="149" spans="1:2" ht="12.75">
      <c r="A149" s="19"/>
      <c r="B149" s="19"/>
    </row>
    <row r="150" spans="1:2" ht="12.75">
      <c r="A150" s="19"/>
      <c r="B150" s="19"/>
    </row>
    <row r="151" spans="1:2" ht="12.75">
      <c r="A151" s="19"/>
      <c r="B151" s="19"/>
    </row>
  </sheetData>
  <sheetProtection/>
  <mergeCells count="5">
    <mergeCell ref="A61:A62"/>
    <mergeCell ref="G8:H8"/>
    <mergeCell ref="A20:A21"/>
    <mergeCell ref="A33:A34"/>
    <mergeCell ref="A45:A46"/>
  </mergeCells>
  <printOptions/>
  <pageMargins left="0.75" right="0.75" top="1" bottom="1" header="0.5" footer="0.5"/>
  <pageSetup horizontalDpi="300" verticalDpi="300" orientation="landscape" paperSize="9" scale="72" r:id="rId3"/>
  <rowBreaks count="1" manualBreakCount="1">
    <brk id="4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O142"/>
  <sheetViews>
    <sheetView zoomScale="85" zoomScaleNormal="85" workbookViewId="0" topLeftCell="A1">
      <selection activeCell="C2" sqref="C2"/>
    </sheetView>
  </sheetViews>
  <sheetFormatPr defaultColWidth="9.33203125" defaultRowHeight="12.75"/>
  <cols>
    <col min="1" max="1" width="36.83203125" style="12" customWidth="1"/>
    <col min="2" max="3" width="27.83203125" style="12" customWidth="1"/>
    <col min="4" max="4" width="28.16015625" style="12" customWidth="1"/>
    <col min="5" max="5" width="21.33203125" style="12" customWidth="1"/>
    <col min="6" max="6" width="14" style="12" bestFit="1" customWidth="1"/>
    <col min="7" max="7" width="28.33203125" style="12" bestFit="1" customWidth="1"/>
    <col min="8" max="10" width="17.33203125" style="12" customWidth="1"/>
    <col min="11" max="11" width="17.33203125" style="17" customWidth="1"/>
    <col min="12" max="15" width="17.33203125" style="12" customWidth="1"/>
    <col min="16" max="16" width="17.83203125" style="12" customWidth="1"/>
    <col min="17" max="17" width="23.5" style="12" customWidth="1"/>
    <col min="18" max="18" width="15.5" style="12" customWidth="1"/>
    <col min="19" max="16384" width="9.33203125" style="12" customWidth="1"/>
  </cols>
  <sheetData>
    <row r="1" spans="1:4" ht="18.75" customHeight="1">
      <c r="A1" s="344" t="s">
        <v>105</v>
      </c>
      <c r="B1" s="345"/>
      <c r="C1" s="345"/>
      <c r="D1" s="345"/>
    </row>
    <row r="2" spans="1:4" ht="18.75" customHeight="1">
      <c r="A2" s="32"/>
      <c r="B2" s="345"/>
      <c r="C2" s="343" t="s">
        <v>295</v>
      </c>
      <c r="D2" s="345"/>
    </row>
    <row r="3" spans="1:4" ht="18.75" customHeight="1">
      <c r="A3" s="32"/>
      <c r="B3" s="345"/>
      <c r="C3" s="343" t="s">
        <v>294</v>
      </c>
      <c r="D3" s="345"/>
    </row>
    <row r="4" ht="18.75" customHeight="1">
      <c r="A4" s="9"/>
    </row>
    <row r="5" ht="18.75" customHeight="1">
      <c r="D5" s="10" t="s">
        <v>152</v>
      </c>
    </row>
    <row r="6" spans="1:11" ht="18.75" customHeight="1">
      <c r="A6" s="19"/>
      <c r="B6" s="19"/>
      <c r="J6" s="17"/>
      <c r="K6" s="12"/>
    </row>
    <row r="7" spans="1:14" ht="18.75" customHeight="1" thickBot="1">
      <c r="A7" s="18"/>
      <c r="B7" s="18"/>
      <c r="C7" s="19"/>
      <c r="D7" s="18"/>
      <c r="E7" s="18"/>
      <c r="F7" s="19"/>
      <c r="G7" s="10" t="s">
        <v>284</v>
      </c>
      <c r="H7" s="10" t="s">
        <v>18</v>
      </c>
      <c r="I7" s="13"/>
      <c r="J7" s="19"/>
      <c r="K7" s="19"/>
      <c r="L7" s="19"/>
      <c r="M7" s="19"/>
      <c r="N7" s="19"/>
    </row>
    <row r="8" spans="1:13" ht="18.75" customHeight="1">
      <c r="A8" s="20"/>
      <c r="B8" s="19"/>
      <c r="C8" s="21"/>
      <c r="D8" s="20"/>
      <c r="E8" s="19"/>
      <c r="F8" s="21"/>
      <c r="G8" s="359" t="s">
        <v>285</v>
      </c>
      <c r="H8" s="360"/>
      <c r="I8" s="14"/>
      <c r="J8" s="21"/>
      <c r="K8" s="21"/>
      <c r="L8" s="21"/>
      <c r="M8" s="22"/>
    </row>
    <row r="9" spans="1:13" ht="18.75" customHeight="1">
      <c r="A9" s="18"/>
      <c r="B9" s="23"/>
      <c r="C9" s="24"/>
      <c r="D9" s="18"/>
      <c r="E9" s="25"/>
      <c r="F9" s="24"/>
      <c r="G9" s="149" t="s">
        <v>95</v>
      </c>
      <c r="H9" s="155">
        <f>'Baseline emissions (2012) '!C57</f>
        <v>29106.398800000003</v>
      </c>
      <c r="I9" s="15"/>
      <c r="J9" s="24"/>
      <c r="K9" s="24"/>
      <c r="L9" s="24"/>
      <c r="M9" s="26"/>
    </row>
    <row r="10" spans="1:13" ht="18.75" customHeight="1">
      <c r="A10" s="18"/>
      <c r="B10" s="14"/>
      <c r="C10" s="14"/>
      <c r="D10" s="18"/>
      <c r="E10" s="27"/>
      <c r="F10" s="14"/>
      <c r="G10" s="80" t="s">
        <v>96</v>
      </c>
      <c r="H10" s="156">
        <v>12</v>
      </c>
      <c r="I10" s="16"/>
      <c r="J10" s="14"/>
      <c r="K10" s="14"/>
      <c r="L10" s="14"/>
      <c r="M10" s="19"/>
    </row>
    <row r="11" spans="1:13" ht="18.75" customHeight="1">
      <c r="A11" s="18"/>
      <c r="B11" s="23"/>
      <c r="C11" s="14"/>
      <c r="D11" s="18"/>
      <c r="E11" s="25"/>
      <c r="F11" s="14"/>
      <c r="G11" s="80" t="s">
        <v>123</v>
      </c>
      <c r="H11" s="157">
        <f>'Heat load (2012)'!C11</f>
        <v>9500.64</v>
      </c>
      <c r="I11" s="16"/>
      <c r="J11" s="14"/>
      <c r="K11" s="14"/>
      <c r="L11" s="14"/>
      <c r="M11" s="19"/>
    </row>
    <row r="12" spans="1:15" ht="18.75" customHeight="1">
      <c r="A12" s="18"/>
      <c r="B12" s="23"/>
      <c r="C12" s="25"/>
      <c r="D12" s="18"/>
      <c r="E12" s="25"/>
      <c r="F12" s="23"/>
      <c r="G12" s="150" t="s">
        <v>223</v>
      </c>
      <c r="H12" s="157">
        <f>B36</f>
        <v>313018.47</v>
      </c>
      <c r="I12" s="16"/>
      <c r="J12" s="23"/>
      <c r="K12" s="23"/>
      <c r="L12" s="23"/>
      <c r="M12" s="26"/>
      <c r="O12" s="28"/>
    </row>
    <row r="13" spans="1:15" ht="18.75" customHeight="1">
      <c r="A13" s="29"/>
      <c r="B13" s="25"/>
      <c r="C13" s="25"/>
      <c r="D13" s="29"/>
      <c r="E13" s="25"/>
      <c r="F13" s="23"/>
      <c r="G13" s="151" t="s">
        <v>224</v>
      </c>
      <c r="H13" s="157">
        <f>B45</f>
        <v>8447080.98</v>
      </c>
      <c r="I13" s="16"/>
      <c r="J13" s="23"/>
      <c r="K13" s="23"/>
      <c r="L13" s="23"/>
      <c r="M13" s="26"/>
      <c r="O13" s="28"/>
    </row>
    <row r="14" spans="1:13" ht="18.75" customHeight="1" thickBot="1">
      <c r="A14" s="18"/>
      <c r="B14" s="23"/>
      <c r="C14" s="30"/>
      <c r="D14" s="18"/>
      <c r="E14" s="25"/>
      <c r="F14" s="30"/>
      <c r="G14" s="152" t="s">
        <v>225</v>
      </c>
      <c r="H14" s="158">
        <f>G45+G36</f>
        <v>6278.363275815</v>
      </c>
      <c r="I14" s="16"/>
      <c r="J14" s="30"/>
      <c r="K14" s="30"/>
      <c r="L14" s="30"/>
      <c r="M14" s="26"/>
    </row>
    <row r="15" spans="1:2" ht="18.75" customHeight="1">
      <c r="A15" s="264" t="s">
        <v>97</v>
      </c>
      <c r="B15" s="265"/>
    </row>
    <row r="16" spans="1:2" ht="18.75" customHeight="1" thickBot="1">
      <c r="A16" s="266">
        <v>0.05</v>
      </c>
      <c r="B16" s="267">
        <v>0.035</v>
      </c>
    </row>
    <row r="17" ht="18.75" customHeight="1"/>
    <row r="18" ht="18.75" customHeight="1">
      <c r="A18" s="11" t="s">
        <v>271</v>
      </c>
    </row>
    <row r="19" ht="18.75" customHeight="1" thickBot="1">
      <c r="A19" s="11" t="s">
        <v>36</v>
      </c>
    </row>
    <row r="20" spans="1:7" ht="18.75" customHeight="1">
      <c r="A20" s="361" t="s">
        <v>19</v>
      </c>
      <c r="B20" s="260" t="s">
        <v>268</v>
      </c>
      <c r="C20" s="261" t="s">
        <v>269</v>
      </c>
      <c r="D20" s="261" t="s">
        <v>268</v>
      </c>
      <c r="E20" s="261" t="s">
        <v>269</v>
      </c>
      <c r="F20" s="261" t="s">
        <v>20</v>
      </c>
      <c r="G20" s="261" t="s">
        <v>39</v>
      </c>
    </row>
    <row r="21" spans="1:7" ht="18.75" customHeight="1" thickBot="1">
      <c r="A21" s="362"/>
      <c r="B21" s="262" t="s">
        <v>104</v>
      </c>
      <c r="C21" s="262" t="s">
        <v>104</v>
      </c>
      <c r="D21" s="262" t="s">
        <v>38</v>
      </c>
      <c r="E21" s="262" t="s">
        <v>38</v>
      </c>
      <c r="F21" s="262" t="s">
        <v>254</v>
      </c>
      <c r="G21" s="262" t="s">
        <v>270</v>
      </c>
    </row>
    <row r="22" spans="1:7" ht="18.75" customHeight="1">
      <c r="A22" s="132" t="s">
        <v>287</v>
      </c>
      <c r="B22" s="268">
        <v>102010.77</v>
      </c>
      <c r="C22" s="269">
        <f>0.7167*B22/1000</f>
        <v>73.11111885900002</v>
      </c>
      <c r="D22" s="67">
        <v>0</v>
      </c>
      <c r="E22" s="66">
        <f>0.7167*D22/1000</f>
        <v>0</v>
      </c>
      <c r="F22" s="270">
        <f>B22+D22</f>
        <v>102010.77</v>
      </c>
      <c r="G22" s="66">
        <f>C22+D22</f>
        <v>73.11111885900002</v>
      </c>
    </row>
    <row r="23" spans="1:7" s="17" customFormat="1" ht="18.75" customHeight="1">
      <c r="A23" s="132" t="s">
        <v>288</v>
      </c>
      <c r="B23" s="271">
        <v>118312.74</v>
      </c>
      <c r="C23" s="269">
        <f>0.7167*B23/1000</f>
        <v>84.794740758</v>
      </c>
      <c r="D23" s="67">
        <v>0</v>
      </c>
      <c r="E23" s="66">
        <f>0.7167*D23/1000</f>
        <v>0</v>
      </c>
      <c r="F23" s="270">
        <f>B23+D23</f>
        <v>118312.74</v>
      </c>
      <c r="G23" s="66">
        <f>C23+D23</f>
        <v>84.794740758</v>
      </c>
    </row>
    <row r="24" spans="1:7" s="17" customFormat="1" ht="18.75" customHeight="1">
      <c r="A24" s="314" t="s">
        <v>289</v>
      </c>
      <c r="B24" s="272">
        <v>128790.12</v>
      </c>
      <c r="C24" s="273">
        <f>0.7167*B24/1000</f>
        <v>92.303879004</v>
      </c>
      <c r="D24" s="274">
        <v>0</v>
      </c>
      <c r="E24" s="70">
        <f>0.7167*D24/1000</f>
        <v>0</v>
      </c>
      <c r="F24" s="270">
        <f>B24+D24</f>
        <v>128790.12</v>
      </c>
      <c r="G24" s="66">
        <f>C24+D24</f>
        <v>92.303879004</v>
      </c>
    </row>
    <row r="25" spans="1:7" s="17" customFormat="1" ht="18.75" customHeight="1" thickBot="1">
      <c r="A25" s="314" t="s">
        <v>290</v>
      </c>
      <c r="B25" s="272">
        <v>109473.09</v>
      </c>
      <c r="C25" s="273">
        <f>0.7167*B25/1000</f>
        <v>78.45936360299999</v>
      </c>
      <c r="D25" s="274">
        <v>0</v>
      </c>
      <c r="E25" s="70">
        <f>0.7167*D25/1000</f>
        <v>0</v>
      </c>
      <c r="F25" s="270">
        <f>B25+D25</f>
        <v>109473.09</v>
      </c>
      <c r="G25" s="66">
        <f>C25+D25</f>
        <v>78.45936360299999</v>
      </c>
    </row>
    <row r="26" spans="1:14" ht="18.75" customHeight="1" thickBot="1">
      <c r="A26" s="153" t="s">
        <v>286</v>
      </c>
      <c r="B26" s="154">
        <f>SUM(B22:B25)</f>
        <v>458586.72</v>
      </c>
      <c r="C26" s="154">
        <f>SUM(C22:C25)</f>
        <v>328.669102224</v>
      </c>
      <c r="D26" s="154">
        <f>SUM(D23:D25)</f>
        <v>0</v>
      </c>
      <c r="E26" s="154">
        <f>SUM(E23:E25)</f>
        <v>0</v>
      </c>
      <c r="F26" s="154">
        <f>SUM(F22:F25)</f>
        <v>458586.72</v>
      </c>
      <c r="G26" s="154">
        <f>SUM(G22:G25)</f>
        <v>328.669102224</v>
      </c>
      <c r="K26" s="12"/>
      <c r="N26" s="17"/>
    </row>
    <row r="27" ht="18.75" customHeight="1">
      <c r="B27" s="31"/>
    </row>
    <row r="28" ht="18.75" customHeight="1"/>
    <row r="29" ht="18.75" customHeight="1" thickBot="1">
      <c r="A29" s="32" t="s">
        <v>153</v>
      </c>
    </row>
    <row r="30" spans="1:7" ht="18.75" customHeight="1">
      <c r="A30" s="361" t="s">
        <v>19</v>
      </c>
      <c r="B30" s="260" t="s">
        <v>268</v>
      </c>
      <c r="C30" s="261" t="s">
        <v>269</v>
      </c>
      <c r="D30" s="261" t="s">
        <v>268</v>
      </c>
      <c r="E30" s="261" t="s">
        <v>269</v>
      </c>
      <c r="F30" s="261" t="s">
        <v>20</v>
      </c>
      <c r="G30" s="261" t="s">
        <v>39</v>
      </c>
    </row>
    <row r="31" spans="1:7" ht="18.75" customHeight="1" thickBot="1">
      <c r="A31" s="362"/>
      <c r="B31" s="262" t="s">
        <v>104</v>
      </c>
      <c r="C31" s="262" t="s">
        <v>104</v>
      </c>
      <c r="D31" s="262" t="s">
        <v>38</v>
      </c>
      <c r="E31" s="262" t="s">
        <v>38</v>
      </c>
      <c r="F31" s="262" t="s">
        <v>254</v>
      </c>
      <c r="G31" s="262" t="s">
        <v>270</v>
      </c>
    </row>
    <row r="32" spans="1:9" ht="18.75" customHeight="1">
      <c r="A32" s="132" t="s">
        <v>287</v>
      </c>
      <c r="B32" s="275">
        <v>80315.73</v>
      </c>
      <c r="C32" s="66">
        <f>0.7167*B32/1000</f>
        <v>57.562283691</v>
      </c>
      <c r="D32" s="67">
        <v>0</v>
      </c>
      <c r="E32" s="66">
        <f>0.7167*D32/1000</f>
        <v>0</v>
      </c>
      <c r="F32" s="270">
        <f>B32+D32</f>
        <v>80315.73</v>
      </c>
      <c r="G32" s="66">
        <f>C32+D32</f>
        <v>57.562283691</v>
      </c>
      <c r="I32" s="31"/>
    </row>
    <row r="33" spans="1:9" ht="18.75" customHeight="1">
      <c r="A33" s="132" t="s">
        <v>288</v>
      </c>
      <c r="B33" s="275">
        <v>74179.59</v>
      </c>
      <c r="C33" s="66">
        <f>0.7167*B33/1000</f>
        <v>53.164512153</v>
      </c>
      <c r="D33" s="67">
        <v>0</v>
      </c>
      <c r="E33" s="66">
        <f>0.7167*D33/1000</f>
        <v>0</v>
      </c>
      <c r="F33" s="270">
        <f>B33+D33</f>
        <v>74179.59</v>
      </c>
      <c r="G33" s="66">
        <f>C33+D33</f>
        <v>53.164512153</v>
      </c>
      <c r="I33" s="31"/>
    </row>
    <row r="34" spans="1:9" ht="18.75" customHeight="1">
      <c r="A34" s="314" t="s">
        <v>289</v>
      </c>
      <c r="B34" s="275">
        <v>76703.61</v>
      </c>
      <c r="C34" s="66">
        <f>0.7167*B34/1000</f>
        <v>54.973477287</v>
      </c>
      <c r="D34" s="67">
        <v>0</v>
      </c>
      <c r="E34" s="66">
        <f>0.7167*D34/1000</f>
        <v>0</v>
      </c>
      <c r="F34" s="270">
        <f>B34+D34</f>
        <v>76703.61</v>
      </c>
      <c r="G34" s="66">
        <f>C34+D34</f>
        <v>54.973477287</v>
      </c>
      <c r="I34" s="31"/>
    </row>
    <row r="35" spans="1:9" ht="18.75" customHeight="1" thickBot="1">
      <c r="A35" s="314" t="s">
        <v>290</v>
      </c>
      <c r="B35" s="275">
        <v>81819.54</v>
      </c>
      <c r="C35" s="66">
        <f>0.7167*B35/1000</f>
        <v>58.640064318</v>
      </c>
      <c r="D35" s="67">
        <v>0</v>
      </c>
      <c r="E35" s="66">
        <f>0.7167*D35/1000</f>
        <v>0</v>
      </c>
      <c r="F35" s="270">
        <f>B35+D35</f>
        <v>81819.54</v>
      </c>
      <c r="G35" s="66">
        <f>C35+D35</f>
        <v>58.640064318</v>
      </c>
      <c r="I35" s="31"/>
    </row>
    <row r="36" spans="1:7" ht="18.75" customHeight="1" thickBot="1">
      <c r="A36" s="153" t="s">
        <v>286</v>
      </c>
      <c r="B36" s="154">
        <f aca="true" t="shared" si="0" ref="B36:G36">SUM(B32:B35)</f>
        <v>313018.47</v>
      </c>
      <c r="C36" s="154">
        <f t="shared" si="0"/>
        <v>224.340337449</v>
      </c>
      <c r="D36" s="154">
        <f t="shared" si="0"/>
        <v>0</v>
      </c>
      <c r="E36" s="154">
        <f t="shared" si="0"/>
        <v>0</v>
      </c>
      <c r="F36" s="154">
        <f t="shared" si="0"/>
        <v>313018.47</v>
      </c>
      <c r="G36" s="154">
        <f t="shared" si="0"/>
        <v>224.340337449</v>
      </c>
    </row>
    <row r="37" ht="18.75" customHeight="1"/>
    <row r="38" ht="18.75" customHeight="1" thickBot="1">
      <c r="A38" s="32" t="s">
        <v>154</v>
      </c>
    </row>
    <row r="39" spans="1:11" s="11" customFormat="1" ht="18.75" customHeight="1">
      <c r="A39" s="361" t="s">
        <v>19</v>
      </c>
      <c r="B39" s="260" t="s">
        <v>268</v>
      </c>
      <c r="C39" s="261" t="s">
        <v>269</v>
      </c>
      <c r="D39" s="261" t="s">
        <v>268</v>
      </c>
      <c r="E39" s="261" t="s">
        <v>269</v>
      </c>
      <c r="F39" s="261" t="s">
        <v>20</v>
      </c>
      <c r="G39" s="261" t="s">
        <v>39</v>
      </c>
      <c r="K39" s="41"/>
    </row>
    <row r="40" spans="1:11" s="11" customFormat="1" ht="18.75" customHeight="1" thickBot="1">
      <c r="A40" s="362"/>
      <c r="B40" s="262" t="s">
        <v>104</v>
      </c>
      <c r="C40" s="262" t="s">
        <v>104</v>
      </c>
      <c r="D40" s="262" t="s">
        <v>38</v>
      </c>
      <c r="E40" s="262" t="s">
        <v>38</v>
      </c>
      <c r="F40" s="262" t="s">
        <v>254</v>
      </c>
      <c r="G40" s="262" t="s">
        <v>270</v>
      </c>
      <c r="K40" s="41"/>
    </row>
    <row r="41" spans="1:7" ht="18.75" customHeight="1">
      <c r="A41" s="132" t="s">
        <v>287</v>
      </c>
      <c r="B41" s="278">
        <v>2122092.93</v>
      </c>
      <c r="C41" s="70">
        <f>0.7167*B41/1000</f>
        <v>1520.9040029310002</v>
      </c>
      <c r="D41" s="67">
        <v>0</v>
      </c>
      <c r="E41" s="279">
        <f>0.7167*D41/1000</f>
        <v>0</v>
      </c>
      <c r="F41" s="270">
        <f>B41+D41</f>
        <v>2122092.93</v>
      </c>
      <c r="G41" s="66">
        <f>C41+D41</f>
        <v>1520.9040029310002</v>
      </c>
    </row>
    <row r="42" spans="1:7" ht="18.75" customHeight="1">
      <c r="A42" s="132" t="s">
        <v>288</v>
      </c>
      <c r="B42" s="278">
        <v>2094235.02</v>
      </c>
      <c r="C42" s="70">
        <f>0.7167*B42/1000</f>
        <v>1500.938238834</v>
      </c>
      <c r="D42" s="67">
        <v>0</v>
      </c>
      <c r="E42" s="66">
        <f>0.7167*D42/1000</f>
        <v>0</v>
      </c>
      <c r="F42" s="270">
        <f>B42+D42</f>
        <v>2094235.02</v>
      </c>
      <c r="G42" s="66">
        <f>C42+D42</f>
        <v>1500.938238834</v>
      </c>
    </row>
    <row r="43" spans="1:7" ht="18.75" customHeight="1">
      <c r="A43" s="314" t="s">
        <v>289</v>
      </c>
      <c r="B43" s="278">
        <v>2059637.87</v>
      </c>
      <c r="C43" s="70">
        <f>0.7167*B43/1000</f>
        <v>1476.1424614290002</v>
      </c>
      <c r="D43" s="67">
        <v>0</v>
      </c>
      <c r="E43" s="66">
        <f>0.7167*D43/1000</f>
        <v>0</v>
      </c>
      <c r="F43" s="270">
        <f>B43+D43</f>
        <v>2059637.87</v>
      </c>
      <c r="G43" s="66">
        <f>C43+D43</f>
        <v>1476.1424614290002</v>
      </c>
    </row>
    <row r="44" spans="1:7" ht="18.75" customHeight="1" thickBot="1">
      <c r="A44" s="314" t="s">
        <v>290</v>
      </c>
      <c r="B44" s="278">
        <v>2171115.16</v>
      </c>
      <c r="C44" s="70">
        <f>0.7167*B44/1000</f>
        <v>1556.038235172</v>
      </c>
      <c r="D44" s="67">
        <v>0</v>
      </c>
      <c r="E44" s="66">
        <f>0.7167*D44/1000</f>
        <v>0</v>
      </c>
      <c r="F44" s="270">
        <f>B44+D44</f>
        <v>2171115.16</v>
      </c>
      <c r="G44" s="66">
        <f>C44+D44</f>
        <v>1556.038235172</v>
      </c>
    </row>
    <row r="45" spans="1:7" ht="18.75" customHeight="1" thickBot="1">
      <c r="A45" s="153" t="s">
        <v>286</v>
      </c>
      <c r="B45" s="154">
        <f aca="true" t="shared" si="1" ref="B45:G45">SUM(B41:B44)</f>
        <v>8447080.98</v>
      </c>
      <c r="C45" s="154">
        <f t="shared" si="1"/>
        <v>6054.022938366</v>
      </c>
      <c r="D45" s="154">
        <f t="shared" si="1"/>
        <v>0</v>
      </c>
      <c r="E45" s="154">
        <f t="shared" si="1"/>
        <v>0</v>
      </c>
      <c r="F45" s="154">
        <f t="shared" si="1"/>
        <v>8447080.98</v>
      </c>
      <c r="G45" s="154">
        <f t="shared" si="1"/>
        <v>6054.022938366</v>
      </c>
    </row>
    <row r="46" ht="18.75" customHeight="1"/>
    <row r="47" ht="18.75" customHeight="1"/>
    <row r="48" ht="18.75" customHeight="1"/>
    <row r="49" ht="18.75" customHeight="1">
      <c r="G49" s="31"/>
    </row>
    <row r="50" spans="1:2" ht="18.75" customHeight="1">
      <c r="A50" s="11" t="s">
        <v>272</v>
      </c>
      <c r="B50" s="11"/>
    </row>
    <row r="51" ht="18.75" customHeight="1" thickBot="1"/>
    <row r="52" spans="1:2" ht="18.75" customHeight="1">
      <c r="A52" s="357" t="s">
        <v>46</v>
      </c>
      <c r="B52" s="260" t="s">
        <v>21</v>
      </c>
    </row>
    <row r="53" spans="1:2" ht="18.75" customHeight="1">
      <c r="A53" s="358"/>
      <c r="B53" s="263" t="s">
        <v>270</v>
      </c>
    </row>
    <row r="54" spans="1:3" ht="18.75" customHeight="1" thickBot="1">
      <c r="A54" s="281">
        <v>2012</v>
      </c>
      <c r="B54" s="56">
        <f>G45+G36+G26</f>
        <v>6607.032378039</v>
      </c>
      <c r="C54" s="31"/>
    </row>
    <row r="55" spans="1:2" ht="18.75" customHeight="1" thickBot="1">
      <c r="A55" s="153" t="s">
        <v>286</v>
      </c>
      <c r="B55" s="159">
        <f>SUM(B54:B54)</f>
        <v>6607.032378039</v>
      </c>
    </row>
    <row r="56" ht="18.75" customHeight="1"/>
    <row r="57" spans="1:2" ht="12.75">
      <c r="A57" s="18"/>
      <c r="B57" s="18"/>
    </row>
    <row r="58" spans="1:2" ht="12.75">
      <c r="A58" s="20"/>
      <c r="B58" s="19"/>
    </row>
    <row r="59" spans="1:2" ht="12.75">
      <c r="A59" s="18"/>
      <c r="B59" s="34"/>
    </row>
    <row r="60" spans="1:2" ht="12.75">
      <c r="A60" s="18"/>
      <c r="B60" s="14"/>
    </row>
    <row r="61" spans="1:2" ht="12.75">
      <c r="A61" s="18"/>
      <c r="B61" s="23"/>
    </row>
    <row r="62" spans="1:2" ht="12.75">
      <c r="A62" s="18"/>
      <c r="B62" s="23"/>
    </row>
    <row r="63" spans="1:2" ht="12.75">
      <c r="A63" s="29"/>
      <c r="B63" s="25"/>
    </row>
    <row r="64" spans="1:2" ht="12.75">
      <c r="A64" s="18"/>
      <c r="B64" s="23"/>
    </row>
    <row r="65" ht="12.75"/>
    <row r="66" ht="12.75"/>
    <row r="67" spans="1:2" ht="15">
      <c r="A67" s="35"/>
      <c r="B67" s="21"/>
    </row>
    <row r="68" spans="1:2" ht="12.75">
      <c r="A68" s="18"/>
      <c r="B68" s="34"/>
    </row>
    <row r="69" spans="1:2" ht="12.75">
      <c r="A69" s="18"/>
      <c r="B69" s="36"/>
    </row>
    <row r="70" spans="1:2" ht="12.75">
      <c r="A70" s="18"/>
      <c r="B70" s="36"/>
    </row>
    <row r="71" spans="1:2" ht="12.75">
      <c r="A71" s="29"/>
      <c r="B71" s="25"/>
    </row>
    <row r="72" spans="1:2" ht="12.75">
      <c r="A72" s="29"/>
      <c r="B72" s="25"/>
    </row>
    <row r="73" spans="1:2" ht="12.75">
      <c r="A73" s="18"/>
      <c r="B73" s="23"/>
    </row>
    <row r="74" spans="1:2" ht="12.75">
      <c r="A74" s="19"/>
      <c r="B74" s="19"/>
    </row>
    <row r="75" spans="1:2" ht="15">
      <c r="A75" s="35"/>
      <c r="B75" s="21"/>
    </row>
    <row r="76" spans="1:2" ht="12.75">
      <c r="A76" s="18"/>
      <c r="B76" s="37"/>
    </row>
    <row r="77" spans="1:2" ht="12.75">
      <c r="A77" s="18"/>
      <c r="B77" s="23"/>
    </row>
    <row r="78" spans="1:2" ht="12.75">
      <c r="A78" s="18"/>
      <c r="B78" s="23"/>
    </row>
    <row r="79" spans="1:2" ht="12.75">
      <c r="A79" s="29"/>
      <c r="B79" s="23"/>
    </row>
    <row r="80" spans="1:2" ht="12.75">
      <c r="A80" s="29"/>
      <c r="B80" s="23"/>
    </row>
    <row r="81" spans="1:2" ht="12.75">
      <c r="A81" s="18"/>
      <c r="B81" s="23"/>
    </row>
    <row r="82" spans="1:2" ht="12.75">
      <c r="A82" s="19"/>
      <c r="B82" s="19"/>
    </row>
    <row r="83" spans="1:2" ht="15">
      <c r="A83" s="35"/>
      <c r="B83" s="21"/>
    </row>
    <row r="84" spans="1:2" ht="12.75">
      <c r="A84" s="18"/>
      <c r="B84" s="34"/>
    </row>
    <row r="85" spans="1:2" ht="12.75">
      <c r="A85" s="18"/>
      <c r="B85" s="38"/>
    </row>
    <row r="86" spans="1:2" ht="12.75">
      <c r="A86" s="18"/>
      <c r="B86" s="23"/>
    </row>
    <row r="87" spans="1:2" ht="12.75">
      <c r="A87" s="29"/>
      <c r="B87" s="23"/>
    </row>
    <row r="88" spans="1:2" ht="12.75">
      <c r="A88" s="29"/>
      <c r="B88" s="23"/>
    </row>
    <row r="89" spans="1:2" ht="12.75">
      <c r="A89" s="18"/>
      <c r="B89" s="23"/>
    </row>
    <row r="90" spans="1:2" ht="12.75">
      <c r="A90" s="19"/>
      <c r="B90" s="19"/>
    </row>
    <row r="91" spans="1:2" ht="12.75">
      <c r="A91" s="19"/>
      <c r="B91" s="19"/>
    </row>
    <row r="92" spans="1:2" ht="12.75">
      <c r="A92" s="19"/>
      <c r="B92" s="19"/>
    </row>
    <row r="93" spans="1:2" ht="12.75">
      <c r="A93" s="29"/>
      <c r="B93" s="29"/>
    </row>
    <row r="94" spans="1:2" ht="12.75">
      <c r="A94" s="18"/>
      <c r="B94" s="18"/>
    </row>
    <row r="95" spans="1:2" ht="12.75">
      <c r="A95" s="18"/>
      <c r="B95" s="18"/>
    </row>
    <row r="96" spans="1:2" ht="12.75">
      <c r="A96" s="18"/>
      <c r="B96" s="18"/>
    </row>
    <row r="97" spans="1:2" ht="12.75">
      <c r="A97" s="29"/>
      <c r="B97" s="29"/>
    </row>
    <row r="98" spans="1:2" ht="12.75">
      <c r="A98" s="29"/>
      <c r="B98" s="29"/>
    </row>
    <row r="99" spans="1:2" ht="12.75">
      <c r="A99" s="18"/>
      <c r="B99" s="19"/>
    </row>
    <row r="100" spans="1:2" ht="12.75">
      <c r="A100" s="19"/>
      <c r="B100" s="19"/>
    </row>
    <row r="101" spans="1:2" ht="12.75">
      <c r="A101" s="19"/>
      <c r="B101" s="19"/>
    </row>
    <row r="102" spans="1:2" ht="12.75">
      <c r="A102" s="19"/>
      <c r="B102" s="19"/>
    </row>
    <row r="103" spans="1:2" ht="15">
      <c r="A103" s="35"/>
      <c r="B103" s="21"/>
    </row>
    <row r="104" spans="1:2" ht="12.75">
      <c r="A104" s="18"/>
      <c r="B104" s="34"/>
    </row>
    <row r="105" spans="1:2" ht="12.75">
      <c r="A105" s="18"/>
      <c r="B105" s="23"/>
    </row>
    <row r="106" spans="1:2" ht="12.75">
      <c r="A106" s="18"/>
      <c r="B106" s="23"/>
    </row>
    <row r="107" spans="1:2" ht="12.75">
      <c r="A107" s="29"/>
      <c r="B107" s="23"/>
    </row>
    <row r="108" spans="1:2" ht="12.75">
      <c r="A108" s="29"/>
      <c r="B108" s="23"/>
    </row>
    <row r="109" spans="1:2" ht="12.75">
      <c r="A109" s="18"/>
      <c r="B109" s="23"/>
    </row>
    <row r="110" spans="1:2" ht="12.75">
      <c r="A110" s="19"/>
      <c r="B110" s="19"/>
    </row>
    <row r="111" spans="1:2" ht="15">
      <c r="A111" s="35"/>
      <c r="B111" s="21"/>
    </row>
    <row r="112" spans="1:2" ht="12.75">
      <c r="A112" s="18"/>
      <c r="B112" s="37"/>
    </row>
    <row r="113" spans="1:2" ht="12.75">
      <c r="A113" s="18"/>
      <c r="B113" s="23"/>
    </row>
    <row r="114" spans="1:2" ht="12.75">
      <c r="A114" s="18"/>
      <c r="B114" s="23"/>
    </row>
    <row r="115" spans="1:2" ht="12.75">
      <c r="A115" s="29"/>
      <c r="B115" s="23"/>
    </row>
    <row r="116" spans="1:2" ht="12.75">
      <c r="A116" s="29"/>
      <c r="B116" s="23"/>
    </row>
    <row r="117" spans="1:2" ht="12.75">
      <c r="A117" s="18"/>
      <c r="B117" s="23"/>
    </row>
    <row r="118" spans="1:2" ht="12.75">
      <c r="A118" s="19"/>
      <c r="B118" s="19"/>
    </row>
    <row r="119" spans="1:2" ht="15">
      <c r="A119" s="35"/>
      <c r="B119" s="21"/>
    </row>
    <row r="120" spans="1:2" ht="12.75">
      <c r="A120" s="18"/>
      <c r="B120" s="34"/>
    </row>
    <row r="121" spans="1:2" ht="12.75">
      <c r="A121" s="18"/>
      <c r="B121" s="23"/>
    </row>
    <row r="122" spans="1:2" ht="12.75">
      <c r="A122" s="18"/>
      <c r="B122" s="23"/>
    </row>
    <row r="123" spans="1:2" ht="12.75">
      <c r="A123" s="29"/>
      <c r="B123" s="23"/>
    </row>
    <row r="124" spans="1:2" ht="12.75">
      <c r="A124" s="29"/>
      <c r="B124" s="23"/>
    </row>
    <row r="125" spans="1:2" ht="12.75">
      <c r="A125" s="18"/>
      <c r="B125" s="23"/>
    </row>
    <row r="126" spans="1:2" ht="12.75">
      <c r="A126" s="19"/>
      <c r="B126" s="19"/>
    </row>
    <row r="127" spans="1:2" ht="12.75">
      <c r="A127" s="19"/>
      <c r="B127" s="19"/>
    </row>
    <row r="128" spans="1:2" ht="12.75">
      <c r="A128" s="39"/>
      <c r="B128" s="19"/>
    </row>
    <row r="129" spans="1:2" ht="12.75">
      <c r="A129" s="40"/>
      <c r="B129" s="19"/>
    </row>
    <row r="130" spans="1:2" ht="12.75">
      <c r="A130" s="19"/>
      <c r="B130" s="19"/>
    </row>
    <row r="131" spans="1:2" ht="12.75">
      <c r="A131" s="19"/>
      <c r="B131" s="19"/>
    </row>
    <row r="132" spans="1:2" ht="12.75">
      <c r="A132" s="19"/>
      <c r="B132" s="19"/>
    </row>
    <row r="133" spans="1:2" ht="12.75">
      <c r="A133" s="19"/>
      <c r="B133" s="19"/>
    </row>
    <row r="134" spans="1:2" ht="12.75">
      <c r="A134" s="19"/>
      <c r="B134" s="19"/>
    </row>
    <row r="135" spans="1:2" ht="12.75">
      <c r="A135" s="19"/>
      <c r="B135" s="19"/>
    </row>
    <row r="136" spans="1:2" ht="12.75">
      <c r="A136" s="19"/>
      <c r="B136" s="19"/>
    </row>
    <row r="137" spans="1:2" ht="12.75">
      <c r="A137" s="19"/>
      <c r="B137" s="19"/>
    </row>
    <row r="138" spans="1:2" ht="12.75">
      <c r="A138" s="19"/>
      <c r="B138" s="19"/>
    </row>
    <row r="139" spans="1:2" ht="12.75">
      <c r="A139" s="19"/>
      <c r="B139" s="19"/>
    </row>
    <row r="140" spans="1:2" ht="12.75">
      <c r="A140" s="19"/>
      <c r="B140" s="19"/>
    </row>
    <row r="141" spans="1:2" ht="12.75">
      <c r="A141" s="19"/>
      <c r="B141" s="19"/>
    </row>
    <row r="142" spans="1:2" ht="12.75">
      <c r="A142" s="19"/>
      <c r="B142" s="19"/>
    </row>
  </sheetData>
  <mergeCells count="5">
    <mergeCell ref="A52:A53"/>
    <mergeCell ref="G8:H8"/>
    <mergeCell ref="A20:A21"/>
    <mergeCell ref="A30:A31"/>
    <mergeCell ref="A39:A40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="85" zoomScaleNormal="85" zoomScalePageLayoutView="0" workbookViewId="0" topLeftCell="A1">
      <selection activeCell="C2" sqref="C2"/>
    </sheetView>
  </sheetViews>
  <sheetFormatPr defaultColWidth="10.66015625" defaultRowHeight="12.75"/>
  <cols>
    <col min="1" max="1" width="28.83203125" style="4" customWidth="1"/>
    <col min="2" max="2" width="13.16015625" style="4" customWidth="1"/>
    <col min="3" max="16384" width="10.66015625" style="4" customWidth="1"/>
  </cols>
  <sheetData>
    <row r="1" spans="1:11" s="12" customFormat="1" ht="18.75" customHeight="1">
      <c r="A1" s="344" t="s">
        <v>105</v>
      </c>
      <c r="B1" s="345"/>
      <c r="C1" s="345"/>
      <c r="D1" s="345"/>
      <c r="K1" s="17"/>
    </row>
    <row r="2" spans="1:11" s="12" customFormat="1" ht="18.75" customHeight="1">
      <c r="A2" s="32"/>
      <c r="B2" s="345"/>
      <c r="C2" s="343" t="s">
        <v>295</v>
      </c>
      <c r="D2" s="345"/>
      <c r="K2" s="17"/>
    </row>
    <row r="3" spans="1:11" s="12" customFormat="1" ht="18.75" customHeight="1">
      <c r="A3" s="32"/>
      <c r="B3" s="345"/>
      <c r="C3" s="343" t="s">
        <v>294</v>
      </c>
      <c r="D3" s="345"/>
      <c r="K3" s="17"/>
    </row>
    <row r="5" s="138" customFormat="1" ht="18.75" customHeight="1">
      <c r="A5" s="137" t="s">
        <v>61</v>
      </c>
    </row>
    <row r="6" s="138" customFormat="1" ht="18.75" customHeight="1"/>
    <row r="7" s="138" customFormat="1" ht="18.75" customHeight="1">
      <c r="A7" s="137" t="s">
        <v>62</v>
      </c>
    </row>
    <row r="8" spans="1:4" s="138" customFormat="1" ht="18.75" customHeight="1">
      <c r="A8" s="138" t="s">
        <v>59</v>
      </c>
      <c r="B8" s="138">
        <v>28.047</v>
      </c>
      <c r="C8" s="138" t="s">
        <v>63</v>
      </c>
      <c r="D8" s="138" t="s">
        <v>64</v>
      </c>
    </row>
    <row r="9" spans="1:4" s="138" customFormat="1" ht="18.75" customHeight="1">
      <c r="A9" s="138" t="s">
        <v>65</v>
      </c>
      <c r="B9" s="139">
        <v>0.8779</v>
      </c>
      <c r="C9" s="138" t="s">
        <v>3</v>
      </c>
      <c r="D9" s="138" t="s">
        <v>64</v>
      </c>
    </row>
    <row r="10" spans="1:3" s="138" customFormat="1" ht="18.75" customHeight="1">
      <c r="A10" s="140" t="s">
        <v>66</v>
      </c>
      <c r="B10" s="141">
        <f>B9/B8</f>
        <v>0.031301030413234926</v>
      </c>
      <c r="C10" s="138" t="s">
        <v>67</v>
      </c>
    </row>
    <row r="11" spans="1:3" s="138" customFormat="1" ht="18.75" customHeight="1">
      <c r="A11" s="140" t="s">
        <v>217</v>
      </c>
      <c r="B11" s="142">
        <f>1000*B10</f>
        <v>31.301030413234926</v>
      </c>
      <c r="C11" s="138" t="s">
        <v>4</v>
      </c>
    </row>
    <row r="12" s="138" customFormat="1" ht="18.75" customHeight="1"/>
    <row r="13" s="138" customFormat="1" ht="18.75" customHeight="1">
      <c r="A13" s="137" t="s">
        <v>68</v>
      </c>
    </row>
    <row r="14" spans="1:4" s="138" customFormat="1" ht="18.75" customHeight="1">
      <c r="A14" s="143" t="s">
        <v>218</v>
      </c>
      <c r="B14" s="138">
        <f>15.3</f>
        <v>15.3</v>
      </c>
      <c r="C14" s="138" t="s">
        <v>4</v>
      </c>
      <c r="D14" s="138" t="s">
        <v>120</v>
      </c>
    </row>
    <row r="15" s="138" customFormat="1" ht="18.75" customHeight="1">
      <c r="A15" s="137"/>
    </row>
    <row r="16" s="138" customFormat="1" ht="18.75" customHeight="1">
      <c r="A16" s="137" t="s">
        <v>115</v>
      </c>
    </row>
    <row r="17" spans="1:3" s="138" customFormat="1" ht="18.75" customHeight="1">
      <c r="A17" s="143" t="s">
        <v>69</v>
      </c>
      <c r="B17" s="143" t="s">
        <v>70</v>
      </c>
      <c r="C17" s="138" t="s">
        <v>114</v>
      </c>
    </row>
    <row r="18" spans="1:2" s="138" customFormat="1" ht="18.75" customHeight="1">
      <c r="A18" s="138" t="s">
        <v>71</v>
      </c>
      <c r="B18" s="144">
        <v>0.8</v>
      </c>
    </row>
    <row r="19" spans="1:8" s="138" customFormat="1" ht="18.75" customHeight="1">
      <c r="A19" s="143" t="s">
        <v>72</v>
      </c>
      <c r="B19" s="145">
        <f>44/12*B11/B18/1000</f>
        <v>0.14346305606066004</v>
      </c>
      <c r="C19" s="138" t="s">
        <v>219</v>
      </c>
      <c r="D19" s="138" t="s">
        <v>118</v>
      </c>
      <c r="H19" s="146"/>
    </row>
    <row r="20" spans="1:2" s="138" customFormat="1" ht="18.75" customHeight="1">
      <c r="A20" s="143" t="s">
        <v>73</v>
      </c>
      <c r="B20" s="147" t="s">
        <v>74</v>
      </c>
    </row>
    <row r="21" spans="1:2" s="138" customFormat="1" ht="18.75" customHeight="1">
      <c r="A21" s="138" t="s">
        <v>75</v>
      </c>
      <c r="B21" s="144">
        <v>0.9</v>
      </c>
    </row>
    <row r="22" spans="1:4" s="138" customFormat="1" ht="18.75" customHeight="1">
      <c r="A22" s="143" t="s">
        <v>76</v>
      </c>
      <c r="B22" s="145">
        <f>ROUNDUP(44/12*B14/B21/1000,3)</f>
        <v>0.063</v>
      </c>
      <c r="C22" s="138" t="s">
        <v>219</v>
      </c>
      <c r="D22" s="138" t="s">
        <v>118</v>
      </c>
    </row>
    <row r="23" spans="1:2" s="143" customFormat="1" ht="18.75" customHeight="1">
      <c r="A23" s="143" t="s">
        <v>77</v>
      </c>
      <c r="B23" s="143" t="s">
        <v>74</v>
      </c>
    </row>
    <row r="24" spans="1:2" s="138" customFormat="1" ht="18.75" customHeight="1">
      <c r="A24" s="138" t="s">
        <v>78</v>
      </c>
      <c r="B24" s="144">
        <v>0.9</v>
      </c>
    </row>
    <row r="25" spans="1:4" s="138" customFormat="1" ht="18.75" customHeight="1">
      <c r="A25" s="143" t="s">
        <v>79</v>
      </c>
      <c r="B25" s="138">
        <f>ROUNDUP(44/12*B14/B24/1000,3)</f>
        <v>0.063</v>
      </c>
      <c r="C25" s="138" t="s">
        <v>219</v>
      </c>
      <c r="D25" s="138" t="s">
        <v>118</v>
      </c>
    </row>
    <row r="26" spans="1:3" s="138" customFormat="1" ht="18.75" customHeight="1">
      <c r="A26" s="143" t="s">
        <v>80</v>
      </c>
      <c r="B26" s="143" t="s">
        <v>74</v>
      </c>
      <c r="C26" s="138" t="s">
        <v>117</v>
      </c>
    </row>
    <row r="27" spans="1:3" s="138" customFormat="1" ht="18.75" customHeight="1">
      <c r="A27" s="138" t="s">
        <v>81</v>
      </c>
      <c r="B27" s="144">
        <v>0.9</v>
      </c>
      <c r="C27" s="138" t="s">
        <v>116</v>
      </c>
    </row>
    <row r="28" spans="1:4" s="138" customFormat="1" ht="18.75" customHeight="1">
      <c r="A28" s="143" t="s">
        <v>82</v>
      </c>
      <c r="B28" s="148">
        <f>ROUNDUP(44/12*B14/B27/1000,3)</f>
        <v>0.063</v>
      </c>
      <c r="C28" s="138" t="s">
        <v>219</v>
      </c>
      <c r="D28" s="138" t="s">
        <v>119</v>
      </c>
    </row>
    <row r="29" s="138" customFormat="1" ht="18.75" customHeight="1"/>
    <row r="30" s="138" customFormat="1" ht="18.75" customHeight="1">
      <c r="A30" s="137" t="s">
        <v>83</v>
      </c>
    </row>
    <row r="31" spans="1:2" s="138" customFormat="1" ht="18.75" customHeight="1">
      <c r="A31" s="143" t="s">
        <v>84</v>
      </c>
      <c r="B31" s="138" t="s">
        <v>113</v>
      </c>
    </row>
    <row r="32" spans="1:3" s="138" customFormat="1" ht="18.75" customHeight="1">
      <c r="A32" s="143" t="s">
        <v>220</v>
      </c>
      <c r="B32" s="138">
        <v>18.9</v>
      </c>
      <c r="C32" s="138" t="s">
        <v>4</v>
      </c>
    </row>
    <row r="33" spans="1:3" s="138" customFormat="1" ht="18.75" customHeight="1">
      <c r="A33" s="140" t="s">
        <v>221</v>
      </c>
      <c r="B33" s="138">
        <v>20.2</v>
      </c>
      <c r="C33" s="138" t="s">
        <v>4</v>
      </c>
    </row>
    <row r="34" spans="1:3" s="138" customFormat="1" ht="18.75" customHeight="1">
      <c r="A34" s="140" t="s">
        <v>222</v>
      </c>
      <c r="B34" s="138">
        <f>(B32+B33)/2</f>
        <v>19.549999999999997</v>
      </c>
      <c r="C34" s="138" t="s">
        <v>4</v>
      </c>
    </row>
    <row r="35" spans="1:3" s="138" customFormat="1" ht="18.75" customHeight="1">
      <c r="A35" s="138" t="s">
        <v>58</v>
      </c>
      <c r="B35" s="144">
        <v>1</v>
      </c>
      <c r="C35" s="138" t="s">
        <v>85</v>
      </c>
    </row>
    <row r="36" spans="1:4" s="138" customFormat="1" ht="18.75" customHeight="1">
      <c r="A36" s="143" t="s">
        <v>86</v>
      </c>
      <c r="B36" s="138">
        <f>ROUNDUP(44/12*B34/B35/1000,3)</f>
        <v>0.072</v>
      </c>
      <c r="C36" s="138" t="s">
        <v>219</v>
      </c>
      <c r="D36" s="138" t="s">
        <v>118</v>
      </c>
    </row>
    <row r="37" s="138" customFormat="1" ht="18.75" customHeight="1"/>
    <row r="38" s="138" customFormat="1" ht="18.75" customHeight="1"/>
  </sheetData>
  <sheetProtection/>
  <printOptions/>
  <pageMargins left="0.75" right="0.75" top="1" bottom="1" header="0.5" footer="0.5"/>
  <pageSetup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0"/>
  <sheetViews>
    <sheetView zoomScale="85" zoomScaleNormal="85" zoomScalePageLayoutView="0" workbookViewId="0" topLeftCell="A1">
      <selection activeCell="A44" sqref="A44"/>
    </sheetView>
  </sheetViews>
  <sheetFormatPr defaultColWidth="9.33203125" defaultRowHeight="12.75"/>
  <cols>
    <col min="1" max="1" width="38.83203125" style="0" customWidth="1"/>
    <col min="2" max="2" width="13.16015625" style="0" customWidth="1"/>
    <col min="3" max="3" width="12.5" style="0" customWidth="1"/>
    <col min="4" max="4" width="16.16015625" style="0" customWidth="1"/>
    <col min="5" max="5" width="31.66015625" style="0" bestFit="1" customWidth="1"/>
    <col min="6" max="6" width="8.66015625" style="0" bestFit="1" customWidth="1"/>
    <col min="7" max="7" width="9.5" style="0" bestFit="1" customWidth="1"/>
  </cols>
  <sheetData>
    <row r="1" spans="1:11" s="12" customFormat="1" ht="18.75" customHeight="1">
      <c r="A1" s="344" t="s">
        <v>105</v>
      </c>
      <c r="B1" s="345"/>
      <c r="C1" s="345"/>
      <c r="D1" s="345"/>
      <c r="K1" s="17"/>
    </row>
    <row r="2" spans="1:11" s="12" customFormat="1" ht="18.75" customHeight="1">
      <c r="A2" s="32"/>
      <c r="B2" s="345"/>
      <c r="C2" s="343" t="s">
        <v>295</v>
      </c>
      <c r="D2" s="345"/>
      <c r="K2" s="17"/>
    </row>
    <row r="3" spans="1:11" s="12" customFormat="1" ht="18.75" customHeight="1">
      <c r="A3" s="32"/>
      <c r="B3" s="345"/>
      <c r="C3" s="343" t="s">
        <v>294</v>
      </c>
      <c r="D3" s="345"/>
      <c r="K3" s="17"/>
    </row>
    <row r="4" spans="1:11" s="12" customFormat="1" ht="18.75" customHeight="1">
      <c r="A4" s="32"/>
      <c r="B4" s="345"/>
      <c r="C4" s="343"/>
      <c r="D4" s="345"/>
      <c r="K4" s="17"/>
    </row>
    <row r="5" spans="1:3" s="12" customFormat="1" ht="18.75" customHeight="1" thickBot="1">
      <c r="A5" s="123" t="s">
        <v>102</v>
      </c>
      <c r="B5" s="124"/>
      <c r="C5" s="124"/>
    </row>
    <row r="6" spans="1:7" s="12" customFormat="1" ht="18.75" customHeight="1" thickBot="1">
      <c r="A6" s="259" t="s">
        <v>124</v>
      </c>
      <c r="B6" s="259" t="s">
        <v>101</v>
      </c>
      <c r="C6" s="259" t="s">
        <v>112</v>
      </c>
      <c r="E6" s="125"/>
      <c r="F6" s="126"/>
      <c r="G6" s="126"/>
    </row>
    <row r="7" spans="1:9" s="12" customFormat="1" ht="18.75" customHeight="1">
      <c r="A7" s="132" t="s">
        <v>274</v>
      </c>
      <c r="B7" s="66">
        <f aca="true" t="shared" si="0" ref="B7:B13">C7*4.1868</f>
        <v>12523.891104</v>
      </c>
      <c r="C7" s="279">
        <v>2991.28</v>
      </c>
      <c r="D7" s="127"/>
      <c r="E7" s="128"/>
      <c r="F7" s="129"/>
      <c r="G7" s="130"/>
      <c r="I7" s="131"/>
    </row>
    <row r="8" spans="1:7" s="12" customFormat="1" ht="18.75" customHeight="1">
      <c r="A8" s="132" t="s">
        <v>275</v>
      </c>
      <c r="B8" s="66">
        <f t="shared" si="0"/>
        <v>7552.5266520000005</v>
      </c>
      <c r="C8" s="66">
        <v>1803.89</v>
      </c>
      <c r="D8" s="31"/>
      <c r="E8" s="133"/>
      <c r="F8" s="129"/>
      <c r="G8" s="129"/>
    </row>
    <row r="9" spans="1:9" s="12" customFormat="1" ht="18.75" customHeight="1">
      <c r="A9" s="314" t="s">
        <v>276</v>
      </c>
      <c r="B9" s="66">
        <f t="shared" si="0"/>
        <v>5411.983284</v>
      </c>
      <c r="C9" s="70">
        <v>1292.63</v>
      </c>
      <c r="D9" s="31"/>
      <c r="E9" s="133"/>
      <c r="F9" s="129"/>
      <c r="G9" s="129"/>
      <c r="H9" s="131"/>
      <c r="I9" s="31"/>
    </row>
    <row r="10" spans="1:7" s="12" customFormat="1" ht="18.75" customHeight="1">
      <c r="A10" s="314" t="s">
        <v>277</v>
      </c>
      <c r="B10" s="66">
        <f t="shared" si="0"/>
        <v>3135.452652</v>
      </c>
      <c r="C10" s="70">
        <v>748.89</v>
      </c>
      <c r="D10" s="31"/>
      <c r="E10" s="133"/>
      <c r="F10" s="129"/>
      <c r="G10" s="129"/>
    </row>
    <row r="11" spans="1:7" s="12" customFormat="1" ht="18.75" customHeight="1">
      <c r="A11" s="314" t="s">
        <v>278</v>
      </c>
      <c r="B11" s="66">
        <f t="shared" si="0"/>
        <v>6437.539943999999</v>
      </c>
      <c r="C11" s="70">
        <v>1537.58</v>
      </c>
      <c r="D11" s="31"/>
      <c r="E11" s="133"/>
      <c r="F11" s="129"/>
      <c r="G11" s="129"/>
    </row>
    <row r="12" spans="1:7" s="12" customFormat="1" ht="18.75" customHeight="1">
      <c r="A12" s="314" t="s">
        <v>279</v>
      </c>
      <c r="B12" s="66">
        <f t="shared" si="0"/>
        <v>7667.621784</v>
      </c>
      <c r="C12" s="70">
        <v>1831.38</v>
      </c>
      <c r="D12" s="31"/>
      <c r="E12" s="133"/>
      <c r="F12" s="129"/>
      <c r="G12" s="129"/>
    </row>
    <row r="13" spans="1:7" s="12" customFormat="1" ht="18.75" customHeight="1" thickBot="1">
      <c r="A13" s="314" t="s">
        <v>280</v>
      </c>
      <c r="B13" s="66">
        <f t="shared" si="0"/>
        <v>8454.740184</v>
      </c>
      <c r="C13" s="70">
        <v>2019.38</v>
      </c>
      <c r="D13" s="31"/>
      <c r="E13" s="133"/>
      <c r="F13" s="129"/>
      <c r="G13" s="129"/>
    </row>
    <row r="14" spans="1:7" s="12" customFormat="1" ht="18.75" customHeight="1" thickBot="1">
      <c r="A14" s="136" t="s">
        <v>281</v>
      </c>
      <c r="B14" s="287">
        <f>SUM(B7:B13)</f>
        <v>51183.755604000005</v>
      </c>
      <c r="C14" s="287">
        <f>SUM(C7:C13)</f>
        <v>12225.030000000002</v>
      </c>
      <c r="E14" s="134"/>
      <c r="F14" s="135"/>
      <c r="G14" s="135"/>
    </row>
    <row r="15" s="12" customFormat="1" ht="18.75" customHeight="1"/>
    <row r="16" s="12" customFormat="1" ht="18.75" customHeight="1"/>
    <row r="18" ht="12.75">
      <c r="E18" s="7"/>
    </row>
    <row r="20" ht="12.75">
      <c r="D2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K17"/>
  <sheetViews>
    <sheetView zoomScale="85" zoomScaleNormal="85" workbookViewId="0" topLeftCell="A1">
      <selection activeCell="C2" sqref="C2"/>
    </sheetView>
  </sheetViews>
  <sheetFormatPr defaultColWidth="9.33203125" defaultRowHeight="12.75"/>
  <cols>
    <col min="1" max="1" width="38.83203125" style="0" customWidth="1"/>
    <col min="2" max="2" width="13.16015625" style="0" customWidth="1"/>
    <col min="3" max="3" width="12.5" style="0" customWidth="1"/>
    <col min="4" max="4" width="16.16015625" style="0" customWidth="1"/>
    <col min="5" max="5" width="31.66015625" style="0" bestFit="1" customWidth="1"/>
    <col min="6" max="6" width="8.66015625" style="0" bestFit="1" customWidth="1"/>
    <col min="7" max="7" width="9.5" style="0" bestFit="1" customWidth="1"/>
  </cols>
  <sheetData>
    <row r="1" spans="1:11" s="12" customFormat="1" ht="18.75" customHeight="1">
      <c r="A1" s="344" t="s">
        <v>105</v>
      </c>
      <c r="B1" s="345"/>
      <c r="C1" s="345"/>
      <c r="D1" s="345"/>
      <c r="K1" s="17"/>
    </row>
    <row r="2" spans="1:11" s="12" customFormat="1" ht="18.75" customHeight="1">
      <c r="A2" s="32"/>
      <c r="B2" s="345"/>
      <c r="C2" s="343" t="s">
        <v>295</v>
      </c>
      <c r="D2" s="345"/>
      <c r="K2" s="17"/>
    </row>
    <row r="3" spans="1:11" s="12" customFormat="1" ht="18.75" customHeight="1">
      <c r="A3" s="32"/>
      <c r="B3" s="345"/>
      <c r="C3" s="343" t="s">
        <v>294</v>
      </c>
      <c r="D3" s="345"/>
      <c r="K3" s="17"/>
    </row>
    <row r="5" spans="1:3" s="12" customFormat="1" ht="18.75" customHeight="1" thickBot="1">
      <c r="A5" s="123" t="s">
        <v>102</v>
      </c>
      <c r="B5" s="124"/>
      <c r="C5" s="124"/>
    </row>
    <row r="6" spans="1:7" s="12" customFormat="1" ht="18.75" customHeight="1" thickBot="1">
      <c r="A6" s="259" t="s">
        <v>124</v>
      </c>
      <c r="B6" s="259" t="s">
        <v>101</v>
      </c>
      <c r="C6" s="259" t="s">
        <v>112</v>
      </c>
      <c r="E6" s="125"/>
      <c r="F6" s="126"/>
      <c r="G6" s="126"/>
    </row>
    <row r="7" spans="1:9" s="12" customFormat="1" ht="18.75" customHeight="1">
      <c r="A7" s="132" t="s">
        <v>287</v>
      </c>
      <c r="B7" s="66">
        <f>C7*4.1868</f>
        <v>12141.845604</v>
      </c>
      <c r="C7" s="279">
        <v>2900.03</v>
      </c>
      <c r="D7" s="127"/>
      <c r="E7" s="128"/>
      <c r="F7" s="129"/>
      <c r="G7" s="130"/>
      <c r="I7" s="131"/>
    </row>
    <row r="8" spans="1:7" s="12" customFormat="1" ht="18.75" customHeight="1">
      <c r="A8" s="132" t="s">
        <v>288</v>
      </c>
      <c r="B8" s="66">
        <f>C8*4.1868</f>
        <v>13531.94694</v>
      </c>
      <c r="C8" s="66">
        <v>3232.05</v>
      </c>
      <c r="D8" s="31"/>
      <c r="E8" s="133"/>
      <c r="F8" s="129"/>
      <c r="G8" s="129"/>
    </row>
    <row r="9" spans="1:9" s="12" customFormat="1" ht="18.75" customHeight="1">
      <c r="A9" s="314" t="s">
        <v>289</v>
      </c>
      <c r="B9" s="66">
        <f>C9*4.1868</f>
        <v>7922.346696</v>
      </c>
      <c r="C9" s="70">
        <v>1892.22</v>
      </c>
      <c r="D9" s="31"/>
      <c r="E9" s="133"/>
      <c r="F9" s="129"/>
      <c r="G9" s="129"/>
      <c r="H9" s="131"/>
      <c r="I9" s="31"/>
    </row>
    <row r="10" spans="1:7" s="12" customFormat="1" ht="18.75" customHeight="1" thickBot="1">
      <c r="A10" s="314" t="s">
        <v>290</v>
      </c>
      <c r="B10" s="66">
        <f>C10*4.1868</f>
        <v>6181.1403119999995</v>
      </c>
      <c r="C10" s="70">
        <v>1476.34</v>
      </c>
      <c r="D10" s="31"/>
      <c r="E10" s="133"/>
      <c r="F10" s="129"/>
      <c r="G10" s="129"/>
    </row>
    <row r="11" spans="1:7" s="12" customFormat="1" ht="18.75" customHeight="1" thickBot="1">
      <c r="A11" s="136" t="s">
        <v>286</v>
      </c>
      <c r="B11" s="287">
        <f>SUM(B7:B10)</f>
        <v>39777.27955199999</v>
      </c>
      <c r="C11" s="287">
        <f>SUM(C7:C10)</f>
        <v>9500.64</v>
      </c>
      <c r="E11" s="134"/>
      <c r="F11" s="135"/>
      <c r="G11" s="135"/>
    </row>
    <row r="12" s="12" customFormat="1" ht="18.75" customHeight="1"/>
    <row r="13" s="12" customFormat="1" ht="18.75" customHeight="1"/>
    <row r="15" spans="2:5" ht="12.75">
      <c r="B15" s="2"/>
      <c r="E15" s="7"/>
    </row>
    <row r="17" ht="12.75">
      <c r="D17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Q77"/>
  <sheetViews>
    <sheetView zoomScale="85" zoomScaleNormal="85" zoomScalePageLayoutView="0" workbookViewId="0" topLeftCell="A1">
      <selection activeCell="C2" sqref="C2"/>
    </sheetView>
  </sheetViews>
  <sheetFormatPr defaultColWidth="9.33203125" defaultRowHeight="12.75"/>
  <cols>
    <col min="1" max="1" width="38" style="0" customWidth="1"/>
    <col min="2" max="3" width="12.5" style="0" customWidth="1"/>
    <col min="4" max="4" width="13" style="0" customWidth="1"/>
    <col min="5" max="5" width="17.16015625" style="0" customWidth="1"/>
    <col min="6" max="6" width="11.5" style="0" bestFit="1" customWidth="1"/>
    <col min="7" max="7" width="10" style="0" customWidth="1"/>
    <col min="8" max="8" width="11.33203125" style="0" customWidth="1"/>
    <col min="9" max="9" width="10" style="0" customWidth="1"/>
    <col min="10" max="10" width="9.16015625" style="0" customWidth="1"/>
  </cols>
  <sheetData>
    <row r="1" spans="1:11" s="12" customFormat="1" ht="18.75" customHeight="1">
      <c r="A1" s="344" t="s">
        <v>105</v>
      </c>
      <c r="B1" s="345"/>
      <c r="C1" s="345"/>
      <c r="D1" s="345"/>
      <c r="K1" s="17"/>
    </row>
    <row r="2" spans="1:11" s="12" customFormat="1" ht="18.75" customHeight="1">
      <c r="A2" s="32"/>
      <c r="B2" s="345"/>
      <c r="C2" s="343" t="s">
        <v>295</v>
      </c>
      <c r="D2" s="345"/>
      <c r="K2" s="17"/>
    </row>
    <row r="3" spans="1:11" s="12" customFormat="1" ht="18.75" customHeight="1">
      <c r="A3" s="32"/>
      <c r="B3" s="345"/>
      <c r="C3" s="343" t="s">
        <v>294</v>
      </c>
      <c r="D3" s="345"/>
      <c r="K3" s="17"/>
    </row>
    <row r="5" s="11" customFormat="1" ht="18.75" customHeight="1">
      <c r="A5" s="10" t="s">
        <v>98</v>
      </c>
    </row>
    <row r="6" s="11" customFormat="1" ht="18.75" customHeight="1"/>
    <row r="7" s="11" customFormat="1" ht="18.75" customHeight="1">
      <c r="A7" s="11" t="s">
        <v>37</v>
      </c>
    </row>
    <row r="8" s="11" customFormat="1" ht="18.75" customHeight="1"/>
    <row r="9" s="11" customFormat="1" ht="18.75" customHeight="1">
      <c r="A9" s="95" t="s">
        <v>211</v>
      </c>
    </row>
    <row r="10" s="11" customFormat="1" ht="18.75" customHeight="1"/>
    <row r="11" s="11" customFormat="1" ht="18.75" customHeight="1">
      <c r="A11" s="46" t="s">
        <v>198</v>
      </c>
    </row>
    <row r="12" spans="2:12" s="11" customFormat="1" ht="18.75" customHeight="1">
      <c r="B12" s="366" t="s">
        <v>199</v>
      </c>
      <c r="C12" s="364"/>
      <c r="D12" s="364"/>
      <c r="E12" s="364"/>
      <c r="G12" s="107"/>
      <c r="L12" s="108" t="s">
        <v>204</v>
      </c>
    </row>
    <row r="13" spans="1:12" s="11" customFormat="1" ht="18.75" customHeight="1">
      <c r="A13" s="100"/>
      <c r="B13" s="363" t="s">
        <v>205</v>
      </c>
      <c r="C13" s="363"/>
      <c r="D13" s="363"/>
      <c r="E13" s="363"/>
      <c r="F13" s="365"/>
      <c r="G13" s="107"/>
      <c r="J13" s="101"/>
      <c r="L13" s="109" t="s">
        <v>206</v>
      </c>
    </row>
    <row r="14" spans="1:12" s="11" customFormat="1" ht="18.75" customHeight="1">
      <c r="A14" s="100"/>
      <c r="B14" s="363" t="s">
        <v>207</v>
      </c>
      <c r="C14" s="363"/>
      <c r="D14" s="363"/>
      <c r="E14" s="363"/>
      <c r="F14" s="365"/>
      <c r="G14" s="107"/>
      <c r="I14" s="107"/>
      <c r="J14" s="101"/>
      <c r="L14" s="109" t="s">
        <v>206</v>
      </c>
    </row>
    <row r="15" spans="1:12" s="11" customFormat="1" ht="18.75" customHeight="1">
      <c r="A15" s="100"/>
      <c r="J15" s="101"/>
      <c r="K15" s="101"/>
      <c r="L15" s="101"/>
    </row>
    <row r="16" s="11" customFormat="1" ht="18.75" customHeight="1"/>
    <row r="17" s="11" customFormat="1" ht="18.75" customHeight="1"/>
    <row r="18" s="11" customFormat="1" ht="18.75" customHeight="1"/>
    <row r="19" s="11" customFormat="1" ht="18.75" customHeight="1">
      <c r="A19" s="10" t="s">
        <v>40</v>
      </c>
    </row>
    <row r="20" spans="1:13" s="11" customFormat="1" ht="37.5" customHeight="1">
      <c r="A20" s="368" t="s">
        <v>292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</row>
    <row r="21" s="11" customFormat="1" ht="18.75" customHeight="1"/>
    <row r="22" s="11" customFormat="1" ht="18.75" customHeight="1">
      <c r="A22" s="95" t="s">
        <v>212</v>
      </c>
    </row>
    <row r="23" s="11" customFormat="1" ht="18.75" customHeight="1"/>
    <row r="24" s="11" customFormat="1" ht="18.75" customHeight="1">
      <c r="A24" s="10" t="s">
        <v>41</v>
      </c>
    </row>
    <row r="25" s="11" customFormat="1" ht="18.75" customHeight="1">
      <c r="A25" s="11" t="s">
        <v>42</v>
      </c>
    </row>
    <row r="26" s="11" customFormat="1" ht="18.75" customHeight="1">
      <c r="A26" s="43" t="s">
        <v>43</v>
      </c>
    </row>
    <row r="27" spans="1:2" s="11" customFormat="1" ht="18.75" customHeight="1">
      <c r="A27" s="95" t="s">
        <v>213</v>
      </c>
      <c r="B27" s="43"/>
    </row>
    <row r="28" s="11" customFormat="1" ht="18.75" customHeight="1">
      <c r="A28" s="10"/>
    </row>
    <row r="29" spans="1:2" s="11" customFormat="1" ht="18.75" customHeight="1">
      <c r="A29" s="48" t="s">
        <v>44</v>
      </c>
      <c r="B29" s="102"/>
    </row>
    <row r="30" spans="1:12" s="11" customFormat="1" ht="18.75" customHeight="1">
      <c r="A30" s="103"/>
      <c r="B30" s="367" t="s">
        <v>200</v>
      </c>
      <c r="C30" s="364"/>
      <c r="D30" s="364"/>
      <c r="E30" s="364"/>
      <c r="F30" s="364"/>
      <c r="L30" s="49" t="s">
        <v>208</v>
      </c>
    </row>
    <row r="31" spans="2:12" s="11" customFormat="1" ht="18.75" customHeight="1">
      <c r="B31" s="363" t="s">
        <v>201</v>
      </c>
      <c r="C31" s="364"/>
      <c r="D31" s="364"/>
      <c r="E31" s="364"/>
      <c r="F31" s="364"/>
      <c r="G31" s="104"/>
      <c r="H31" s="104"/>
      <c r="I31" s="104"/>
      <c r="L31" s="49" t="s">
        <v>208</v>
      </c>
    </row>
    <row r="32" spans="2:12" s="11" customFormat="1" ht="18.75" customHeight="1">
      <c r="B32" s="363" t="s">
        <v>209</v>
      </c>
      <c r="C32" s="364"/>
      <c r="D32" s="364"/>
      <c r="E32" s="364"/>
      <c r="F32" s="364"/>
      <c r="G32" s="364"/>
      <c r="H32" s="364"/>
      <c r="I32" s="364"/>
      <c r="J32" s="365"/>
      <c r="K32" s="104"/>
      <c r="L32" s="104"/>
    </row>
    <row r="33" s="11" customFormat="1" ht="18.75" customHeight="1" thickBot="1"/>
    <row r="34" spans="1:4" s="11" customFormat="1" ht="18.75" customHeight="1">
      <c r="A34" s="312" t="s">
        <v>46</v>
      </c>
      <c r="B34" s="254" t="s">
        <v>255</v>
      </c>
      <c r="C34" s="254" t="s">
        <v>256</v>
      </c>
      <c r="D34" s="255" t="s">
        <v>257</v>
      </c>
    </row>
    <row r="35" spans="1:4" s="11" customFormat="1" ht="18.75" customHeight="1">
      <c r="A35" s="110"/>
      <c r="B35" s="111"/>
      <c r="C35" s="112"/>
      <c r="D35" s="113"/>
    </row>
    <row r="36" spans="1:4" s="11" customFormat="1" ht="18.75" customHeight="1">
      <c r="A36" s="281">
        <v>2011</v>
      </c>
      <c r="B36" s="55">
        <f>'CMM consump.(2011)'!H14</f>
        <v>10392.471884304001</v>
      </c>
      <c r="C36" s="54">
        <v>0.995</v>
      </c>
      <c r="D36" s="56">
        <f>B36*C36</f>
        <v>10340.50952488248</v>
      </c>
    </row>
    <row r="37" spans="1:4" s="11" customFormat="1" ht="18.75" customHeight="1" thickBot="1">
      <c r="A37" s="300" t="s">
        <v>281</v>
      </c>
      <c r="B37" s="98">
        <f>SUM(B35:B36)</f>
        <v>10392.471884304001</v>
      </c>
      <c r="C37" s="97"/>
      <c r="D37" s="99">
        <f>SUM(D35:D36)</f>
        <v>10340.50952488248</v>
      </c>
    </row>
    <row r="38" s="11" customFormat="1" ht="18.75" customHeight="1">
      <c r="A38" s="10" t="s">
        <v>47</v>
      </c>
    </row>
    <row r="39" s="11" customFormat="1" ht="18.75" customHeight="1">
      <c r="A39" s="11" t="s">
        <v>48</v>
      </c>
    </row>
    <row r="40" s="11" customFormat="1" ht="18.75" customHeight="1"/>
    <row r="41" s="11" customFormat="1" ht="18.75" customHeight="1">
      <c r="A41" s="95" t="s">
        <v>214</v>
      </c>
    </row>
    <row r="42" s="11" customFormat="1" ht="18.75" customHeight="1"/>
    <row r="43" spans="1:4" s="11" customFormat="1" ht="18.75" customHeight="1">
      <c r="A43" s="11" t="s">
        <v>44</v>
      </c>
      <c r="D43" s="10"/>
    </row>
    <row r="44" spans="2:12" s="11" customFormat="1" ht="18.75" customHeight="1">
      <c r="B44" s="363" t="s">
        <v>210</v>
      </c>
      <c r="C44" s="364"/>
      <c r="D44" s="364"/>
      <c r="E44" s="364"/>
      <c r="F44" s="364"/>
      <c r="G44" s="364"/>
      <c r="L44" s="49" t="s">
        <v>208</v>
      </c>
    </row>
    <row r="45" spans="2:12" s="11" customFormat="1" ht="18.75" customHeight="1">
      <c r="B45" s="363" t="s">
        <v>202</v>
      </c>
      <c r="C45" s="364"/>
      <c r="D45" s="364"/>
      <c r="E45" s="364"/>
      <c r="F45" s="364"/>
      <c r="G45" s="364"/>
      <c r="L45" s="49" t="s">
        <v>208</v>
      </c>
    </row>
    <row r="46" spans="2:11" s="11" customFormat="1" ht="18.75" customHeight="1">
      <c r="B46" s="363" t="s">
        <v>203</v>
      </c>
      <c r="C46" s="364"/>
      <c r="D46" s="364"/>
      <c r="E46" s="364"/>
      <c r="F46" s="364"/>
      <c r="G46" s="364"/>
      <c r="H46" s="364"/>
      <c r="I46" s="364"/>
      <c r="J46" s="364"/>
      <c r="K46" s="365"/>
    </row>
    <row r="47" s="11" customFormat="1" ht="18.75" customHeight="1" thickBot="1">
      <c r="A47" s="105" t="s">
        <v>45</v>
      </c>
    </row>
    <row r="48" spans="1:4" s="11" customFormat="1" ht="18.75" customHeight="1">
      <c r="A48" s="312" t="s">
        <v>46</v>
      </c>
      <c r="B48" s="254" t="s">
        <v>258</v>
      </c>
      <c r="C48" s="254" t="s">
        <v>259</v>
      </c>
      <c r="D48" s="307" t="s">
        <v>260</v>
      </c>
    </row>
    <row r="49" spans="1:4" s="11" customFormat="1" ht="18.75" customHeight="1">
      <c r="A49" s="114"/>
      <c r="B49" s="115"/>
      <c r="C49" s="116"/>
      <c r="D49" s="117"/>
    </row>
    <row r="50" spans="1:4" s="11" customFormat="1" ht="18.75" customHeight="1">
      <c r="A50" s="281">
        <v>2011</v>
      </c>
      <c r="B50" s="55">
        <f>'CMM consump.(2011)'!C29</f>
        <v>550.565937027</v>
      </c>
      <c r="C50" s="54">
        <v>0.985</v>
      </c>
      <c r="D50" s="56">
        <f>C50*B50</f>
        <v>542.307447971595</v>
      </c>
    </row>
    <row r="51" spans="1:4" s="11" customFormat="1" ht="18.75" customHeight="1" thickBot="1">
      <c r="A51" s="300" t="s">
        <v>281</v>
      </c>
      <c r="B51" s="98">
        <f>SUM(B49:B50)</f>
        <v>550.565937027</v>
      </c>
      <c r="C51" s="97"/>
      <c r="D51" s="99">
        <f>SUM(D49:D50)</f>
        <v>542.307447971595</v>
      </c>
    </row>
    <row r="52" s="11" customFormat="1" ht="18.75" customHeight="1"/>
    <row r="53" s="11" customFormat="1" ht="18.75" customHeight="1" thickBot="1"/>
    <row r="54" spans="1:5" s="11" customFormat="1" ht="18.75" customHeight="1">
      <c r="A54" s="313" t="s">
        <v>46</v>
      </c>
      <c r="B54" s="254" t="s">
        <v>261</v>
      </c>
      <c r="C54" s="254" t="s">
        <v>262</v>
      </c>
      <c r="D54" s="254" t="s">
        <v>260</v>
      </c>
      <c r="E54" s="255" t="s">
        <v>257</v>
      </c>
    </row>
    <row r="55" spans="1:5" s="11" customFormat="1" ht="18.75" customHeight="1">
      <c r="A55" s="50"/>
      <c r="B55" s="52"/>
      <c r="C55" s="118"/>
      <c r="D55" s="52"/>
      <c r="E55" s="53"/>
    </row>
    <row r="56" spans="1:5" s="11" customFormat="1" ht="18.75" customHeight="1">
      <c r="A56" s="281">
        <v>2011</v>
      </c>
      <c r="B56" s="301">
        <f>($D$56+$E$56)*C56</f>
        <v>29927.746675348702</v>
      </c>
      <c r="C56" s="306">
        <v>2.75</v>
      </c>
      <c r="D56" s="301">
        <f>D50</f>
        <v>542.307447971595</v>
      </c>
      <c r="E56" s="302">
        <f>D36</f>
        <v>10340.50952488248</v>
      </c>
    </row>
    <row r="57" spans="1:5" s="11" customFormat="1" ht="18.75" customHeight="1" thickBot="1">
      <c r="A57" s="298" t="s">
        <v>281</v>
      </c>
      <c r="B57" s="98">
        <f>SUM(B55:B56)</f>
        <v>29927.746675348702</v>
      </c>
      <c r="C57" s="97"/>
      <c r="D57" s="98">
        <f>SUM(D55:D56)</f>
        <v>542.307447971595</v>
      </c>
      <c r="E57" s="99">
        <f>SUM(E55:E56)</f>
        <v>10340.50952488248</v>
      </c>
    </row>
    <row r="58" s="11" customFormat="1" ht="18.75" customHeight="1"/>
    <row r="59" s="11" customFormat="1" ht="18.75" customHeight="1"/>
    <row r="60" s="11" customFormat="1" ht="18.75" customHeight="1">
      <c r="A60" s="10" t="s">
        <v>49</v>
      </c>
    </row>
    <row r="61" s="11" customFormat="1" ht="18.75" customHeight="1"/>
    <row r="62" s="11" customFormat="1" ht="18.75" customHeight="1">
      <c r="A62" s="95" t="s">
        <v>215</v>
      </c>
    </row>
    <row r="63" s="11" customFormat="1" ht="18.75" customHeight="1"/>
    <row r="64" s="11" customFormat="1" ht="18.75" customHeight="1" thickBot="1"/>
    <row r="65" spans="1:9" s="11" customFormat="1" ht="18.75" customHeight="1">
      <c r="A65" s="312" t="s">
        <v>46</v>
      </c>
      <c r="B65" s="254" t="s">
        <v>255</v>
      </c>
      <c r="C65" s="254" t="s">
        <v>263</v>
      </c>
      <c r="D65" s="308" t="s">
        <v>264</v>
      </c>
      <c r="E65" s="254" t="s">
        <v>265</v>
      </c>
      <c r="F65" s="309" t="s">
        <v>266</v>
      </c>
      <c r="G65" s="106"/>
      <c r="H65" s="106"/>
      <c r="I65" s="106"/>
    </row>
    <row r="66" spans="1:9" s="11" customFormat="1" ht="18.75" customHeight="1">
      <c r="A66" s="50"/>
      <c r="B66" s="52"/>
      <c r="C66" s="76"/>
      <c r="D66" s="52"/>
      <c r="E66" s="76"/>
      <c r="F66" s="53"/>
      <c r="G66" s="62"/>
      <c r="H66" s="62"/>
      <c r="I66" s="62"/>
    </row>
    <row r="67" spans="1:9" s="11" customFormat="1" ht="18.75" customHeight="1">
      <c r="A67" s="281">
        <v>2011</v>
      </c>
      <c r="B67" s="301">
        <f>'CMM consump.(2011)'!H14</f>
        <v>10392.471884304001</v>
      </c>
      <c r="C67" s="290">
        <v>0.005</v>
      </c>
      <c r="D67" s="301">
        <f>'CMM consump.(2011)'!C29</f>
        <v>550.565937027</v>
      </c>
      <c r="E67" s="290">
        <v>0.015</v>
      </c>
      <c r="F67" s="305">
        <f>($B$67*C67+$D$67*E67)*21</f>
        <v>1264.6378180154252</v>
      </c>
      <c r="G67" s="78"/>
      <c r="H67" s="78"/>
      <c r="I67" s="78"/>
    </row>
    <row r="68" spans="1:9" s="11" customFormat="1" ht="18.75" customHeight="1" thickBot="1">
      <c r="A68" s="298" t="s">
        <v>281</v>
      </c>
      <c r="B68" s="98">
        <f>SUM(B66:B67)</f>
        <v>10392.471884304001</v>
      </c>
      <c r="C68" s="97"/>
      <c r="D68" s="98">
        <f>D66+D67</f>
        <v>550.565937027</v>
      </c>
      <c r="E68" s="97"/>
      <c r="F68" s="99">
        <f>SUM(F66:F67)</f>
        <v>1264.6378180154252</v>
      </c>
      <c r="G68" s="119"/>
      <c r="H68" s="119"/>
      <c r="I68" s="119"/>
    </row>
    <row r="69" s="11" customFormat="1" ht="18.75" customHeight="1"/>
    <row r="70" s="11" customFormat="1" ht="18.75" customHeight="1"/>
    <row r="71" s="11" customFormat="1" ht="18.75" customHeight="1">
      <c r="A71" s="10" t="s">
        <v>99</v>
      </c>
    </row>
    <row r="72" spans="1:17" s="11" customFormat="1" ht="18.75" customHeight="1">
      <c r="A72" s="95" t="s">
        <v>216</v>
      </c>
      <c r="Q72" s="120"/>
    </row>
    <row r="73" s="11" customFormat="1" ht="18.75" customHeight="1" thickBot="1"/>
    <row r="74" spans="1:4" s="11" customFormat="1" ht="18.75" customHeight="1">
      <c r="A74" s="312" t="s">
        <v>46</v>
      </c>
      <c r="B74" s="254" t="s">
        <v>261</v>
      </c>
      <c r="C74" s="309" t="s">
        <v>266</v>
      </c>
      <c r="D74" s="310" t="s">
        <v>267</v>
      </c>
    </row>
    <row r="75" spans="1:4" s="11" customFormat="1" ht="18.75" customHeight="1">
      <c r="A75" s="50"/>
      <c r="B75" s="52"/>
      <c r="C75" s="121"/>
      <c r="D75" s="122"/>
    </row>
    <row r="76" spans="1:4" s="11" customFormat="1" ht="18.75" customHeight="1">
      <c r="A76" s="281">
        <v>2011</v>
      </c>
      <c r="B76" s="301">
        <f>B57</f>
        <v>29927.746675348702</v>
      </c>
      <c r="C76" s="303">
        <f>F68</f>
        <v>1264.6378180154252</v>
      </c>
      <c r="D76" s="75">
        <f>ROUND(SUM(B76:C76),0)</f>
        <v>31192</v>
      </c>
    </row>
    <row r="77" spans="1:4" s="11" customFormat="1" ht="18.75" customHeight="1" thickBot="1">
      <c r="A77" s="298" t="s">
        <v>281</v>
      </c>
      <c r="B77" s="304"/>
      <c r="C77" s="304"/>
      <c r="D77" s="99">
        <f>ROUNDUP((D75+D76),0)</f>
        <v>31192</v>
      </c>
    </row>
    <row r="78" s="11" customFormat="1" ht="18.75" customHeight="1"/>
    <row r="79" s="11" customFormat="1" ht="18.75" customHeight="1"/>
    <row r="80" ht="18.75" customHeight="1"/>
    <row r="81" ht="18.75" customHeight="1"/>
  </sheetData>
  <sheetProtection/>
  <mergeCells count="10">
    <mergeCell ref="B12:E12"/>
    <mergeCell ref="B30:F30"/>
    <mergeCell ref="B31:F31"/>
    <mergeCell ref="A20:M20"/>
    <mergeCell ref="B13:F13"/>
    <mergeCell ref="B14:F14"/>
    <mergeCell ref="B32:J32"/>
    <mergeCell ref="B46:K46"/>
    <mergeCell ref="B45:G45"/>
    <mergeCell ref="B44:G44"/>
  </mergeCells>
  <printOptions/>
  <pageMargins left="0.75" right="0.75" top="1" bottom="1" header="0.5" footer="0.5"/>
  <pageSetup horizontalDpi="600" verticalDpi="600" orientation="landscape" paperSize="9" scale="81" r:id="rId3"/>
  <rowBreaks count="2" manualBreakCount="2">
    <brk id="37" max="10" man="1"/>
    <brk id="53" max="10" man="1"/>
  </rowBreaks>
  <legacyDrawing r:id="rId2"/>
  <oleObjects>
    <oleObject progId="Equation.3" shapeId="78530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Q77"/>
  <sheetViews>
    <sheetView zoomScale="85" zoomScaleNormal="85" workbookViewId="0" topLeftCell="A1">
      <selection activeCell="C2" sqref="C2"/>
    </sheetView>
  </sheetViews>
  <sheetFormatPr defaultColWidth="9.33203125" defaultRowHeight="12.75"/>
  <cols>
    <col min="1" max="1" width="38" style="0" customWidth="1"/>
    <col min="2" max="3" width="12.5" style="0" customWidth="1"/>
    <col min="4" max="4" width="13" style="0" customWidth="1"/>
    <col min="5" max="5" width="17.16015625" style="0" customWidth="1"/>
    <col min="6" max="6" width="12.16015625" style="0" customWidth="1"/>
    <col min="7" max="7" width="10" style="0" customWidth="1"/>
    <col min="8" max="8" width="11.33203125" style="0" customWidth="1"/>
    <col min="9" max="9" width="10" style="0" customWidth="1"/>
    <col min="10" max="10" width="9.16015625" style="0" customWidth="1"/>
  </cols>
  <sheetData>
    <row r="1" spans="1:11" s="12" customFormat="1" ht="18.75" customHeight="1">
      <c r="A1" s="344" t="s">
        <v>105</v>
      </c>
      <c r="B1" s="345"/>
      <c r="C1" s="345"/>
      <c r="D1" s="345"/>
      <c r="K1" s="17"/>
    </row>
    <row r="2" spans="1:11" s="12" customFormat="1" ht="18.75" customHeight="1">
      <c r="A2" s="32"/>
      <c r="B2" s="345"/>
      <c r="C2" s="343" t="s">
        <v>295</v>
      </c>
      <c r="D2" s="345"/>
      <c r="K2" s="17"/>
    </row>
    <row r="3" spans="1:11" s="12" customFormat="1" ht="18.75" customHeight="1">
      <c r="A3" s="32"/>
      <c r="B3" s="345"/>
      <c r="C3" s="343" t="s">
        <v>294</v>
      </c>
      <c r="D3" s="345"/>
      <c r="K3" s="17"/>
    </row>
    <row r="5" s="11" customFormat="1" ht="18.75" customHeight="1">
      <c r="A5" s="10" t="s">
        <v>98</v>
      </c>
    </row>
    <row r="6" s="11" customFormat="1" ht="18.75" customHeight="1"/>
    <row r="7" s="11" customFormat="1" ht="18.75" customHeight="1">
      <c r="A7" s="11" t="s">
        <v>37</v>
      </c>
    </row>
    <row r="8" s="11" customFormat="1" ht="18.75" customHeight="1"/>
    <row r="9" s="11" customFormat="1" ht="18.75" customHeight="1">
      <c r="A9" s="95" t="s">
        <v>211</v>
      </c>
    </row>
    <row r="10" s="11" customFormat="1" ht="18.75" customHeight="1"/>
    <row r="11" s="11" customFormat="1" ht="18.75" customHeight="1">
      <c r="A11" s="46" t="s">
        <v>198</v>
      </c>
    </row>
    <row r="12" spans="2:12" s="11" customFormat="1" ht="18.75" customHeight="1">
      <c r="B12" s="366" t="s">
        <v>199</v>
      </c>
      <c r="C12" s="364"/>
      <c r="D12" s="364"/>
      <c r="E12" s="364"/>
      <c r="G12" s="107"/>
      <c r="L12" s="108" t="s">
        <v>204</v>
      </c>
    </row>
    <row r="13" spans="1:12" s="11" customFormat="1" ht="18.75" customHeight="1">
      <c r="A13" s="100"/>
      <c r="B13" s="363" t="s">
        <v>205</v>
      </c>
      <c r="C13" s="363"/>
      <c r="D13" s="363"/>
      <c r="E13" s="363"/>
      <c r="F13" s="365"/>
      <c r="G13" s="107"/>
      <c r="J13" s="101"/>
      <c r="L13" s="109" t="s">
        <v>206</v>
      </c>
    </row>
    <row r="14" spans="1:12" s="11" customFormat="1" ht="18.75" customHeight="1">
      <c r="A14" s="100"/>
      <c r="B14" s="363" t="s">
        <v>207</v>
      </c>
      <c r="C14" s="363"/>
      <c r="D14" s="363"/>
      <c r="E14" s="363"/>
      <c r="F14" s="365"/>
      <c r="G14" s="107"/>
      <c r="I14" s="107"/>
      <c r="J14" s="101"/>
      <c r="L14" s="109" t="s">
        <v>206</v>
      </c>
    </row>
    <row r="15" spans="1:12" s="11" customFormat="1" ht="18.75" customHeight="1">
      <c r="A15" s="100"/>
      <c r="J15" s="101"/>
      <c r="K15" s="101"/>
      <c r="L15" s="101"/>
    </row>
    <row r="16" s="11" customFormat="1" ht="18.75" customHeight="1"/>
    <row r="17" s="11" customFormat="1" ht="18.75" customHeight="1"/>
    <row r="18" s="11" customFormat="1" ht="18.75" customHeight="1"/>
    <row r="19" s="11" customFormat="1" ht="18.75" customHeight="1">
      <c r="A19" s="10" t="s">
        <v>40</v>
      </c>
    </row>
    <row r="20" spans="1:13" s="11" customFormat="1" ht="37.5" customHeight="1">
      <c r="A20" s="368" t="s">
        <v>291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</row>
    <row r="21" s="11" customFormat="1" ht="18.75" customHeight="1"/>
    <row r="22" s="11" customFormat="1" ht="18.75" customHeight="1">
      <c r="A22" s="95" t="s">
        <v>212</v>
      </c>
    </row>
    <row r="23" s="11" customFormat="1" ht="18.75" customHeight="1"/>
    <row r="24" s="11" customFormat="1" ht="18.75" customHeight="1">
      <c r="A24" s="10" t="s">
        <v>41</v>
      </c>
    </row>
    <row r="25" s="11" customFormat="1" ht="18.75" customHeight="1">
      <c r="A25" s="11" t="s">
        <v>42</v>
      </c>
    </row>
    <row r="26" s="11" customFormat="1" ht="18.75" customHeight="1">
      <c r="A26" s="43" t="s">
        <v>43</v>
      </c>
    </row>
    <row r="27" spans="1:2" s="11" customFormat="1" ht="18.75" customHeight="1">
      <c r="A27" s="95" t="s">
        <v>213</v>
      </c>
      <c r="B27" s="43"/>
    </row>
    <row r="28" s="11" customFormat="1" ht="18.75" customHeight="1">
      <c r="A28" s="10"/>
    </row>
    <row r="29" spans="1:2" s="11" customFormat="1" ht="18.75" customHeight="1">
      <c r="A29" s="48" t="s">
        <v>44</v>
      </c>
      <c r="B29" s="102"/>
    </row>
    <row r="30" spans="1:12" s="11" customFormat="1" ht="18.75" customHeight="1">
      <c r="A30" s="103"/>
      <c r="B30" s="367" t="s">
        <v>200</v>
      </c>
      <c r="C30" s="364"/>
      <c r="D30" s="364"/>
      <c r="E30" s="364"/>
      <c r="F30" s="364"/>
      <c r="L30" s="49" t="s">
        <v>208</v>
      </c>
    </row>
    <row r="31" spans="2:12" s="11" customFormat="1" ht="18.75" customHeight="1">
      <c r="B31" s="363" t="s">
        <v>201</v>
      </c>
      <c r="C31" s="364"/>
      <c r="D31" s="364"/>
      <c r="E31" s="364"/>
      <c r="F31" s="364"/>
      <c r="G31" s="104"/>
      <c r="H31" s="104"/>
      <c r="I31" s="104"/>
      <c r="L31" s="49" t="s">
        <v>208</v>
      </c>
    </row>
    <row r="32" spans="2:12" s="11" customFormat="1" ht="18.75" customHeight="1">
      <c r="B32" s="363" t="s">
        <v>209</v>
      </c>
      <c r="C32" s="364"/>
      <c r="D32" s="364"/>
      <c r="E32" s="364"/>
      <c r="F32" s="364"/>
      <c r="G32" s="364"/>
      <c r="H32" s="364"/>
      <c r="I32" s="364"/>
      <c r="J32" s="365"/>
      <c r="K32" s="104"/>
      <c r="L32" s="104"/>
    </row>
    <row r="33" s="11" customFormat="1" ht="18.75" customHeight="1" thickBot="1"/>
    <row r="34" spans="1:4" s="11" customFormat="1" ht="18.75" customHeight="1">
      <c r="A34" s="312" t="s">
        <v>46</v>
      </c>
      <c r="B34" s="254" t="s">
        <v>255</v>
      </c>
      <c r="C34" s="254" t="s">
        <v>256</v>
      </c>
      <c r="D34" s="255" t="s">
        <v>257</v>
      </c>
    </row>
    <row r="35" spans="1:4" s="11" customFormat="1" ht="18.75" customHeight="1">
      <c r="A35" s="110"/>
      <c r="B35" s="111"/>
      <c r="C35" s="112"/>
      <c r="D35" s="113"/>
    </row>
    <row r="36" spans="1:4" s="11" customFormat="1" ht="18.75" customHeight="1">
      <c r="A36" s="281">
        <v>2012</v>
      </c>
      <c r="B36" s="55">
        <f>'CMM consump.(2012)'!H14</f>
        <v>6278.363275815</v>
      </c>
      <c r="C36" s="54">
        <v>0.995</v>
      </c>
      <c r="D36" s="56">
        <f>B36*C36</f>
        <v>6246.971459435925</v>
      </c>
    </row>
    <row r="37" spans="1:4" s="11" customFormat="1" ht="18.75" customHeight="1" thickBot="1">
      <c r="A37" s="300" t="s">
        <v>286</v>
      </c>
      <c r="B37" s="98">
        <f>SUM(B35:B36)</f>
        <v>6278.363275815</v>
      </c>
      <c r="C37" s="97"/>
      <c r="D37" s="99">
        <f>SUM(D35:D36)</f>
        <v>6246.971459435925</v>
      </c>
    </row>
    <row r="38" s="11" customFormat="1" ht="18.75" customHeight="1">
      <c r="A38" s="10" t="s">
        <v>47</v>
      </c>
    </row>
    <row r="39" s="11" customFormat="1" ht="18.75" customHeight="1">
      <c r="A39" s="11" t="s">
        <v>48</v>
      </c>
    </row>
    <row r="40" s="11" customFormat="1" ht="18.75" customHeight="1"/>
    <row r="41" s="11" customFormat="1" ht="18.75" customHeight="1">
      <c r="A41" s="95" t="s">
        <v>214</v>
      </c>
    </row>
    <row r="42" s="11" customFormat="1" ht="18.75" customHeight="1"/>
    <row r="43" spans="1:4" s="11" customFormat="1" ht="18.75" customHeight="1">
      <c r="A43" s="11" t="s">
        <v>44</v>
      </c>
      <c r="D43" s="10"/>
    </row>
    <row r="44" spans="2:12" s="11" customFormat="1" ht="18.75" customHeight="1">
      <c r="B44" s="363" t="s">
        <v>210</v>
      </c>
      <c r="C44" s="364"/>
      <c r="D44" s="364"/>
      <c r="E44" s="364"/>
      <c r="F44" s="364"/>
      <c r="G44" s="364"/>
      <c r="L44" s="49" t="s">
        <v>208</v>
      </c>
    </row>
    <row r="45" spans="2:12" s="11" customFormat="1" ht="18.75" customHeight="1">
      <c r="B45" s="363" t="s">
        <v>202</v>
      </c>
      <c r="C45" s="364"/>
      <c r="D45" s="364"/>
      <c r="E45" s="364"/>
      <c r="F45" s="364"/>
      <c r="G45" s="364"/>
      <c r="L45" s="49" t="s">
        <v>208</v>
      </c>
    </row>
    <row r="46" spans="2:11" s="11" customFormat="1" ht="18.75" customHeight="1">
      <c r="B46" s="363" t="s">
        <v>203</v>
      </c>
      <c r="C46" s="364"/>
      <c r="D46" s="364"/>
      <c r="E46" s="364"/>
      <c r="F46" s="364"/>
      <c r="G46" s="364"/>
      <c r="H46" s="364"/>
      <c r="I46" s="364"/>
      <c r="J46" s="364"/>
      <c r="K46" s="365"/>
    </row>
    <row r="47" s="11" customFormat="1" ht="18.75" customHeight="1" thickBot="1">
      <c r="A47" s="105" t="s">
        <v>45</v>
      </c>
    </row>
    <row r="48" spans="1:4" s="11" customFormat="1" ht="18.75" customHeight="1">
      <c r="A48" s="312" t="s">
        <v>46</v>
      </c>
      <c r="B48" s="254" t="s">
        <v>258</v>
      </c>
      <c r="C48" s="254" t="s">
        <v>259</v>
      </c>
      <c r="D48" s="307" t="s">
        <v>260</v>
      </c>
    </row>
    <row r="49" spans="1:4" s="11" customFormat="1" ht="18.75" customHeight="1">
      <c r="A49" s="114"/>
      <c r="B49" s="115"/>
      <c r="C49" s="116"/>
      <c r="D49" s="117"/>
    </row>
    <row r="50" spans="1:4" s="11" customFormat="1" ht="18.75" customHeight="1">
      <c r="A50" s="281">
        <v>2012</v>
      </c>
      <c r="B50" s="55">
        <f>'CMM consump.(2012)'!G26</f>
        <v>328.669102224</v>
      </c>
      <c r="C50" s="54">
        <v>0.985</v>
      </c>
      <c r="D50" s="56">
        <f>C50*B50</f>
        <v>323.73906569064</v>
      </c>
    </row>
    <row r="51" spans="1:4" s="11" customFormat="1" ht="18.75" customHeight="1" thickBot="1">
      <c r="A51" s="300" t="s">
        <v>286</v>
      </c>
      <c r="B51" s="98">
        <f>SUM(B49:B50)</f>
        <v>328.669102224</v>
      </c>
      <c r="C51" s="97"/>
      <c r="D51" s="99">
        <f>SUM(D49:D50)</f>
        <v>323.73906569064</v>
      </c>
    </row>
    <row r="52" s="11" customFormat="1" ht="18.75" customHeight="1"/>
    <row r="53" s="11" customFormat="1" ht="18.75" customHeight="1" thickBot="1"/>
    <row r="54" spans="1:5" s="11" customFormat="1" ht="18.75" customHeight="1">
      <c r="A54" s="313" t="s">
        <v>46</v>
      </c>
      <c r="B54" s="254" t="s">
        <v>261</v>
      </c>
      <c r="C54" s="254" t="s">
        <v>262</v>
      </c>
      <c r="D54" s="254" t="s">
        <v>260</v>
      </c>
      <c r="E54" s="255" t="s">
        <v>257</v>
      </c>
    </row>
    <row r="55" spans="1:5" s="11" customFormat="1" ht="18.75" customHeight="1">
      <c r="A55" s="50"/>
      <c r="B55" s="52"/>
      <c r="C55" s="118"/>
      <c r="D55" s="52"/>
      <c r="E55" s="53"/>
    </row>
    <row r="56" spans="1:5" s="11" customFormat="1" ht="18.75" customHeight="1">
      <c r="A56" s="281">
        <v>2012</v>
      </c>
      <c r="B56" s="301">
        <f>($D$56+$E$56)*C56</f>
        <v>18069.45394409805</v>
      </c>
      <c r="C56" s="306">
        <v>2.75</v>
      </c>
      <c r="D56" s="301">
        <f>D50</f>
        <v>323.73906569064</v>
      </c>
      <c r="E56" s="302">
        <f>D36</f>
        <v>6246.971459435925</v>
      </c>
    </row>
    <row r="57" spans="1:5" s="11" customFormat="1" ht="18.75" customHeight="1" thickBot="1">
      <c r="A57" s="298" t="s">
        <v>286</v>
      </c>
      <c r="B57" s="98">
        <f>SUM(B55:B56)</f>
        <v>18069.45394409805</v>
      </c>
      <c r="C57" s="97"/>
      <c r="D57" s="98">
        <f>SUM(D55:D56)</f>
        <v>323.73906569064</v>
      </c>
      <c r="E57" s="99">
        <f>SUM(E55:E56)</f>
        <v>6246.971459435925</v>
      </c>
    </row>
    <row r="58" s="11" customFormat="1" ht="18.75" customHeight="1"/>
    <row r="59" s="11" customFormat="1" ht="18.75" customHeight="1"/>
    <row r="60" s="11" customFormat="1" ht="18.75" customHeight="1">
      <c r="A60" s="10" t="s">
        <v>49</v>
      </c>
    </row>
    <row r="61" s="11" customFormat="1" ht="18.75" customHeight="1"/>
    <row r="62" s="11" customFormat="1" ht="18.75" customHeight="1">
      <c r="A62" s="95" t="s">
        <v>215</v>
      </c>
    </row>
    <row r="63" s="11" customFormat="1" ht="18.75" customHeight="1"/>
    <row r="64" s="11" customFormat="1" ht="18.75" customHeight="1" thickBot="1"/>
    <row r="65" spans="1:9" s="11" customFormat="1" ht="18.75" customHeight="1">
      <c r="A65" s="312" t="s">
        <v>46</v>
      </c>
      <c r="B65" s="254" t="s">
        <v>255</v>
      </c>
      <c r="C65" s="254" t="s">
        <v>263</v>
      </c>
      <c r="D65" s="308" t="s">
        <v>264</v>
      </c>
      <c r="E65" s="254" t="s">
        <v>265</v>
      </c>
      <c r="F65" s="309" t="s">
        <v>266</v>
      </c>
      <c r="G65" s="106"/>
      <c r="H65" s="106"/>
      <c r="I65" s="106"/>
    </row>
    <row r="66" spans="1:9" s="11" customFormat="1" ht="18.75" customHeight="1">
      <c r="A66" s="50"/>
      <c r="B66" s="52"/>
      <c r="C66" s="76"/>
      <c r="D66" s="52"/>
      <c r="E66" s="76"/>
      <c r="F66" s="53"/>
      <c r="G66" s="62"/>
      <c r="H66" s="62"/>
      <c r="I66" s="62"/>
    </row>
    <row r="67" spans="1:9" s="11" customFormat="1" ht="18.75" customHeight="1">
      <c r="A67" s="281">
        <v>2012</v>
      </c>
      <c r="B67" s="301">
        <f>'CMM consump.(2012)'!H14</f>
        <v>6278.363275815</v>
      </c>
      <c r="C67" s="290">
        <v>0.005</v>
      </c>
      <c r="D67" s="301">
        <f>'CMM consump.(2012)'!G26</f>
        <v>328.669102224</v>
      </c>
      <c r="E67" s="290">
        <v>0.015</v>
      </c>
      <c r="F67" s="305">
        <f>($B$67*C67+$D$67*E67)*21</f>
        <v>762.758911161135</v>
      </c>
      <c r="G67" s="78"/>
      <c r="H67" s="78"/>
      <c r="I67" s="78"/>
    </row>
    <row r="68" spans="1:9" s="11" customFormat="1" ht="18.75" customHeight="1" thickBot="1">
      <c r="A68" s="298" t="s">
        <v>286</v>
      </c>
      <c r="B68" s="98">
        <f>SUM(B66:B67)</f>
        <v>6278.363275815</v>
      </c>
      <c r="C68" s="97"/>
      <c r="D68" s="98">
        <f>D66+D67</f>
        <v>328.669102224</v>
      </c>
      <c r="E68" s="97"/>
      <c r="F68" s="99">
        <f>SUM(F66:F67)</f>
        <v>762.758911161135</v>
      </c>
      <c r="G68" s="119"/>
      <c r="H68" s="119"/>
      <c r="I68" s="119"/>
    </row>
    <row r="69" s="11" customFormat="1" ht="18.75" customHeight="1"/>
    <row r="70" s="11" customFormat="1" ht="18.75" customHeight="1"/>
    <row r="71" s="11" customFormat="1" ht="18.75" customHeight="1">
      <c r="A71" s="10" t="s">
        <v>99</v>
      </c>
    </row>
    <row r="72" spans="1:17" s="11" customFormat="1" ht="18.75" customHeight="1">
      <c r="A72" s="95" t="s">
        <v>216</v>
      </c>
      <c r="Q72" s="120"/>
    </row>
    <row r="73" s="11" customFormat="1" ht="18.75" customHeight="1" thickBot="1"/>
    <row r="74" spans="1:4" s="11" customFormat="1" ht="18.75" customHeight="1">
      <c r="A74" s="312" t="s">
        <v>46</v>
      </c>
      <c r="B74" s="254" t="s">
        <v>261</v>
      </c>
      <c r="C74" s="309" t="s">
        <v>266</v>
      </c>
      <c r="D74" s="310" t="s">
        <v>267</v>
      </c>
    </row>
    <row r="75" spans="1:4" s="11" customFormat="1" ht="18.75" customHeight="1">
      <c r="A75" s="50"/>
      <c r="B75" s="52"/>
      <c r="C75" s="121"/>
      <c r="D75" s="122"/>
    </row>
    <row r="76" spans="1:4" s="11" customFormat="1" ht="18.75" customHeight="1">
      <c r="A76" s="281">
        <v>2012</v>
      </c>
      <c r="B76" s="301">
        <f>B57</f>
        <v>18069.45394409805</v>
      </c>
      <c r="C76" s="303">
        <f>F68</f>
        <v>762.758911161135</v>
      </c>
      <c r="D76" s="75">
        <f>ROUND(SUM(B76:C76),0)</f>
        <v>18832</v>
      </c>
    </row>
    <row r="77" spans="1:4" s="11" customFormat="1" ht="18.75" customHeight="1" thickBot="1">
      <c r="A77" s="298" t="s">
        <v>286</v>
      </c>
      <c r="B77" s="304"/>
      <c r="C77" s="304"/>
      <c r="D77" s="99">
        <f>ROUNDUP((D75+D76),0)</f>
        <v>18832</v>
      </c>
    </row>
    <row r="78" s="11" customFormat="1" ht="18.75" customHeight="1"/>
    <row r="79" s="11" customFormat="1" ht="18.75" customHeight="1"/>
    <row r="80" ht="18.75" customHeight="1"/>
    <row r="81" ht="18.75" customHeight="1"/>
  </sheetData>
  <mergeCells count="10">
    <mergeCell ref="B12:E12"/>
    <mergeCell ref="B13:F13"/>
    <mergeCell ref="B14:F14"/>
    <mergeCell ref="A20:M20"/>
    <mergeCell ref="B45:G45"/>
    <mergeCell ref="B46:K46"/>
    <mergeCell ref="B30:F30"/>
    <mergeCell ref="B31:F31"/>
    <mergeCell ref="B32:J32"/>
    <mergeCell ref="B44:G44"/>
  </mergeCells>
  <printOptions/>
  <pageMargins left="0.75" right="0.75" top="1" bottom="1" header="0.5" footer="0.5"/>
  <pageSetup orientation="portrait" paperSize="9"/>
  <legacyDrawing r:id="rId2"/>
  <oleObjects>
    <oleObject progId="Equation.3" shapeId="8582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semeyka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</dc:creator>
  <cp:keywords/>
  <dc:description/>
  <cp:lastModifiedBy>***</cp:lastModifiedBy>
  <cp:lastPrinted>2010-01-11T07:58:12Z</cp:lastPrinted>
  <dcterms:created xsi:type="dcterms:W3CDTF">2006-09-26T05:52:16Z</dcterms:created>
  <dcterms:modified xsi:type="dcterms:W3CDTF">2012-05-24T08:30:52Z</dcterms:modified>
  <cp:category/>
  <cp:version/>
  <cp:contentType/>
  <cp:contentStatus/>
</cp:coreProperties>
</file>