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" yWindow="65320" windowWidth="9780" windowHeight="8592" activeTab="0"/>
  </bookViews>
  <sheets>
    <sheet name="Inputs" sheetId="1" r:id="rId1"/>
    <sheet name="Cashflow" sheetId="2" r:id="rId2"/>
    <sheet name="Scenario1" sheetId="3" r:id="rId3"/>
    <sheet name="Scenario2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<sst xmlns="http://schemas.openxmlformats.org/spreadsheetml/2006/main" count="123" uniqueCount="63">
  <si>
    <t>Total</t>
  </si>
  <si>
    <t>Power supplied to grid</t>
  </si>
  <si>
    <t>MWh</t>
  </si>
  <si>
    <t>g.c.e/kWh</t>
  </si>
  <si>
    <t>GJ/t</t>
  </si>
  <si>
    <t>GJ/1000m3</t>
  </si>
  <si>
    <t>Coal consumption</t>
  </si>
  <si>
    <t>Gas consumption</t>
  </si>
  <si>
    <t>Mazut consumption</t>
  </si>
  <si>
    <t>t</t>
  </si>
  <si>
    <t>m3</t>
  </si>
  <si>
    <t>Share of coal in fuel mix</t>
  </si>
  <si>
    <t>%</t>
  </si>
  <si>
    <t>Share of gas in fuel mix</t>
  </si>
  <si>
    <t>Share of mazut in fuel mix</t>
  </si>
  <si>
    <t>Coal price</t>
  </si>
  <si>
    <t>Masut price</t>
  </si>
  <si>
    <t>Unit</t>
  </si>
  <si>
    <t>Natural gas price</t>
  </si>
  <si>
    <t>CAPEX</t>
  </si>
  <si>
    <t>OPEX</t>
  </si>
  <si>
    <t>Revenues</t>
  </si>
  <si>
    <t>Cashflow</t>
  </si>
  <si>
    <t xml:space="preserve">major overhaul costs </t>
  </si>
  <si>
    <t xml:space="preserve">reconstruction costs </t>
  </si>
  <si>
    <t xml:space="preserve">Specific baseline fuel consumption </t>
  </si>
  <si>
    <t xml:space="preserve">LCV of coal </t>
  </si>
  <si>
    <t>LCV of gas</t>
  </si>
  <si>
    <t>LCV of mazut</t>
  </si>
  <si>
    <t>tCO2/y</t>
  </si>
  <si>
    <t>UAH</t>
  </si>
  <si>
    <t>Emission Reductions</t>
  </si>
  <si>
    <t>GHG emission reductions</t>
  </si>
  <si>
    <t>Investment Costs, UAH</t>
  </si>
  <si>
    <t>Coal savings, UAH</t>
  </si>
  <si>
    <t>Gas savings, UAH</t>
  </si>
  <si>
    <t>Mazut savings, UAH</t>
  </si>
  <si>
    <t>Inflation Rate</t>
  </si>
  <si>
    <t>Investment costs</t>
  </si>
  <si>
    <t>Baseline Operational Data</t>
  </si>
  <si>
    <t>Project Operational Data</t>
  </si>
  <si>
    <t>UAH/t</t>
  </si>
  <si>
    <t>UAH/1000m3</t>
  </si>
  <si>
    <t xml:space="preserve">Average inflation for 2003-2005 http://www.ukrstat.gov.ua/ </t>
  </si>
  <si>
    <t>Coal savings</t>
  </si>
  <si>
    <t>Gas savings</t>
  </si>
  <si>
    <t>Mazut savings</t>
  </si>
  <si>
    <t>Net Cashflow, UAH</t>
  </si>
  <si>
    <t>NPV</t>
  </si>
  <si>
    <t>IRR</t>
  </si>
  <si>
    <t>Scenario 1</t>
  </si>
  <si>
    <t>Investment cost variation</t>
  </si>
  <si>
    <t>Fuel price variation</t>
  </si>
  <si>
    <t>Scenario 2</t>
  </si>
  <si>
    <t>Investment analysis of the Reconstruction project on Zuevskaya TPP units 1,2,3,4 as of 1/08/2006</t>
  </si>
  <si>
    <t>Commercial lending rates average for 2005</t>
  </si>
  <si>
    <t xml:space="preserve">http://www.bank.gov.ua/Statist/Electronic%20bulletin/data/4-Financial%20markets(4.1).xls </t>
  </si>
  <si>
    <t>Benchmark</t>
  </si>
  <si>
    <t>ERU Sales, UAH</t>
  </si>
  <si>
    <t>Forecasted ERU Price</t>
  </si>
  <si>
    <t>Net Cashflow with ERU, UAH</t>
  </si>
  <si>
    <t xml:space="preserve">Liquidation value of all modernisation cost in 2019 </t>
  </si>
  <si>
    <t>Cashflow analisys for PDD ver 2.8 dated 15 Dec 2010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</si>
</sst>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_-* #,##0.00\ [$грн.-422]_-;\-* #,##0.00\ [$грн.-422]_-;_-* &quot;-&quot;??\ [$грн.-422]_-;_-@_-"/>
    <numFmt numFmtId="175" formatCode="#,##0.000"/>
    <numFmt numFmtId="176" formatCode="#,##0_ ;[Red]\-#,##0\ "/>
    <numFmt numFmtId="177" formatCode="#,##0.0000"/>
  </numFmts>
  <fonts count="28"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9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56"/>
      <name val="Cambria"/>
      <family val="2"/>
    </font>
    <font>
      <sz val="8"/>
      <color indexed="10"/>
      <name val="Arial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/>
      <right/>
      <top style="thin"/>
      <bottom style="thick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4" fillId="3" borderId="0" applyNumberFormat="0" applyBorder="0" applyAlignment="0" applyProtection="0"/>
    <xf numFmtId="0" fontId="10" fillId="20" borderId="1" applyNumberFormat="0" applyAlignment="0" applyProtection="0"/>
    <xf numFmtId="0" fontId="13" fillId="21" borderId="2" applyNumberFormat="0" applyAlignment="0" applyProtection="0"/>
    <xf numFmtId="0" fontId="1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1" fillId="0" borderId="3" applyNumberFormat="0" applyFill="0" applyAlignment="0" applyProtection="0"/>
    <xf numFmtId="0" fontId="7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8" fillId="7" borderId="1" applyNumberFormat="0" applyAlignment="0" applyProtection="0"/>
    <xf numFmtId="0" fontId="26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0" fontId="6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4" fillId="24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3" fontId="0" fillId="25" borderId="0" xfId="0" applyNumberFormat="1" applyFill="1" applyAlignment="1">
      <alignment/>
    </xf>
    <xf numFmtId="0" fontId="0" fillId="25" borderId="0" xfId="0" applyFill="1" applyAlignment="1">
      <alignment/>
    </xf>
    <xf numFmtId="3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14" fillId="25" borderId="0" xfId="0" applyFont="1" applyFill="1" applyBorder="1" applyAlignment="1">
      <alignment horizontal="center"/>
    </xf>
    <xf numFmtId="0" fontId="15" fillId="25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2" fillId="25" borderId="0" xfId="0" applyFont="1" applyFill="1" applyBorder="1" applyAlignment="1">
      <alignment horizontal="center"/>
    </xf>
    <xf numFmtId="0" fontId="15" fillId="25" borderId="0" xfId="0" applyFont="1" applyFill="1" applyBorder="1" applyAlignment="1">
      <alignment horizontal="center"/>
    </xf>
    <xf numFmtId="3" fontId="3" fillId="25" borderId="0" xfId="0" applyNumberFormat="1" applyFont="1" applyFill="1" applyBorder="1" applyAlignment="1">
      <alignment/>
    </xf>
    <xf numFmtId="3" fontId="15" fillId="25" borderId="0" xfId="0" applyNumberFormat="1" applyFont="1" applyFill="1" applyBorder="1" applyAlignment="1">
      <alignment/>
    </xf>
    <xf numFmtId="0" fontId="15" fillId="25" borderId="0" xfId="0" applyFont="1" applyFill="1" applyBorder="1" applyAlignment="1">
      <alignment/>
    </xf>
    <xf numFmtId="14" fontId="16" fillId="25" borderId="0" xfId="0" applyNumberFormat="1" applyFont="1" applyFill="1" applyAlignment="1">
      <alignment horizontal="center"/>
    </xf>
    <xf numFmtId="0" fontId="17" fillId="25" borderId="0" xfId="0" applyFont="1" applyFill="1" applyAlignment="1">
      <alignment/>
    </xf>
    <xf numFmtId="174" fontId="17" fillId="25" borderId="0" xfId="0" applyNumberFormat="1" applyFont="1" applyFill="1" applyAlignment="1">
      <alignment/>
    </xf>
    <xf numFmtId="0" fontId="17" fillId="25" borderId="0" xfId="0" applyFont="1" applyFill="1" applyAlignment="1">
      <alignment horizontal="center"/>
    </xf>
    <xf numFmtId="0" fontId="4" fillId="25" borderId="0" xfId="0" applyNumberFormat="1" applyFont="1" applyFill="1" applyBorder="1" applyAlignment="1">
      <alignment/>
    </xf>
    <xf numFmtId="0" fontId="17" fillId="25" borderId="0" xfId="0" applyNumberFormat="1" applyFont="1" applyFill="1" applyBorder="1" applyAlignment="1">
      <alignment/>
    </xf>
    <xf numFmtId="3" fontId="17" fillId="25" borderId="0" xfId="0" applyNumberFormat="1" applyFont="1" applyFill="1" applyBorder="1" applyAlignment="1">
      <alignment/>
    </xf>
    <xf numFmtId="0" fontId="4" fillId="25" borderId="0" xfId="0" applyFont="1" applyFill="1" applyBorder="1" applyAlignment="1">
      <alignment/>
    </xf>
    <xf numFmtId="0" fontId="4" fillId="25" borderId="0" xfId="0" applyFont="1" applyFill="1" applyBorder="1" applyAlignment="1">
      <alignment horizontal="center"/>
    </xf>
    <xf numFmtId="3" fontId="4" fillId="24" borderId="0" xfId="0" applyNumberFormat="1" applyFont="1" applyFill="1" applyBorder="1" applyAlignment="1">
      <alignment/>
    </xf>
    <xf numFmtId="174" fontId="17" fillId="25" borderId="0" xfId="0" applyNumberFormat="1" applyFont="1" applyFill="1" applyBorder="1" applyAlignment="1">
      <alignment/>
    </xf>
    <xf numFmtId="0" fontId="17" fillId="25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5" fillId="25" borderId="0" xfId="56" applyNumberFormat="1" applyFill="1" applyBorder="1" applyAlignment="1" applyProtection="1">
      <alignment/>
      <protection/>
    </xf>
    <xf numFmtId="0" fontId="6" fillId="25" borderId="0" xfId="53" applyFill="1" applyAlignment="1">
      <alignment/>
    </xf>
    <xf numFmtId="0" fontId="1" fillId="0" borderId="0" xfId="59" applyBorder="1">
      <alignment/>
      <protection/>
    </xf>
    <xf numFmtId="0" fontId="17" fillId="23" borderId="7" xfId="51" applyFont="1" applyAlignment="1">
      <alignment horizontal="center"/>
    </xf>
    <xf numFmtId="3" fontId="4" fillId="23" borderId="7" xfId="51" applyNumberFormat="1" applyFont="1" applyAlignment="1">
      <alignment/>
    </xf>
    <xf numFmtId="3" fontId="17" fillId="23" borderId="7" xfId="51" applyNumberFormat="1" applyFont="1" applyAlignment="1">
      <alignment/>
    </xf>
    <xf numFmtId="3" fontId="8" fillId="7" borderId="1" xfId="48" applyNumberFormat="1" applyAlignment="1">
      <alignment/>
    </xf>
    <xf numFmtId="0" fontId="7" fillId="0" borderId="11" xfId="45" applyBorder="1" applyAlignment="1">
      <alignment/>
    </xf>
    <xf numFmtId="3" fontId="8" fillId="7" borderId="1" xfId="48" applyNumberFormat="1" applyBorder="1" applyAlignment="1">
      <alignment/>
    </xf>
    <xf numFmtId="0" fontId="12" fillId="25" borderId="9" xfId="54" applyFill="1" applyBorder="1" applyAlignment="1">
      <alignment/>
    </xf>
    <xf numFmtId="0" fontId="12" fillId="25" borderId="9" xfId="54" applyFill="1" applyBorder="1" applyAlignment="1">
      <alignment horizontal="center"/>
    </xf>
    <xf numFmtId="3" fontId="12" fillId="24" borderId="9" xfId="54" applyNumberFormat="1" applyFill="1" applyBorder="1" applyAlignment="1">
      <alignment/>
    </xf>
    <xf numFmtId="3" fontId="12" fillId="25" borderId="9" xfId="54" applyNumberFormat="1" applyFill="1" applyBorder="1" applyAlignment="1">
      <alignment/>
    </xf>
    <xf numFmtId="175" fontId="8" fillId="7" borderId="1" xfId="48" applyNumberFormat="1" applyAlignment="1">
      <alignment/>
    </xf>
    <xf numFmtId="172" fontId="8" fillId="7" borderId="1" xfId="48" applyNumberFormat="1" applyAlignment="1">
      <alignment/>
    </xf>
    <xf numFmtId="0" fontId="4" fillId="23" borderId="7" xfId="51" applyFont="1" applyAlignment="1">
      <alignment vertical="center"/>
    </xf>
    <xf numFmtId="0" fontId="4" fillId="23" borderId="7" xfId="51" applyFont="1" applyAlignment="1">
      <alignment horizontal="center" vertical="center"/>
    </xf>
    <xf numFmtId="0" fontId="17" fillId="23" borderId="7" xfId="51" applyFont="1" applyAlignment="1">
      <alignment/>
    </xf>
    <xf numFmtId="172" fontId="17" fillId="23" borderId="7" xfId="51" applyNumberFormat="1" applyFont="1" applyAlignment="1">
      <alignment/>
    </xf>
    <xf numFmtId="0" fontId="4" fillId="23" borderId="7" xfId="51" applyFont="1" applyAlignment="1">
      <alignment horizontal="left" vertical="center"/>
    </xf>
    <xf numFmtId="0" fontId="4" fillId="23" borderId="7" xfId="51" applyFont="1" applyAlignment="1">
      <alignment horizontal="center"/>
    </xf>
    <xf numFmtId="0" fontId="4" fillId="23" borderId="7" xfId="51" applyFont="1" applyAlignment="1">
      <alignment/>
    </xf>
    <xf numFmtId="173" fontId="8" fillId="7" borderId="1" xfId="48" applyNumberFormat="1" applyAlignment="1">
      <alignment/>
    </xf>
    <xf numFmtId="4" fontId="8" fillId="7" borderId="1" xfId="48" applyNumberFormat="1" applyAlignment="1">
      <alignment/>
    </xf>
    <xf numFmtId="0" fontId="11" fillId="25" borderId="0" xfId="42" applyNumberFormat="1" applyFill="1" applyBorder="1" applyAlignment="1" applyProtection="1">
      <alignment/>
      <protection/>
    </xf>
    <xf numFmtId="0" fontId="11" fillId="25" borderId="0" xfId="42" applyFill="1" applyBorder="1" applyAlignment="1">
      <alignment horizontal="left"/>
    </xf>
    <xf numFmtId="0" fontId="7" fillId="24" borderId="4" xfId="45" applyFill="1" applyAlignment="1">
      <alignment horizontal="center"/>
    </xf>
    <xf numFmtId="0" fontId="0" fillId="23" borderId="7" xfId="51" applyFont="1" applyAlignment="1">
      <alignment/>
    </xf>
    <xf numFmtId="0" fontId="0" fillId="23" borderId="12" xfId="51" applyFont="1" applyBorder="1" applyAlignment="1">
      <alignment/>
    </xf>
    <xf numFmtId="3" fontId="10" fillId="20" borderId="13" xfId="40" applyNumberFormat="1" applyBorder="1" applyAlignment="1">
      <alignment/>
    </xf>
    <xf numFmtId="0" fontId="12" fillId="23" borderId="7" xfId="51" applyFont="1" applyAlignment="1">
      <alignment/>
    </xf>
    <xf numFmtId="10" fontId="9" fillId="20" borderId="8" xfId="52" applyNumberFormat="1" applyAlignment="1">
      <alignment/>
    </xf>
    <xf numFmtId="176" fontId="9" fillId="20" borderId="8" xfId="52" applyNumberFormat="1" applyAlignment="1">
      <alignment/>
    </xf>
    <xf numFmtId="9" fontId="8" fillId="7" borderId="1" xfId="60" applyFont="1" applyFill="1" applyBorder="1" applyAlignment="1">
      <alignment/>
    </xf>
    <xf numFmtId="0" fontId="7" fillId="25" borderId="4" xfId="45" applyFill="1" applyAlignment="1">
      <alignment horizontal="left" vertical="center"/>
    </xf>
    <xf numFmtId="0" fontId="0" fillId="0" borderId="0" xfId="0" applyNumberFormat="1" applyAlignment="1">
      <alignment/>
    </xf>
    <xf numFmtId="3" fontId="15" fillId="25" borderId="0" xfId="0" applyNumberFormat="1" applyFont="1" applyFill="1" applyAlignment="1">
      <alignment/>
    </xf>
    <xf numFmtId="0" fontId="18" fillId="25" borderId="0" xfId="53" applyFont="1" applyFill="1" applyAlignment="1">
      <alignment/>
    </xf>
    <xf numFmtId="0" fontId="8" fillId="7" borderId="1" xfId="48" applyNumberFormat="1" applyAlignment="1">
      <alignment/>
    </xf>
    <xf numFmtId="10" fontId="8" fillId="7" borderId="1" xfId="48" applyNumberFormat="1" applyAlignment="1">
      <alignment/>
    </xf>
    <xf numFmtId="0" fontId="7" fillId="25" borderId="4" xfId="45" applyFill="1" applyAlignment="1">
      <alignment horizontal="center" vertical="center"/>
    </xf>
    <xf numFmtId="3" fontId="7" fillId="25" borderId="4" xfId="45" applyNumberFormat="1" applyFill="1" applyAlignment="1">
      <alignment/>
    </xf>
    <xf numFmtId="177" fontId="8" fillId="7" borderId="1" xfId="48" applyNumberFormat="1" applyAlignment="1">
      <alignment/>
    </xf>
    <xf numFmtId="175" fontId="15" fillId="25" borderId="0" xfId="0" applyNumberFormat="1" applyFont="1" applyFill="1" applyBorder="1" applyAlignment="1">
      <alignment/>
    </xf>
    <xf numFmtId="0" fontId="19" fillId="23" borderId="7" xfId="51" applyFont="1" applyAlignment="1">
      <alignment/>
    </xf>
    <xf numFmtId="0" fontId="19" fillId="23" borderId="7" xfId="51" applyFont="1" applyAlignment="1">
      <alignment horizontal="center"/>
    </xf>
    <xf numFmtId="9" fontId="20" fillId="7" borderId="1" xfId="60" applyFont="1" applyFill="1" applyBorder="1" applyAlignment="1">
      <alignment/>
    </xf>
    <xf numFmtId="0" fontId="4" fillId="23" borderId="7" xfId="51" applyFont="1" applyAlignment="1" applyProtection="1">
      <alignment horizontal="left" vertical="center"/>
      <protection hidden="1"/>
    </xf>
    <xf numFmtId="0" fontId="4" fillId="23" borderId="7" xfId="51" applyFont="1" applyAlignment="1" applyProtection="1">
      <alignment horizontal="center"/>
      <protection hidden="1"/>
    </xf>
    <xf numFmtId="9" fontId="8" fillId="7" borderId="1" xfId="60" applyFont="1" applyFill="1" applyBorder="1" applyAlignment="1" applyProtection="1">
      <alignment/>
      <protection hidden="1"/>
    </xf>
    <xf numFmtId="10" fontId="13" fillId="21" borderId="2" xfId="41" applyNumberFormat="1" applyAlignment="1">
      <alignment horizontal="center" vertical="center"/>
    </xf>
    <xf numFmtId="0" fontId="13" fillId="21" borderId="2" xfId="4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Обычный_Calculation ER-Shchurovo_12Dec08" xfId="59"/>
    <cellStyle name="Percent" xfId="60"/>
    <cellStyle name="Comma" xfId="61"/>
    <cellStyle name="Comma [0]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n\AppData\Local\Microsoft\Windows\Temporary%20Internet%20Files\Content.Outlook\EPC4TG83\20091512_SD01%20ER_ver2.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n\AppData\Local\Microsoft\Windows\Temporary%20Internet%20Files\Content.Outlook\EPC4TG83\SD1%20ER%20calcul%20ver1.0%2014080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2-2012"/>
      <sheetName val="ER calcul-s"/>
      <sheetName val="ER tables PDD"/>
    </sheetNames>
    <sheetDataSet>
      <sheetData sheetId="0">
        <row r="3">
          <cell r="J3">
            <v>6210000</v>
          </cell>
          <cell r="K3">
            <v>6210000</v>
          </cell>
          <cell r="L3">
            <v>6210000</v>
          </cell>
          <cell r="M3">
            <v>6480000</v>
          </cell>
        </row>
        <row r="5">
          <cell r="J5">
            <v>3157965.9879474626</v>
          </cell>
          <cell r="K5">
            <v>3122181.670803582</v>
          </cell>
          <cell r="L5">
            <v>3095343.4329456715</v>
          </cell>
          <cell r="M5">
            <v>3197250.94481194</v>
          </cell>
        </row>
        <row r="8">
          <cell r="J8">
            <v>21480.44866468085</v>
          </cell>
          <cell r="K8">
            <v>21237.044147234043</v>
          </cell>
          <cell r="L8">
            <v>21054.490759148935</v>
          </cell>
          <cell r="M8">
            <v>21747.66449361702</v>
          </cell>
        </row>
        <row r="11">
          <cell r="J11">
            <v>1695.1469442744065</v>
          </cell>
          <cell r="K11">
            <v>1675.9384803166226</v>
          </cell>
          <cell r="L11">
            <v>1661.532132348285</v>
          </cell>
          <cell r="M11">
            <v>1716.2344970976255</v>
          </cell>
        </row>
        <row r="16">
          <cell r="J16">
            <v>20.1</v>
          </cell>
          <cell r="K16">
            <v>20.1</v>
          </cell>
          <cell r="L16">
            <v>20.1</v>
          </cell>
          <cell r="M16">
            <v>20.1</v>
          </cell>
        </row>
        <row r="18">
          <cell r="J18">
            <v>37.9</v>
          </cell>
        </row>
        <row r="20">
          <cell r="J20">
            <v>32.9</v>
          </cell>
          <cell r="K20">
            <v>32.9</v>
          </cell>
          <cell r="L20">
            <v>32.9</v>
          </cell>
          <cell r="M20">
            <v>32.9</v>
          </cell>
        </row>
        <row r="39">
          <cell r="J39">
            <v>359.05918820128124</v>
          </cell>
        </row>
      </sheetData>
      <sheetData sheetId="1">
        <row r="48">
          <cell r="E48">
            <v>105358.97447996493</v>
          </cell>
          <cell r="F48">
            <v>174912.16938332468</v>
          </cell>
          <cell r="G48">
            <v>227077.06556084473</v>
          </cell>
          <cell r="H48">
            <v>300455.0724535128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2-2012"/>
      <sheetName val="ER calcul-s"/>
      <sheetName val="ER tables PDD"/>
      <sheetName val="chart"/>
    </sheetNames>
    <sheetDataSet>
      <sheetData sheetId="0">
        <row r="18">
          <cell r="K18">
            <v>37.9</v>
          </cell>
          <cell r="L18">
            <v>37.9</v>
          </cell>
          <cell r="M18">
            <v>37.9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.gov.ua/Statist/Electronic%20bulletin/data/4-Financial%20markets(4.1).xl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tabSelected="1" zoomScalePageLayoutView="0" workbookViewId="0" topLeftCell="A1">
      <selection activeCell="D15" sqref="D15"/>
    </sheetView>
  </sheetViews>
  <sheetFormatPr defaultColWidth="11.140625" defaultRowHeight="15"/>
  <cols>
    <col min="1" max="1" width="38.140625" style="9" customWidth="1"/>
    <col min="2" max="2" width="11.140625" style="10" customWidth="1"/>
    <col min="3" max="4" width="11.28125" style="9" customWidth="1"/>
    <col min="5" max="5" width="12.421875" style="9" customWidth="1"/>
    <col min="6" max="9" width="11.28125" style="9" customWidth="1"/>
    <col min="10" max="10" width="10.8515625" style="9" customWidth="1"/>
    <col min="11" max="16384" width="11.140625" style="9" customWidth="1"/>
  </cols>
  <sheetData>
    <row r="1" spans="1:19" ht="22.5">
      <c r="A1" s="30" t="s">
        <v>54</v>
      </c>
      <c r="B1" s="16"/>
      <c r="C1" s="17"/>
      <c r="D1" s="17"/>
      <c r="E1" s="17"/>
      <c r="F1" s="17"/>
      <c r="G1" s="17"/>
      <c r="H1" s="17"/>
      <c r="I1" s="17"/>
      <c r="J1" s="17"/>
      <c r="K1" s="8"/>
      <c r="L1" s="8"/>
      <c r="M1" s="8"/>
      <c r="N1" s="8"/>
      <c r="O1" s="8"/>
      <c r="P1" s="8"/>
      <c r="Q1" s="8"/>
      <c r="R1" s="8"/>
      <c r="S1" s="8"/>
    </row>
    <row r="2" spans="1:19" ht="15">
      <c r="A2" s="66" t="s">
        <v>62</v>
      </c>
      <c r="B2" s="16"/>
      <c r="C2" s="17"/>
      <c r="D2" s="17"/>
      <c r="E2" s="17"/>
      <c r="F2" s="17"/>
      <c r="G2" s="17"/>
      <c r="H2" s="17"/>
      <c r="I2" s="17"/>
      <c r="J2" s="17"/>
      <c r="K2" s="8"/>
      <c r="L2" s="8"/>
      <c r="M2" s="8"/>
      <c r="N2" s="8"/>
      <c r="O2" s="8"/>
      <c r="P2" s="8"/>
      <c r="Q2" s="8"/>
      <c r="R2" s="8"/>
      <c r="S2" s="8"/>
    </row>
    <row r="3" spans="1:22" s="31" customFormat="1" ht="18" thickBot="1">
      <c r="A3" s="36" t="s">
        <v>38</v>
      </c>
      <c r="B3" s="36" t="s">
        <v>17</v>
      </c>
      <c r="C3" s="36">
        <v>2007</v>
      </c>
      <c r="D3" s="36">
        <v>2008</v>
      </c>
      <c r="E3" s="36">
        <v>2009</v>
      </c>
      <c r="F3" s="36">
        <v>2010</v>
      </c>
      <c r="G3" s="36">
        <v>2011</v>
      </c>
      <c r="H3" s="36">
        <v>2012</v>
      </c>
      <c r="I3" s="36" t="s">
        <v>0</v>
      </c>
      <c r="J3"/>
      <c r="K3"/>
      <c r="L3"/>
      <c r="M3"/>
      <c r="N3"/>
      <c r="O3"/>
      <c r="P3"/>
      <c r="Q3"/>
      <c r="R3"/>
      <c r="S3"/>
      <c r="T3"/>
      <c r="U3"/>
      <c r="V3"/>
    </row>
    <row r="4" spans="1:20" ht="15" thickBot="1" thickTop="1">
      <c r="A4" s="44" t="s">
        <v>23</v>
      </c>
      <c r="B4" s="44" t="s">
        <v>30</v>
      </c>
      <c r="C4" s="37"/>
      <c r="D4" s="37">
        <v>14000000</v>
      </c>
      <c r="E4" s="37">
        <v>15000000</v>
      </c>
      <c r="F4" s="37">
        <v>15000000</v>
      </c>
      <c r="G4" s="37">
        <v>15000000</v>
      </c>
      <c r="H4" s="37"/>
      <c r="I4" s="41">
        <f>C4+D4+E4+F4+G4+H4</f>
        <v>59000000</v>
      </c>
      <c r="J4" s="18"/>
      <c r="K4" s="17"/>
      <c r="L4" s="8"/>
      <c r="M4" s="8"/>
      <c r="N4" s="8"/>
      <c r="O4" s="8"/>
      <c r="P4" s="8"/>
      <c r="Q4" s="8"/>
      <c r="R4" s="8"/>
      <c r="S4" s="8"/>
      <c r="T4" s="8"/>
    </row>
    <row r="5" spans="1:20" ht="15" thickBot="1" thickTop="1">
      <c r="A5" s="44" t="s">
        <v>24</v>
      </c>
      <c r="B5" s="44" t="s">
        <v>30</v>
      </c>
      <c r="C5" s="37">
        <v>3157000</v>
      </c>
      <c r="D5" s="37">
        <v>90908000</v>
      </c>
      <c r="E5" s="37">
        <v>110000000</v>
      </c>
      <c r="F5" s="37">
        <v>115000000</v>
      </c>
      <c r="G5" s="37">
        <v>120000000</v>
      </c>
      <c r="H5" s="37"/>
      <c r="I5" s="41">
        <f>C5+D5+E5+F5+G5+H5</f>
        <v>439065000</v>
      </c>
      <c r="J5" s="18"/>
      <c r="K5" s="17"/>
      <c r="L5" s="8"/>
      <c r="M5" s="8"/>
      <c r="N5" s="8"/>
      <c r="O5" s="8"/>
      <c r="P5" s="8"/>
      <c r="Q5" s="8"/>
      <c r="R5" s="8"/>
      <c r="S5" s="8"/>
      <c r="T5" s="8"/>
    </row>
    <row r="6" spans="1:20" ht="15" thickBot="1" thickTop="1">
      <c r="A6" s="38" t="s">
        <v>0</v>
      </c>
      <c r="B6" s="39" t="s">
        <v>30</v>
      </c>
      <c r="C6" s="40">
        <f aca="true" t="shared" si="0" ref="C6:H6">(C5-C4)*1</f>
        <v>3157000</v>
      </c>
      <c r="D6" s="40">
        <f t="shared" si="0"/>
        <v>76908000</v>
      </c>
      <c r="E6" s="40">
        <f t="shared" si="0"/>
        <v>95000000</v>
      </c>
      <c r="F6" s="40">
        <f t="shared" si="0"/>
        <v>100000000</v>
      </c>
      <c r="G6" s="40">
        <f t="shared" si="0"/>
        <v>105000000</v>
      </c>
      <c r="H6" s="40">
        <f t="shared" si="0"/>
        <v>0</v>
      </c>
      <c r="I6" s="41">
        <f>C6+D6+E6+F6+G6+H6</f>
        <v>380065000</v>
      </c>
      <c r="J6" s="18"/>
      <c r="K6" s="17"/>
      <c r="L6" s="8"/>
      <c r="M6" s="8"/>
      <c r="N6" s="8"/>
      <c r="O6" s="8"/>
      <c r="P6" s="8"/>
      <c r="Q6" s="8"/>
      <c r="R6" s="8"/>
      <c r="S6" s="8"/>
      <c r="T6" s="8"/>
    </row>
    <row r="7" spans="1:20" s="28" customFormat="1" ht="12" thickTop="1">
      <c r="A7" s="23"/>
      <c r="B7" s="24"/>
      <c r="C7" s="25"/>
      <c r="D7" s="25"/>
      <c r="E7" s="25"/>
      <c r="F7" s="25"/>
      <c r="G7" s="25"/>
      <c r="H7" s="25"/>
      <c r="I7" s="22"/>
      <c r="J7" s="26"/>
      <c r="K7" s="27"/>
      <c r="L7" s="15"/>
      <c r="M7" s="15"/>
      <c r="N7" s="15"/>
      <c r="O7" s="15"/>
      <c r="P7" s="15"/>
      <c r="Q7" s="15"/>
      <c r="R7" s="15"/>
      <c r="S7" s="15"/>
      <c r="T7" s="15"/>
    </row>
    <row r="8" spans="1:20" ht="18" thickBot="1">
      <c r="A8" s="36" t="s">
        <v>31</v>
      </c>
      <c r="B8" s="36" t="s">
        <v>17</v>
      </c>
      <c r="C8" s="36">
        <v>2007</v>
      </c>
      <c r="D8" s="36">
        <v>2008</v>
      </c>
      <c r="E8" s="36">
        <v>2009</v>
      </c>
      <c r="F8" s="36">
        <v>2010</v>
      </c>
      <c r="G8" s="36">
        <v>2011</v>
      </c>
      <c r="H8" s="36">
        <v>2012</v>
      </c>
      <c r="I8" s="36" t="s">
        <v>0</v>
      </c>
      <c r="J8" s="17"/>
      <c r="K8" s="17"/>
      <c r="L8" s="8"/>
      <c r="M8" s="8"/>
      <c r="N8" s="8"/>
      <c r="O8" s="8"/>
      <c r="P8" s="8"/>
      <c r="Q8" s="8"/>
      <c r="R8" s="8"/>
      <c r="S8" s="8"/>
      <c r="T8" s="8"/>
    </row>
    <row r="9" spans="1:20" ht="15" thickBot="1" thickTop="1">
      <c r="A9" s="44" t="s">
        <v>32</v>
      </c>
      <c r="B9" s="44" t="s">
        <v>29</v>
      </c>
      <c r="C9" s="37">
        <v>0</v>
      </c>
      <c r="D9" s="37">
        <v>0</v>
      </c>
      <c r="E9" s="37">
        <f>'[1]ER calcul-s'!E48</f>
        <v>105358.97447996493</v>
      </c>
      <c r="F9" s="37">
        <f>'[1]ER calcul-s'!F48</f>
        <v>174912.16938332468</v>
      </c>
      <c r="G9" s="37">
        <f>'[1]ER calcul-s'!G48</f>
        <v>227077.06556084473</v>
      </c>
      <c r="H9" s="37">
        <f>'[1]ER calcul-s'!H48</f>
        <v>300455.0724535128</v>
      </c>
      <c r="I9" s="41">
        <f>SUM(C9:H9)</f>
        <v>807803.2818776472</v>
      </c>
      <c r="J9" s="18"/>
      <c r="K9" s="17"/>
      <c r="L9" s="8"/>
      <c r="M9" s="8"/>
      <c r="N9" s="8"/>
      <c r="O9" s="8"/>
      <c r="P9" s="8"/>
      <c r="Q9" s="8"/>
      <c r="R9" s="8"/>
      <c r="S9" s="8"/>
      <c r="T9" s="8"/>
    </row>
    <row r="10" spans="1:20" s="28" customFormat="1" ht="12" thickTop="1">
      <c r="A10" s="23"/>
      <c r="B10" s="24"/>
      <c r="C10" s="25"/>
      <c r="D10" s="25"/>
      <c r="E10" s="25"/>
      <c r="F10" s="25"/>
      <c r="G10" s="25"/>
      <c r="H10" s="25"/>
      <c r="I10" s="22"/>
      <c r="J10" s="26"/>
      <c r="K10" s="27"/>
      <c r="L10" s="15"/>
      <c r="M10" s="15"/>
      <c r="N10" s="15"/>
      <c r="O10" s="15"/>
      <c r="P10" s="15"/>
      <c r="Q10" s="15"/>
      <c r="R10" s="15"/>
      <c r="S10" s="15"/>
      <c r="T10" s="15"/>
    </row>
    <row r="11" spans="1:17" ht="18" thickBot="1">
      <c r="A11" s="36" t="s">
        <v>39</v>
      </c>
      <c r="B11" s="36" t="s">
        <v>17</v>
      </c>
      <c r="C11" s="36">
        <v>2007</v>
      </c>
      <c r="D11" s="36">
        <v>2008</v>
      </c>
      <c r="E11" s="36">
        <v>2009</v>
      </c>
      <c r="F11" s="36">
        <v>2010</v>
      </c>
      <c r="G11" s="36">
        <v>2011</v>
      </c>
      <c r="H11" s="36">
        <v>2012</v>
      </c>
      <c r="I11" s="8"/>
      <c r="J11" s="8"/>
      <c r="K11" s="8"/>
      <c r="L11" s="8"/>
      <c r="M11" s="8"/>
      <c r="N11" s="8"/>
      <c r="O11" s="8"/>
      <c r="P11" s="8"/>
      <c r="Q11" s="8"/>
    </row>
    <row r="12" spans="1:17" ht="15" thickTop="1">
      <c r="A12" s="44" t="s">
        <v>1</v>
      </c>
      <c r="B12" s="45" t="s">
        <v>2</v>
      </c>
      <c r="C12" s="33"/>
      <c r="D12" s="33"/>
      <c r="E12" s="35">
        <f>'[1]2002-2012'!J3</f>
        <v>6210000</v>
      </c>
      <c r="F12" s="35">
        <f>'[1]2002-2012'!K3</f>
        <v>6210000</v>
      </c>
      <c r="G12" s="35">
        <f>'[1]2002-2012'!L3</f>
        <v>6210000</v>
      </c>
      <c r="H12" s="35">
        <f>'[1]2002-2012'!M3</f>
        <v>6480000</v>
      </c>
      <c r="I12" s="8"/>
      <c r="J12" s="8"/>
      <c r="K12" s="8"/>
      <c r="L12" s="8"/>
      <c r="M12" s="8"/>
      <c r="N12" s="8"/>
      <c r="O12" s="8"/>
      <c r="P12" s="8"/>
      <c r="Q12" s="8"/>
    </row>
    <row r="13" spans="1:17" ht="14.25">
      <c r="A13" s="44" t="s">
        <v>25</v>
      </c>
      <c r="B13" s="45" t="s">
        <v>3</v>
      </c>
      <c r="C13" s="33"/>
      <c r="D13" s="33"/>
      <c r="E13" s="71">
        <f>'[1]2002-2012'!$J$39</f>
        <v>359.05918820128124</v>
      </c>
      <c r="F13" s="42">
        <f>'[1]2002-2012'!$J$39</f>
        <v>359.05918820128124</v>
      </c>
      <c r="G13" s="42">
        <f>'[1]2002-2012'!$J$39</f>
        <v>359.05918820128124</v>
      </c>
      <c r="H13" s="42">
        <f>'[1]2002-2012'!$J$39</f>
        <v>359.05918820128124</v>
      </c>
      <c r="I13" s="65"/>
      <c r="J13" s="8"/>
      <c r="K13" s="8"/>
      <c r="L13" s="8"/>
      <c r="M13" s="8"/>
      <c r="N13" s="8"/>
      <c r="O13" s="8"/>
      <c r="P13" s="8"/>
      <c r="Q13" s="8"/>
    </row>
    <row r="14" spans="1:17" ht="14.25">
      <c r="A14" s="44" t="s">
        <v>26</v>
      </c>
      <c r="B14" s="45" t="s">
        <v>4</v>
      </c>
      <c r="C14" s="33"/>
      <c r="D14" s="33"/>
      <c r="E14" s="43">
        <f>'[1]2002-2012'!J16</f>
        <v>20.1</v>
      </c>
      <c r="F14" s="43">
        <f>'[1]2002-2012'!K16</f>
        <v>20.1</v>
      </c>
      <c r="G14" s="43">
        <f>'[1]2002-2012'!L16</f>
        <v>20.1</v>
      </c>
      <c r="H14" s="43">
        <f>'[1]2002-2012'!M16</f>
        <v>20.1</v>
      </c>
      <c r="I14" s="8"/>
      <c r="J14" s="8"/>
      <c r="K14" s="8"/>
      <c r="L14" s="8"/>
      <c r="M14" s="8"/>
      <c r="N14" s="8"/>
      <c r="O14" s="8"/>
      <c r="P14" s="8"/>
      <c r="Q14" s="8"/>
    </row>
    <row r="15" spans="1:17" ht="14.25">
      <c r="A15" s="44" t="s">
        <v>27</v>
      </c>
      <c r="B15" s="45" t="s">
        <v>5</v>
      </c>
      <c r="C15" s="33"/>
      <c r="D15" s="33"/>
      <c r="E15" s="43">
        <f>'[1]2002-2012'!J20</f>
        <v>32.9</v>
      </c>
      <c r="F15" s="43">
        <f>'[1]2002-2012'!K20</f>
        <v>32.9</v>
      </c>
      <c r="G15" s="43">
        <f>'[1]2002-2012'!L20</f>
        <v>32.9</v>
      </c>
      <c r="H15" s="43">
        <f>'[1]2002-2012'!M20</f>
        <v>32.9</v>
      </c>
      <c r="I15" s="8"/>
      <c r="J15" s="8"/>
      <c r="K15" s="8"/>
      <c r="L15" s="8"/>
      <c r="M15" s="8"/>
      <c r="N15" s="8"/>
      <c r="O15" s="8"/>
      <c r="P15" s="8"/>
      <c r="Q15" s="8"/>
    </row>
    <row r="16" spans="1:17" ht="14.25">
      <c r="A16" s="44" t="s">
        <v>28</v>
      </c>
      <c r="B16" s="45" t="s">
        <v>4</v>
      </c>
      <c r="C16" s="33"/>
      <c r="D16" s="33"/>
      <c r="E16" s="43">
        <f>'[1]2002-2012'!J18</f>
        <v>37.9</v>
      </c>
      <c r="F16" s="43">
        <f>'[2]2002-2012'!K18</f>
        <v>37.9</v>
      </c>
      <c r="G16" s="43">
        <f>'[2]2002-2012'!L18</f>
        <v>37.9</v>
      </c>
      <c r="H16" s="43">
        <f>'[2]2002-2012'!M18</f>
        <v>37.9</v>
      </c>
      <c r="I16" s="8"/>
      <c r="J16" s="8"/>
      <c r="K16" s="8"/>
      <c r="L16" s="8"/>
      <c r="M16" s="8"/>
      <c r="N16" s="8"/>
      <c r="O16" s="8"/>
      <c r="P16" s="8"/>
      <c r="Q16" s="8"/>
    </row>
    <row r="17" spans="1:17" ht="11.25">
      <c r="A17" s="46" t="s">
        <v>11</v>
      </c>
      <c r="B17" s="32" t="s">
        <v>12</v>
      </c>
      <c r="C17" s="46"/>
      <c r="D17" s="46"/>
      <c r="E17" s="47">
        <f>(100*E14*E26)/($E$14*$E$26+$E$15*$E$27+$E$28*$E$16)</f>
        <v>98.80000000000001</v>
      </c>
      <c r="F17" s="47">
        <f>(100*F14*F26)/($F$14*$F$26+$F$15*$F$27+$F$28*$F$16)</f>
        <v>98.80000000000001</v>
      </c>
      <c r="G17" s="47">
        <f>(100*G14*G26)/($G$14*$G$26+$G$15*$G$27+$G$28*$G$16)</f>
        <v>98.80000000000001</v>
      </c>
      <c r="H17" s="47">
        <f>(100*H14*H26)/($H$14*$H$26+$H$15*$H$27+$H$28*$H$16)</f>
        <v>98.8</v>
      </c>
      <c r="I17" s="8"/>
      <c r="J17" s="8"/>
      <c r="K17" s="8"/>
      <c r="L17" s="8"/>
      <c r="M17" s="8"/>
      <c r="N17" s="8"/>
      <c r="O17" s="8"/>
      <c r="P17" s="8"/>
      <c r="Q17" s="8"/>
    </row>
    <row r="18" spans="1:17" ht="11.25">
      <c r="A18" s="46" t="s">
        <v>13</v>
      </c>
      <c r="B18" s="32" t="s">
        <v>12</v>
      </c>
      <c r="C18" s="46"/>
      <c r="D18" s="46"/>
      <c r="E18" s="47">
        <f>(100*E15*E27)/($E$14*$E$26+$E$15*$E$27+$E$28*$E$16)</f>
        <v>1.1</v>
      </c>
      <c r="F18" s="47">
        <f>(100*F15*F27)/($F$14*$F$26+$F$15*$F$27+$F$28*$F$16)</f>
        <v>1.1</v>
      </c>
      <c r="G18" s="47">
        <f>(100*G15*G27)/($G$14*$G$26+$G$15*$G$27+$G$28*$G$16)</f>
        <v>1.0999999999999999</v>
      </c>
      <c r="H18" s="47">
        <f>(100*H15*H27)/($H$14*$H$26+$H$15*$H$27+$H$28*$H$16)</f>
        <v>1.0999999999999999</v>
      </c>
      <c r="I18" s="8"/>
      <c r="J18" s="8"/>
      <c r="K18" s="8"/>
      <c r="L18" s="8"/>
      <c r="M18" s="8"/>
      <c r="N18" s="8"/>
      <c r="O18" s="8"/>
      <c r="P18" s="8"/>
      <c r="Q18" s="8"/>
    </row>
    <row r="19" spans="1:17" ht="11.25">
      <c r="A19" s="46" t="s">
        <v>14</v>
      </c>
      <c r="B19" s="32" t="s">
        <v>12</v>
      </c>
      <c r="C19" s="46"/>
      <c r="D19" s="46"/>
      <c r="E19" s="47">
        <f>(100*E16*E28)/($E$14*$E$26+$E$15*$E$27+$E$28*$E$16)</f>
        <v>0.1</v>
      </c>
      <c r="F19" s="47">
        <f>(100*F16*F28)/($F$14*$F$26+$F$15*$F$27+$F$28*$F$16)</f>
        <v>0.10000000000000002</v>
      </c>
      <c r="G19" s="47">
        <f>(100*G16*G28)/($G$14*$G$26+$G$15*$G$27+$G$28*$G$16)</f>
        <v>0.09999999999999999</v>
      </c>
      <c r="H19" s="47">
        <f>(100*H16*H28)/($H$14*$H$26+$H$15*$H$27+$H$28*$H$16)</f>
        <v>0.1</v>
      </c>
      <c r="I19" s="8"/>
      <c r="J19" s="8"/>
      <c r="K19" s="8"/>
      <c r="L19" s="8"/>
      <c r="M19" s="8"/>
      <c r="N19" s="8"/>
      <c r="O19" s="8"/>
      <c r="P19" s="8"/>
      <c r="Q19" s="8"/>
    </row>
    <row r="20" spans="1:17" ht="11.25">
      <c r="A20" s="44" t="s">
        <v>6</v>
      </c>
      <c r="B20" s="45" t="s">
        <v>9</v>
      </c>
      <c r="C20" s="33"/>
      <c r="D20" s="33"/>
      <c r="E20" s="34">
        <f>((E$13/1000)*E$12*29307.6*1000)*(E17/100)/(E14*1000000)</f>
        <v>3212171.9660047395</v>
      </c>
      <c r="F20" s="34">
        <f>((F$13/1000)*F$12*29307.6*1000)*(F17/100)/(F14*1000000)</f>
        <v>3212171.9660047395</v>
      </c>
      <c r="G20" s="34">
        <f>((G$13/1000)*G$12*29307.6*1000)*(G17/100)/(G14*1000000)</f>
        <v>3212171.9660047395</v>
      </c>
      <c r="H20" s="34">
        <f>((H$13/1000)*H$12*29307.6*1000)*(H17/100)/(H14*1000000)</f>
        <v>3351831.6167005976</v>
      </c>
      <c r="I20" s="8"/>
      <c r="J20" s="8"/>
      <c r="K20" s="8"/>
      <c r="L20" s="8"/>
      <c r="M20" s="8"/>
      <c r="N20" s="8"/>
      <c r="O20" s="8"/>
      <c r="P20" s="8"/>
      <c r="Q20" s="8"/>
    </row>
    <row r="21" spans="1:17" ht="11.25">
      <c r="A21" s="44" t="s">
        <v>7</v>
      </c>
      <c r="B21" s="45" t="s">
        <v>10</v>
      </c>
      <c r="C21" s="33"/>
      <c r="D21" s="33"/>
      <c r="E21" s="34">
        <f>(($E$13/1000)*$E$12*29307.6*1000)*(E18/100)/(E15*1000000)</f>
        <v>21849.157109743915</v>
      </c>
      <c r="F21" s="34">
        <f aca="true" t="shared" si="1" ref="F21:H22">((F$13/1000)*F$12*29307.6*1000)*(F18/100)/(F15*1000000)</f>
        <v>21849.157109743915</v>
      </c>
      <c r="G21" s="34">
        <f t="shared" si="1"/>
        <v>21849.157109743912</v>
      </c>
      <c r="H21" s="34">
        <f t="shared" si="1"/>
        <v>22799.120462341474</v>
      </c>
      <c r="I21" s="8"/>
      <c r="J21" s="8"/>
      <c r="K21" s="8"/>
      <c r="L21" s="8"/>
      <c r="M21" s="8"/>
      <c r="N21" s="8"/>
      <c r="O21" s="8"/>
      <c r="P21" s="8"/>
      <c r="Q21" s="8"/>
    </row>
    <row r="22" spans="1:17" ht="11.25">
      <c r="A22" s="44" t="s">
        <v>8</v>
      </c>
      <c r="B22" s="45" t="s">
        <v>9</v>
      </c>
      <c r="C22" s="33"/>
      <c r="D22" s="33"/>
      <c r="E22" s="34">
        <f>(($E$13/1000)*$E$12*29307.6*1000)*(E19/100)/(E16*1000000)</f>
        <v>1724.2438688188408</v>
      </c>
      <c r="F22" s="34">
        <f t="shared" si="1"/>
        <v>1724.2438688188413</v>
      </c>
      <c r="G22" s="34">
        <f t="shared" si="1"/>
        <v>1724.2438688188408</v>
      </c>
      <c r="H22" s="34">
        <f t="shared" si="1"/>
        <v>1799.210993550095</v>
      </c>
      <c r="I22" s="8"/>
      <c r="J22" s="8"/>
      <c r="K22" s="8"/>
      <c r="L22" s="8"/>
      <c r="M22" s="8"/>
      <c r="N22" s="8"/>
      <c r="O22" s="8"/>
      <c r="P22" s="8"/>
      <c r="Q22" s="8"/>
    </row>
    <row r="23" spans="1:17" ht="11.25">
      <c r="A23" s="17"/>
      <c r="B23" s="19"/>
      <c r="C23" s="17"/>
      <c r="D23" s="17"/>
      <c r="E23" s="17"/>
      <c r="F23" s="17"/>
      <c r="G23" s="17"/>
      <c r="H23" s="17"/>
      <c r="I23" s="8"/>
      <c r="J23" s="8"/>
      <c r="K23" s="8"/>
      <c r="L23" s="8"/>
      <c r="M23" s="8"/>
      <c r="N23" s="8"/>
      <c r="O23" s="8"/>
      <c r="P23" s="8"/>
      <c r="Q23" s="8"/>
    </row>
    <row r="24" spans="1:17" ht="18" thickBot="1">
      <c r="A24" s="36" t="s">
        <v>40</v>
      </c>
      <c r="B24" s="36" t="s">
        <v>17</v>
      </c>
      <c r="C24" s="36">
        <v>2007</v>
      </c>
      <c r="D24" s="36">
        <v>2008</v>
      </c>
      <c r="E24" s="36">
        <v>2009</v>
      </c>
      <c r="F24" s="36">
        <v>2010</v>
      </c>
      <c r="G24" s="36">
        <v>2011</v>
      </c>
      <c r="H24" s="36">
        <v>2012</v>
      </c>
      <c r="I24" s="8"/>
      <c r="J24" s="8"/>
      <c r="K24" s="8"/>
      <c r="L24" s="8"/>
      <c r="M24" s="8"/>
      <c r="N24" s="8"/>
      <c r="O24" s="8"/>
      <c r="P24" s="8"/>
      <c r="Q24" s="8"/>
    </row>
    <row r="25" spans="1:17" ht="15" thickTop="1">
      <c r="A25" s="44" t="s">
        <v>1</v>
      </c>
      <c r="B25" s="45" t="s">
        <v>2</v>
      </c>
      <c r="C25" s="35"/>
      <c r="D25" s="35"/>
      <c r="E25" s="35">
        <f>E12</f>
        <v>6210000</v>
      </c>
      <c r="F25" s="35">
        <f>F12</f>
        <v>6210000</v>
      </c>
      <c r="G25" s="35">
        <f>G12</f>
        <v>6210000</v>
      </c>
      <c r="H25" s="35">
        <f>H12</f>
        <v>6480000</v>
      </c>
      <c r="I25" s="8"/>
      <c r="J25" s="8"/>
      <c r="K25" s="8"/>
      <c r="L25" s="8"/>
      <c r="M25" s="8"/>
      <c r="N25" s="8"/>
      <c r="O25" s="8"/>
      <c r="P25" s="8"/>
      <c r="Q25" s="8"/>
    </row>
    <row r="26" spans="1:17" ht="14.25">
      <c r="A26" s="44" t="s">
        <v>6</v>
      </c>
      <c r="B26" s="45" t="s">
        <v>9</v>
      </c>
      <c r="C26" s="35"/>
      <c r="D26" s="35"/>
      <c r="E26" s="35">
        <f>'[1]2002-2012'!J5</f>
        <v>3157965.9879474626</v>
      </c>
      <c r="F26" s="35">
        <f>'[1]2002-2012'!K5</f>
        <v>3122181.670803582</v>
      </c>
      <c r="G26" s="35">
        <f>'[1]2002-2012'!L5</f>
        <v>3095343.4329456715</v>
      </c>
      <c r="H26" s="35">
        <f>'[1]2002-2012'!M5</f>
        <v>3197250.94481194</v>
      </c>
      <c r="I26" s="8"/>
      <c r="J26" s="8"/>
      <c r="K26" s="8"/>
      <c r="L26" s="8"/>
      <c r="M26" s="8"/>
      <c r="N26" s="8"/>
      <c r="O26" s="8"/>
      <c r="P26" s="8"/>
      <c r="Q26" s="8"/>
    </row>
    <row r="27" spans="1:17" ht="14.25">
      <c r="A27" s="44" t="s">
        <v>7</v>
      </c>
      <c r="B27" s="45" t="s">
        <v>10</v>
      </c>
      <c r="C27" s="35"/>
      <c r="D27" s="35"/>
      <c r="E27" s="35">
        <f>'[1]2002-2012'!J8</f>
        <v>21480.44866468085</v>
      </c>
      <c r="F27" s="35">
        <f>'[1]2002-2012'!K8</f>
        <v>21237.044147234043</v>
      </c>
      <c r="G27" s="35">
        <f>'[1]2002-2012'!L8</f>
        <v>21054.490759148935</v>
      </c>
      <c r="H27" s="35">
        <f>'[1]2002-2012'!M8</f>
        <v>21747.66449361702</v>
      </c>
      <c r="I27" s="8"/>
      <c r="J27" s="8"/>
      <c r="K27" s="8"/>
      <c r="L27" s="8"/>
      <c r="M27" s="8"/>
      <c r="N27" s="8"/>
      <c r="O27" s="8"/>
      <c r="P27" s="8"/>
      <c r="Q27" s="8"/>
    </row>
    <row r="28" spans="1:17" ht="14.25">
      <c r="A28" s="44" t="s">
        <v>8</v>
      </c>
      <c r="B28" s="45" t="s">
        <v>9</v>
      </c>
      <c r="C28" s="35"/>
      <c r="D28" s="35"/>
      <c r="E28" s="35">
        <f>'[1]2002-2012'!J11</f>
        <v>1695.1469442744065</v>
      </c>
      <c r="F28" s="35">
        <f>'[1]2002-2012'!K11</f>
        <v>1675.9384803166226</v>
      </c>
      <c r="G28" s="35">
        <f>'[1]2002-2012'!L11</f>
        <v>1661.532132348285</v>
      </c>
      <c r="H28" s="35">
        <f>'[1]2002-2012'!M11</f>
        <v>1716.2344970976255</v>
      </c>
      <c r="I28" s="8"/>
      <c r="J28" s="8"/>
      <c r="K28" s="8"/>
      <c r="L28" s="8"/>
      <c r="M28" s="8"/>
      <c r="N28" s="8"/>
      <c r="O28" s="8"/>
      <c r="P28" s="8"/>
      <c r="Q28" s="8"/>
    </row>
    <row r="29" spans="1:17" ht="14.25">
      <c r="A29" s="44" t="s">
        <v>44</v>
      </c>
      <c r="B29" s="45" t="s">
        <v>9</v>
      </c>
      <c r="C29" s="35"/>
      <c r="D29" s="35"/>
      <c r="E29" s="35">
        <f aca="true" t="shared" si="2" ref="E29:H31">E20-E26</f>
        <v>54205.97805727692</v>
      </c>
      <c r="F29" s="35">
        <f t="shared" si="2"/>
        <v>89990.29520115769</v>
      </c>
      <c r="G29" s="35">
        <f t="shared" si="2"/>
        <v>116828.53305906802</v>
      </c>
      <c r="H29" s="35">
        <f t="shared" si="2"/>
        <v>154580.67188865738</v>
      </c>
      <c r="I29" s="8"/>
      <c r="J29" s="8"/>
      <c r="K29" s="8"/>
      <c r="L29" s="8"/>
      <c r="M29" s="8"/>
      <c r="N29" s="8"/>
      <c r="O29" s="8"/>
      <c r="P29" s="8"/>
      <c r="Q29" s="8"/>
    </row>
    <row r="30" spans="1:17" ht="14.25">
      <c r="A30" s="44" t="s">
        <v>45</v>
      </c>
      <c r="B30" s="45" t="s">
        <v>10</v>
      </c>
      <c r="C30" s="35"/>
      <c r="D30" s="35"/>
      <c r="E30" s="35">
        <f t="shared" si="2"/>
        <v>368.7084450630646</v>
      </c>
      <c r="F30" s="35">
        <f t="shared" si="2"/>
        <v>612.1129625098729</v>
      </c>
      <c r="G30" s="35">
        <f t="shared" si="2"/>
        <v>794.6663505949764</v>
      </c>
      <c r="H30" s="35">
        <f t="shared" si="2"/>
        <v>1051.4559687244546</v>
      </c>
      <c r="I30" s="8"/>
      <c r="J30" s="8"/>
      <c r="K30" s="8"/>
      <c r="L30" s="8"/>
      <c r="M30" s="8"/>
      <c r="N30" s="8"/>
      <c r="O30" s="8"/>
      <c r="P30" s="8"/>
      <c r="Q30" s="8"/>
    </row>
    <row r="31" spans="1:17" ht="14.25">
      <c r="A31" s="44" t="s">
        <v>46</v>
      </c>
      <c r="B31" s="45" t="s">
        <v>9</v>
      </c>
      <c r="C31" s="35"/>
      <c r="D31" s="35"/>
      <c r="E31" s="35">
        <f t="shared" si="2"/>
        <v>29.096924544434387</v>
      </c>
      <c r="F31" s="35">
        <f t="shared" si="2"/>
        <v>48.30538850221865</v>
      </c>
      <c r="G31" s="35">
        <f t="shared" si="2"/>
        <v>62.711736470555934</v>
      </c>
      <c r="H31" s="35">
        <f t="shared" si="2"/>
        <v>82.97649645246952</v>
      </c>
      <c r="I31" s="8"/>
      <c r="J31" s="8"/>
      <c r="K31" s="8"/>
      <c r="L31" s="8"/>
      <c r="M31" s="8"/>
      <c r="N31" s="8"/>
      <c r="O31" s="8"/>
      <c r="P31" s="8"/>
      <c r="Q31" s="8"/>
    </row>
    <row r="32" spans="1:17" ht="11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9" ht="14.25">
      <c r="A33" s="48" t="s">
        <v>59</v>
      </c>
      <c r="B33" s="49" t="s">
        <v>41</v>
      </c>
      <c r="C33" s="67">
        <v>75</v>
      </c>
      <c r="D33" s="53"/>
      <c r="E33" s="20"/>
      <c r="F33" s="20"/>
      <c r="G33" s="29"/>
      <c r="H33" s="21"/>
      <c r="I33" s="21"/>
      <c r="J33" s="21"/>
      <c r="K33" s="8"/>
      <c r="L33" s="8"/>
      <c r="M33" s="8"/>
      <c r="N33" s="8"/>
      <c r="O33" s="8"/>
      <c r="P33" s="8"/>
      <c r="Q33" s="8"/>
      <c r="R33" s="8"/>
      <c r="S33" s="8"/>
    </row>
    <row r="34" spans="1:19" ht="14.25">
      <c r="A34" s="48" t="s">
        <v>61</v>
      </c>
      <c r="B34" s="49" t="s">
        <v>30</v>
      </c>
      <c r="C34" s="35">
        <v>74000000</v>
      </c>
      <c r="D34" s="29"/>
      <c r="E34" s="20"/>
      <c r="F34" s="20"/>
      <c r="G34" s="29"/>
      <c r="H34" s="21"/>
      <c r="I34" s="21"/>
      <c r="J34" s="21"/>
      <c r="K34" s="8"/>
      <c r="L34" s="8"/>
      <c r="M34" s="8"/>
      <c r="N34" s="8"/>
      <c r="O34" s="8"/>
      <c r="P34" s="8"/>
      <c r="Q34" s="8"/>
      <c r="R34" s="8"/>
      <c r="S34" s="8"/>
    </row>
    <row r="35" spans="1:19" ht="14.25">
      <c r="A35" s="48" t="s">
        <v>55</v>
      </c>
      <c r="B35" s="49" t="s">
        <v>12</v>
      </c>
      <c r="C35" s="68">
        <v>0.155</v>
      </c>
      <c r="D35" s="29" t="s">
        <v>56</v>
      </c>
      <c r="E35" s="20"/>
      <c r="F35" s="20"/>
      <c r="G35" s="29"/>
      <c r="H35" s="21"/>
      <c r="I35" s="21"/>
      <c r="J35" s="21"/>
      <c r="K35" s="8"/>
      <c r="L35" s="8"/>
      <c r="M35" s="8"/>
      <c r="N35" s="8"/>
      <c r="O35" s="8"/>
      <c r="P35" s="8"/>
      <c r="Q35" s="8"/>
      <c r="R35" s="8"/>
      <c r="S35" s="8"/>
    </row>
    <row r="36" spans="1:19" ht="14.25">
      <c r="A36" s="50" t="s">
        <v>18</v>
      </c>
      <c r="B36" s="49" t="s">
        <v>42</v>
      </c>
      <c r="C36" s="52">
        <v>487.4</v>
      </c>
      <c r="D36" s="21"/>
      <c r="E36" s="21"/>
      <c r="F36" s="21"/>
      <c r="G36" s="21"/>
      <c r="H36" s="21"/>
      <c r="I36" s="21"/>
      <c r="J36" s="21"/>
      <c r="K36" s="8"/>
      <c r="L36" s="8"/>
      <c r="M36" s="8"/>
      <c r="N36" s="8"/>
      <c r="O36" s="8"/>
      <c r="P36" s="8"/>
      <c r="Q36" s="8"/>
      <c r="R36" s="8"/>
      <c r="S36" s="8"/>
    </row>
    <row r="37" spans="1:19" ht="14.25">
      <c r="A37" s="50" t="s">
        <v>15</v>
      </c>
      <c r="B37" s="49" t="s">
        <v>41</v>
      </c>
      <c r="C37" s="52">
        <v>242.11</v>
      </c>
      <c r="D37" s="17"/>
      <c r="E37" s="17"/>
      <c r="F37" s="17"/>
      <c r="G37" s="17"/>
      <c r="H37" s="21"/>
      <c r="I37" s="21"/>
      <c r="J37" s="21"/>
      <c r="K37" s="8"/>
      <c r="L37" s="8"/>
      <c r="M37" s="8"/>
      <c r="N37" s="8"/>
      <c r="O37" s="8"/>
      <c r="P37" s="8"/>
      <c r="Q37" s="8"/>
      <c r="R37" s="8"/>
      <c r="S37" s="8"/>
    </row>
    <row r="38" spans="1:19" ht="14.25">
      <c r="A38" s="50" t="s">
        <v>16</v>
      </c>
      <c r="B38" s="49" t="s">
        <v>41</v>
      </c>
      <c r="C38" s="52">
        <v>1283.8</v>
      </c>
      <c r="D38" s="17"/>
      <c r="E38" s="17"/>
      <c r="F38" s="17"/>
      <c r="G38" s="17"/>
      <c r="H38" s="17"/>
      <c r="I38" s="17"/>
      <c r="J38" s="17"/>
      <c r="K38" s="8"/>
      <c r="L38" s="8"/>
      <c r="M38" s="8"/>
      <c r="N38" s="8"/>
      <c r="O38" s="8"/>
      <c r="P38" s="8"/>
      <c r="Q38" s="8"/>
      <c r="R38" s="8"/>
      <c r="S38" s="8"/>
    </row>
    <row r="39" spans="1:19" ht="14.25">
      <c r="A39" s="48" t="s">
        <v>37</v>
      </c>
      <c r="B39" s="49" t="s">
        <v>12</v>
      </c>
      <c r="C39" s="51">
        <v>0.092</v>
      </c>
      <c r="D39" s="54" t="s">
        <v>43</v>
      </c>
      <c r="E39" s="11"/>
      <c r="F39" s="11"/>
      <c r="G39" s="11"/>
      <c r="H39" s="17"/>
      <c r="I39" s="17"/>
      <c r="J39" s="17"/>
      <c r="K39" s="8"/>
      <c r="L39" s="8"/>
      <c r="M39" s="8"/>
      <c r="N39" s="8"/>
      <c r="O39" s="8"/>
      <c r="P39" s="8"/>
      <c r="Q39" s="8"/>
      <c r="R39" s="8"/>
      <c r="S39" s="8"/>
    </row>
    <row r="40" spans="1:19" ht="11.25">
      <c r="A40" s="8"/>
      <c r="B40" s="12"/>
      <c r="C40" s="13"/>
      <c r="D40" s="13"/>
      <c r="E40" s="13"/>
      <c r="F40" s="13"/>
      <c r="G40" s="14"/>
      <c r="H40" s="17"/>
      <c r="I40" s="17"/>
      <c r="J40" s="17"/>
      <c r="K40" s="8"/>
      <c r="L40" s="8"/>
      <c r="M40" s="8"/>
      <c r="N40" s="8"/>
      <c r="O40" s="8"/>
      <c r="P40" s="8"/>
      <c r="Q40" s="8"/>
      <c r="R40" s="8"/>
      <c r="S40" s="8"/>
    </row>
    <row r="41" spans="1:19" ht="12">
      <c r="A41" s="8"/>
      <c r="B41" s="12"/>
      <c r="C41" s="13"/>
      <c r="D41" s="13"/>
      <c r="E41" s="13"/>
      <c r="F41" s="13"/>
      <c r="G41" s="14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8"/>
      <c r="S41" s="8"/>
    </row>
    <row r="42" spans="1:19" ht="18" thickBot="1">
      <c r="A42" s="63" t="s">
        <v>50</v>
      </c>
      <c r="B42" s="63"/>
      <c r="C42" s="63"/>
      <c r="D42" s="69" t="s">
        <v>49</v>
      </c>
      <c r="E42" s="70" t="s">
        <v>57</v>
      </c>
      <c r="F42" s="70" t="s">
        <v>22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8"/>
      <c r="S42" s="8"/>
    </row>
    <row r="43" spans="1:19" ht="15" thickBot="1" thickTop="1">
      <c r="A43" s="48" t="s">
        <v>51</v>
      </c>
      <c r="B43" s="49" t="s">
        <v>12</v>
      </c>
      <c r="C43" s="62">
        <v>-0.1</v>
      </c>
      <c r="D43" s="79">
        <f>Scenario1!B20</f>
        <v>0.14110507298123703</v>
      </c>
      <c r="E43" s="79">
        <f>C35</f>
        <v>0.155</v>
      </c>
      <c r="F43" s="79">
        <f>Cashflow!B20</f>
        <v>0.12206264361699118</v>
      </c>
      <c r="G43" s="8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8"/>
      <c r="S43" s="8"/>
    </row>
    <row r="44" spans="1:19" ht="15" thickBot="1" thickTop="1">
      <c r="A44" s="73"/>
      <c r="B44" s="74"/>
      <c r="C44" s="75"/>
      <c r="D44" s="80"/>
      <c r="E44" s="80"/>
      <c r="F44" s="80"/>
      <c r="G44" s="8"/>
      <c r="H44" s="14"/>
      <c r="I44" s="14"/>
      <c r="J44" s="14"/>
      <c r="K44" s="72"/>
      <c r="L44" s="14"/>
      <c r="M44" s="14"/>
      <c r="N44" s="14"/>
      <c r="O44" s="14"/>
      <c r="P44" s="14"/>
      <c r="Q44" s="14"/>
      <c r="R44" s="8"/>
      <c r="S44" s="8"/>
    </row>
    <row r="45" spans="1:19" ht="12" thickBot="1" thickTop="1">
      <c r="A45" s="15"/>
      <c r="B45" s="12"/>
      <c r="C45" s="15"/>
      <c r="D45" s="12"/>
      <c r="E45" s="80"/>
      <c r="F45" s="80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ht="18" thickBot="1" thickTop="1">
      <c r="A46" s="63" t="s">
        <v>53</v>
      </c>
      <c r="B46" s="63"/>
      <c r="C46" s="63"/>
      <c r="D46" s="69" t="s">
        <v>49</v>
      </c>
      <c r="E46" s="80"/>
      <c r="F46" s="80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ht="15" thickBot="1" thickTop="1">
      <c r="A47" s="76"/>
      <c r="B47" s="77"/>
      <c r="C47" s="78"/>
      <c r="D47" s="79">
        <f>Scenario2!B20</f>
        <v>0.1392214470150002</v>
      </c>
      <c r="E47" s="80"/>
      <c r="F47" s="80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ht="15" thickBot="1" thickTop="1">
      <c r="A48" s="50" t="s">
        <v>52</v>
      </c>
      <c r="B48" s="49" t="s">
        <v>12</v>
      </c>
      <c r="C48" s="62">
        <v>0.1</v>
      </c>
      <c r="D48" s="80"/>
      <c r="E48" s="80"/>
      <c r="F48" s="80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ht="12" thickTop="1"/>
  </sheetData>
  <sheetProtection/>
  <mergeCells count="4">
    <mergeCell ref="D43:D44"/>
    <mergeCell ref="D47:D48"/>
    <mergeCell ref="E43:E48"/>
    <mergeCell ref="F43:F48"/>
  </mergeCells>
  <conditionalFormatting sqref="F43:F48">
    <cfRule type="cellIs" priority="3" dxfId="1" operator="lessThan">
      <formula>$E$43</formula>
    </cfRule>
    <cfRule type="cellIs" priority="4" dxfId="0" operator="greaterThan">
      <formula>$E$43</formula>
    </cfRule>
    <cfRule type="colorScale" priority="5" dxfId="4">
      <colorScale>
        <cfvo type="num" val="&quot;&lt;$E$43&quot;"/>
        <cfvo type="num" val="&quot;&gt;$E$43&quot;"/>
        <color rgb="FF92D050"/>
        <color rgb="FFFF0000"/>
      </colorScale>
    </cfRule>
  </conditionalFormatting>
  <conditionalFormatting sqref="D43:D44 D47:D48">
    <cfRule type="cellIs" priority="1" dxfId="1" operator="lessThan">
      <formula>$E$43</formula>
    </cfRule>
    <cfRule type="cellIs" priority="2" dxfId="0" operator="greaterThan">
      <formula>$E$43</formula>
    </cfRule>
  </conditionalFormatting>
  <hyperlinks>
    <hyperlink ref="D35" r:id="rId1" display="http://www.bank.gov.ua/Statist/Electronic%20bulletin/data/4-Financial%20markets(4.1).xls "/>
  </hyperlinks>
  <printOptions/>
  <pageMargins left="0.7" right="0.7" top="0.75" bottom="0.75" header="0.3" footer="0.3"/>
  <pageSetup horizontalDpi="600" verticalDpi="600" orientation="landscape" r:id="rId2"/>
  <ignoredErrors>
    <ignoredError sqref="I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421875" style="0" customWidth="1"/>
    <col min="2" max="2" width="13.140625" style="0" customWidth="1"/>
    <col min="3" max="3" width="11.421875" style="0" customWidth="1"/>
    <col min="4" max="4" width="14.140625" style="0" customWidth="1"/>
    <col min="5" max="5" width="13.140625" style="0" customWidth="1"/>
    <col min="6" max="6" width="13.28125" style="0" customWidth="1"/>
    <col min="7" max="13" width="11.421875" style="0" customWidth="1"/>
    <col min="14" max="14" width="13.00390625" style="0" customWidth="1"/>
    <col min="15" max="16" width="11.421875" style="0" bestFit="1" customWidth="1"/>
  </cols>
  <sheetData>
    <row r="1" spans="1:15" ht="15">
      <c r="A1" s="66" t="s">
        <v>62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8" thickBot="1">
      <c r="A2" s="6"/>
      <c r="B2" s="55">
        <v>2007</v>
      </c>
      <c r="C2" s="55">
        <v>2008</v>
      </c>
      <c r="D2" s="55">
        <v>2009</v>
      </c>
      <c r="E2" s="55">
        <v>2010</v>
      </c>
      <c r="F2" s="55">
        <v>2011</v>
      </c>
      <c r="G2" s="55">
        <v>2012</v>
      </c>
      <c r="H2" s="55">
        <v>2013</v>
      </c>
      <c r="I2" s="55">
        <v>2014</v>
      </c>
      <c r="J2" s="55">
        <v>2015</v>
      </c>
      <c r="K2" s="55">
        <v>2016</v>
      </c>
      <c r="L2" s="55">
        <v>2017</v>
      </c>
      <c r="M2" s="55">
        <v>2018</v>
      </c>
      <c r="N2" s="55">
        <v>2019</v>
      </c>
      <c r="O2" s="4"/>
    </row>
    <row r="3" spans="1:15" ht="15" thickTop="1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4"/>
    </row>
    <row r="4" spans="1:15" ht="14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4"/>
    </row>
    <row r="5" spans="1:15" ht="18" thickBot="1">
      <c r="A5" s="55" t="s">
        <v>19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4"/>
    </row>
    <row r="6" spans="1:15" ht="15" thickTop="1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4"/>
    </row>
    <row r="7" spans="1:15" ht="14.25">
      <c r="A7" s="57" t="s">
        <v>33</v>
      </c>
      <c r="B7" s="58">
        <f>Inputs!C6*(1+Inputs!$C$39)</f>
        <v>3447444.0000000005</v>
      </c>
      <c r="C7" s="58">
        <f>Inputs!D6*((1+Inputs!$C$39)^2)</f>
        <v>91710021.31200002</v>
      </c>
      <c r="D7" s="58">
        <f>Inputs!E6*((1+Inputs!$C$39)^3)</f>
        <v>123706215.36000003</v>
      </c>
      <c r="E7" s="58">
        <f>Inputs!F6*((1+Inputs!$C$39)^4)</f>
        <v>142197039.12960005</v>
      </c>
      <c r="F7" s="58">
        <f>Inputs!G6*((1+Inputs!$C$39)^5)</f>
        <v>163043125.06599942</v>
      </c>
      <c r="G7" s="58"/>
      <c r="H7" s="58"/>
      <c r="I7" s="58"/>
      <c r="J7" s="58"/>
      <c r="K7" s="58"/>
      <c r="L7" s="58"/>
      <c r="M7" s="58"/>
      <c r="N7" s="58">
        <f>-Inputs!C34*((1+Inputs!$C$39)^13)</f>
        <v>-232341087.89140838</v>
      </c>
      <c r="O7" s="4"/>
    </row>
    <row r="8" spans="1:15" ht="14.25">
      <c r="A8" s="6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4"/>
    </row>
    <row r="9" spans="1:15" ht="14.25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4"/>
    </row>
    <row r="10" spans="1:15" ht="18" thickBot="1">
      <c r="A10" s="55" t="s">
        <v>20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/>
    </row>
    <row r="11" spans="1:15" ht="15" thickTop="1">
      <c r="A11" s="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4"/>
    </row>
    <row r="12" spans="1:15" ht="14.25">
      <c r="A12" s="59" t="s">
        <v>21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4"/>
    </row>
    <row r="13" spans="1:15" ht="14.25">
      <c r="A13" s="56" t="s">
        <v>34</v>
      </c>
      <c r="B13" s="58"/>
      <c r="C13" s="58"/>
      <c r="D13" s="58">
        <f>Inputs!$C$37*((1+Inputs!$C$39)^3)*Inputs!E29</f>
        <v>17089439.84714631</v>
      </c>
      <c r="E13" s="58">
        <f>Inputs!$C$37*Inputs!F29*((1+Inputs!$C$39)^4)</f>
        <v>30981251.52664874</v>
      </c>
      <c r="F13" s="58">
        <f>Inputs!$C$37*Inputs!G29*((1+Inputs!$C$39)^5)</f>
        <v>43921265.31901005</v>
      </c>
      <c r="G13" s="58">
        <f>Inputs!$C$37*Inputs!H29*((1+Inputs!$C$39)^6)</f>
        <v>63460537.84788709</v>
      </c>
      <c r="H13" s="58">
        <f>G13*(1+Inputs!$C$39)</f>
        <v>69298907.32989271</v>
      </c>
      <c r="I13" s="58">
        <f>H13*(1+Inputs!$C$39)</f>
        <v>75674406.80424285</v>
      </c>
      <c r="J13" s="58">
        <f>I13*(1+Inputs!$C$39)</f>
        <v>82636452.23023319</v>
      </c>
      <c r="K13" s="58">
        <f>J13*(1+Inputs!$C$39)</f>
        <v>90239005.83541465</v>
      </c>
      <c r="L13" s="58">
        <f>K13*(1+Inputs!$C$39)</f>
        <v>98540994.3722728</v>
      </c>
      <c r="M13" s="58">
        <f>L13*(1+Inputs!$C$39)</f>
        <v>107606765.85452192</v>
      </c>
      <c r="N13" s="58">
        <f>M13*(1+Inputs!$C$39)</f>
        <v>117506588.31313793</v>
      </c>
      <c r="O13" s="4"/>
    </row>
    <row r="14" spans="1:15" ht="14.25">
      <c r="A14" s="56" t="s">
        <v>35</v>
      </c>
      <c r="B14" s="58"/>
      <c r="C14" s="58"/>
      <c r="D14" s="58">
        <f>Inputs!$C$36*Inputs!E30*((1+Inputs!$C$39)^3)</f>
        <v>234011.13603689286</v>
      </c>
      <c r="E14" s="58">
        <f>Inputs!$C$36*Inputs!F30*((1+Inputs!$C$39)^4)</f>
        <v>424236.13239765825</v>
      </c>
      <c r="F14" s="58">
        <f>Inputs!$C$36*Inputs!G30*((1+Inputs!$C$39)^5)</f>
        <v>601427.8575195998</v>
      </c>
      <c r="G14" s="58">
        <f>Inputs!$C$36*Inputs!H30*((1+Inputs!$C$39)^6)</f>
        <v>868985.3317676829</v>
      </c>
      <c r="H14" s="58">
        <f>G14*(1+Inputs!$C$39)</f>
        <v>948931.9822903099</v>
      </c>
      <c r="I14" s="58">
        <f>H14*(1+Inputs!$C$39)</f>
        <v>1036233.7246610185</v>
      </c>
      <c r="J14" s="58">
        <f>I14*(1+Inputs!$C$39)</f>
        <v>1131567.2273298323</v>
      </c>
      <c r="K14" s="58">
        <f>J14*(1+Inputs!$C$39)</f>
        <v>1235671.412244177</v>
      </c>
      <c r="L14" s="58">
        <f>K14*(1+Inputs!$C$39)</f>
        <v>1349353.1821706414</v>
      </c>
      <c r="M14" s="58">
        <f>L14*(1+Inputs!$C$39)</f>
        <v>1473493.6749303404</v>
      </c>
      <c r="N14" s="58">
        <f>M14*(1+Inputs!$C$39)</f>
        <v>1609055.0930239318</v>
      </c>
      <c r="O14" s="4"/>
    </row>
    <row r="15" spans="1:15" ht="14.25">
      <c r="A15" s="56" t="s">
        <v>36</v>
      </c>
      <c r="B15" s="58"/>
      <c r="C15" s="58"/>
      <c r="D15" s="58">
        <f>Inputs!$C$38*Inputs!E31*((1+Inputs!$C$39)^3)</f>
        <v>48642.10650002938</v>
      </c>
      <c r="E15" s="58">
        <f>Inputs!$C$38*Inputs!F31*((1+Inputs!$C$39)^4)</f>
        <v>88182.7227657854</v>
      </c>
      <c r="F15" s="58">
        <f>Inputs!$C$38*Inputs!G31*((1+Inputs!$C$39)^5)</f>
        <v>125014.2125413258</v>
      </c>
      <c r="G15" s="58">
        <f>Inputs!$C$38*Inputs!H31*((1+Inputs!$C$39)^6)</f>
        <v>180629.339999202</v>
      </c>
      <c r="H15" s="58">
        <f>G15*(1+Inputs!$C$39)</f>
        <v>197247.2392791286</v>
      </c>
      <c r="I15" s="58">
        <f>H15*(1+Inputs!$C$39)</f>
        <v>215393.98529280847</v>
      </c>
      <c r="J15" s="58">
        <f>I15*(1+Inputs!$C$39)</f>
        <v>235210.23193974688</v>
      </c>
      <c r="K15" s="58">
        <f>J15*(1+Inputs!$C$39)</f>
        <v>256849.5732782036</v>
      </c>
      <c r="L15" s="58">
        <f>K15*(1+Inputs!$C$39)</f>
        <v>280479.73401979834</v>
      </c>
      <c r="M15" s="58">
        <f>L15*(1+Inputs!$C$39)</f>
        <v>306283.8695496198</v>
      </c>
      <c r="N15" s="58">
        <f>M15*(1+Inputs!$C$39)</f>
        <v>334461.98554818484</v>
      </c>
      <c r="O15" s="4"/>
    </row>
    <row r="16" spans="1:15" ht="14.25">
      <c r="A16" s="59" t="s">
        <v>22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4"/>
    </row>
    <row r="17" spans="1:15" ht="14.25">
      <c r="A17" s="56" t="s">
        <v>47</v>
      </c>
      <c r="B17" s="58">
        <f aca="true" t="shared" si="0" ref="B17:M17">SUM(B13:B15)-SUM(B7:B9,B11)</f>
        <v>-3447444.0000000005</v>
      </c>
      <c r="C17" s="58">
        <f t="shared" si="0"/>
        <v>-91710021.31200002</v>
      </c>
      <c r="D17" s="58">
        <f t="shared" si="0"/>
        <v>-106334122.2703168</v>
      </c>
      <c r="E17" s="58">
        <f t="shared" si="0"/>
        <v>-110703368.74778786</v>
      </c>
      <c r="F17" s="58">
        <f>SUM(F13:F15)-SUM(F7:F9,F11)</f>
        <v>-118395417.67692845</v>
      </c>
      <c r="G17" s="58">
        <f t="shared" si="0"/>
        <v>64510152.519653976</v>
      </c>
      <c r="H17" s="58">
        <f t="shared" si="0"/>
        <v>70445086.55146214</v>
      </c>
      <c r="I17" s="58">
        <f t="shared" si="0"/>
        <v>76926034.51419668</v>
      </c>
      <c r="J17" s="58">
        <f t="shared" si="0"/>
        <v>84003229.68950278</v>
      </c>
      <c r="K17" s="58">
        <f t="shared" si="0"/>
        <v>91731526.82093702</v>
      </c>
      <c r="L17" s="58">
        <f t="shared" si="0"/>
        <v>100170827.28846325</v>
      </c>
      <c r="M17" s="58">
        <f t="shared" si="0"/>
        <v>109386543.39900187</v>
      </c>
      <c r="N17" s="58">
        <f>SUM(N13:N15)-SUM(N7:N9,N11)</f>
        <v>351791193.2831184</v>
      </c>
      <c r="O17" s="4"/>
    </row>
    <row r="18" spans="1:18" ht="14.25">
      <c r="A18" s="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4"/>
      <c r="R18" s="2"/>
    </row>
    <row r="19" spans="1:18" ht="14.25">
      <c r="A19" s="56" t="s">
        <v>48</v>
      </c>
      <c r="B19" s="61">
        <f>NPV(Inputs!C35,Cashflow!B17:N17)</f>
        <v>-44744691.143009335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4"/>
      <c r="R19" s="2"/>
    </row>
    <row r="20" spans="1:18" ht="14.25">
      <c r="A20" s="56" t="s">
        <v>49</v>
      </c>
      <c r="B20" s="60">
        <f>IRR(B17:N17,0.1)</f>
        <v>0.12206264361699118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4"/>
      <c r="R20" s="2"/>
    </row>
    <row r="21" spans="1:18" ht="14.25">
      <c r="A21" s="4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4"/>
      <c r="R21" s="2"/>
    </row>
    <row r="22" spans="1:18" ht="14.25">
      <c r="A22" s="59" t="s">
        <v>21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3"/>
      <c r="P22" s="3"/>
      <c r="Q22" s="4"/>
      <c r="R22" s="2"/>
    </row>
    <row r="23" spans="1:17" ht="14.25">
      <c r="A23" s="56" t="s">
        <v>58</v>
      </c>
      <c r="B23" s="58"/>
      <c r="C23" s="58"/>
      <c r="D23" s="58">
        <f>Inputs!E9*Inputs!$C$33*((1+Inputs!$C$39)^3)</f>
        <v>10289652.621416282</v>
      </c>
      <c r="E23" s="58">
        <f>Inputs!F9*Inputs!$C$33*((1+Inputs!$C$39)^4)</f>
        <v>18653994.44553289</v>
      </c>
      <c r="F23" s="58">
        <f>Inputs!G9*Inputs!$C$33*((1+Inputs!$C$39)^5)</f>
        <v>26445253.142754972</v>
      </c>
      <c r="G23" s="58">
        <f>Inputs!H9*Inputs!$C$33*((1+Inputs!$C$39)^6)</f>
        <v>38209964.484706566</v>
      </c>
      <c r="H23" s="58">
        <f>G23*(1+Inputs!$C$39)</f>
        <v>41725281.21729957</v>
      </c>
      <c r="I23" s="58">
        <f>H23*(1+Inputs!$C$39)</f>
        <v>45564007.08929114</v>
      </c>
      <c r="J23" s="58">
        <f>I23*(1+Inputs!$C$39)</f>
        <v>49755895.74150593</v>
      </c>
      <c r="K23" s="58">
        <f>J23*(1+Inputs!$C$39)</f>
        <v>54333438.149724476</v>
      </c>
      <c r="L23" s="58">
        <f>K23*(1+Inputs!$C$39)</f>
        <v>59332114.459499136</v>
      </c>
      <c r="M23" s="58">
        <f>L23*(1+Inputs!$C$39)</f>
        <v>64790668.98977306</v>
      </c>
      <c r="N23" s="58">
        <f>M23*(1+Inputs!$C$39)</f>
        <v>70751410.53683218</v>
      </c>
      <c r="O23" s="4"/>
      <c r="P23" s="4"/>
      <c r="Q23" s="4"/>
    </row>
    <row r="24" spans="1:17" ht="14.25">
      <c r="A24" s="56" t="s">
        <v>60</v>
      </c>
      <c r="B24" s="58">
        <f>B17+B23</f>
        <v>-3447444.0000000005</v>
      </c>
      <c r="C24" s="58">
        <f aca="true" t="shared" si="1" ref="C24:N24">C17+C23</f>
        <v>-91710021.31200002</v>
      </c>
      <c r="D24" s="58">
        <f t="shared" si="1"/>
        <v>-96044469.64890051</v>
      </c>
      <c r="E24" s="58">
        <f t="shared" si="1"/>
        <v>-92049374.30225497</v>
      </c>
      <c r="F24" s="58">
        <f t="shared" si="1"/>
        <v>-91950164.53417347</v>
      </c>
      <c r="G24" s="58">
        <f t="shared" si="1"/>
        <v>102720117.00436054</v>
      </c>
      <c r="H24" s="58">
        <f t="shared" si="1"/>
        <v>112170367.76876172</v>
      </c>
      <c r="I24" s="58">
        <f t="shared" si="1"/>
        <v>122490041.60348782</v>
      </c>
      <c r="J24" s="58">
        <f t="shared" si="1"/>
        <v>133759125.4310087</v>
      </c>
      <c r="K24" s="58">
        <f t="shared" si="1"/>
        <v>146064964.9706615</v>
      </c>
      <c r="L24" s="58">
        <f t="shared" si="1"/>
        <v>159502941.7479624</v>
      </c>
      <c r="M24" s="58">
        <f t="shared" si="1"/>
        <v>174177212.38877493</v>
      </c>
      <c r="N24" s="58">
        <f t="shared" si="1"/>
        <v>422542603.8199506</v>
      </c>
      <c r="O24" s="4"/>
      <c r="P24" s="4"/>
      <c r="Q24" s="4"/>
    </row>
    <row r="25" spans="1:17" ht="14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4.25">
      <c r="A26" s="56" t="s">
        <v>48</v>
      </c>
      <c r="B26" s="61">
        <f>NPV(Inputs!C35,Cashflow!B24:N24)</f>
        <v>91964810.78958803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4.25">
      <c r="A27" s="56" t="s">
        <v>49</v>
      </c>
      <c r="B27" s="60">
        <f>IRR(B24:N24,0.1)</f>
        <v>0.21916598256672773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4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4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4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4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5.421875" style="0" customWidth="1"/>
    <col min="2" max="2" width="13.140625" style="0" customWidth="1"/>
    <col min="3" max="13" width="11.421875" style="0" customWidth="1"/>
    <col min="14" max="14" width="12.28125" style="0" customWidth="1"/>
    <col min="15" max="16" width="11.421875" style="0" bestFit="1" customWidth="1"/>
  </cols>
  <sheetData>
    <row r="1" spans="1:15" ht="15">
      <c r="A1" s="66" t="s">
        <v>62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8" thickBot="1">
      <c r="A2" s="6"/>
      <c r="B2" s="55">
        <v>2007</v>
      </c>
      <c r="C2" s="55">
        <v>2008</v>
      </c>
      <c r="D2" s="55">
        <v>2009</v>
      </c>
      <c r="E2" s="55">
        <v>2010</v>
      </c>
      <c r="F2" s="55">
        <v>2011</v>
      </c>
      <c r="G2" s="55">
        <v>2012</v>
      </c>
      <c r="H2" s="55">
        <v>2013</v>
      </c>
      <c r="I2" s="55">
        <v>2014</v>
      </c>
      <c r="J2" s="55">
        <v>2015</v>
      </c>
      <c r="K2" s="55">
        <v>2016</v>
      </c>
      <c r="L2" s="55">
        <v>2017</v>
      </c>
      <c r="M2" s="55">
        <v>2018</v>
      </c>
      <c r="N2" s="55">
        <v>2019</v>
      </c>
      <c r="O2" s="4"/>
    </row>
    <row r="3" spans="1:15" ht="15" thickTop="1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4"/>
    </row>
    <row r="4" spans="1:15" ht="14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4"/>
    </row>
    <row r="5" spans="1:15" ht="18" thickBot="1">
      <c r="A5" s="55" t="s">
        <v>19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4"/>
    </row>
    <row r="6" spans="1:15" ht="15" thickTop="1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4"/>
    </row>
    <row r="7" spans="1:15" ht="14.25">
      <c r="A7" s="57" t="s">
        <v>33</v>
      </c>
      <c r="B7" s="58">
        <f>Inputs!C6*(1+Inputs!$C$39)*(1+Inputs!$C$43)</f>
        <v>3102699.6000000006</v>
      </c>
      <c r="C7" s="58">
        <f>Inputs!D6*((1+Inputs!$C$39)^2)*(1+Inputs!$C$43)</f>
        <v>82539019.18080002</v>
      </c>
      <c r="D7" s="58">
        <f>Inputs!E6*((1+Inputs!$C$39)^3)*(1+Inputs!$C$43)</f>
        <v>111335593.82400003</v>
      </c>
      <c r="E7" s="58">
        <f>Inputs!F6*((1+Inputs!$C$39)^4)*(1+Inputs!$C$43)</f>
        <v>127977335.21664004</v>
      </c>
      <c r="F7" s="58">
        <f>Inputs!G6*((1+Inputs!$C$39)^5)*(1+Inputs!$C$43)</f>
        <v>146738812.5593995</v>
      </c>
      <c r="G7" s="58"/>
      <c r="H7" s="58"/>
      <c r="I7" s="58"/>
      <c r="J7" s="58"/>
      <c r="K7" s="58"/>
      <c r="L7" s="58"/>
      <c r="M7" s="58"/>
      <c r="N7" s="58">
        <f>-Inputs!C34*((1+Inputs!$C$39)^13)*(1+Inputs!$C$43)</f>
        <v>-209106979.10226756</v>
      </c>
      <c r="O7" s="4"/>
    </row>
    <row r="8" spans="1:15" ht="14.25">
      <c r="A8" s="6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4"/>
    </row>
    <row r="9" spans="1:15" ht="14.25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4"/>
    </row>
    <row r="10" spans="1:15" ht="18" thickBot="1">
      <c r="A10" s="55" t="s">
        <v>20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/>
    </row>
    <row r="11" spans="1:15" ht="15" thickTop="1">
      <c r="A11" s="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4"/>
    </row>
    <row r="12" spans="1:15" ht="14.25">
      <c r="A12" s="59" t="s">
        <v>21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4"/>
    </row>
    <row r="13" spans="1:15" ht="14.25">
      <c r="A13" s="56" t="s">
        <v>34</v>
      </c>
      <c r="B13" s="58"/>
      <c r="C13" s="58"/>
      <c r="D13" s="58">
        <f>Inputs!$C$37*((1+Inputs!$C$39)^3)*Inputs!E29</f>
        <v>17089439.84714631</v>
      </c>
      <c r="E13" s="58">
        <f>Inputs!$C$37*Inputs!F29*((1+Inputs!$C$39)^4)</f>
        <v>30981251.52664874</v>
      </c>
      <c r="F13" s="58">
        <f>Inputs!$C$37*Inputs!G29*((1+Inputs!$C$39)^5)</f>
        <v>43921265.31901005</v>
      </c>
      <c r="G13" s="58">
        <f>Inputs!$C$37*Inputs!H29*((1+Inputs!$C$39)^6)</f>
        <v>63460537.84788709</v>
      </c>
      <c r="H13" s="58">
        <f>G13*(1+Inputs!$C$39)</f>
        <v>69298907.32989271</v>
      </c>
      <c r="I13" s="58">
        <f>H13*(1+Inputs!$C$39)</f>
        <v>75674406.80424285</v>
      </c>
      <c r="J13" s="58">
        <f>I13*(1+Inputs!$C$39)</f>
        <v>82636452.23023319</v>
      </c>
      <c r="K13" s="58">
        <f>J13*(1+Inputs!$C$39)</f>
        <v>90239005.83541465</v>
      </c>
      <c r="L13" s="58">
        <f>K13*(1+Inputs!$C$39)</f>
        <v>98540994.3722728</v>
      </c>
      <c r="M13" s="58">
        <f>L13*(1+Inputs!$C$39)</f>
        <v>107606765.85452192</v>
      </c>
      <c r="N13" s="58">
        <f>M13*(1+Inputs!$C$39)</f>
        <v>117506588.31313793</v>
      </c>
      <c r="O13" s="4"/>
    </row>
    <row r="14" spans="1:15" ht="14.25">
      <c r="A14" s="56" t="s">
        <v>35</v>
      </c>
      <c r="B14" s="58"/>
      <c r="C14" s="58"/>
      <c r="D14" s="58">
        <f>Inputs!$C$36*Inputs!E30*((1+Inputs!$C$39)^3)</f>
        <v>234011.13603689286</v>
      </c>
      <c r="E14" s="58">
        <f>Inputs!$C$36*Inputs!F30*((1+Inputs!$C$39)^4)</f>
        <v>424236.13239765825</v>
      </c>
      <c r="F14" s="58">
        <f>Inputs!$C$36*Inputs!G30*((1+Inputs!$C$39)^5)</f>
        <v>601427.8575195998</v>
      </c>
      <c r="G14" s="58">
        <f>Inputs!$C$36*Inputs!H30*((1+Inputs!$C$39)^6)</f>
        <v>868985.3317676829</v>
      </c>
      <c r="H14" s="58">
        <f>G14*(1+Inputs!$C$39)</f>
        <v>948931.9822903099</v>
      </c>
      <c r="I14" s="58">
        <f>H14*(1+Inputs!$C$39)</f>
        <v>1036233.7246610185</v>
      </c>
      <c r="J14" s="58">
        <f>I14*(1+Inputs!$C$39)</f>
        <v>1131567.2273298323</v>
      </c>
      <c r="K14" s="58">
        <f>J14*(1+Inputs!$C$39)</f>
        <v>1235671.412244177</v>
      </c>
      <c r="L14" s="58">
        <f>K14*(1+Inputs!$C$39)</f>
        <v>1349353.1821706414</v>
      </c>
      <c r="M14" s="58">
        <f>L14*(1+Inputs!$C$39)</f>
        <v>1473493.6749303404</v>
      </c>
      <c r="N14" s="58">
        <f>M14*(1+Inputs!$C$39)</f>
        <v>1609055.0930239318</v>
      </c>
      <c r="O14" s="4"/>
    </row>
    <row r="15" spans="1:15" ht="14.25">
      <c r="A15" s="56" t="s">
        <v>36</v>
      </c>
      <c r="B15" s="58"/>
      <c r="C15" s="58"/>
      <c r="D15" s="58">
        <f>Inputs!$C$38*Inputs!E31*((1+Inputs!$C$39)^3)</f>
        <v>48642.10650002938</v>
      </c>
      <c r="E15" s="58">
        <f>Inputs!$C$38*Inputs!F31*((1+Inputs!$C$39)^4)</f>
        <v>88182.7227657854</v>
      </c>
      <c r="F15" s="58">
        <f>Inputs!$C$38*Inputs!G31*((1+Inputs!$C$39)^5)</f>
        <v>125014.2125413258</v>
      </c>
      <c r="G15" s="58">
        <f>Inputs!$C$38*Inputs!H31*((1+Inputs!$C$39)^6)</f>
        <v>180629.339999202</v>
      </c>
      <c r="H15" s="58">
        <f>G15*(1+Inputs!$C$39)</f>
        <v>197247.2392791286</v>
      </c>
      <c r="I15" s="58">
        <f>H15*(1+Inputs!$C$39)</f>
        <v>215393.98529280847</v>
      </c>
      <c r="J15" s="58">
        <f>I15*(1+Inputs!$C$39)</f>
        <v>235210.23193974688</v>
      </c>
      <c r="K15" s="58">
        <f>J15*(1+Inputs!$C$39)</f>
        <v>256849.5732782036</v>
      </c>
      <c r="L15" s="58">
        <f>K15*(1+Inputs!$C$39)</f>
        <v>280479.73401979834</v>
      </c>
      <c r="M15" s="58">
        <f>L15*(1+Inputs!$C$39)</f>
        <v>306283.8695496198</v>
      </c>
      <c r="N15" s="58">
        <f>M15*(1+Inputs!$C$39)</f>
        <v>334461.98554818484</v>
      </c>
      <c r="O15" s="4"/>
    </row>
    <row r="16" spans="1:15" ht="14.25">
      <c r="A16" s="59" t="s">
        <v>22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4"/>
    </row>
    <row r="17" spans="1:15" ht="14.25">
      <c r="A17" s="56" t="s">
        <v>47</v>
      </c>
      <c r="B17" s="58">
        <f>(SUM(B13:B15)*(1+Inputs!$C$44))-SUM(B7:B9,B11)</f>
        <v>-3102699.6000000006</v>
      </c>
      <c r="C17" s="58">
        <f>(SUM(C13:C15)*(1+Inputs!$C$44))-SUM(C7:C9,C11)</f>
        <v>-82539019.18080002</v>
      </c>
      <c r="D17" s="58">
        <f>(SUM(D13:D15)*(1+Inputs!$C$44))-SUM(D7:D9,D11)</f>
        <v>-93963500.7343168</v>
      </c>
      <c r="E17" s="58">
        <f>(SUM(E13:E15)*(1+Inputs!$C$44))-SUM(E7:E9,E11)</f>
        <v>-96483664.83482786</v>
      </c>
      <c r="F17" s="58">
        <f>(SUM(F13:F15)*(1+Inputs!$C$44))-SUM(F7:F9,F11)</f>
        <v>-102091105.17032851</v>
      </c>
      <c r="G17" s="58">
        <f>(SUM(G13:G15)*(1+Inputs!$C$44))-SUM(G7:G9,G11)</f>
        <v>64510152.519653976</v>
      </c>
      <c r="H17" s="58">
        <f>(SUM(H13:H15)*(1+Inputs!$C$44))-SUM(H7:H9,H11)</f>
        <v>70445086.55146214</v>
      </c>
      <c r="I17" s="58">
        <f>(SUM(I13:I15)*(1+Inputs!$C$44))-SUM(I7:I9,I11)</f>
        <v>76926034.51419668</v>
      </c>
      <c r="J17" s="58">
        <f>(SUM(J13:J15)*(1+Inputs!$C$44))-SUM(J7:J9,J11)</f>
        <v>84003229.68950278</v>
      </c>
      <c r="K17" s="58">
        <f>(SUM(K13:K15)*(1+Inputs!$C$44))-SUM(K7:K9,K11)</f>
        <v>91731526.82093702</v>
      </c>
      <c r="L17" s="58">
        <f>(SUM(L13:L15)*(1+Inputs!$C$44))-SUM(L7:L9,L11)</f>
        <v>100170827.28846325</v>
      </c>
      <c r="M17" s="58">
        <f>(SUM(M13:M15)*(1+Inputs!$C$44))-SUM(M7:M9,M11)</f>
        <v>109386543.39900187</v>
      </c>
      <c r="N17" s="58">
        <f>(SUM(N13:N15)*(1+Inputs!$C$44))-SUM(N7:N9,N11)</f>
        <v>328557084.4939776</v>
      </c>
      <c r="O17" s="4"/>
    </row>
    <row r="18" spans="1:18" ht="14.25">
      <c r="A18" s="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4"/>
      <c r="R18" s="2"/>
    </row>
    <row r="19" spans="1:18" ht="14.25">
      <c r="A19" s="56" t="s">
        <v>48</v>
      </c>
      <c r="B19" s="61">
        <f>NPV(Inputs!C35,B17:N17)</f>
        <v>-17189460.401495673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4"/>
      <c r="R19" s="2"/>
    </row>
    <row r="20" spans="1:18" ht="14.25">
      <c r="A20" s="56" t="s">
        <v>49</v>
      </c>
      <c r="B20" s="60">
        <f>IRR(B17:N17,0.1)</f>
        <v>0.14110507298123703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4"/>
      <c r="R20" s="2"/>
    </row>
    <row r="21" spans="1:18" ht="14.25">
      <c r="A21" s="4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4"/>
      <c r="R21" s="2"/>
    </row>
    <row r="22" spans="1:18" ht="14.25">
      <c r="A22" s="4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4"/>
      <c r="R22" s="2"/>
    </row>
    <row r="23" spans="1:17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4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4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4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4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4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4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4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ht="14.25">
      <c r="C32" s="64"/>
    </row>
    <row r="33" ht="14.25">
      <c r="C33" s="64"/>
    </row>
    <row r="34" ht="14.25">
      <c r="C34" s="64"/>
    </row>
    <row r="35" ht="14.25">
      <c r="C35" s="64"/>
    </row>
    <row r="36" ht="14.25">
      <c r="C36" s="64"/>
    </row>
    <row r="37" ht="14.25">
      <c r="C37" s="64"/>
    </row>
    <row r="38" ht="14.25">
      <c r="C38" s="64"/>
    </row>
    <row r="39" ht="14.25">
      <c r="C39" s="64"/>
    </row>
    <row r="40" ht="14.25">
      <c r="C40" s="64"/>
    </row>
    <row r="41" ht="14.25">
      <c r="C41" s="64"/>
    </row>
    <row r="42" ht="14.25">
      <c r="C42" s="64"/>
    </row>
    <row r="45" ht="14.25">
      <c r="C45" s="64"/>
    </row>
    <row r="46" ht="14.25">
      <c r="C46" s="64"/>
    </row>
    <row r="47" ht="14.25">
      <c r="C47" s="64"/>
    </row>
    <row r="48" ht="14.25">
      <c r="C48" s="64"/>
    </row>
    <row r="49" ht="14.25">
      <c r="C49" s="64"/>
    </row>
    <row r="50" ht="14.25">
      <c r="C50" s="64"/>
    </row>
    <row r="51" ht="14.25">
      <c r="C51" s="6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421875" style="0" customWidth="1"/>
    <col min="2" max="2" width="13.140625" style="0" customWidth="1"/>
    <col min="3" max="3" width="11.421875" style="0" customWidth="1"/>
    <col min="4" max="4" width="12.28125" style="0" customWidth="1"/>
    <col min="5" max="5" width="12.140625" style="0" customWidth="1"/>
    <col min="6" max="6" width="12.28125" style="0" customWidth="1"/>
    <col min="7" max="14" width="11.421875" style="0" customWidth="1"/>
    <col min="15" max="16" width="11.421875" style="0" bestFit="1" customWidth="1"/>
  </cols>
  <sheetData>
    <row r="1" spans="1:15" ht="15">
      <c r="A1" s="66" t="s">
        <v>62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8" thickBot="1">
      <c r="A2" s="6"/>
      <c r="B2" s="55">
        <v>2007</v>
      </c>
      <c r="C2" s="55">
        <v>2008</v>
      </c>
      <c r="D2" s="55">
        <v>2009</v>
      </c>
      <c r="E2" s="55">
        <v>2010</v>
      </c>
      <c r="F2" s="55">
        <v>2011</v>
      </c>
      <c r="G2" s="55">
        <v>2012</v>
      </c>
      <c r="H2" s="55">
        <v>2013</v>
      </c>
      <c r="I2" s="55">
        <v>2014</v>
      </c>
      <c r="J2" s="55">
        <v>2015</v>
      </c>
      <c r="K2" s="55">
        <v>2016</v>
      </c>
      <c r="L2" s="55">
        <v>2017</v>
      </c>
      <c r="M2" s="55">
        <v>2018</v>
      </c>
      <c r="N2" s="55">
        <v>2019</v>
      </c>
      <c r="O2" s="4"/>
    </row>
    <row r="3" spans="1:15" ht="15" thickTop="1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4"/>
    </row>
    <row r="4" spans="1:15" ht="14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4"/>
    </row>
    <row r="5" spans="1:15" ht="18" thickBot="1">
      <c r="A5" s="55" t="s">
        <v>19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4"/>
    </row>
    <row r="6" spans="1:15" ht="15" thickTop="1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4"/>
    </row>
    <row r="7" spans="1:15" ht="14.25">
      <c r="A7" s="57" t="s">
        <v>33</v>
      </c>
      <c r="B7" s="58">
        <f>Inputs!C6*(1+Inputs!$C$39)*(1+Inputs!$C$47)</f>
        <v>3447444.0000000005</v>
      </c>
      <c r="C7" s="58">
        <f>Inputs!D6*((1+Inputs!$C$39)^2)*(1+Inputs!$C$47)</f>
        <v>91710021.31200002</v>
      </c>
      <c r="D7" s="58">
        <f>Inputs!E6*((1+Inputs!$C$39)^3)*(1+Inputs!$C$47)</f>
        <v>123706215.36000003</v>
      </c>
      <c r="E7" s="58">
        <f>Inputs!F6*((1+Inputs!$C$39)^4)*(1+Inputs!$C$47)</f>
        <v>142197039.12960005</v>
      </c>
      <c r="F7" s="58">
        <f>Inputs!G6*((1+Inputs!$C$39)^5)*(1+Inputs!$C$47)</f>
        <v>163043125.06599942</v>
      </c>
      <c r="G7" s="58"/>
      <c r="H7" s="58"/>
      <c r="I7" s="58"/>
      <c r="J7" s="58"/>
      <c r="K7" s="58"/>
      <c r="L7" s="58"/>
      <c r="M7" s="58"/>
      <c r="N7" s="58">
        <f>-Inputs!C34*((1+Inputs!$C$39)^13)*(1+Inputs!$C$47)</f>
        <v>-232341087.89140838</v>
      </c>
      <c r="O7" s="4"/>
    </row>
    <row r="8" spans="1:15" ht="14.25">
      <c r="A8" s="6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4"/>
    </row>
    <row r="9" spans="1:15" ht="14.25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4"/>
    </row>
    <row r="10" spans="1:15" ht="18" thickBot="1">
      <c r="A10" s="55" t="s">
        <v>20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/>
    </row>
    <row r="11" spans="1:15" ht="15" thickTop="1">
      <c r="A11" s="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4"/>
    </row>
    <row r="12" spans="1:15" ht="14.25">
      <c r="A12" s="59" t="s">
        <v>21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4"/>
    </row>
    <row r="13" spans="1:15" ht="14.25">
      <c r="A13" s="56" t="s">
        <v>34</v>
      </c>
      <c r="B13" s="58"/>
      <c r="C13" s="58"/>
      <c r="D13" s="58">
        <f>Inputs!$C$37*((1+Inputs!$C$39)^3)*Inputs!E29</f>
        <v>17089439.84714631</v>
      </c>
      <c r="E13" s="58">
        <f>Inputs!$C$37*Inputs!F29*((1+Inputs!$C$39)^4)</f>
        <v>30981251.52664874</v>
      </c>
      <c r="F13" s="58">
        <f>Inputs!$C$37*Inputs!G29*((1+Inputs!$C$39)^5)</f>
        <v>43921265.31901005</v>
      </c>
      <c r="G13" s="58">
        <f>Inputs!$C$37*Inputs!H29*((1+Inputs!$C$39)^6)</f>
        <v>63460537.84788709</v>
      </c>
      <c r="H13" s="58">
        <f>G13*(1+Inputs!$C$39)</f>
        <v>69298907.32989271</v>
      </c>
      <c r="I13" s="58">
        <f>H13*(1+Inputs!$C$39)</f>
        <v>75674406.80424285</v>
      </c>
      <c r="J13" s="58">
        <f>I13*(1+Inputs!$C$39)</f>
        <v>82636452.23023319</v>
      </c>
      <c r="K13" s="58">
        <f>J13*(1+Inputs!$C$39)</f>
        <v>90239005.83541465</v>
      </c>
      <c r="L13" s="58">
        <f>K13*(1+Inputs!$C$39)</f>
        <v>98540994.3722728</v>
      </c>
      <c r="M13" s="58">
        <f>L13*(1+Inputs!$C$39)</f>
        <v>107606765.85452192</v>
      </c>
      <c r="N13" s="58">
        <f>M13*(1+Inputs!$C$39)</f>
        <v>117506588.31313793</v>
      </c>
      <c r="O13" s="4"/>
    </row>
    <row r="14" spans="1:15" ht="14.25">
      <c r="A14" s="56" t="s">
        <v>35</v>
      </c>
      <c r="B14" s="58"/>
      <c r="C14" s="58"/>
      <c r="D14" s="58">
        <f>Inputs!$C$36*Inputs!E30*((1+Inputs!$C$39)^3)</f>
        <v>234011.13603689286</v>
      </c>
      <c r="E14" s="58">
        <f>Inputs!$C$36*Inputs!F30*((1+Inputs!$C$39)^4)</f>
        <v>424236.13239765825</v>
      </c>
      <c r="F14" s="58">
        <f>Inputs!$C$36*Inputs!G30*((1+Inputs!$C$39)^5)</f>
        <v>601427.8575195998</v>
      </c>
      <c r="G14" s="58">
        <f>Inputs!$C$36*Inputs!H30*((1+Inputs!$C$39)^6)</f>
        <v>868985.3317676829</v>
      </c>
      <c r="H14" s="58">
        <f>G14*(1+Inputs!$C$39)</f>
        <v>948931.9822903099</v>
      </c>
      <c r="I14" s="58">
        <f>H14*(1+Inputs!$C$39)</f>
        <v>1036233.7246610185</v>
      </c>
      <c r="J14" s="58">
        <f>I14*(1+Inputs!$C$39)</f>
        <v>1131567.2273298323</v>
      </c>
      <c r="K14" s="58">
        <f>J14*(1+Inputs!$C$39)</f>
        <v>1235671.412244177</v>
      </c>
      <c r="L14" s="58">
        <f>K14*(1+Inputs!$C$39)</f>
        <v>1349353.1821706414</v>
      </c>
      <c r="M14" s="58">
        <f>L14*(1+Inputs!$C$39)</f>
        <v>1473493.6749303404</v>
      </c>
      <c r="N14" s="58">
        <f>M14*(1+Inputs!$C$39)</f>
        <v>1609055.0930239318</v>
      </c>
      <c r="O14" s="4"/>
    </row>
    <row r="15" spans="1:15" ht="14.25">
      <c r="A15" s="56" t="s">
        <v>36</v>
      </c>
      <c r="B15" s="58"/>
      <c r="C15" s="58"/>
      <c r="D15" s="58">
        <f>Inputs!$C$38*Inputs!E31*((1+Inputs!$C$39)^3)</f>
        <v>48642.10650002938</v>
      </c>
      <c r="E15" s="58">
        <f>Inputs!$C$38*Inputs!F31*((1+Inputs!$C$39)^4)</f>
        <v>88182.7227657854</v>
      </c>
      <c r="F15" s="58">
        <f>Inputs!$C$38*Inputs!G31*((1+Inputs!$C$39)^5)</f>
        <v>125014.2125413258</v>
      </c>
      <c r="G15" s="58">
        <f>Inputs!$C$38*Inputs!H31*((1+Inputs!$C$39)^6)</f>
        <v>180629.339999202</v>
      </c>
      <c r="H15" s="58">
        <f>G15*(1+Inputs!$C$39)</f>
        <v>197247.2392791286</v>
      </c>
      <c r="I15" s="58">
        <f>H15*(1+Inputs!$C$39)</f>
        <v>215393.98529280847</v>
      </c>
      <c r="J15" s="58">
        <f>I15*(1+Inputs!$C$39)</f>
        <v>235210.23193974688</v>
      </c>
      <c r="K15" s="58">
        <f>J15*(1+Inputs!$C$39)</f>
        <v>256849.5732782036</v>
      </c>
      <c r="L15" s="58">
        <f>K15*(1+Inputs!$C$39)</f>
        <v>280479.73401979834</v>
      </c>
      <c r="M15" s="58">
        <f>L15*(1+Inputs!$C$39)</f>
        <v>306283.8695496198</v>
      </c>
      <c r="N15" s="58">
        <f>M15*(1+Inputs!$C$39)</f>
        <v>334461.98554818484</v>
      </c>
      <c r="O15" s="4"/>
    </row>
    <row r="16" spans="1:15" ht="14.25">
      <c r="A16" s="59" t="s">
        <v>22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4"/>
    </row>
    <row r="17" spans="1:15" ht="14.25">
      <c r="A17" s="56" t="s">
        <v>47</v>
      </c>
      <c r="B17" s="58">
        <f>(SUM(B13:B15)*(1+Inputs!$C$48))-SUM(B7:B9,B11)</f>
        <v>-3447444.0000000005</v>
      </c>
      <c r="C17" s="58">
        <f>(SUM(C13:C15)*(1+Inputs!$C$48))-SUM(C7:C9,C11)</f>
        <v>-91710021.31200002</v>
      </c>
      <c r="D17" s="58">
        <f>(SUM(D13:D15)*(1+Inputs!$C$48))-SUM(D7:D9,D11)</f>
        <v>-104596912.96134847</v>
      </c>
      <c r="E17" s="58">
        <f>(SUM(E13:E15)*(1+Inputs!$C$48))-SUM(E7:E9,E11)</f>
        <v>-107554001.70960665</v>
      </c>
      <c r="F17" s="58">
        <f>(SUM(F13:F15)*(1+Inputs!$C$48))-SUM(F7:F9,F11)</f>
        <v>-113930646.93802135</v>
      </c>
      <c r="G17" s="58">
        <f>(SUM(G13:G15)*(1+Inputs!$C$48))-SUM(G7:G9,G11)</f>
        <v>70961167.77161938</v>
      </c>
      <c r="H17" s="58">
        <f>(SUM(H13:H15)*(1+Inputs!$C$48))-SUM(H7:H9,H11)</f>
        <v>77489595.20660837</v>
      </c>
      <c r="I17" s="58">
        <f>(SUM(I13:I15)*(1+Inputs!$C$48))-SUM(I7:I9,I11)</f>
        <v>84618637.96561636</v>
      </c>
      <c r="J17" s="58">
        <f>(SUM(J13:J15)*(1+Inputs!$C$48))-SUM(J7:J9,J11)</f>
        <v>92403552.65845306</v>
      </c>
      <c r="K17" s="58">
        <f>(SUM(K13:K15)*(1+Inputs!$C$48))-SUM(K7:K9,K11)</f>
        <v>100904679.50303073</v>
      </c>
      <c r="L17" s="58">
        <f>(SUM(L13:L15)*(1+Inputs!$C$48))-SUM(L7:L9,L11)</f>
        <v>110187910.01730958</v>
      </c>
      <c r="M17" s="58">
        <f>(SUM(M13:M15)*(1+Inputs!$C$48))-SUM(M7:M9,M11)</f>
        <v>120325197.73890206</v>
      </c>
      <c r="N17" s="58">
        <f>(SUM(N13:N15)*(1+Inputs!$C$48))-SUM(N7:N9,N11)</f>
        <v>363736203.82228947</v>
      </c>
      <c r="O17" s="4"/>
    </row>
    <row r="18" spans="1:18" ht="14.25">
      <c r="A18" s="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4"/>
      <c r="R18" s="2"/>
    </row>
    <row r="19" spans="1:18" ht="14.25">
      <c r="A19" s="56" t="s">
        <v>48</v>
      </c>
      <c r="B19" s="61">
        <f>NPV(Inputs!C35,B17:N17)</f>
        <v>-21663929.515796583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4"/>
      <c r="R19" s="2"/>
    </row>
    <row r="20" spans="1:18" ht="14.25">
      <c r="A20" s="56" t="s">
        <v>49</v>
      </c>
      <c r="B20" s="60">
        <f>IRR(B17:N17,0.1)</f>
        <v>0.1392214470150002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4"/>
      <c r="R20" s="2"/>
    </row>
    <row r="21" spans="1:18" ht="14.25">
      <c r="A21" s="4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4"/>
      <c r="R21" s="2"/>
    </row>
    <row r="22" spans="1:18" ht="14.25">
      <c r="A22" s="4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4"/>
      <c r="R22" s="2"/>
    </row>
    <row r="23" spans="1:17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4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4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4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4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4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4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4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GlobalCarbon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Kuchko</dc:creator>
  <cp:keywords/>
  <dc:description/>
  <cp:lastModifiedBy>Sokolov</cp:lastModifiedBy>
  <cp:lastPrinted>2009-08-14T07:49:28Z</cp:lastPrinted>
  <dcterms:created xsi:type="dcterms:W3CDTF">2009-04-03T12:15:51Z</dcterms:created>
  <dcterms:modified xsi:type="dcterms:W3CDTF">2010-12-26T16:42:54Z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