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65476" windowWidth="16620" windowHeight="8265" tabRatio="769" activeTab="0"/>
  </bookViews>
  <sheets>
    <sheet name="Default data" sheetId="1" r:id="rId1"/>
    <sheet name="ER Calculation" sheetId="2" r:id="rId2"/>
    <sheet name="Table" sheetId="3" r:id="rId3"/>
    <sheet name="E Tables" sheetId="4" r:id="rId4"/>
  </sheets>
  <definedNames/>
  <calcPr fullCalcOnLoad="1"/>
</workbook>
</file>

<file path=xl/sharedStrings.xml><?xml version="1.0" encoding="utf-8"?>
<sst xmlns="http://schemas.openxmlformats.org/spreadsheetml/2006/main" count="189" uniqueCount="76">
  <si>
    <t>Natural gas</t>
  </si>
  <si>
    <t>Fuel type</t>
  </si>
  <si>
    <t>-</t>
  </si>
  <si>
    <t>MWh</t>
  </si>
  <si>
    <t>%</t>
  </si>
  <si>
    <t>GJ/MWh</t>
  </si>
  <si>
    <t>MW</t>
  </si>
  <si>
    <t>Indicator</t>
  </si>
  <si>
    <t>Amount</t>
  </si>
  <si>
    <t>Units</t>
  </si>
  <si>
    <t>Runtime factor</t>
  </si>
  <si>
    <t>Efficiency</t>
  </si>
  <si>
    <t>GJ</t>
  </si>
  <si>
    <t>Annual electricity generation</t>
  </si>
  <si>
    <t>Annual electricity output</t>
  </si>
  <si>
    <t>thous.m3</t>
  </si>
  <si>
    <t>GJ/thous.m3</t>
  </si>
  <si>
    <t>tCO2/GJ</t>
  </si>
  <si>
    <t>tCO2/MWh</t>
  </si>
  <si>
    <t>Project emission</t>
  </si>
  <si>
    <t>Annual natural gas consumption</t>
  </si>
  <si>
    <t>Annual fuel consumption</t>
  </si>
  <si>
    <t>Net calorific value of fuel</t>
  </si>
  <si>
    <t>Net calorific value of natural gas</t>
  </si>
  <si>
    <t>Emission factor of natural gas</t>
  </si>
  <si>
    <t>tCO2</t>
  </si>
  <si>
    <t>Baseline emission</t>
  </si>
  <si>
    <t>Emission reduction</t>
  </si>
  <si>
    <t>Emission factors</t>
  </si>
  <si>
    <t>Project indicators</t>
  </si>
  <si>
    <t>Project emission factor</t>
  </si>
  <si>
    <t>Total ERs in 2008-2012</t>
  </si>
  <si>
    <t>Electrical capacity</t>
  </si>
  <si>
    <t>Annual auxiliary electricity consumption</t>
  </si>
  <si>
    <t>Natural gas for stationary combustion in the energy industries</t>
  </si>
  <si>
    <t>Years</t>
  </si>
  <si>
    <t>Length of the crediting period within 2008-2012</t>
  </si>
  <si>
    <t>Year</t>
  </si>
  <si>
    <r>
      <t>Estimate of annual emission reductions in 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</t>
    </r>
  </si>
  <si>
    <t>Year 2010</t>
  </si>
  <si>
    <t>Year 2011</t>
  </si>
  <si>
    <t>Year 2012</t>
  </si>
  <si>
    <r>
      <t>Total estimated emission reductions over the crediting period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 within 2008 – 2012</t>
    </r>
  </si>
  <si>
    <r>
      <t>Annual average over estimated emission reductions over the crediting period within 2008-2012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 </t>
    </r>
  </si>
  <si>
    <t>Length of the crediting period within 2013-2020</t>
  </si>
  <si>
    <t>Year 2013</t>
  </si>
  <si>
    <t>Year 2014</t>
  </si>
  <si>
    <t>Year 2015</t>
  </si>
  <si>
    <t>Year 2016</t>
  </si>
  <si>
    <t>Year 2017</t>
  </si>
  <si>
    <t>Year 2018</t>
  </si>
  <si>
    <t>Year 2019</t>
  </si>
  <si>
    <t>Year 2020</t>
  </si>
  <si>
    <r>
      <t>Total estimated emission reductions over the crediting period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 within 2013 – 2020</t>
    </r>
  </si>
  <si>
    <r>
      <t>Annual average over estimated emission reductions over the crediting period within 2013-2020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 </t>
    </r>
  </si>
  <si>
    <t>Total 2011 - 2012</t>
  </si>
  <si>
    <r>
      <t xml:space="preserve">Estimated </t>
    </r>
    <r>
      <rPr>
        <u val="single"/>
        <sz val="10"/>
        <color indexed="8"/>
        <rFont val="Times New Roman"/>
        <family val="1"/>
      </rPr>
      <t>project</t>
    </r>
    <r>
      <rPr>
        <sz val="10"/>
        <color indexed="8"/>
        <rFont val="Times New Roman"/>
        <family val="1"/>
      </rPr>
      <t xml:space="preserve"> emissions</t>
    </r>
  </si>
  <si>
    <r>
      <t>Estimated leakage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</si>
  <si>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t>Estimated baseline emissions</t>
  </si>
  <si>
    <r>
      <t>Estimated emission reductions</t>
    </r>
    <r>
      <rPr>
        <vertAlign val="subscript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</si>
  <si>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r>
      <t>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</si>
  <si>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r>
      <t>Total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</si>
  <si>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r>
      <t>Estimated project emissions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</si>
  <si>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r>
      <t>Estimated baseline emissions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</si>
  <si>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r>
      <t>Estimated emission reductions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</si>
  <si>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t>Comments</t>
  </si>
  <si>
    <t>Data of OGK-4: the installed capacity using is 6,900 hours</t>
  </si>
  <si>
    <t>Data of GE (thermal balance)</t>
  </si>
  <si>
    <t>2006 IPCC Guidelines for National Greenhouse Gas Inventories</t>
  </si>
  <si>
    <t>Please see Annex 2 of the PDD</t>
  </si>
  <si>
    <t>Electricity EF of URES "Centre"</t>
  </si>
  <si>
    <t>Total 2010 - 2012</t>
  </si>
  <si>
    <t>Total 2013 - 2020</t>
  </si>
  <si>
    <t>Initial data for project and emission calculation</t>
  </si>
  <si>
    <t xml:space="preserve">Tables in Section E of the PDD </t>
  </si>
  <si>
    <t xml:space="preserve">Tables in Section A.4.3.1 of the PDD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</si>
</sst>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center" wrapText="1"/>
    </xf>
    <xf numFmtId="0" fontId="47" fillId="34" borderId="12" xfId="0" applyFont="1" applyFill="1" applyBorder="1" applyAlignment="1">
      <alignment horizontal="center" wrapText="1"/>
    </xf>
    <xf numFmtId="0" fontId="47" fillId="34" borderId="13" xfId="0" applyFont="1" applyFill="1" applyBorder="1" applyAlignment="1">
      <alignment vertical="top" wrapText="1"/>
    </xf>
    <xf numFmtId="0" fontId="47" fillId="34" borderId="14" xfId="0" applyFont="1" applyFill="1" applyBorder="1" applyAlignment="1">
      <alignment horizontal="center" wrapText="1"/>
    </xf>
    <xf numFmtId="3" fontId="48" fillId="34" borderId="14" xfId="0" applyNumberFormat="1" applyFont="1" applyFill="1" applyBorder="1" applyAlignment="1">
      <alignment horizontal="center" wrapText="1"/>
    </xf>
    <xf numFmtId="3" fontId="48" fillId="34" borderId="14" xfId="0" applyNumberFormat="1" applyFont="1" applyFill="1" applyBorder="1" applyAlignment="1">
      <alignment horizontal="center" vertical="center" wrapText="1"/>
    </xf>
    <xf numFmtId="164" fontId="47" fillId="34" borderId="14" xfId="0" applyNumberFormat="1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wrapText="1"/>
    </xf>
    <xf numFmtId="0" fontId="47" fillId="35" borderId="16" xfId="0" applyFont="1" applyFill="1" applyBorder="1" applyAlignment="1">
      <alignment horizontal="center" wrapText="1"/>
    </xf>
    <xf numFmtId="0" fontId="47" fillId="35" borderId="17" xfId="0" applyFont="1" applyFill="1" applyBorder="1" applyAlignment="1">
      <alignment horizontal="center" wrapText="1"/>
    </xf>
    <xf numFmtId="0" fontId="47" fillId="35" borderId="11" xfId="0" applyFont="1" applyFill="1" applyBorder="1" applyAlignment="1">
      <alignment horizontal="center" wrapText="1"/>
    </xf>
    <xf numFmtId="3" fontId="47" fillId="35" borderId="17" xfId="0" applyNumberFormat="1" applyFont="1" applyFill="1" applyBorder="1" applyAlignment="1">
      <alignment horizontal="center" wrapText="1"/>
    </xf>
    <xf numFmtId="3" fontId="47" fillId="35" borderId="18" xfId="0" applyNumberFormat="1" applyFont="1" applyFill="1" applyBorder="1" applyAlignment="1">
      <alignment horizontal="center" wrapText="1"/>
    </xf>
    <xf numFmtId="3" fontId="47" fillId="35" borderId="11" xfId="0" applyNumberFormat="1" applyFont="1" applyFill="1" applyBorder="1" applyAlignment="1">
      <alignment horizontal="center" wrapText="1"/>
    </xf>
    <xf numFmtId="0" fontId="47" fillId="35" borderId="12" xfId="0" applyFont="1" applyFill="1" applyBorder="1" applyAlignment="1">
      <alignment horizontal="center" wrapText="1"/>
    </xf>
    <xf numFmtId="0" fontId="47" fillId="35" borderId="13" xfId="0" applyFont="1" applyFill="1" applyBorder="1" applyAlignment="1">
      <alignment horizontal="center" wrapText="1"/>
    </xf>
    <xf numFmtId="0" fontId="47" fillId="35" borderId="14" xfId="0" applyFont="1" applyFill="1" applyBorder="1" applyAlignment="1">
      <alignment horizontal="center" wrapText="1"/>
    </xf>
    <xf numFmtId="3" fontId="47" fillId="35" borderId="14" xfId="0" applyNumberFormat="1" applyFont="1" applyFill="1" applyBorder="1" applyAlignment="1">
      <alignment horizontal="center" wrapText="1"/>
    </xf>
    <xf numFmtId="1" fontId="47" fillId="34" borderId="14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left" vertical="center" wrapText="1"/>
    </xf>
    <xf numFmtId="16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167" fontId="3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3" fontId="45" fillId="0" borderId="20" xfId="0" applyNumberFormat="1" applyFont="1" applyFill="1" applyBorder="1" applyAlignment="1">
      <alignment horizontal="center" vertical="center" wrapText="1"/>
    </xf>
    <xf numFmtId="3" fontId="45" fillId="0" borderId="21" xfId="0" applyNumberFormat="1" applyFont="1" applyFill="1" applyBorder="1" applyAlignment="1">
      <alignment horizontal="center" vertical="center" wrapText="1"/>
    </xf>
    <xf numFmtId="3" fontId="45" fillId="0" borderId="22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7" fillId="35" borderId="23" xfId="0" applyFont="1" applyFill="1" applyBorder="1" applyAlignment="1">
      <alignment horizontal="center" wrapText="1"/>
    </xf>
    <xf numFmtId="0" fontId="47" fillId="35" borderId="18" xfId="0" applyFont="1" applyFill="1" applyBorder="1" applyAlignment="1">
      <alignment horizontal="center" wrapText="1"/>
    </xf>
    <xf numFmtId="3" fontId="47" fillId="0" borderId="20" xfId="0" applyNumberFormat="1" applyFont="1" applyFill="1" applyBorder="1" applyAlignment="1">
      <alignment horizontal="center" vertical="center" wrapText="1"/>
    </xf>
    <xf numFmtId="3" fontId="47" fillId="0" borderId="21" xfId="0" applyNumberFormat="1" applyFont="1" applyFill="1" applyBorder="1" applyAlignment="1">
      <alignment horizontal="center" vertical="center" wrapText="1"/>
    </xf>
    <xf numFmtId="3" fontId="47" fillId="0" borderId="2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53.7109375" style="0" bestFit="1" customWidth="1"/>
    <col min="2" max="2" width="12.421875" style="0" bestFit="1" customWidth="1"/>
    <col min="3" max="3" width="11.28125" style="0" bestFit="1" customWidth="1"/>
    <col min="5" max="5" width="56.00390625" style="0" bestFit="1" customWidth="1"/>
  </cols>
  <sheetData>
    <row r="1" ht="15">
      <c r="A1" s="1" t="s">
        <v>73</v>
      </c>
    </row>
    <row r="3" spans="1:3" ht="15">
      <c r="A3" s="1" t="s">
        <v>29</v>
      </c>
      <c r="B3" s="1"/>
      <c r="C3" s="2"/>
    </row>
    <row r="4" spans="1:5" ht="15">
      <c r="A4" s="3" t="s">
        <v>7</v>
      </c>
      <c r="B4" s="4" t="s">
        <v>9</v>
      </c>
      <c r="C4" s="4" t="s">
        <v>8</v>
      </c>
      <c r="E4" s="4" t="s">
        <v>65</v>
      </c>
    </row>
    <row r="5" spans="1:5" ht="15">
      <c r="A5" s="20" t="s">
        <v>32</v>
      </c>
      <c r="B5" s="6" t="s">
        <v>6</v>
      </c>
      <c r="C5" s="41">
        <v>409.31</v>
      </c>
      <c r="E5" s="44" t="s">
        <v>67</v>
      </c>
    </row>
    <row r="6" spans="1:5" ht="15">
      <c r="A6" s="8" t="s">
        <v>10</v>
      </c>
      <c r="B6" s="9" t="s">
        <v>2</v>
      </c>
      <c r="C6" s="10">
        <f>6900/8760</f>
        <v>0.7876712328767124</v>
      </c>
      <c r="E6" s="44" t="s">
        <v>66</v>
      </c>
    </row>
    <row r="7" spans="1:5" ht="15">
      <c r="A7" s="8" t="s">
        <v>13</v>
      </c>
      <c r="B7" s="9" t="s">
        <v>3</v>
      </c>
      <c r="C7" s="11">
        <f>C5*C6*8760</f>
        <v>2824239</v>
      </c>
      <c r="E7" s="44" t="s">
        <v>2</v>
      </c>
    </row>
    <row r="8" spans="1:5" ht="15">
      <c r="A8" s="42" t="s">
        <v>11</v>
      </c>
      <c r="B8" s="9" t="s">
        <v>5</v>
      </c>
      <c r="C8" s="43">
        <v>6.238</v>
      </c>
      <c r="E8" s="44" t="s">
        <v>67</v>
      </c>
    </row>
    <row r="9" spans="1:5" ht="15">
      <c r="A9" s="8" t="s">
        <v>1</v>
      </c>
      <c r="B9" s="9" t="s">
        <v>2</v>
      </c>
      <c r="C9" s="9" t="s">
        <v>0</v>
      </c>
      <c r="E9" s="44" t="s">
        <v>67</v>
      </c>
    </row>
    <row r="10" spans="1:5" ht="15">
      <c r="A10" s="8" t="s">
        <v>22</v>
      </c>
      <c r="B10" s="9" t="s">
        <v>16</v>
      </c>
      <c r="C10" s="10">
        <f>49231*0.73/1000</f>
        <v>35.938629999999996</v>
      </c>
      <c r="E10" s="44" t="s">
        <v>67</v>
      </c>
    </row>
    <row r="11" spans="1:5" ht="15">
      <c r="A11" s="61" t="s">
        <v>21</v>
      </c>
      <c r="B11" s="9" t="s">
        <v>12</v>
      </c>
      <c r="C11" s="11">
        <f>C7*C8</f>
        <v>17617602.882000003</v>
      </c>
      <c r="E11" s="44" t="s">
        <v>2</v>
      </c>
    </row>
    <row r="12" spans="1:5" ht="15">
      <c r="A12" s="61"/>
      <c r="B12" s="9" t="s">
        <v>15</v>
      </c>
      <c r="C12" s="7">
        <f>C11/C10</f>
        <v>490213.53574134584</v>
      </c>
      <c r="E12" s="44" t="s">
        <v>2</v>
      </c>
    </row>
    <row r="13" spans="1:5" ht="15">
      <c r="A13" s="60" t="s">
        <v>33</v>
      </c>
      <c r="B13" s="9" t="s">
        <v>4</v>
      </c>
      <c r="C13" s="10">
        <f>100*12.65/C5</f>
        <v>3.0905670518677772</v>
      </c>
      <c r="E13" s="44" t="s">
        <v>67</v>
      </c>
    </row>
    <row r="14" spans="1:5" ht="15">
      <c r="A14" s="60"/>
      <c r="B14" s="9" t="s">
        <v>3</v>
      </c>
      <c r="C14" s="11">
        <f>C7*C13/100</f>
        <v>87285</v>
      </c>
      <c r="E14" s="44" t="s">
        <v>2</v>
      </c>
    </row>
    <row r="15" spans="1:5" ht="15">
      <c r="A15" s="5" t="s">
        <v>14</v>
      </c>
      <c r="B15" s="6" t="s">
        <v>3</v>
      </c>
      <c r="C15" s="7">
        <f>C7-C14</f>
        <v>2736954</v>
      </c>
      <c r="E15" s="44" t="s">
        <v>2</v>
      </c>
    </row>
    <row r="17" spans="1:3" ht="15">
      <c r="A17" s="12" t="s">
        <v>28</v>
      </c>
      <c r="B17" s="13"/>
      <c r="C17" s="13"/>
    </row>
    <row r="18" spans="1:5" ht="15">
      <c r="A18" s="3" t="s">
        <v>7</v>
      </c>
      <c r="B18" s="4" t="s">
        <v>9</v>
      </c>
      <c r="C18" s="4" t="s">
        <v>8</v>
      </c>
      <c r="E18" s="4" t="s">
        <v>65</v>
      </c>
    </row>
    <row r="19" spans="1:5" ht="15">
      <c r="A19" s="14" t="s">
        <v>34</v>
      </c>
      <c r="B19" s="15" t="s">
        <v>17</v>
      </c>
      <c r="C19" s="59">
        <v>0.0561</v>
      </c>
      <c r="E19" s="44" t="s">
        <v>68</v>
      </c>
    </row>
    <row r="20" spans="1:5" ht="15">
      <c r="A20" s="14" t="s">
        <v>70</v>
      </c>
      <c r="B20" s="15" t="s">
        <v>18</v>
      </c>
      <c r="C20" s="16">
        <v>0.5404490364123251</v>
      </c>
      <c r="E20" s="58" t="s">
        <v>69</v>
      </c>
    </row>
  </sheetData>
  <sheetProtection/>
  <mergeCells count="2">
    <mergeCell ref="A13:A14"/>
    <mergeCell ref="A11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00390625" style="0" bestFit="1" customWidth="1"/>
    <col min="2" max="2" width="12.421875" style="0" customWidth="1"/>
    <col min="3" max="5" width="10.140625" style="0" bestFit="1" customWidth="1"/>
  </cols>
  <sheetData>
    <row r="2" ht="15">
      <c r="A2" s="1" t="s">
        <v>19</v>
      </c>
    </row>
    <row r="3" spans="1:5" ht="15">
      <c r="A3" s="3" t="s">
        <v>7</v>
      </c>
      <c r="B3" s="4" t="s">
        <v>9</v>
      </c>
      <c r="C3" s="4">
        <v>2010</v>
      </c>
      <c r="D3" s="4">
        <v>2011</v>
      </c>
      <c r="E3" s="4">
        <v>2012</v>
      </c>
    </row>
    <row r="4" spans="1:5" ht="15">
      <c r="A4" s="8" t="s">
        <v>14</v>
      </c>
      <c r="B4" s="9" t="s">
        <v>3</v>
      </c>
      <c r="C4" s="11">
        <f>'Default data'!C15*0.3</f>
        <v>821086.2</v>
      </c>
      <c r="D4" s="11">
        <f>'Default data'!C15</f>
        <v>2736954</v>
      </c>
      <c r="E4" s="11">
        <f>'Default data'!C15</f>
        <v>2736954</v>
      </c>
    </row>
    <row r="5" spans="1:5" ht="15">
      <c r="A5" s="8" t="s">
        <v>20</v>
      </c>
      <c r="B5" s="9" t="s">
        <v>15</v>
      </c>
      <c r="C5" s="11">
        <f>'Default data'!C12*0.3</f>
        <v>147064.06072240375</v>
      </c>
      <c r="D5" s="11">
        <f>'Default data'!C12</f>
        <v>490213.53574134584</v>
      </c>
      <c r="E5" s="11">
        <f>'Default data'!C12</f>
        <v>490213.53574134584</v>
      </c>
    </row>
    <row r="6" spans="1:5" ht="15">
      <c r="A6" s="8" t="s">
        <v>23</v>
      </c>
      <c r="B6" s="9" t="s">
        <v>16</v>
      </c>
      <c r="C6" s="10">
        <f>'Default data'!C10</f>
        <v>35.938629999999996</v>
      </c>
      <c r="D6" s="10">
        <f>'Default data'!C10</f>
        <v>35.938629999999996</v>
      </c>
      <c r="E6" s="10">
        <f>'Default data'!C10</f>
        <v>35.938629999999996</v>
      </c>
    </row>
    <row r="7" spans="1:5" ht="15">
      <c r="A7" s="14" t="s">
        <v>24</v>
      </c>
      <c r="B7" s="15" t="s">
        <v>17</v>
      </c>
      <c r="C7" s="16">
        <f>'Default data'!$C$19</f>
        <v>0.0561</v>
      </c>
      <c r="D7" s="16">
        <f>'Default data'!$C$19</f>
        <v>0.0561</v>
      </c>
      <c r="E7" s="16">
        <f>'Default data'!$C$19</f>
        <v>0.0561</v>
      </c>
    </row>
    <row r="8" spans="1:5" ht="15">
      <c r="A8" s="17" t="s">
        <v>19</v>
      </c>
      <c r="B8" s="18" t="s">
        <v>25</v>
      </c>
      <c r="C8" s="7">
        <f>C5*C6*C7</f>
        <v>296504.25650406006</v>
      </c>
      <c r="D8" s="7">
        <f>D5*D6*D7</f>
        <v>988347.5216802001</v>
      </c>
      <c r="E8" s="7">
        <f>E5*E6*E7</f>
        <v>988347.5216802001</v>
      </c>
    </row>
    <row r="9" spans="1:5" ht="15">
      <c r="A9" s="17" t="s">
        <v>30</v>
      </c>
      <c r="B9" s="18" t="s">
        <v>18</v>
      </c>
      <c r="C9" s="19">
        <f>C8/C4</f>
        <v>0.36111221514143105</v>
      </c>
      <c r="D9" s="19">
        <f>D8/D4</f>
        <v>0.361112215141431</v>
      </c>
      <c r="E9" s="19">
        <f>E8/E4</f>
        <v>0.361112215141431</v>
      </c>
    </row>
    <row r="10" spans="1:5" ht="15">
      <c r="A10" s="17" t="s">
        <v>55</v>
      </c>
      <c r="B10" s="18" t="s">
        <v>25</v>
      </c>
      <c r="C10" s="62">
        <f>SUM(C8:E8)</f>
        <v>2273199.2998644602</v>
      </c>
      <c r="D10" s="63"/>
      <c r="E10" s="64"/>
    </row>
    <row r="12" ht="15">
      <c r="A12" s="1" t="s">
        <v>26</v>
      </c>
    </row>
    <row r="13" spans="1:5" ht="15">
      <c r="A13" s="3" t="s">
        <v>7</v>
      </c>
      <c r="B13" s="4" t="s">
        <v>9</v>
      </c>
      <c r="C13" s="4">
        <v>2010</v>
      </c>
      <c r="D13" s="4">
        <v>2011</v>
      </c>
      <c r="E13" s="4">
        <v>2012</v>
      </c>
    </row>
    <row r="14" spans="1:5" ht="15">
      <c r="A14" s="8" t="s">
        <v>14</v>
      </c>
      <c r="B14" s="9" t="s">
        <v>3</v>
      </c>
      <c r="C14" s="11">
        <f>C4</f>
        <v>821086.2</v>
      </c>
      <c r="D14" s="11">
        <f>D4</f>
        <v>2736954</v>
      </c>
      <c r="E14" s="11">
        <f>E4</f>
        <v>2736954</v>
      </c>
    </row>
    <row r="15" spans="1:5" ht="15">
      <c r="A15" s="14" t="s">
        <v>70</v>
      </c>
      <c r="B15" s="15" t="s">
        <v>18</v>
      </c>
      <c r="C15" s="16">
        <f>'Default data'!$C$20</f>
        <v>0.5404490364123251</v>
      </c>
      <c r="D15" s="16">
        <f>'Default data'!$C$20</f>
        <v>0.5404490364123251</v>
      </c>
      <c r="E15" s="16">
        <f>'Default data'!$C$20</f>
        <v>0.5404490364123251</v>
      </c>
    </row>
    <row r="16" spans="1:5" ht="15">
      <c r="A16" s="17" t="s">
        <v>26</v>
      </c>
      <c r="B16" s="18" t="s">
        <v>25</v>
      </c>
      <c r="C16" s="7">
        <f>C14*C15</f>
        <v>443755.24560145766</v>
      </c>
      <c r="D16" s="7">
        <f>D14*D15</f>
        <v>1479184.152004859</v>
      </c>
      <c r="E16" s="7">
        <f>E14*E15</f>
        <v>1479184.152004859</v>
      </c>
    </row>
    <row r="18" spans="1:5" ht="15">
      <c r="A18" s="17" t="s">
        <v>27</v>
      </c>
      <c r="B18" s="18" t="s">
        <v>25</v>
      </c>
      <c r="C18" s="7">
        <f>C16-C8</f>
        <v>147250.9890973976</v>
      </c>
      <c r="D18" s="7">
        <f>D16-D8</f>
        <v>490836.6303246588</v>
      </c>
      <c r="E18" s="7">
        <f>E16-E8</f>
        <v>490836.6303246588</v>
      </c>
    </row>
    <row r="20" spans="1:5" ht="15">
      <c r="A20" s="17" t="s">
        <v>31</v>
      </c>
      <c r="B20" s="18" t="s">
        <v>25</v>
      </c>
      <c r="C20" s="62">
        <f>SUM(C18:E18)</f>
        <v>1128924.2497467152</v>
      </c>
      <c r="D20" s="63"/>
      <c r="E20" s="64"/>
    </row>
  </sheetData>
  <sheetProtection/>
  <mergeCells count="2">
    <mergeCell ref="C20:E20"/>
    <mergeCell ref="C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1.57421875" style="0" customWidth="1"/>
    <col min="2" max="2" width="32.140625" style="0" customWidth="1"/>
  </cols>
  <sheetData>
    <row r="1" ht="15">
      <c r="A1" s="1" t="s">
        <v>75</v>
      </c>
    </row>
    <row r="2" ht="15.75" thickBot="1"/>
    <row r="3" spans="1:2" ht="15.75" thickBot="1">
      <c r="A3" s="21"/>
      <c r="B3" s="22" t="s">
        <v>35</v>
      </c>
    </row>
    <row r="4" spans="1:2" ht="26.25" thickBot="1">
      <c r="A4" s="23" t="s">
        <v>36</v>
      </c>
      <c r="B4" s="27">
        <v>2.3</v>
      </c>
    </row>
    <row r="5" spans="1:2" ht="27.75" thickBot="1">
      <c r="A5" s="28" t="s">
        <v>37</v>
      </c>
      <c r="B5" s="24" t="s">
        <v>38</v>
      </c>
    </row>
    <row r="6" spans="1:2" ht="15.75" thickBot="1">
      <c r="A6" s="23" t="s">
        <v>39</v>
      </c>
      <c r="B6" s="25">
        <f>'ER Calculation'!C18</f>
        <v>147250.9890973976</v>
      </c>
    </row>
    <row r="7" spans="1:2" ht="15.75" thickBot="1">
      <c r="A7" s="23" t="s">
        <v>40</v>
      </c>
      <c r="B7" s="25">
        <f>'ER Calculation'!D18</f>
        <v>490836.6303246588</v>
      </c>
    </row>
    <row r="8" spans="1:2" ht="15.75" thickBot="1">
      <c r="A8" s="23" t="s">
        <v>41</v>
      </c>
      <c r="B8" s="25">
        <f>'ER Calculation'!E18</f>
        <v>490836.6303246588</v>
      </c>
    </row>
    <row r="9" spans="1:2" ht="40.5" thickBot="1">
      <c r="A9" s="23" t="s">
        <v>42</v>
      </c>
      <c r="B9" s="26">
        <f>SUM(B6:B8)</f>
        <v>1128924.2497467152</v>
      </c>
    </row>
    <row r="10" spans="1:2" ht="53.25" thickBot="1">
      <c r="A10" s="23" t="s">
        <v>43</v>
      </c>
      <c r="B10" s="26">
        <f>B9/B4</f>
        <v>490836.6303246588</v>
      </c>
    </row>
    <row r="12" ht="15.75" thickBot="1"/>
    <row r="13" spans="1:2" ht="15.75" thickBot="1">
      <c r="A13" s="21"/>
      <c r="B13" s="22" t="s">
        <v>35</v>
      </c>
    </row>
    <row r="14" spans="1:2" ht="26.25" thickBot="1">
      <c r="A14" s="23" t="s">
        <v>44</v>
      </c>
      <c r="B14" s="40">
        <v>8</v>
      </c>
    </row>
    <row r="15" spans="1:2" ht="27.75" thickBot="1">
      <c r="A15" s="28" t="s">
        <v>37</v>
      </c>
      <c r="B15" s="24" t="s">
        <v>38</v>
      </c>
    </row>
    <row r="16" spans="1:2" ht="15.75" thickBot="1">
      <c r="A16" s="23" t="s">
        <v>45</v>
      </c>
      <c r="B16" s="25">
        <f>$B$8</f>
        <v>490836.6303246588</v>
      </c>
    </row>
    <row r="17" spans="1:2" ht="15.75" thickBot="1">
      <c r="A17" s="23" t="s">
        <v>46</v>
      </c>
      <c r="B17" s="25">
        <f aca="true" t="shared" si="0" ref="B17:B22">$B$8</f>
        <v>490836.6303246588</v>
      </c>
    </row>
    <row r="18" spans="1:2" ht="15.75" thickBot="1">
      <c r="A18" s="23" t="s">
        <v>47</v>
      </c>
      <c r="B18" s="25">
        <f t="shared" si="0"/>
        <v>490836.6303246588</v>
      </c>
    </row>
    <row r="19" spans="1:2" ht="15.75" thickBot="1">
      <c r="A19" s="23" t="s">
        <v>48</v>
      </c>
      <c r="B19" s="25">
        <f t="shared" si="0"/>
        <v>490836.6303246588</v>
      </c>
    </row>
    <row r="20" spans="1:2" ht="15.75" thickBot="1">
      <c r="A20" s="23" t="s">
        <v>49</v>
      </c>
      <c r="B20" s="25">
        <f t="shared" si="0"/>
        <v>490836.6303246588</v>
      </c>
    </row>
    <row r="21" spans="1:2" ht="15.75" thickBot="1">
      <c r="A21" s="23" t="s">
        <v>50</v>
      </c>
      <c r="B21" s="25">
        <f t="shared" si="0"/>
        <v>490836.6303246588</v>
      </c>
    </row>
    <row r="22" spans="1:2" ht="15.75" thickBot="1">
      <c r="A22" s="23" t="s">
        <v>51</v>
      </c>
      <c r="B22" s="25">
        <f t="shared" si="0"/>
        <v>490836.6303246588</v>
      </c>
    </row>
    <row r="23" spans="1:2" ht="15.75" thickBot="1">
      <c r="A23" s="23" t="s">
        <v>52</v>
      </c>
      <c r="B23" s="25">
        <f>B8</f>
        <v>490836.6303246588</v>
      </c>
    </row>
    <row r="24" spans="1:2" ht="40.5" thickBot="1">
      <c r="A24" s="23" t="s">
        <v>53</v>
      </c>
      <c r="B24" s="26">
        <f>SUM(B16:B23)</f>
        <v>3926693.042597271</v>
      </c>
    </row>
    <row r="25" spans="1:2" ht="53.25" thickBot="1">
      <c r="A25" s="23" t="s">
        <v>54</v>
      </c>
      <c r="B25" s="26">
        <f>B24/B14</f>
        <v>490836.6303246589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0.140625" style="47" bestFit="1" customWidth="1"/>
    <col min="2" max="2" width="14.140625" style="47" customWidth="1"/>
    <col min="3" max="3" width="10.140625" style="47" bestFit="1" customWidth="1"/>
    <col min="4" max="4" width="16.28125" style="47" bestFit="1" customWidth="1"/>
    <col min="5" max="13" width="10.140625" style="47" bestFit="1" customWidth="1"/>
    <col min="14" max="16384" width="9.140625" style="47" customWidth="1"/>
  </cols>
  <sheetData>
    <row r="1" ht="14.25">
      <c r="A1" s="1" t="s">
        <v>74</v>
      </c>
    </row>
    <row r="3" spans="1:5" ht="12.75">
      <c r="A3" s="45" t="s">
        <v>7</v>
      </c>
      <c r="B3" s="46" t="s">
        <v>9</v>
      </c>
      <c r="C3" s="46">
        <v>2010</v>
      </c>
      <c r="D3" s="46">
        <v>2011</v>
      </c>
      <c r="E3" s="46">
        <v>2012</v>
      </c>
    </row>
    <row r="4" spans="1:5" ht="12.75">
      <c r="A4" s="48" t="s">
        <v>14</v>
      </c>
      <c r="B4" s="49" t="s">
        <v>3</v>
      </c>
      <c r="C4" s="50">
        <f>'ER Calculation'!C4</f>
        <v>821086.2</v>
      </c>
      <c r="D4" s="50">
        <f>'ER Calculation'!D4</f>
        <v>2736954</v>
      </c>
      <c r="E4" s="50">
        <f>'ER Calculation'!E4</f>
        <v>2736954</v>
      </c>
    </row>
    <row r="5" spans="1:5" ht="12.75">
      <c r="A5" s="48" t="s">
        <v>20</v>
      </c>
      <c r="B5" s="49" t="s">
        <v>15</v>
      </c>
      <c r="C5" s="50">
        <f>'ER Calculation'!C5</f>
        <v>147064.06072240375</v>
      </c>
      <c r="D5" s="50">
        <f>'ER Calculation'!D5</f>
        <v>490213.53574134584</v>
      </c>
      <c r="E5" s="50">
        <f>'ER Calculation'!E5</f>
        <v>490213.53574134584</v>
      </c>
    </row>
    <row r="6" spans="1:5" ht="12.75">
      <c r="A6" s="48" t="s">
        <v>23</v>
      </c>
      <c r="B6" s="49" t="s">
        <v>16</v>
      </c>
      <c r="C6" s="51">
        <f>'ER Calculation'!C6</f>
        <v>35.938629999999996</v>
      </c>
      <c r="D6" s="51">
        <f>'ER Calculation'!D6</f>
        <v>35.938629999999996</v>
      </c>
      <c r="E6" s="51">
        <f>'ER Calculation'!E6</f>
        <v>35.938629999999996</v>
      </c>
    </row>
    <row r="7" spans="1:5" ht="12.75">
      <c r="A7" s="52" t="s">
        <v>24</v>
      </c>
      <c r="B7" s="53" t="s">
        <v>17</v>
      </c>
      <c r="C7" s="54">
        <v>0.0561</v>
      </c>
      <c r="D7" s="54">
        <v>0.0561</v>
      </c>
      <c r="E7" s="54">
        <v>0.0561</v>
      </c>
    </row>
    <row r="8" spans="1:5" ht="12.75">
      <c r="A8" s="52" t="s">
        <v>19</v>
      </c>
      <c r="B8" s="53" t="s">
        <v>25</v>
      </c>
      <c r="C8" s="50">
        <f>C5*C6*C7</f>
        <v>296504.25650406006</v>
      </c>
      <c r="D8" s="50">
        <f>D5*D6*D7</f>
        <v>988347.5216802001</v>
      </c>
      <c r="E8" s="50">
        <f>E5*E6*E7</f>
        <v>988347.5216802001</v>
      </c>
    </row>
    <row r="9" spans="1:5" ht="12.75">
      <c r="A9" s="52" t="s">
        <v>71</v>
      </c>
      <c r="B9" s="53" t="s">
        <v>25</v>
      </c>
      <c r="C9" s="68">
        <f>SUM(C8:M8)</f>
        <v>2273199.2998644602</v>
      </c>
      <c r="D9" s="69"/>
      <c r="E9" s="70"/>
    </row>
    <row r="10" spans="1:13" ht="12.75">
      <c r="A10" s="55"/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12.75">
      <c r="A11" s="45" t="s">
        <v>7</v>
      </c>
      <c r="B11" s="46" t="s">
        <v>9</v>
      </c>
      <c r="C11" s="46">
        <f>E3+1</f>
        <v>2013</v>
      </c>
      <c r="D11" s="46">
        <f aca="true" t="shared" si="0" ref="D11:J11">C11+1</f>
        <v>2014</v>
      </c>
      <c r="E11" s="46">
        <f t="shared" si="0"/>
        <v>2015</v>
      </c>
      <c r="F11" s="46">
        <f t="shared" si="0"/>
        <v>2016</v>
      </c>
      <c r="G11" s="46">
        <f t="shared" si="0"/>
        <v>2017</v>
      </c>
      <c r="H11" s="46">
        <f t="shared" si="0"/>
        <v>2018</v>
      </c>
      <c r="I11" s="46">
        <f t="shared" si="0"/>
        <v>2019</v>
      </c>
      <c r="J11" s="46">
        <f t="shared" si="0"/>
        <v>2020</v>
      </c>
      <c r="K11" s="57"/>
      <c r="L11" s="57"/>
      <c r="M11" s="57"/>
    </row>
    <row r="12" spans="1:13" ht="12.75">
      <c r="A12" s="48" t="s">
        <v>14</v>
      </c>
      <c r="B12" s="49" t="s">
        <v>3</v>
      </c>
      <c r="C12" s="50">
        <f>E4</f>
        <v>2736954</v>
      </c>
      <c r="D12" s="50">
        <f>C12</f>
        <v>2736954</v>
      </c>
      <c r="E12" s="50">
        <f aca="true" t="shared" si="1" ref="E12:J12">D12</f>
        <v>2736954</v>
      </c>
      <c r="F12" s="50">
        <f t="shared" si="1"/>
        <v>2736954</v>
      </c>
      <c r="G12" s="50">
        <f t="shared" si="1"/>
        <v>2736954</v>
      </c>
      <c r="H12" s="50">
        <f t="shared" si="1"/>
        <v>2736954</v>
      </c>
      <c r="I12" s="50">
        <f t="shared" si="1"/>
        <v>2736954</v>
      </c>
      <c r="J12" s="50">
        <f t="shared" si="1"/>
        <v>2736954</v>
      </c>
      <c r="K12" s="57"/>
      <c r="L12" s="57"/>
      <c r="M12" s="57"/>
    </row>
    <row r="13" spans="1:13" ht="12.75">
      <c r="A13" s="48" t="s">
        <v>20</v>
      </c>
      <c r="B13" s="49" t="s">
        <v>15</v>
      </c>
      <c r="C13" s="50">
        <f>E5</f>
        <v>490213.53574134584</v>
      </c>
      <c r="D13" s="50">
        <f aca="true" t="shared" si="2" ref="D13:J14">C13</f>
        <v>490213.53574134584</v>
      </c>
      <c r="E13" s="50">
        <f t="shared" si="2"/>
        <v>490213.53574134584</v>
      </c>
      <c r="F13" s="50">
        <f t="shared" si="2"/>
        <v>490213.53574134584</v>
      </c>
      <c r="G13" s="50">
        <f t="shared" si="2"/>
        <v>490213.53574134584</v>
      </c>
      <c r="H13" s="50">
        <f t="shared" si="2"/>
        <v>490213.53574134584</v>
      </c>
      <c r="I13" s="50">
        <f t="shared" si="2"/>
        <v>490213.53574134584</v>
      </c>
      <c r="J13" s="50">
        <f t="shared" si="2"/>
        <v>490213.53574134584</v>
      </c>
      <c r="K13" s="57"/>
      <c r="L13" s="57"/>
      <c r="M13" s="57"/>
    </row>
    <row r="14" spans="1:13" ht="12.75">
      <c r="A14" s="48" t="s">
        <v>23</v>
      </c>
      <c r="B14" s="49" t="s">
        <v>16</v>
      </c>
      <c r="C14" s="51">
        <f>E6</f>
        <v>35.938629999999996</v>
      </c>
      <c r="D14" s="51">
        <f t="shared" si="2"/>
        <v>35.938629999999996</v>
      </c>
      <c r="E14" s="51">
        <f t="shared" si="2"/>
        <v>35.938629999999996</v>
      </c>
      <c r="F14" s="51">
        <f t="shared" si="2"/>
        <v>35.938629999999996</v>
      </c>
      <c r="G14" s="51">
        <f t="shared" si="2"/>
        <v>35.938629999999996</v>
      </c>
      <c r="H14" s="51">
        <f t="shared" si="2"/>
        <v>35.938629999999996</v>
      </c>
      <c r="I14" s="51">
        <f t="shared" si="2"/>
        <v>35.938629999999996</v>
      </c>
      <c r="J14" s="51">
        <f t="shared" si="2"/>
        <v>35.938629999999996</v>
      </c>
      <c r="K14" s="57"/>
      <c r="L14" s="57"/>
      <c r="M14" s="57"/>
    </row>
    <row r="15" spans="1:13" ht="12.75">
      <c r="A15" s="52" t="s">
        <v>24</v>
      </c>
      <c r="B15" s="53" t="s">
        <v>17</v>
      </c>
      <c r="C15" s="54">
        <v>0.0561</v>
      </c>
      <c r="D15" s="54">
        <v>0.0561</v>
      </c>
      <c r="E15" s="54">
        <v>0.0561</v>
      </c>
      <c r="F15" s="54">
        <v>0.0561</v>
      </c>
      <c r="G15" s="54">
        <v>0.0561</v>
      </c>
      <c r="H15" s="54">
        <v>0.0561</v>
      </c>
      <c r="I15" s="54">
        <v>0.0561</v>
      </c>
      <c r="J15" s="54">
        <v>0.0561</v>
      </c>
      <c r="K15" s="57"/>
      <c r="L15" s="57"/>
      <c r="M15" s="57"/>
    </row>
    <row r="16" spans="1:13" ht="12.75">
      <c r="A16" s="52" t="s">
        <v>19</v>
      </c>
      <c r="B16" s="53" t="s">
        <v>25</v>
      </c>
      <c r="C16" s="50">
        <f aca="true" t="shared" si="3" ref="C16:J16">C13*C14*C15</f>
        <v>988347.5216802001</v>
      </c>
      <c r="D16" s="50">
        <f t="shared" si="3"/>
        <v>988347.5216802001</v>
      </c>
      <c r="E16" s="50">
        <f t="shared" si="3"/>
        <v>988347.5216802001</v>
      </c>
      <c r="F16" s="50">
        <f t="shared" si="3"/>
        <v>988347.5216802001</v>
      </c>
      <c r="G16" s="50">
        <f t="shared" si="3"/>
        <v>988347.5216802001</v>
      </c>
      <c r="H16" s="50">
        <f t="shared" si="3"/>
        <v>988347.5216802001</v>
      </c>
      <c r="I16" s="50">
        <f t="shared" si="3"/>
        <v>988347.5216802001</v>
      </c>
      <c r="J16" s="50">
        <f t="shared" si="3"/>
        <v>988347.5216802001</v>
      </c>
      <c r="K16" s="57"/>
      <c r="L16" s="57"/>
      <c r="M16" s="57"/>
    </row>
    <row r="17" spans="1:13" ht="12.75">
      <c r="A17" s="52" t="s">
        <v>72</v>
      </c>
      <c r="B17" s="53" t="s">
        <v>25</v>
      </c>
      <c r="C17" s="65">
        <f>SUM(C16:J16)</f>
        <v>7906780.173441602</v>
      </c>
      <c r="D17" s="65"/>
      <c r="E17" s="65"/>
      <c r="F17" s="65"/>
      <c r="G17" s="65"/>
      <c r="H17" s="65"/>
      <c r="I17" s="65"/>
      <c r="J17" s="65"/>
      <c r="K17" s="57"/>
      <c r="L17" s="57"/>
      <c r="M17" s="57"/>
    </row>
    <row r="18" spans="1:13" ht="12.75">
      <c r="A18" s="55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20" spans="1:5" ht="12.75">
      <c r="A20" s="45" t="s">
        <v>7</v>
      </c>
      <c r="B20" s="46" t="s">
        <v>9</v>
      </c>
      <c r="C20" s="46">
        <v>2010</v>
      </c>
      <c r="D20" s="46">
        <v>2011</v>
      </c>
      <c r="E20" s="46">
        <v>2012</v>
      </c>
    </row>
    <row r="21" spans="1:5" ht="12.75">
      <c r="A21" s="48" t="s">
        <v>14</v>
      </c>
      <c r="B21" s="49" t="s">
        <v>3</v>
      </c>
      <c r="C21" s="50">
        <f>C4</f>
        <v>821086.2</v>
      </c>
      <c r="D21" s="50">
        <f>D4</f>
        <v>2736954</v>
      </c>
      <c r="E21" s="50">
        <f>E4</f>
        <v>2736954</v>
      </c>
    </row>
    <row r="22" spans="1:5" ht="12.75">
      <c r="A22" s="52" t="s">
        <v>70</v>
      </c>
      <c r="B22" s="53" t="s">
        <v>18</v>
      </c>
      <c r="C22" s="54">
        <f>'Default data'!$C$20</f>
        <v>0.5404490364123251</v>
      </c>
      <c r="D22" s="54">
        <f>'Default data'!$C$20</f>
        <v>0.5404490364123251</v>
      </c>
      <c r="E22" s="54">
        <f>'Default data'!$C$20</f>
        <v>0.5404490364123251</v>
      </c>
    </row>
    <row r="23" spans="1:5" ht="12.75">
      <c r="A23" s="52" t="s">
        <v>26</v>
      </c>
      <c r="B23" s="53" t="s">
        <v>25</v>
      </c>
      <c r="C23" s="50">
        <f>C21*C22</f>
        <v>443755.24560145766</v>
      </c>
      <c r="D23" s="50">
        <f>D21*D22</f>
        <v>1479184.152004859</v>
      </c>
      <c r="E23" s="50">
        <f>E21*E22</f>
        <v>1479184.152004859</v>
      </c>
    </row>
    <row r="24" spans="1:5" ht="12.75">
      <c r="A24" s="52" t="s">
        <v>71</v>
      </c>
      <c r="B24" s="53" t="s">
        <v>25</v>
      </c>
      <c r="C24" s="68">
        <f>SUM(C23:M23)</f>
        <v>3402123.5496111754</v>
      </c>
      <c r="D24" s="69"/>
      <c r="E24" s="70"/>
    </row>
    <row r="25" spans="1:13" ht="12.75">
      <c r="A25" s="55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12.75">
      <c r="A26" s="45" t="s">
        <v>7</v>
      </c>
      <c r="B26" s="46" t="s">
        <v>9</v>
      </c>
      <c r="C26" s="46">
        <f>E20+1</f>
        <v>2013</v>
      </c>
      <c r="D26" s="46">
        <f aca="true" t="shared" si="4" ref="D26:J26">C26+1</f>
        <v>2014</v>
      </c>
      <c r="E26" s="46">
        <f t="shared" si="4"/>
        <v>2015</v>
      </c>
      <c r="F26" s="46">
        <f t="shared" si="4"/>
        <v>2016</v>
      </c>
      <c r="G26" s="46">
        <f t="shared" si="4"/>
        <v>2017</v>
      </c>
      <c r="H26" s="46">
        <f t="shared" si="4"/>
        <v>2018</v>
      </c>
      <c r="I26" s="46">
        <f t="shared" si="4"/>
        <v>2019</v>
      </c>
      <c r="J26" s="46">
        <f t="shared" si="4"/>
        <v>2020</v>
      </c>
      <c r="K26" s="57"/>
      <c r="L26" s="57"/>
      <c r="M26" s="57"/>
    </row>
    <row r="27" spans="1:13" ht="12.75">
      <c r="A27" s="48" t="s">
        <v>14</v>
      </c>
      <c r="B27" s="49" t="s">
        <v>3</v>
      </c>
      <c r="C27" s="50">
        <f aca="true" t="shared" si="5" ref="C27:J27">C12</f>
        <v>2736954</v>
      </c>
      <c r="D27" s="50">
        <f t="shared" si="5"/>
        <v>2736954</v>
      </c>
      <c r="E27" s="50">
        <f t="shared" si="5"/>
        <v>2736954</v>
      </c>
      <c r="F27" s="50">
        <f t="shared" si="5"/>
        <v>2736954</v>
      </c>
      <c r="G27" s="50">
        <f t="shared" si="5"/>
        <v>2736954</v>
      </c>
      <c r="H27" s="50">
        <f t="shared" si="5"/>
        <v>2736954</v>
      </c>
      <c r="I27" s="50">
        <f t="shared" si="5"/>
        <v>2736954</v>
      </c>
      <c r="J27" s="50">
        <f t="shared" si="5"/>
        <v>2736954</v>
      </c>
      <c r="K27" s="57"/>
      <c r="L27" s="57"/>
      <c r="M27" s="57"/>
    </row>
    <row r="28" spans="1:13" ht="12.75">
      <c r="A28" s="52" t="s">
        <v>70</v>
      </c>
      <c r="B28" s="53" t="s">
        <v>18</v>
      </c>
      <c r="C28" s="54">
        <f>'Default data'!$C$20</f>
        <v>0.5404490364123251</v>
      </c>
      <c r="D28" s="54">
        <f>'Default data'!$C$20</f>
        <v>0.5404490364123251</v>
      </c>
      <c r="E28" s="54">
        <f>'Default data'!$C$20</f>
        <v>0.5404490364123251</v>
      </c>
      <c r="F28" s="54">
        <f>'Default data'!$C$20</f>
        <v>0.5404490364123251</v>
      </c>
      <c r="G28" s="54">
        <f>'Default data'!$C$20</f>
        <v>0.5404490364123251</v>
      </c>
      <c r="H28" s="54">
        <f>'Default data'!$C$20</f>
        <v>0.5404490364123251</v>
      </c>
      <c r="I28" s="54">
        <f>'Default data'!$C$20</f>
        <v>0.5404490364123251</v>
      </c>
      <c r="J28" s="54">
        <f>'Default data'!$C$20</f>
        <v>0.5404490364123251</v>
      </c>
      <c r="K28" s="57"/>
      <c r="L28" s="57"/>
      <c r="M28" s="57"/>
    </row>
    <row r="29" spans="1:13" ht="12.75">
      <c r="A29" s="52" t="s">
        <v>26</v>
      </c>
      <c r="B29" s="53" t="s">
        <v>25</v>
      </c>
      <c r="C29" s="50">
        <f aca="true" t="shared" si="6" ref="C29:J29">C27*C28</f>
        <v>1479184.152004859</v>
      </c>
      <c r="D29" s="50">
        <f t="shared" si="6"/>
        <v>1479184.152004859</v>
      </c>
      <c r="E29" s="50">
        <f t="shared" si="6"/>
        <v>1479184.152004859</v>
      </c>
      <c r="F29" s="50">
        <f t="shared" si="6"/>
        <v>1479184.152004859</v>
      </c>
      <c r="G29" s="50">
        <f t="shared" si="6"/>
        <v>1479184.152004859</v>
      </c>
      <c r="H29" s="50">
        <f t="shared" si="6"/>
        <v>1479184.152004859</v>
      </c>
      <c r="I29" s="50">
        <f t="shared" si="6"/>
        <v>1479184.152004859</v>
      </c>
      <c r="J29" s="50">
        <f t="shared" si="6"/>
        <v>1479184.152004859</v>
      </c>
      <c r="K29" s="57"/>
      <c r="L29" s="57"/>
      <c r="M29" s="57"/>
    </row>
    <row r="30" spans="1:13" ht="12.75">
      <c r="A30" s="52" t="s">
        <v>72</v>
      </c>
      <c r="B30" s="53" t="s">
        <v>25</v>
      </c>
      <c r="C30" s="65">
        <f>SUM(C29:J29)</f>
        <v>11833473.21603887</v>
      </c>
      <c r="D30" s="65"/>
      <c r="E30" s="65"/>
      <c r="F30" s="65"/>
      <c r="G30" s="65"/>
      <c r="H30" s="65"/>
      <c r="I30" s="65"/>
      <c r="J30" s="65"/>
      <c r="K30" s="57"/>
      <c r="L30" s="57"/>
      <c r="M30" s="57"/>
    </row>
    <row r="31" spans="1:13" ht="12.75">
      <c r="A31" s="55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 ht="12.75">
      <c r="A32" s="55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5" ht="12.75">
      <c r="A33" s="45" t="s">
        <v>7</v>
      </c>
      <c r="B33" s="46" t="s">
        <v>9</v>
      </c>
      <c r="C33" s="46">
        <v>2010</v>
      </c>
      <c r="D33" s="46">
        <v>2011</v>
      </c>
      <c r="E33" s="46">
        <v>2012</v>
      </c>
    </row>
    <row r="34" spans="1:5" ht="12.75">
      <c r="A34" s="52" t="s">
        <v>27</v>
      </c>
      <c r="B34" s="53" t="s">
        <v>25</v>
      </c>
      <c r="C34" s="50">
        <f>C23-C8</f>
        <v>147250.9890973976</v>
      </c>
      <c r="D34" s="50">
        <f>D23-D8</f>
        <v>490836.6303246588</v>
      </c>
      <c r="E34" s="50">
        <f>E23-E8</f>
        <v>490836.6303246588</v>
      </c>
    </row>
    <row r="35" spans="1:5" ht="12.75">
      <c r="A35" s="52" t="s">
        <v>71</v>
      </c>
      <c r="B35" s="53" t="s">
        <v>25</v>
      </c>
      <c r="C35" s="68">
        <f>SUM(C34:E34)</f>
        <v>1128924.2497467152</v>
      </c>
      <c r="D35" s="69"/>
      <c r="E35" s="70"/>
    </row>
    <row r="37" spans="1:10" ht="12.75">
      <c r="A37" s="45" t="s">
        <v>7</v>
      </c>
      <c r="B37" s="46" t="s">
        <v>9</v>
      </c>
      <c r="C37" s="46">
        <f>E33+1</f>
        <v>2013</v>
      </c>
      <c r="D37" s="46">
        <f aca="true" t="shared" si="7" ref="D37:J37">C37+1</f>
        <v>2014</v>
      </c>
      <c r="E37" s="46">
        <f t="shared" si="7"/>
        <v>2015</v>
      </c>
      <c r="F37" s="46">
        <f t="shared" si="7"/>
        <v>2016</v>
      </c>
      <c r="G37" s="46">
        <f t="shared" si="7"/>
        <v>2017</v>
      </c>
      <c r="H37" s="46">
        <f t="shared" si="7"/>
        <v>2018</v>
      </c>
      <c r="I37" s="46">
        <f t="shared" si="7"/>
        <v>2019</v>
      </c>
      <c r="J37" s="46">
        <f t="shared" si="7"/>
        <v>2020</v>
      </c>
    </row>
    <row r="38" spans="1:10" ht="12.75">
      <c r="A38" s="52" t="s">
        <v>27</v>
      </c>
      <c r="B38" s="53" t="s">
        <v>25</v>
      </c>
      <c r="C38" s="50">
        <f aca="true" t="shared" si="8" ref="C38:J38">C29-C16</f>
        <v>490836.6303246588</v>
      </c>
      <c r="D38" s="50">
        <f t="shared" si="8"/>
        <v>490836.6303246588</v>
      </c>
      <c r="E38" s="50">
        <f t="shared" si="8"/>
        <v>490836.6303246588</v>
      </c>
      <c r="F38" s="50">
        <f t="shared" si="8"/>
        <v>490836.6303246588</v>
      </c>
      <c r="G38" s="50">
        <f t="shared" si="8"/>
        <v>490836.6303246588</v>
      </c>
      <c r="H38" s="50">
        <f t="shared" si="8"/>
        <v>490836.6303246588</v>
      </c>
      <c r="I38" s="50">
        <f t="shared" si="8"/>
        <v>490836.6303246588</v>
      </c>
      <c r="J38" s="50">
        <f t="shared" si="8"/>
        <v>490836.6303246588</v>
      </c>
    </row>
    <row r="39" spans="1:10" ht="12.75">
      <c r="A39" s="52" t="s">
        <v>72</v>
      </c>
      <c r="B39" s="53" t="s">
        <v>25</v>
      </c>
      <c r="C39" s="65">
        <f>SUM(C38:J38)</f>
        <v>3926693.042597271</v>
      </c>
      <c r="D39" s="65"/>
      <c r="E39" s="65"/>
      <c r="F39" s="65"/>
      <c r="G39" s="65"/>
      <c r="H39" s="65"/>
      <c r="I39" s="65"/>
      <c r="J39" s="65"/>
    </row>
    <row r="41" ht="13.5" thickBot="1"/>
    <row r="42" spans="1:5" ht="38.25">
      <c r="A42" s="66" t="s">
        <v>37</v>
      </c>
      <c r="B42" s="29" t="s">
        <v>56</v>
      </c>
      <c r="C42" s="66" t="s">
        <v>57</v>
      </c>
      <c r="D42" s="29" t="s">
        <v>58</v>
      </c>
      <c r="E42" s="66" t="s">
        <v>59</v>
      </c>
    </row>
    <row r="43" spans="1:5" ht="27.75" thickBot="1">
      <c r="A43" s="67"/>
      <c r="B43" s="30" t="s">
        <v>60</v>
      </c>
      <c r="C43" s="67"/>
      <c r="D43" s="30" t="s">
        <v>60</v>
      </c>
      <c r="E43" s="67"/>
    </row>
    <row r="44" spans="1:5" ht="13.5" thickBot="1">
      <c r="A44" s="31" t="s">
        <v>39</v>
      </c>
      <c r="B44" s="33">
        <f>C8</f>
        <v>296504.25650406006</v>
      </c>
      <c r="C44" s="31">
        <v>0</v>
      </c>
      <c r="D44" s="33">
        <f>C23</f>
        <v>443755.24560145766</v>
      </c>
      <c r="E44" s="34">
        <f>D44-B44-C44</f>
        <v>147250.9890973976</v>
      </c>
    </row>
    <row r="45" spans="1:5" ht="13.5" thickBot="1">
      <c r="A45" s="31" t="s">
        <v>40</v>
      </c>
      <c r="B45" s="33">
        <f>D8</f>
        <v>988347.5216802001</v>
      </c>
      <c r="C45" s="31">
        <v>0</v>
      </c>
      <c r="D45" s="33">
        <f>D23</f>
        <v>1479184.152004859</v>
      </c>
      <c r="E45" s="34">
        <f>D45-B45-C45</f>
        <v>490836.6303246588</v>
      </c>
    </row>
    <row r="46" spans="1:5" ht="13.5" thickBot="1">
      <c r="A46" s="31" t="s">
        <v>41</v>
      </c>
      <c r="B46" s="33">
        <f>E8</f>
        <v>988347.5216802001</v>
      </c>
      <c r="C46" s="31">
        <v>0</v>
      </c>
      <c r="D46" s="33">
        <f>E23</f>
        <v>1479184.152004859</v>
      </c>
      <c r="E46" s="34">
        <f>D46-B46-C46</f>
        <v>490836.6303246588</v>
      </c>
    </row>
    <row r="47" spans="1:5" ht="15" thickBot="1">
      <c r="A47" s="31" t="s">
        <v>61</v>
      </c>
      <c r="B47" s="33">
        <f>SUM(B44:B46)</f>
        <v>2273199.2998644602</v>
      </c>
      <c r="C47" s="31">
        <v>0</v>
      </c>
      <c r="D47" s="33">
        <f>SUM(D44:D46)</f>
        <v>3402123.5496111754</v>
      </c>
      <c r="E47" s="35">
        <f>SUM(E44:E46)</f>
        <v>1128924.2497467152</v>
      </c>
    </row>
    <row r="49" ht="13.5" thickBot="1"/>
    <row r="50" spans="1:5" ht="79.5" thickBot="1">
      <c r="A50" s="32" t="s">
        <v>37</v>
      </c>
      <c r="B50" s="36" t="s">
        <v>62</v>
      </c>
      <c r="C50" s="36" t="s">
        <v>57</v>
      </c>
      <c r="D50" s="36" t="s">
        <v>63</v>
      </c>
      <c r="E50" s="36" t="s">
        <v>64</v>
      </c>
    </row>
    <row r="51" spans="1:5" ht="13.5" thickBot="1">
      <c r="A51" s="37" t="s">
        <v>45</v>
      </c>
      <c r="B51" s="39">
        <f>$C$16</f>
        <v>988347.5216802001</v>
      </c>
      <c r="C51" s="38">
        <v>0</v>
      </c>
      <c r="D51" s="39">
        <f>$C$29</f>
        <v>1479184.152004859</v>
      </c>
      <c r="E51" s="39">
        <f>D51-B51-C51</f>
        <v>490836.6303246588</v>
      </c>
    </row>
    <row r="52" spans="1:5" ht="13.5" thickBot="1">
      <c r="A52" s="37" t="s">
        <v>46</v>
      </c>
      <c r="B52" s="39">
        <f aca="true" t="shared" si="9" ref="B52:B58">$C$16</f>
        <v>988347.5216802001</v>
      </c>
      <c r="C52" s="38">
        <v>0</v>
      </c>
      <c r="D52" s="39">
        <f aca="true" t="shared" si="10" ref="D52:D58">$C$29</f>
        <v>1479184.152004859</v>
      </c>
      <c r="E52" s="39">
        <f aca="true" t="shared" si="11" ref="E52:E58">D52-B52-C52</f>
        <v>490836.6303246588</v>
      </c>
    </row>
    <row r="53" spans="1:5" ht="13.5" thickBot="1">
      <c r="A53" s="37" t="s">
        <v>47</v>
      </c>
      <c r="B53" s="39">
        <f t="shared" si="9"/>
        <v>988347.5216802001</v>
      </c>
      <c r="C53" s="38">
        <v>0</v>
      </c>
      <c r="D53" s="39">
        <f t="shared" si="10"/>
        <v>1479184.152004859</v>
      </c>
      <c r="E53" s="39">
        <f t="shared" si="11"/>
        <v>490836.6303246588</v>
      </c>
    </row>
    <row r="54" spans="1:5" ht="13.5" thickBot="1">
      <c r="A54" s="37" t="s">
        <v>48</v>
      </c>
      <c r="B54" s="39">
        <f t="shared" si="9"/>
        <v>988347.5216802001</v>
      </c>
      <c r="C54" s="38">
        <v>0</v>
      </c>
      <c r="D54" s="39">
        <f t="shared" si="10"/>
        <v>1479184.152004859</v>
      </c>
      <c r="E54" s="39">
        <f t="shared" si="11"/>
        <v>490836.6303246588</v>
      </c>
    </row>
    <row r="55" spans="1:5" ht="13.5" thickBot="1">
      <c r="A55" s="37" t="s">
        <v>49</v>
      </c>
      <c r="B55" s="39">
        <f t="shared" si="9"/>
        <v>988347.5216802001</v>
      </c>
      <c r="C55" s="38">
        <v>0</v>
      </c>
      <c r="D55" s="39">
        <f t="shared" si="10"/>
        <v>1479184.152004859</v>
      </c>
      <c r="E55" s="39">
        <f t="shared" si="11"/>
        <v>490836.6303246588</v>
      </c>
    </row>
    <row r="56" spans="1:5" ht="13.5" thickBot="1">
      <c r="A56" s="37" t="s">
        <v>50</v>
      </c>
      <c r="B56" s="39">
        <f t="shared" si="9"/>
        <v>988347.5216802001</v>
      </c>
      <c r="C56" s="38">
        <v>0</v>
      </c>
      <c r="D56" s="39">
        <f t="shared" si="10"/>
        <v>1479184.152004859</v>
      </c>
      <c r="E56" s="39">
        <f t="shared" si="11"/>
        <v>490836.6303246588</v>
      </c>
    </row>
    <row r="57" spans="1:5" ht="13.5" thickBot="1">
      <c r="A57" s="37" t="s">
        <v>51</v>
      </c>
      <c r="B57" s="39">
        <f t="shared" si="9"/>
        <v>988347.5216802001</v>
      </c>
      <c r="C57" s="38">
        <v>0</v>
      </c>
      <c r="D57" s="39">
        <f t="shared" si="10"/>
        <v>1479184.152004859</v>
      </c>
      <c r="E57" s="39">
        <f t="shared" si="11"/>
        <v>490836.6303246588</v>
      </c>
    </row>
    <row r="58" spans="1:5" ht="13.5" thickBot="1">
      <c r="A58" s="37" t="s">
        <v>52</v>
      </c>
      <c r="B58" s="39">
        <f t="shared" si="9"/>
        <v>988347.5216802001</v>
      </c>
      <c r="C58" s="38">
        <v>0</v>
      </c>
      <c r="D58" s="39">
        <f t="shared" si="10"/>
        <v>1479184.152004859</v>
      </c>
      <c r="E58" s="39">
        <f t="shared" si="11"/>
        <v>490836.6303246588</v>
      </c>
    </row>
    <row r="59" spans="1:5" ht="15" thickBot="1">
      <c r="A59" s="37" t="s">
        <v>61</v>
      </c>
      <c r="B59" s="39">
        <f>SUM(B51:B58)</f>
        <v>7906780.173441602</v>
      </c>
      <c r="C59" s="38">
        <v>0</v>
      </c>
      <c r="D59" s="39">
        <f>SUM(D51:D58)</f>
        <v>11833473.21603887</v>
      </c>
      <c r="E59" s="39">
        <f>SUM(E51:E58)</f>
        <v>3926693.042597271</v>
      </c>
    </row>
  </sheetData>
  <sheetProtection/>
  <mergeCells count="9">
    <mergeCell ref="C39:J39"/>
    <mergeCell ref="A42:A43"/>
    <mergeCell ref="C42:C43"/>
    <mergeCell ref="E42:E43"/>
    <mergeCell ref="C9:E9"/>
    <mergeCell ref="C17:J17"/>
    <mergeCell ref="C24:E24"/>
    <mergeCell ref="C30:J30"/>
    <mergeCell ref="C35:E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Carbon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Varfalomeev</dc:creator>
  <cp:keywords/>
  <dc:description/>
  <cp:lastModifiedBy>Alexey Varfalomeev</cp:lastModifiedBy>
  <dcterms:created xsi:type="dcterms:W3CDTF">2009-06-17T08:08:05Z</dcterms:created>
  <dcterms:modified xsi:type="dcterms:W3CDTF">2010-08-16T13:23:16Z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