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170" yWindow="1485" windowWidth="15135" windowHeight="8130"/>
  </bookViews>
  <sheets>
    <sheet name="Alternative1" sheetId="1" r:id="rId1"/>
    <sheet name="SCENARIOSUMMARY" sheetId="12" r:id="rId2"/>
    <sheet name="Plus10%CapEx" sheetId="6" r:id="rId3"/>
    <sheet name="Plus10%OpEx" sheetId="7" r:id="rId4"/>
    <sheet name="Plus10%Tariff" sheetId="8" r:id="rId5"/>
    <sheet name="Minus10%CapEx" sheetId="9" r:id="rId6"/>
    <sheet name="Minus10%OpEx" sheetId="10" r:id="rId7"/>
    <sheet name="Minus10%Tariff" sheetId="11" r:id="rId8"/>
    <sheet name="WEM-tariffs" sheetId="4" r:id="rId9"/>
    <sheet name="NBURates" sheetId="13" r:id="rId10"/>
    <sheet name="PriceEngine" sheetId="14" r:id="rId11"/>
  </sheets>
  <definedNames>
    <definedName name="WEM">'WEM-tariffs'!$G$15</definedName>
  </definedNames>
  <calcPr calcId="114210"/>
</workbook>
</file>

<file path=xl/calcChain.xml><?xml version="1.0" encoding="utf-8"?>
<calcChain xmlns="http://schemas.openxmlformats.org/spreadsheetml/2006/main">
  <c r="D8" i="14"/>
  <c r="D9"/>
  <c r="D7"/>
  <c r="C9"/>
  <c r="C8"/>
  <c r="F70" i="1"/>
  <c r="B27"/>
  <c r="D65" i="6"/>
  <c r="D65" i="11"/>
  <c r="D64"/>
  <c r="D65" i="10"/>
  <c r="D64"/>
  <c r="D65" i="9"/>
  <c r="D65" i="8"/>
  <c r="D65" i="7"/>
  <c r="B21" i="11"/>
  <c r="B21" i="10"/>
  <c r="B21" i="9"/>
  <c r="B21" i="8"/>
  <c r="B21" i="7"/>
  <c r="B21" i="6"/>
  <c r="C44" i="11"/>
  <c r="D70"/>
  <c r="C44" i="10"/>
  <c r="D70"/>
  <c r="C44" i="9"/>
  <c r="D70"/>
  <c r="C44" i="8"/>
  <c r="D70"/>
  <c r="C44" i="7"/>
  <c r="C44" i="6"/>
  <c r="D70"/>
  <c r="E6" i="11"/>
  <c r="E6" i="9"/>
  <c r="E6" i="6"/>
  <c r="E6" i="7"/>
  <c r="E6" i="8"/>
  <c r="D6" i="12"/>
  <c r="D71" i="11"/>
  <c r="T71"/>
  <c r="C71"/>
  <c r="C70"/>
  <c r="T58"/>
  <c r="T59"/>
  <c r="S58"/>
  <c r="S59"/>
  <c r="R58"/>
  <c r="R59"/>
  <c r="Q58"/>
  <c r="Q59"/>
  <c r="P58"/>
  <c r="P59"/>
  <c r="O58"/>
  <c r="O59"/>
  <c r="N58"/>
  <c r="N59"/>
  <c r="M58"/>
  <c r="M59"/>
  <c r="L58"/>
  <c r="L59"/>
  <c r="K58"/>
  <c r="K59"/>
  <c r="J58"/>
  <c r="J59"/>
  <c r="I58"/>
  <c r="I59"/>
  <c r="H58"/>
  <c r="H59"/>
  <c r="G58"/>
  <c r="G59"/>
  <c r="F58"/>
  <c r="F59"/>
  <c r="H52"/>
  <c r="I52"/>
  <c r="J52"/>
  <c r="K52"/>
  <c r="L52"/>
  <c r="M52"/>
  <c r="N52"/>
  <c r="O52"/>
  <c r="P52"/>
  <c r="Q52"/>
  <c r="R52"/>
  <c r="S52"/>
  <c r="T52"/>
  <c r="C38"/>
  <c r="C40"/>
  <c r="C32"/>
  <c r="E9"/>
  <c r="D71" i="10"/>
  <c r="T71"/>
  <c r="C71"/>
  <c r="C70"/>
  <c r="T58"/>
  <c r="T59"/>
  <c r="S58"/>
  <c r="S59"/>
  <c r="R58"/>
  <c r="R59"/>
  <c r="Q58"/>
  <c r="Q59"/>
  <c r="P58"/>
  <c r="P59"/>
  <c r="O58"/>
  <c r="O59"/>
  <c r="N58"/>
  <c r="N59"/>
  <c r="M58"/>
  <c r="M59"/>
  <c r="L58"/>
  <c r="L59"/>
  <c r="K58"/>
  <c r="K59"/>
  <c r="J58"/>
  <c r="J59"/>
  <c r="I58"/>
  <c r="I59"/>
  <c r="H58"/>
  <c r="H59"/>
  <c r="G58"/>
  <c r="G59"/>
  <c r="F58"/>
  <c r="F59"/>
  <c r="H52"/>
  <c r="I52"/>
  <c r="J52"/>
  <c r="K52"/>
  <c r="L52"/>
  <c r="M52"/>
  <c r="N52"/>
  <c r="O52"/>
  <c r="P52"/>
  <c r="Q52"/>
  <c r="R52"/>
  <c r="S52"/>
  <c r="T52"/>
  <c r="C38"/>
  <c r="C40"/>
  <c r="C32"/>
  <c r="E9"/>
  <c r="E7"/>
  <c r="D71" i="9"/>
  <c r="T71"/>
  <c r="C71"/>
  <c r="C70"/>
  <c r="T58"/>
  <c r="T59"/>
  <c r="S58"/>
  <c r="S59"/>
  <c r="R58"/>
  <c r="R59"/>
  <c r="Q58"/>
  <c r="Q59"/>
  <c r="P58"/>
  <c r="P59"/>
  <c r="O58"/>
  <c r="O59"/>
  <c r="N58"/>
  <c r="N59"/>
  <c r="M58"/>
  <c r="M59"/>
  <c r="L58"/>
  <c r="L59"/>
  <c r="K58"/>
  <c r="K59"/>
  <c r="J58"/>
  <c r="J59"/>
  <c r="I58"/>
  <c r="I59"/>
  <c r="H58"/>
  <c r="H59"/>
  <c r="G58"/>
  <c r="G59"/>
  <c r="F58"/>
  <c r="F59"/>
  <c r="H52"/>
  <c r="I52"/>
  <c r="J52"/>
  <c r="K52"/>
  <c r="L52"/>
  <c r="M52"/>
  <c r="N52"/>
  <c r="O52"/>
  <c r="P52"/>
  <c r="Q52"/>
  <c r="R52"/>
  <c r="S52"/>
  <c r="T52"/>
  <c r="C38"/>
  <c r="C40"/>
  <c r="C32"/>
  <c r="E9"/>
  <c r="E14"/>
  <c r="D71" i="8"/>
  <c r="T71"/>
  <c r="C71"/>
  <c r="C70"/>
  <c r="T58"/>
  <c r="T59"/>
  <c r="S58"/>
  <c r="S59"/>
  <c r="R58"/>
  <c r="R59"/>
  <c r="Q58"/>
  <c r="Q59"/>
  <c r="P58"/>
  <c r="P59"/>
  <c r="O58"/>
  <c r="O59"/>
  <c r="N58"/>
  <c r="N59"/>
  <c r="M58"/>
  <c r="M59"/>
  <c r="L58"/>
  <c r="L59"/>
  <c r="K58"/>
  <c r="K59"/>
  <c r="J58"/>
  <c r="J59"/>
  <c r="I58"/>
  <c r="I59"/>
  <c r="H58"/>
  <c r="H59"/>
  <c r="G58"/>
  <c r="G59"/>
  <c r="F58"/>
  <c r="F59"/>
  <c r="H52"/>
  <c r="I52"/>
  <c r="J52"/>
  <c r="K52"/>
  <c r="L52"/>
  <c r="M52"/>
  <c r="N52"/>
  <c r="O52"/>
  <c r="P52"/>
  <c r="Q52"/>
  <c r="R52"/>
  <c r="S52"/>
  <c r="T52"/>
  <c r="C38"/>
  <c r="C40"/>
  <c r="C32"/>
  <c r="E9"/>
  <c r="D71" i="7"/>
  <c r="T71"/>
  <c r="C71"/>
  <c r="D70"/>
  <c r="C70"/>
  <c r="T58"/>
  <c r="T59"/>
  <c r="S58"/>
  <c r="S59"/>
  <c r="R58"/>
  <c r="R59"/>
  <c r="Q58"/>
  <c r="Q59"/>
  <c r="P58"/>
  <c r="P59"/>
  <c r="O58"/>
  <c r="O59"/>
  <c r="N58"/>
  <c r="N59"/>
  <c r="M58"/>
  <c r="M59"/>
  <c r="L58"/>
  <c r="L59"/>
  <c r="K58"/>
  <c r="K59"/>
  <c r="J58"/>
  <c r="J59"/>
  <c r="I58"/>
  <c r="I59"/>
  <c r="H58"/>
  <c r="H59"/>
  <c r="G58"/>
  <c r="G59"/>
  <c r="F58"/>
  <c r="F59"/>
  <c r="H52"/>
  <c r="I52"/>
  <c r="J52"/>
  <c r="K52"/>
  <c r="L52"/>
  <c r="M52"/>
  <c r="N52"/>
  <c r="O52"/>
  <c r="P52"/>
  <c r="Q52"/>
  <c r="R52"/>
  <c r="S52"/>
  <c r="T52"/>
  <c r="C38"/>
  <c r="C40"/>
  <c r="C32"/>
  <c r="E9"/>
  <c r="D71" i="6"/>
  <c r="T71"/>
  <c r="C71"/>
  <c r="C70"/>
  <c r="T58"/>
  <c r="T59"/>
  <c r="S58"/>
  <c r="S59"/>
  <c r="R58"/>
  <c r="R59"/>
  <c r="Q58"/>
  <c r="Q59"/>
  <c r="P58"/>
  <c r="P59"/>
  <c r="O58"/>
  <c r="O59"/>
  <c r="N58"/>
  <c r="N59"/>
  <c r="M58"/>
  <c r="M59"/>
  <c r="L58"/>
  <c r="L59"/>
  <c r="K58"/>
  <c r="K59"/>
  <c r="J58"/>
  <c r="J59"/>
  <c r="I58"/>
  <c r="I59"/>
  <c r="H58"/>
  <c r="H59"/>
  <c r="G58"/>
  <c r="G59"/>
  <c r="F58"/>
  <c r="F59"/>
  <c r="H52"/>
  <c r="I52"/>
  <c r="J52"/>
  <c r="K52"/>
  <c r="L52"/>
  <c r="M52"/>
  <c r="N52"/>
  <c r="O52"/>
  <c r="P52"/>
  <c r="Q52"/>
  <c r="R52"/>
  <c r="S52"/>
  <c r="T52"/>
  <c r="C38"/>
  <c r="C40"/>
  <c r="C32"/>
  <c r="E9"/>
  <c r="E14"/>
  <c r="H12" i="4"/>
  <c r="G12"/>
  <c r="H11"/>
  <c r="G11"/>
  <c r="H10"/>
  <c r="G10"/>
  <c r="H9"/>
  <c r="G9"/>
  <c r="H8"/>
  <c r="G8"/>
  <c r="H7"/>
  <c r="G7"/>
  <c r="H6"/>
  <c r="G6"/>
  <c r="H5"/>
  <c r="G5"/>
  <c r="G15"/>
  <c r="G60" i="6"/>
  <c r="G61"/>
  <c r="G62"/>
  <c r="G66"/>
  <c r="I60"/>
  <c r="I61"/>
  <c r="I62"/>
  <c r="I66"/>
  <c r="I70"/>
  <c r="K60"/>
  <c r="K61"/>
  <c r="K62"/>
  <c r="K66"/>
  <c r="M60"/>
  <c r="M61"/>
  <c r="M62"/>
  <c r="M66"/>
  <c r="O60"/>
  <c r="O61"/>
  <c r="O62"/>
  <c r="O66"/>
  <c r="Q60"/>
  <c r="Q61"/>
  <c r="Q62"/>
  <c r="Q66"/>
  <c r="Q70"/>
  <c r="S60"/>
  <c r="S61"/>
  <c r="S62"/>
  <c r="S66"/>
  <c r="G64"/>
  <c r="K64"/>
  <c r="O64"/>
  <c r="S64"/>
  <c r="B26" i="11"/>
  <c r="D55"/>
  <c r="B26" i="9"/>
  <c r="D55"/>
  <c r="B26" i="6"/>
  <c r="D55"/>
  <c r="B26" i="8"/>
  <c r="B26" i="7"/>
  <c r="D55"/>
  <c r="D7" i="12"/>
  <c r="B26" i="10"/>
  <c r="D55"/>
  <c r="G14" i="4"/>
  <c r="G60" i="11"/>
  <c r="G61"/>
  <c r="G62"/>
  <c r="G64"/>
  <c r="I60"/>
  <c r="I61"/>
  <c r="I62"/>
  <c r="I64"/>
  <c r="K60"/>
  <c r="K61"/>
  <c r="K62"/>
  <c r="K64"/>
  <c r="M60"/>
  <c r="M61"/>
  <c r="M62"/>
  <c r="M64"/>
  <c r="O60"/>
  <c r="O61"/>
  <c r="O62"/>
  <c r="O64"/>
  <c r="Q60"/>
  <c r="Q61"/>
  <c r="Q62"/>
  <c r="Q64"/>
  <c r="S60"/>
  <c r="S61"/>
  <c r="S62"/>
  <c r="S64"/>
  <c r="F60"/>
  <c r="F61"/>
  <c r="F62"/>
  <c r="F64"/>
  <c r="H60"/>
  <c r="H61"/>
  <c r="H62"/>
  <c r="H64"/>
  <c r="J60"/>
  <c r="J61"/>
  <c r="J62"/>
  <c r="J64"/>
  <c r="L60"/>
  <c r="L61"/>
  <c r="L62"/>
  <c r="L64"/>
  <c r="N60"/>
  <c r="N61"/>
  <c r="N62"/>
  <c r="N64"/>
  <c r="P60"/>
  <c r="P61"/>
  <c r="P62"/>
  <c r="P64"/>
  <c r="R60"/>
  <c r="R61"/>
  <c r="R62"/>
  <c r="R64"/>
  <c r="T60"/>
  <c r="T61"/>
  <c r="T62"/>
  <c r="T64"/>
  <c r="E14"/>
  <c r="G71"/>
  <c r="I71"/>
  <c r="K71"/>
  <c r="M71"/>
  <c r="O71"/>
  <c r="Q71"/>
  <c r="S71"/>
  <c r="F71"/>
  <c r="H71"/>
  <c r="J71"/>
  <c r="L71"/>
  <c r="N71"/>
  <c r="P71"/>
  <c r="R71"/>
  <c r="F60" i="10"/>
  <c r="F61"/>
  <c r="F62"/>
  <c r="F64"/>
  <c r="H60"/>
  <c r="H61"/>
  <c r="H62"/>
  <c r="H64"/>
  <c r="J60"/>
  <c r="J61"/>
  <c r="J62"/>
  <c r="J64"/>
  <c r="L60"/>
  <c r="L61"/>
  <c r="L62"/>
  <c r="L64"/>
  <c r="N60"/>
  <c r="N61"/>
  <c r="N62"/>
  <c r="N64"/>
  <c r="P60"/>
  <c r="P61"/>
  <c r="P62"/>
  <c r="P64"/>
  <c r="R60"/>
  <c r="R61"/>
  <c r="R62"/>
  <c r="R64"/>
  <c r="T60"/>
  <c r="T61"/>
  <c r="T62"/>
  <c r="T64"/>
  <c r="G60"/>
  <c r="G61"/>
  <c r="G62"/>
  <c r="G64"/>
  <c r="I60"/>
  <c r="I61"/>
  <c r="I62"/>
  <c r="I64"/>
  <c r="K60"/>
  <c r="K61"/>
  <c r="K62"/>
  <c r="K64"/>
  <c r="M60"/>
  <c r="M61"/>
  <c r="M62"/>
  <c r="M64"/>
  <c r="O60"/>
  <c r="O61"/>
  <c r="O62"/>
  <c r="O64"/>
  <c r="Q60"/>
  <c r="Q61"/>
  <c r="Q62"/>
  <c r="Q64"/>
  <c r="S60"/>
  <c r="S61"/>
  <c r="S62"/>
  <c r="S64"/>
  <c r="E14"/>
  <c r="G71"/>
  <c r="I71"/>
  <c r="K71"/>
  <c r="M71"/>
  <c r="O71"/>
  <c r="Q71"/>
  <c r="S71"/>
  <c r="F71"/>
  <c r="H71"/>
  <c r="J71"/>
  <c r="L71"/>
  <c r="N71"/>
  <c r="P71"/>
  <c r="R71"/>
  <c r="F60" i="9"/>
  <c r="F61"/>
  <c r="F62"/>
  <c r="F64"/>
  <c r="H60"/>
  <c r="H61"/>
  <c r="H62"/>
  <c r="H64"/>
  <c r="J60"/>
  <c r="J61"/>
  <c r="J62"/>
  <c r="J64"/>
  <c r="L60"/>
  <c r="L61"/>
  <c r="L62"/>
  <c r="L64"/>
  <c r="N60"/>
  <c r="N61"/>
  <c r="N62"/>
  <c r="N64"/>
  <c r="P60"/>
  <c r="P61"/>
  <c r="P62"/>
  <c r="P64"/>
  <c r="R60"/>
  <c r="R61"/>
  <c r="R62"/>
  <c r="R64"/>
  <c r="T60"/>
  <c r="T61"/>
  <c r="T62"/>
  <c r="T64"/>
  <c r="G60"/>
  <c r="G61"/>
  <c r="G62"/>
  <c r="G64"/>
  <c r="I60"/>
  <c r="I61"/>
  <c r="I62"/>
  <c r="I64"/>
  <c r="K60"/>
  <c r="K61"/>
  <c r="K62"/>
  <c r="K64"/>
  <c r="M60"/>
  <c r="M61"/>
  <c r="M62"/>
  <c r="M64"/>
  <c r="O60"/>
  <c r="O61"/>
  <c r="O62"/>
  <c r="O64"/>
  <c r="Q60"/>
  <c r="Q61"/>
  <c r="Q62"/>
  <c r="Q64"/>
  <c r="S60"/>
  <c r="S61"/>
  <c r="S62"/>
  <c r="S64"/>
  <c r="G71"/>
  <c r="I71"/>
  <c r="K71"/>
  <c r="M71"/>
  <c r="O71"/>
  <c r="Q71"/>
  <c r="S71"/>
  <c r="F71"/>
  <c r="H71"/>
  <c r="J71"/>
  <c r="L71"/>
  <c r="N71"/>
  <c r="P71"/>
  <c r="R71"/>
  <c r="F60" i="8"/>
  <c r="F61"/>
  <c r="F62"/>
  <c r="F64"/>
  <c r="H60"/>
  <c r="H61"/>
  <c r="H62"/>
  <c r="H64"/>
  <c r="J60"/>
  <c r="J61"/>
  <c r="J62"/>
  <c r="J64"/>
  <c r="L60"/>
  <c r="L61"/>
  <c r="L62"/>
  <c r="L64"/>
  <c r="N60"/>
  <c r="N61"/>
  <c r="N62"/>
  <c r="N64"/>
  <c r="P60"/>
  <c r="P61"/>
  <c r="P62"/>
  <c r="P64"/>
  <c r="R60"/>
  <c r="R61"/>
  <c r="R62"/>
  <c r="R64"/>
  <c r="T60"/>
  <c r="T61"/>
  <c r="T62"/>
  <c r="T64"/>
  <c r="G60"/>
  <c r="G61"/>
  <c r="G62"/>
  <c r="G64"/>
  <c r="I60"/>
  <c r="I61"/>
  <c r="I62"/>
  <c r="I64"/>
  <c r="K60"/>
  <c r="K61"/>
  <c r="K62"/>
  <c r="K64"/>
  <c r="M60"/>
  <c r="M61"/>
  <c r="M62"/>
  <c r="M64"/>
  <c r="O60"/>
  <c r="O61"/>
  <c r="O62"/>
  <c r="O64"/>
  <c r="Q60"/>
  <c r="Q61"/>
  <c r="Q62"/>
  <c r="Q64"/>
  <c r="S60"/>
  <c r="S61"/>
  <c r="S62"/>
  <c r="S64"/>
  <c r="E14"/>
  <c r="G71"/>
  <c r="I71"/>
  <c r="K71"/>
  <c r="M71"/>
  <c r="O71"/>
  <c r="Q71"/>
  <c r="S71"/>
  <c r="D55"/>
  <c r="F71"/>
  <c r="H71"/>
  <c r="J71"/>
  <c r="L71"/>
  <c r="N71"/>
  <c r="P71"/>
  <c r="R71"/>
  <c r="F60" i="7"/>
  <c r="F61"/>
  <c r="F62"/>
  <c r="F64"/>
  <c r="J60"/>
  <c r="J61"/>
  <c r="J62"/>
  <c r="J64"/>
  <c r="L60"/>
  <c r="L61"/>
  <c r="L62"/>
  <c r="L64"/>
  <c r="P60"/>
  <c r="P61"/>
  <c r="P62"/>
  <c r="P64"/>
  <c r="G60"/>
  <c r="G61"/>
  <c r="G62"/>
  <c r="G64"/>
  <c r="I60"/>
  <c r="I61"/>
  <c r="I62"/>
  <c r="I64"/>
  <c r="K60"/>
  <c r="K61"/>
  <c r="K62"/>
  <c r="K64"/>
  <c r="M60"/>
  <c r="M61"/>
  <c r="M62"/>
  <c r="M64"/>
  <c r="O60"/>
  <c r="O61"/>
  <c r="O62"/>
  <c r="O64"/>
  <c r="Q60"/>
  <c r="Q61"/>
  <c r="Q62"/>
  <c r="Q64"/>
  <c r="S60"/>
  <c r="S61"/>
  <c r="S62"/>
  <c r="S64"/>
  <c r="H60"/>
  <c r="H61"/>
  <c r="H62"/>
  <c r="H64"/>
  <c r="N60"/>
  <c r="N61"/>
  <c r="N62"/>
  <c r="N64"/>
  <c r="R60"/>
  <c r="R61"/>
  <c r="R62"/>
  <c r="R64"/>
  <c r="T60"/>
  <c r="T61"/>
  <c r="T62"/>
  <c r="T64"/>
  <c r="E14"/>
  <c r="G71"/>
  <c r="I71"/>
  <c r="K71"/>
  <c r="M71"/>
  <c r="O71"/>
  <c r="Q71"/>
  <c r="S71"/>
  <c r="F71"/>
  <c r="H71"/>
  <c r="J71"/>
  <c r="L71"/>
  <c r="N71"/>
  <c r="P71"/>
  <c r="R71"/>
  <c r="O70" i="6"/>
  <c r="F60"/>
  <c r="F61"/>
  <c r="F62"/>
  <c r="H60"/>
  <c r="H61"/>
  <c r="H62"/>
  <c r="J60"/>
  <c r="J61"/>
  <c r="J62"/>
  <c r="L60"/>
  <c r="L61"/>
  <c r="L62"/>
  <c r="N60"/>
  <c r="N61"/>
  <c r="N62"/>
  <c r="P60"/>
  <c r="P61"/>
  <c r="P62"/>
  <c r="P64"/>
  <c r="R60"/>
  <c r="R61"/>
  <c r="R62"/>
  <c r="R64"/>
  <c r="T60"/>
  <c r="T61"/>
  <c r="T62"/>
  <c r="K70"/>
  <c r="M70"/>
  <c r="S70"/>
  <c r="G70"/>
  <c r="G71"/>
  <c r="I71"/>
  <c r="K71"/>
  <c r="M71"/>
  <c r="O71"/>
  <c r="Q71"/>
  <c r="S71"/>
  <c r="F71"/>
  <c r="H71"/>
  <c r="J71"/>
  <c r="L71"/>
  <c r="N71"/>
  <c r="P71"/>
  <c r="R71"/>
  <c r="D55" i="1"/>
  <c r="F58"/>
  <c r="F59"/>
  <c r="C38"/>
  <c r="C40"/>
  <c r="C33"/>
  <c r="G58"/>
  <c r="G59"/>
  <c r="H58"/>
  <c r="H59"/>
  <c r="H60"/>
  <c r="H61"/>
  <c r="H62"/>
  <c r="H64"/>
  <c r="I58"/>
  <c r="I59"/>
  <c r="J58"/>
  <c r="J59"/>
  <c r="J60"/>
  <c r="J61"/>
  <c r="J62"/>
  <c r="J64"/>
  <c r="K58"/>
  <c r="K59"/>
  <c r="L58"/>
  <c r="L59"/>
  <c r="L60"/>
  <c r="L61"/>
  <c r="L62"/>
  <c r="L64"/>
  <c r="M58"/>
  <c r="M59"/>
  <c r="N58"/>
  <c r="N59"/>
  <c r="N60"/>
  <c r="N61"/>
  <c r="N62"/>
  <c r="N64"/>
  <c r="O58"/>
  <c r="O59"/>
  <c r="P58"/>
  <c r="P59"/>
  <c r="P60"/>
  <c r="P61"/>
  <c r="P62"/>
  <c r="P64"/>
  <c r="Q58"/>
  <c r="Q59"/>
  <c r="R58"/>
  <c r="R59"/>
  <c r="R60"/>
  <c r="R61"/>
  <c r="R62"/>
  <c r="R64"/>
  <c r="S58"/>
  <c r="S59"/>
  <c r="T58"/>
  <c r="T59"/>
  <c r="T60"/>
  <c r="T61"/>
  <c r="T62"/>
  <c r="T64"/>
  <c r="E9"/>
  <c r="D71"/>
  <c r="F71"/>
  <c r="D70"/>
  <c r="C71"/>
  <c r="C70"/>
  <c r="H52"/>
  <c r="I52"/>
  <c r="J52"/>
  <c r="K52"/>
  <c r="L52"/>
  <c r="M52"/>
  <c r="N52"/>
  <c r="O52"/>
  <c r="P52"/>
  <c r="Q52"/>
  <c r="R52"/>
  <c r="S52"/>
  <c r="T52"/>
  <c r="Q64" i="6"/>
  <c r="M64"/>
  <c r="I64"/>
  <c r="O71" i="1"/>
  <c r="S60"/>
  <c r="S61"/>
  <c r="S62"/>
  <c r="S64"/>
  <c r="Q60"/>
  <c r="Q61"/>
  <c r="Q62"/>
  <c r="Q64"/>
  <c r="O60"/>
  <c r="O61"/>
  <c r="O62"/>
  <c r="O64"/>
  <c r="M60"/>
  <c r="M61"/>
  <c r="M62"/>
  <c r="M64"/>
  <c r="K60"/>
  <c r="K61"/>
  <c r="K62"/>
  <c r="K64"/>
  <c r="I60"/>
  <c r="I61"/>
  <c r="I62"/>
  <c r="I64"/>
  <c r="G60"/>
  <c r="G61"/>
  <c r="G62"/>
  <c r="G64"/>
  <c r="T64" i="6"/>
  <c r="T66"/>
  <c r="L64"/>
  <c r="L66"/>
  <c r="H64"/>
  <c r="H66"/>
  <c r="T55" i="8"/>
  <c r="R55"/>
  <c r="P55"/>
  <c r="N55"/>
  <c r="L55"/>
  <c r="J55"/>
  <c r="H55"/>
  <c r="F55"/>
  <c r="S55"/>
  <c r="Q55"/>
  <c r="O55"/>
  <c r="M55"/>
  <c r="K55"/>
  <c r="I55"/>
  <c r="G55"/>
  <c r="S55" i="11"/>
  <c r="Q55"/>
  <c r="O55"/>
  <c r="M55"/>
  <c r="K55"/>
  <c r="I55"/>
  <c r="G55"/>
  <c r="T55"/>
  <c r="R55"/>
  <c r="P55"/>
  <c r="N55"/>
  <c r="L55"/>
  <c r="J55"/>
  <c r="H55"/>
  <c r="F55"/>
  <c r="G71" i="1"/>
  <c r="N71"/>
  <c r="D64" i="7"/>
  <c r="R66" i="6"/>
  <c r="R66" i="8"/>
  <c r="N66"/>
  <c r="S66"/>
  <c r="O66"/>
  <c r="K66"/>
  <c r="G66"/>
  <c r="P66" i="9"/>
  <c r="L66"/>
  <c r="H66"/>
  <c r="Q66"/>
  <c r="M66"/>
  <c r="I66"/>
  <c r="R66" i="10"/>
  <c r="N66"/>
  <c r="J66"/>
  <c r="F66"/>
  <c r="Q66"/>
  <c r="M66"/>
  <c r="I66"/>
  <c r="R66" i="11"/>
  <c r="N66"/>
  <c r="J66"/>
  <c r="F66"/>
  <c r="Q66"/>
  <c r="Q70"/>
  <c r="M66"/>
  <c r="I66"/>
  <c r="I70"/>
  <c r="H66" i="8"/>
  <c r="T66" i="10"/>
  <c r="F66" i="8"/>
  <c r="T55" i="6"/>
  <c r="R55"/>
  <c r="P55"/>
  <c r="N55"/>
  <c r="L55"/>
  <c r="J55"/>
  <c r="H55"/>
  <c r="F55"/>
  <c r="Q55"/>
  <c r="Q68"/>
  <c r="O55"/>
  <c r="K55"/>
  <c r="I55"/>
  <c r="I68"/>
  <c r="S55"/>
  <c r="M55"/>
  <c r="M68"/>
  <c r="G55"/>
  <c r="N64"/>
  <c r="N66"/>
  <c r="J64"/>
  <c r="J66"/>
  <c r="F64"/>
  <c r="D64"/>
  <c r="F66"/>
  <c r="S55" i="7"/>
  <c r="Q55"/>
  <c r="O55"/>
  <c r="M55"/>
  <c r="K55"/>
  <c r="I55"/>
  <c r="G55"/>
  <c r="G68"/>
  <c r="L55"/>
  <c r="T55"/>
  <c r="R55"/>
  <c r="P55"/>
  <c r="N55"/>
  <c r="J55"/>
  <c r="H55"/>
  <c r="F55"/>
  <c r="S55" i="9"/>
  <c r="Q55"/>
  <c r="O55"/>
  <c r="M55"/>
  <c r="K55"/>
  <c r="I55"/>
  <c r="G55"/>
  <c r="T55"/>
  <c r="R55"/>
  <c r="P55"/>
  <c r="N55"/>
  <c r="L55"/>
  <c r="J55"/>
  <c r="H55"/>
  <c r="F55"/>
  <c r="T55" i="10"/>
  <c r="R55"/>
  <c r="P55"/>
  <c r="N55"/>
  <c r="L55"/>
  <c r="J55"/>
  <c r="H55"/>
  <c r="F55"/>
  <c r="S55"/>
  <c r="Q55"/>
  <c r="O55"/>
  <c r="M55"/>
  <c r="K55"/>
  <c r="I55"/>
  <c r="G55"/>
  <c r="D64" i="8"/>
  <c r="D64" i="9"/>
  <c r="P66" i="6"/>
  <c r="P66" i="8"/>
  <c r="L66"/>
  <c r="L70"/>
  <c r="Q66"/>
  <c r="M66"/>
  <c r="M70"/>
  <c r="I66"/>
  <c r="R66" i="9"/>
  <c r="N66"/>
  <c r="J66"/>
  <c r="S66"/>
  <c r="S70"/>
  <c r="O66"/>
  <c r="K66"/>
  <c r="K70"/>
  <c r="G66"/>
  <c r="P66" i="10"/>
  <c r="L66"/>
  <c r="H66"/>
  <c r="S66"/>
  <c r="O66"/>
  <c r="K66"/>
  <c r="G66"/>
  <c r="P66" i="11"/>
  <c r="L66"/>
  <c r="L70"/>
  <c r="H66"/>
  <c r="S66"/>
  <c r="O66"/>
  <c r="O70"/>
  <c r="K66"/>
  <c r="K70"/>
  <c r="G66"/>
  <c r="G70"/>
  <c r="F66" i="9"/>
  <c r="T66" i="11"/>
  <c r="T70"/>
  <c r="T66" i="9"/>
  <c r="T70"/>
  <c r="J66" i="8"/>
  <c r="J70"/>
  <c r="T66"/>
  <c r="O55" i="1"/>
  <c r="M55"/>
  <c r="K55"/>
  <c r="I55"/>
  <c r="G55"/>
  <c r="P55"/>
  <c r="N55"/>
  <c r="L55"/>
  <c r="J55"/>
  <c r="H55"/>
  <c r="F55"/>
  <c r="K71"/>
  <c r="S71"/>
  <c r="J71"/>
  <c r="R71"/>
  <c r="R55"/>
  <c r="I71"/>
  <c r="M71"/>
  <c r="Q71"/>
  <c r="T71"/>
  <c r="H71"/>
  <c r="L71"/>
  <c r="P71"/>
  <c r="P70" i="11"/>
  <c r="H70"/>
  <c r="M70"/>
  <c r="R70"/>
  <c r="N70"/>
  <c r="J70"/>
  <c r="F70"/>
  <c r="S70"/>
  <c r="Q70" i="10"/>
  <c r="M70"/>
  <c r="I70"/>
  <c r="T70"/>
  <c r="P70"/>
  <c r="L70"/>
  <c r="H70"/>
  <c r="S70"/>
  <c r="O70"/>
  <c r="K70"/>
  <c r="G70"/>
  <c r="R70"/>
  <c r="N70"/>
  <c r="J70"/>
  <c r="F70"/>
  <c r="Q70" i="9"/>
  <c r="M70"/>
  <c r="I70"/>
  <c r="P70"/>
  <c r="L70"/>
  <c r="H70"/>
  <c r="O70"/>
  <c r="G70"/>
  <c r="R70"/>
  <c r="N70"/>
  <c r="J70"/>
  <c r="F70"/>
  <c r="Q70" i="8"/>
  <c r="I70"/>
  <c r="T70"/>
  <c r="P70"/>
  <c r="H70"/>
  <c r="S70"/>
  <c r="O70"/>
  <c r="K70"/>
  <c r="G70"/>
  <c r="R70"/>
  <c r="N70"/>
  <c r="F70"/>
  <c r="T66" i="7"/>
  <c r="T70"/>
  <c r="N66"/>
  <c r="N70"/>
  <c r="S66"/>
  <c r="S70"/>
  <c r="O66"/>
  <c r="O70"/>
  <c r="K66"/>
  <c r="K70"/>
  <c r="G66"/>
  <c r="G70"/>
  <c r="P66"/>
  <c r="P70"/>
  <c r="J66"/>
  <c r="J70"/>
  <c r="R66"/>
  <c r="R70"/>
  <c r="H66"/>
  <c r="H70"/>
  <c r="Q66"/>
  <c r="Q70"/>
  <c r="M66"/>
  <c r="M70"/>
  <c r="I66"/>
  <c r="I70"/>
  <c r="L66"/>
  <c r="L70"/>
  <c r="F66"/>
  <c r="F70"/>
  <c r="R70" i="6"/>
  <c r="N70"/>
  <c r="J70"/>
  <c r="F70"/>
  <c r="S68"/>
  <c r="O68"/>
  <c r="K68"/>
  <c r="G68"/>
  <c r="R68"/>
  <c r="N68"/>
  <c r="J68"/>
  <c r="F68"/>
  <c r="T70"/>
  <c r="P70"/>
  <c r="L70"/>
  <c r="H70"/>
  <c r="T55" i="1"/>
  <c r="S55"/>
  <c r="Q55"/>
  <c r="F60"/>
  <c r="F61"/>
  <c r="F62"/>
  <c r="E14"/>
  <c r="O68" i="7"/>
  <c r="J68"/>
  <c r="K68"/>
  <c r="S68"/>
  <c r="N68"/>
  <c r="F64" i="1"/>
  <c r="D64"/>
  <c r="E15"/>
  <c r="E16"/>
  <c r="D5" i="12"/>
  <c r="E16" i="9"/>
  <c r="E16" i="10"/>
  <c r="F68" i="9"/>
  <c r="J68"/>
  <c r="N68"/>
  <c r="R68"/>
  <c r="G68"/>
  <c r="K68"/>
  <c r="O68"/>
  <c r="S68"/>
  <c r="E16" i="8"/>
  <c r="H68" i="11"/>
  <c r="L68"/>
  <c r="P68"/>
  <c r="T68"/>
  <c r="I68"/>
  <c r="M68"/>
  <c r="Q68"/>
  <c r="F68" i="10"/>
  <c r="J68"/>
  <c r="N68"/>
  <c r="R68"/>
  <c r="G68"/>
  <c r="K68"/>
  <c r="O68"/>
  <c r="S68"/>
  <c r="E16" i="7"/>
  <c r="F68"/>
  <c r="R68"/>
  <c r="F68" i="8"/>
  <c r="J68"/>
  <c r="N68"/>
  <c r="R68"/>
  <c r="G68"/>
  <c r="K68"/>
  <c r="O68"/>
  <c r="S68"/>
  <c r="E16" i="11"/>
  <c r="F68"/>
  <c r="J68"/>
  <c r="N68"/>
  <c r="R68"/>
  <c r="G68"/>
  <c r="K68"/>
  <c r="O68"/>
  <c r="S68"/>
  <c r="H68" i="10"/>
  <c r="L68"/>
  <c r="P68"/>
  <c r="T68"/>
  <c r="I68"/>
  <c r="M68"/>
  <c r="Q68"/>
  <c r="H68" i="9"/>
  <c r="L68"/>
  <c r="P68"/>
  <c r="T68"/>
  <c r="I68"/>
  <c r="M68"/>
  <c r="Q68"/>
  <c r="H68" i="8"/>
  <c r="L68"/>
  <c r="P68"/>
  <c r="T68"/>
  <c r="I68"/>
  <c r="M68"/>
  <c r="Q68"/>
  <c r="H68" i="7"/>
  <c r="L68"/>
  <c r="P68"/>
  <c r="T68"/>
  <c r="I68"/>
  <c r="M68"/>
  <c r="Q68"/>
  <c r="H68" i="6"/>
  <c r="L68"/>
  <c r="P68"/>
  <c r="T68"/>
  <c r="E18" i="1"/>
  <c r="F15"/>
  <c r="E60"/>
  <c r="D21" i="10"/>
  <c r="T73"/>
  <c r="T75"/>
  <c r="T78"/>
  <c r="E77"/>
  <c r="E81"/>
  <c r="D21" i="9"/>
  <c r="L73"/>
  <c r="L75"/>
  <c r="L78"/>
  <c r="L81"/>
  <c r="E77"/>
  <c r="E81"/>
  <c r="D21" i="7"/>
  <c r="S73"/>
  <c r="S75"/>
  <c r="S78"/>
  <c r="S81"/>
  <c r="E77"/>
  <c r="E81"/>
  <c r="E18" i="10"/>
  <c r="T79"/>
  <c r="T81"/>
  <c r="H73"/>
  <c r="H75"/>
  <c r="H78"/>
  <c r="H81"/>
  <c r="L73"/>
  <c r="L75"/>
  <c r="L78"/>
  <c r="L81"/>
  <c r="I73"/>
  <c r="I75"/>
  <c r="I78"/>
  <c r="I81"/>
  <c r="M73"/>
  <c r="M75"/>
  <c r="M78"/>
  <c r="M81"/>
  <c r="T73" i="7"/>
  <c r="T75"/>
  <c r="T78"/>
  <c r="P73" i="10"/>
  <c r="P75"/>
  <c r="P78"/>
  <c r="P81"/>
  <c r="Q73"/>
  <c r="Q75"/>
  <c r="Q78"/>
  <c r="Q81"/>
  <c r="F73"/>
  <c r="F75"/>
  <c r="F78"/>
  <c r="F81"/>
  <c r="N73"/>
  <c r="N75"/>
  <c r="N78"/>
  <c r="N81"/>
  <c r="G73"/>
  <c r="G75"/>
  <c r="G78"/>
  <c r="G81"/>
  <c r="O73"/>
  <c r="O75"/>
  <c r="O78"/>
  <c r="O81"/>
  <c r="J73"/>
  <c r="J75"/>
  <c r="J78"/>
  <c r="J81"/>
  <c r="R73"/>
  <c r="R75"/>
  <c r="R78"/>
  <c r="R81"/>
  <c r="K73"/>
  <c r="K75"/>
  <c r="K78"/>
  <c r="K81"/>
  <c r="S73"/>
  <c r="S75"/>
  <c r="S78"/>
  <c r="S81"/>
  <c r="P73" i="7"/>
  <c r="P75"/>
  <c r="P78"/>
  <c r="P81"/>
  <c r="Q73"/>
  <c r="Q75"/>
  <c r="Q78"/>
  <c r="Q81"/>
  <c r="N73" i="9"/>
  <c r="N75"/>
  <c r="N78"/>
  <c r="N81"/>
  <c r="M73"/>
  <c r="M75"/>
  <c r="M78"/>
  <c r="M81"/>
  <c r="J73" i="7"/>
  <c r="J75"/>
  <c r="J78"/>
  <c r="J81"/>
  <c r="I73" i="9"/>
  <c r="I75"/>
  <c r="I78"/>
  <c r="I81"/>
  <c r="H73"/>
  <c r="H75"/>
  <c r="H78"/>
  <c r="H81"/>
  <c r="F73"/>
  <c r="F75"/>
  <c r="F78"/>
  <c r="F81"/>
  <c r="K73"/>
  <c r="K75"/>
  <c r="K78"/>
  <c r="K81"/>
  <c r="G73"/>
  <c r="G75"/>
  <c r="G78"/>
  <c r="G81"/>
  <c r="O73"/>
  <c r="O75"/>
  <c r="O78"/>
  <c r="O81"/>
  <c r="S73"/>
  <c r="S75"/>
  <c r="S78"/>
  <c r="S81"/>
  <c r="J73"/>
  <c r="J75"/>
  <c r="J78"/>
  <c r="J81"/>
  <c r="R73"/>
  <c r="R75"/>
  <c r="R78"/>
  <c r="R81"/>
  <c r="P73"/>
  <c r="P75"/>
  <c r="P78"/>
  <c r="P81"/>
  <c r="Q73"/>
  <c r="Q75"/>
  <c r="Q78"/>
  <c r="Q81"/>
  <c r="T73"/>
  <c r="T75"/>
  <c r="T78"/>
  <c r="N73" i="7"/>
  <c r="N75"/>
  <c r="N78"/>
  <c r="N81"/>
  <c r="R73"/>
  <c r="R75"/>
  <c r="R78"/>
  <c r="R81"/>
  <c r="F73"/>
  <c r="F75"/>
  <c r="F78"/>
  <c r="F81"/>
  <c r="O73"/>
  <c r="O75"/>
  <c r="O78"/>
  <c r="O81"/>
  <c r="H73"/>
  <c r="H75"/>
  <c r="H78"/>
  <c r="H81"/>
  <c r="I73"/>
  <c r="I75"/>
  <c r="I78"/>
  <c r="I81"/>
  <c r="L73"/>
  <c r="L75"/>
  <c r="L78"/>
  <c r="L81"/>
  <c r="M73"/>
  <c r="M75"/>
  <c r="M78"/>
  <c r="M81"/>
  <c r="G73"/>
  <c r="G75"/>
  <c r="G78"/>
  <c r="G81"/>
  <c r="K73"/>
  <c r="K75"/>
  <c r="K78"/>
  <c r="K81"/>
  <c r="E77" i="11"/>
  <c r="E81"/>
  <c r="D21"/>
  <c r="D65" i="1"/>
  <c r="F66"/>
  <c r="F68"/>
  <c r="T66"/>
  <c r="R66"/>
  <c r="P66"/>
  <c r="N66"/>
  <c r="L66"/>
  <c r="J66"/>
  <c r="H66"/>
  <c r="S66"/>
  <c r="Q66"/>
  <c r="O66"/>
  <c r="M66"/>
  <c r="K66"/>
  <c r="I66"/>
  <c r="G66"/>
  <c r="E18" i="9"/>
  <c r="T79"/>
  <c r="T81"/>
  <c r="D84"/>
  <c r="E18" i="7"/>
  <c r="T79"/>
  <c r="T81"/>
  <c r="D84"/>
  <c r="E18" i="11"/>
  <c r="T79"/>
  <c r="T79" i="1"/>
  <c r="E18" i="6"/>
  <c r="T79"/>
  <c r="E18" i="8"/>
  <c r="T79"/>
  <c r="E77"/>
  <c r="E81"/>
  <c r="D21"/>
  <c r="D84" i="10"/>
  <c r="H73" i="11"/>
  <c r="H75"/>
  <c r="H78"/>
  <c r="H81"/>
  <c r="L73"/>
  <c r="L75"/>
  <c r="L78"/>
  <c r="L81"/>
  <c r="P73"/>
  <c r="P75"/>
  <c r="P78"/>
  <c r="P81"/>
  <c r="T73"/>
  <c r="T75"/>
  <c r="T78"/>
  <c r="I73"/>
  <c r="I75"/>
  <c r="I78"/>
  <c r="I81"/>
  <c r="M73"/>
  <c r="M75"/>
  <c r="M78"/>
  <c r="M81"/>
  <c r="Q73"/>
  <c r="Q75"/>
  <c r="Q78"/>
  <c r="Q81"/>
  <c r="R73"/>
  <c r="R75"/>
  <c r="R78"/>
  <c r="R81"/>
  <c r="J73"/>
  <c r="J75"/>
  <c r="J78"/>
  <c r="J81"/>
  <c r="O73"/>
  <c r="O75"/>
  <c r="O78"/>
  <c r="O81"/>
  <c r="G73"/>
  <c r="G75"/>
  <c r="G78"/>
  <c r="G81"/>
  <c r="S73"/>
  <c r="S75"/>
  <c r="S78"/>
  <c r="S81"/>
  <c r="K73"/>
  <c r="K75"/>
  <c r="K78"/>
  <c r="K81"/>
  <c r="N73"/>
  <c r="N75"/>
  <c r="N78"/>
  <c r="N81"/>
  <c r="F73"/>
  <c r="F75"/>
  <c r="F78"/>
  <c r="F81"/>
  <c r="D22" i="1"/>
  <c r="E77"/>
  <c r="E81"/>
  <c r="F73"/>
  <c r="F75"/>
  <c r="F78"/>
  <c r="F81"/>
  <c r="I68"/>
  <c r="I70"/>
  <c r="M68"/>
  <c r="M70"/>
  <c r="Q70"/>
  <c r="Q68"/>
  <c r="H68"/>
  <c r="H70"/>
  <c r="L70"/>
  <c r="L68"/>
  <c r="P70"/>
  <c r="P68"/>
  <c r="T70"/>
  <c r="T68"/>
  <c r="G70"/>
  <c r="G68"/>
  <c r="K70"/>
  <c r="K68"/>
  <c r="O70"/>
  <c r="O68"/>
  <c r="S70"/>
  <c r="S68"/>
  <c r="J70"/>
  <c r="J68"/>
  <c r="N70"/>
  <c r="N68"/>
  <c r="R70"/>
  <c r="R68"/>
  <c r="T81" i="11"/>
  <c r="D84"/>
  <c r="G11" i="12"/>
  <c r="G7"/>
  <c r="G9"/>
  <c r="G10"/>
  <c r="G73" i="8"/>
  <c r="G75"/>
  <c r="G78"/>
  <c r="G81"/>
  <c r="Q73"/>
  <c r="Q75"/>
  <c r="Q78"/>
  <c r="Q81"/>
  <c r="T73"/>
  <c r="T75"/>
  <c r="T78"/>
  <c r="T81"/>
  <c r="I73"/>
  <c r="I75"/>
  <c r="I78"/>
  <c r="I81"/>
  <c r="M73"/>
  <c r="M75"/>
  <c r="M78"/>
  <c r="M81"/>
  <c r="F73"/>
  <c r="F75"/>
  <c r="F78"/>
  <c r="F81"/>
  <c r="K73"/>
  <c r="K75"/>
  <c r="K78"/>
  <c r="K81"/>
  <c r="R73"/>
  <c r="R75"/>
  <c r="R78"/>
  <c r="R81"/>
  <c r="O73"/>
  <c r="O75"/>
  <c r="O78"/>
  <c r="O81"/>
  <c r="P73"/>
  <c r="P75"/>
  <c r="P78"/>
  <c r="P81"/>
  <c r="H73"/>
  <c r="H75"/>
  <c r="H78"/>
  <c r="H81"/>
  <c r="L73"/>
  <c r="L75"/>
  <c r="L78"/>
  <c r="L81"/>
  <c r="J73"/>
  <c r="J75"/>
  <c r="J78"/>
  <c r="J81"/>
  <c r="S73"/>
  <c r="S75"/>
  <c r="S78"/>
  <c r="S81"/>
  <c r="N73"/>
  <c r="N75"/>
  <c r="N78"/>
  <c r="N81"/>
  <c r="R73" i="1"/>
  <c r="R75"/>
  <c r="R78"/>
  <c r="R81"/>
  <c r="N73"/>
  <c r="N75"/>
  <c r="N78"/>
  <c r="N81"/>
  <c r="J73"/>
  <c r="J75"/>
  <c r="J78"/>
  <c r="J81"/>
  <c r="S73"/>
  <c r="S75"/>
  <c r="S78"/>
  <c r="S81"/>
  <c r="O73"/>
  <c r="O75"/>
  <c r="O78"/>
  <c r="O81"/>
  <c r="K73"/>
  <c r="K75"/>
  <c r="K78"/>
  <c r="K81"/>
  <c r="G73"/>
  <c r="G75"/>
  <c r="G78"/>
  <c r="G81"/>
  <c r="T73"/>
  <c r="T75"/>
  <c r="T78"/>
  <c r="T81"/>
  <c r="P73"/>
  <c r="P75"/>
  <c r="P78"/>
  <c r="P81"/>
  <c r="L73"/>
  <c r="L75"/>
  <c r="L78"/>
  <c r="L81"/>
  <c r="Q73"/>
  <c r="Q75"/>
  <c r="Q78"/>
  <c r="Q81"/>
  <c r="H73"/>
  <c r="H75"/>
  <c r="H78"/>
  <c r="H81"/>
  <c r="M73"/>
  <c r="M75"/>
  <c r="M78"/>
  <c r="M81"/>
  <c r="I73"/>
  <c r="I75"/>
  <c r="I78"/>
  <c r="I81"/>
  <c r="D84" i="8"/>
  <c r="G8" i="12"/>
  <c r="D84" i="1"/>
  <c r="G5" i="12"/>
  <c r="E16" i="6"/>
  <c r="D21"/>
  <c r="L73"/>
  <c r="L75"/>
  <c r="L78"/>
  <c r="L81"/>
  <c r="S73"/>
  <c r="S75"/>
  <c r="S78"/>
  <c r="S81"/>
  <c r="P73"/>
  <c r="P75"/>
  <c r="P78"/>
  <c r="P81"/>
  <c r="J73"/>
  <c r="J75"/>
  <c r="J78"/>
  <c r="J81"/>
  <c r="N73"/>
  <c r="N75"/>
  <c r="N78"/>
  <c r="N81"/>
  <c r="I73"/>
  <c r="I75"/>
  <c r="I78"/>
  <c r="I81"/>
  <c r="H73"/>
  <c r="H75"/>
  <c r="H78"/>
  <c r="H81"/>
  <c r="Q73"/>
  <c r="Q75"/>
  <c r="Q78"/>
  <c r="Q81"/>
  <c r="K73"/>
  <c r="K75"/>
  <c r="K78"/>
  <c r="K81"/>
  <c r="M73"/>
  <c r="M75"/>
  <c r="M78"/>
  <c r="M81"/>
  <c r="R73"/>
  <c r="R75"/>
  <c r="R78"/>
  <c r="R81"/>
  <c r="G73"/>
  <c r="G75"/>
  <c r="G78"/>
  <c r="G81"/>
  <c r="F73"/>
  <c r="F75"/>
  <c r="F78"/>
  <c r="F81"/>
  <c r="T73"/>
  <c r="T75"/>
  <c r="T78"/>
  <c r="T81"/>
  <c r="O73"/>
  <c r="O75"/>
  <c r="O78"/>
  <c r="O81"/>
  <c r="E77"/>
  <c r="E81"/>
  <c r="D84"/>
  <c r="G6" i="12"/>
</calcChain>
</file>

<file path=xl/comments1.xml><?xml version="1.0" encoding="utf-8"?>
<comments xmlns="http://schemas.openxmlformats.org/spreadsheetml/2006/main">
  <authors>
    <author>klok</author>
    <author>Joy Williams</author>
  </authors>
  <commentList>
    <comment ref="E9" authorId="0">
      <text>
        <r>
          <rPr>
            <b/>
            <sz val="8"/>
            <color indexed="81"/>
            <rFont val="Tahoma"/>
            <charset val="1"/>
          </rPr>
          <t>klok:</t>
        </r>
        <r>
          <rPr>
            <sz val="8"/>
            <color indexed="81"/>
            <rFont val="Tahoma"/>
            <charset val="1"/>
          </rPr>
          <t xml:space="preserve">
please refer to 'PriceEngine' worksheet for references and calculations. The estimates used in the investment analysis are lower (thus more conservative) than the quotes for the equipment.</t>
        </r>
      </text>
    </comment>
    <comment ref="J9" authorId="0">
      <text>
        <r>
          <rPr>
            <b/>
            <sz val="8"/>
            <color indexed="81"/>
            <rFont val="Tahoma"/>
            <family val="2"/>
          </rPr>
          <t>klok:</t>
        </r>
        <r>
          <rPr>
            <sz val="8"/>
            <color indexed="81"/>
            <rFont val="Tahoma"/>
            <family val="2"/>
          </rPr>
          <t xml:space="preserve">
Sources in Cell J9, J10, and J11 are provided only for referece to show that the assumptions used in the analysis are very conservative.</t>
        </r>
      </text>
    </comment>
    <comment ref="E18" authorId="1">
      <text>
        <r>
          <rPr>
            <sz val="9"/>
            <color indexed="81"/>
            <rFont val="Tahoma"/>
            <family val="2"/>
          </rPr>
          <t>The assumption of a 25-year technical life time for the engines is a very conservative assumption considering the harsh environment of the landfill where the engines operate and we are not including any costs for major overhaul of the engines.</t>
        </r>
      </text>
    </comment>
    <comment ref="J18" authorId="1">
      <text>
        <r>
          <rPr>
            <sz val="9"/>
            <color indexed="81"/>
            <rFont val="Tahoma"/>
            <family val="2"/>
          </rPr>
          <t>The assumption of a 25-year technical life time for the engines is a very conservative assumption considering the harsh environment of the landfill where the engines operate and we are not including any costs for major overhaul of the engines.</t>
        </r>
      </text>
    </comment>
    <comment ref="C61" authorId="0">
      <text>
        <r>
          <rPr>
            <b/>
            <sz val="8"/>
            <color indexed="81"/>
            <rFont val="Tahoma"/>
            <family val="2"/>
          </rPr>
          <t>klok:</t>
        </r>
        <r>
          <rPr>
            <sz val="8"/>
            <color indexed="81"/>
            <rFont val="Tahoma"/>
            <family val="2"/>
          </rPr>
          <t xml:space="preserve">
MJ was converted into MWh based on the unit conversion of 1 kWh = 3.6 MJ</t>
        </r>
      </text>
    </comment>
  </commentList>
</comments>
</file>

<file path=xl/comments2.xml><?xml version="1.0" encoding="utf-8"?>
<comments xmlns="http://schemas.openxmlformats.org/spreadsheetml/2006/main">
  <authors>
    <author>klok</author>
  </authors>
  <commentList>
    <comment ref="A2" authorId="0">
      <text>
        <r>
          <rPr>
            <b/>
            <sz val="8"/>
            <color indexed="81"/>
            <rFont val="Tahoma"/>
            <family val="2"/>
          </rPr>
          <t>klok:</t>
        </r>
        <r>
          <rPr>
            <sz val="8"/>
            <color indexed="81"/>
            <rFont val="Tahoma"/>
            <family val="2"/>
          </rPr>
          <t xml:space="preserve">
The investment decision was made in July of 2008.  Therefore, it would be reasonbale to use the previous month (2008 June) as the reference point.</t>
        </r>
      </text>
    </comment>
    <comment ref="B8" authorId="0">
      <text>
        <r>
          <rPr>
            <b/>
            <sz val="8"/>
            <color indexed="81"/>
            <rFont val="Tahoma"/>
            <family val="2"/>
          </rPr>
          <t>klok:</t>
        </r>
        <r>
          <rPr>
            <sz val="8"/>
            <color indexed="81"/>
            <rFont val="Tahoma"/>
            <family val="2"/>
          </rPr>
          <t xml:space="preserve">
Since the loan will be made in national currency, the interest rates for national currency is used.</t>
        </r>
      </text>
    </comment>
    <comment ref="B26" authorId="0">
      <text>
        <r>
          <rPr>
            <b/>
            <sz val="8"/>
            <color indexed="81"/>
            <rFont val="Tahoma"/>
            <family val="2"/>
          </rPr>
          <t>klok:</t>
        </r>
        <r>
          <rPr>
            <sz val="8"/>
            <color indexed="81"/>
            <rFont val="Tahoma"/>
            <family val="2"/>
          </rPr>
          <t xml:space="preserve">
For conservativeness, the lowest interest rate of the month was selelected as a benchmark.</t>
        </r>
      </text>
    </comment>
  </commentList>
</comments>
</file>

<file path=xl/sharedStrings.xml><?xml version="1.0" encoding="utf-8"?>
<sst xmlns="http://schemas.openxmlformats.org/spreadsheetml/2006/main" count="573" uniqueCount="165">
  <si>
    <t>Required Investment</t>
  </si>
  <si>
    <t>Collection System: 151 wells, technical reports, site capping</t>
  </si>
  <si>
    <t xml:space="preserve">Generation Plant Cost per MW including implementation </t>
  </si>
  <si>
    <t>Capacity to be installed (MW)</t>
  </si>
  <si>
    <t>Total implementation Costs</t>
  </si>
  <si>
    <t>Important notes:</t>
  </si>
  <si>
    <t>No tax has been added in this analysis to equipment imported into Ukraine. If added this will increase costs</t>
  </si>
  <si>
    <t>Others</t>
  </si>
  <si>
    <t>Technical Lifetime</t>
  </si>
  <si>
    <t>Depreciation (years)</t>
  </si>
  <si>
    <t>Use as an operative assumption to cover life period</t>
  </si>
  <si>
    <t>Exchange rate $/€</t>
  </si>
  <si>
    <t>Revenues</t>
  </si>
  <si>
    <t>Base Electricity Price</t>
  </si>
  <si>
    <t>Collection Efficiency</t>
  </si>
  <si>
    <t>MJ/m^3</t>
  </si>
  <si>
    <t>Power Conversion Factors (kWh per J/s)</t>
  </si>
  <si>
    <t>Net energy efficiency</t>
  </si>
  <si>
    <t>Operational Costs</t>
  </si>
  <si>
    <t>Maintenance costs for collection system</t>
  </si>
  <si>
    <t>MWh per year</t>
  </si>
  <si>
    <t>Electricity Price ($/MWh)</t>
  </si>
  <si>
    <t xml:space="preserve"> Gas Flows LFC 1000m^3</t>
  </si>
  <si>
    <t>Revenues in USD</t>
  </si>
  <si>
    <t>Net Revenues</t>
  </si>
  <si>
    <t>Cash Flows</t>
  </si>
  <si>
    <t>Payback period:</t>
  </si>
  <si>
    <t>Optimistic assumption</t>
  </si>
  <si>
    <t>Taxes (Considering depreciation allowances)</t>
  </si>
  <si>
    <t>Dep Value</t>
  </si>
  <si>
    <t>SOURCE</t>
  </si>
  <si>
    <t>Corporate Taxes</t>
  </si>
  <si>
    <t>Cost per MWh Generated</t>
  </si>
  <si>
    <t>Project IRR</t>
  </si>
  <si>
    <t>Parameters for electricity generation</t>
  </si>
  <si>
    <t>Returns Paramenters</t>
  </si>
  <si>
    <t>Maximum MW to be installed (based on the parameters above)</t>
  </si>
  <si>
    <t xml:space="preserve">Methane Content </t>
  </si>
  <si>
    <t>Admin costs and insurances per year</t>
  </si>
  <si>
    <t>Residual value after Technical life</t>
  </si>
  <si>
    <t>Investment</t>
  </si>
  <si>
    <t>Residual Value</t>
  </si>
  <si>
    <t>Generation of Electricity (MWh/y)</t>
  </si>
  <si>
    <t>Current EPC with Gafsa for collection system and flare</t>
  </si>
  <si>
    <t>Net Load Factor (excludes own uses and down time</t>
  </si>
  <si>
    <t>Maximum Generation of Electricity based on installed capacity</t>
  </si>
  <si>
    <t>Data Source: UNFCCC Model</t>
  </si>
  <si>
    <t>UNF CCC model and market standard</t>
  </si>
  <si>
    <t>m3 biogas generated/year</t>
  </si>
  <si>
    <t>m3 biogas collected/year</t>
  </si>
  <si>
    <t>MJ input/year- based on methane content</t>
  </si>
  <si>
    <t>Higher Heating Value for Methane (MJ/kg)</t>
  </si>
  <si>
    <t>Max generated per MW installed</t>
  </si>
  <si>
    <t>Maximum MWh-thermal/year</t>
  </si>
  <si>
    <t>Adjusted MWh electric to Engine characteristics</t>
  </si>
  <si>
    <t>Price per Engine of 1MW</t>
  </si>
  <si>
    <t>Auxilliars</t>
  </si>
  <si>
    <t>Civil Works</t>
  </si>
  <si>
    <t>Transport</t>
  </si>
  <si>
    <t>Jenbacher Engines</t>
  </si>
  <si>
    <r>
      <t>Density 298K, 1 atm  for Methane  (kg/m</t>
    </r>
    <r>
      <rPr>
        <sz val="9"/>
        <rFont val="Calibri"/>
        <family val="2"/>
      </rPr>
      <t>3)</t>
    </r>
  </si>
  <si>
    <t>Flare</t>
  </si>
  <si>
    <t>Hofstetter</t>
  </si>
  <si>
    <t>Work already done by Gafsa</t>
  </si>
  <si>
    <t>Hofstetter contract and invoices</t>
  </si>
  <si>
    <t>Import duty on equipment</t>
  </si>
  <si>
    <t>Already paid for Hofstetter flares as per invoices in Ukraine</t>
  </si>
  <si>
    <t>To cover accountant, Serhiy and insurance (currently our costs are much higher than that)</t>
  </si>
  <si>
    <t>Pro and post treatment</t>
  </si>
  <si>
    <t>Note</t>
  </si>
  <si>
    <t>Period</t>
  </si>
  <si>
    <t>USD Exch.Rate**</t>
  </si>
  <si>
    <t>EURO Exch.Rate**</t>
  </si>
  <si>
    <t>Applicable Price***, USD MWhr</t>
  </si>
  <si>
    <t>Applicable Price***, EURO MWhr</t>
  </si>
  <si>
    <t>Investment started</t>
  </si>
  <si>
    <t>** - official foreign currency exchange on the specified date by NBU (the National Bank of Ukraine)</t>
  </si>
  <si>
    <t>Link: http://www.bank.gov.ua/</t>
  </si>
  <si>
    <t>k</t>
  </si>
  <si>
    <t>Max. Purchase Price*, UAH MWhr</t>
  </si>
  <si>
    <t>Link:  http://www.er.energy.gov.ua/doc.php?c=5&amp;wid=d43a33f5784b136572036d75927cfea7</t>
  </si>
  <si>
    <t>*** - Applied coefficient = 1.0</t>
  </si>
  <si>
    <t>* - Average Wholesale Electricity Market price (purchase), by WEM</t>
    <phoneticPr fontId="13" type="noConversion"/>
  </si>
  <si>
    <t>Investment Analysis for the Power Generation Option for Lviv LFG Project</t>
    <phoneticPr fontId="3" type="noConversion"/>
  </si>
  <si>
    <t>+10% in Capital Cost</t>
    <phoneticPr fontId="13" type="noConversion"/>
  </si>
  <si>
    <t>+10% in Operational Cost</t>
    <phoneticPr fontId="13" type="noConversion"/>
  </si>
  <si>
    <t>+10% in Power Tariff</t>
    <phoneticPr fontId="13" type="noConversion"/>
  </si>
  <si>
    <t>Reference Case</t>
    <phoneticPr fontId="13" type="noConversion"/>
  </si>
  <si>
    <t>Capital Cost</t>
    <phoneticPr fontId="13" type="noConversion"/>
  </si>
  <si>
    <t>Operational Cost</t>
    <phoneticPr fontId="13" type="noConversion"/>
  </si>
  <si>
    <t>Power Tariff</t>
    <phoneticPr fontId="13" type="noConversion"/>
  </si>
  <si>
    <r>
      <t xml:space="preserve">Investment Analysis for the Power Generation Option for Lviv LFG Project </t>
    </r>
    <r>
      <rPr>
        <sz val="11"/>
        <rFont val="Calibri"/>
        <family val="2"/>
      </rPr>
      <t>(in US$)</t>
    </r>
    <phoneticPr fontId="3" type="noConversion"/>
  </si>
  <si>
    <t>Unit</t>
    <phoneticPr fontId="13" type="noConversion"/>
  </si>
  <si>
    <t>US$/MWh</t>
    <phoneticPr fontId="13" type="noConversion"/>
  </si>
  <si>
    <t>US$/MW</t>
    <phoneticPr fontId="13" type="noConversion"/>
  </si>
  <si>
    <t>Sensitivity Analysis</t>
    <phoneticPr fontId="13" type="noConversion"/>
  </si>
  <si>
    <t>-10% in Capital Cost</t>
    <phoneticPr fontId="13" type="noConversion"/>
  </si>
  <si>
    <t>-10% in Operational Cost</t>
    <phoneticPr fontId="13" type="noConversion"/>
  </si>
  <si>
    <t>-10% in Power Tariff</t>
    <phoneticPr fontId="13" type="noConversion"/>
  </si>
  <si>
    <t>Scenarios</t>
    <phoneticPr fontId="13" type="noConversion"/>
  </si>
  <si>
    <t>Value</t>
    <phoneticPr fontId="13" type="noConversion"/>
  </si>
  <si>
    <t>Project IRR</t>
    <phoneticPr fontId="13" type="noConversion"/>
  </si>
  <si>
    <t>http://www.pwc.com/extweb/insights.nsf/docid/2C64CA11D624A80F80256F1000551884</t>
  </si>
  <si>
    <t xml:space="preserve">Ukraine tax rate reference: </t>
  </si>
  <si>
    <t>Into EPC</t>
  </si>
  <si>
    <t>Under Gafsa EPC</t>
  </si>
  <si>
    <t>10% plus for MW installed</t>
  </si>
  <si>
    <t>EPC</t>
  </si>
  <si>
    <t>AMOUNTS ARE IN USD</t>
  </si>
  <si>
    <t>Third party Estimation on costs: A&amp;C. We use the lowest value to cover all gen O&amp;M</t>
  </si>
  <si>
    <t>Ukraine Depreciation rate for engines</t>
  </si>
  <si>
    <t>Net Load Factor (includes own uses and down time)</t>
  </si>
  <si>
    <t>We are being conservative by not assuming any costs related to the collection system , when we estimate that it will be additionally another  $150k per year</t>
  </si>
  <si>
    <t>Not known so conservative approach is being taken by considering it to be "zero"</t>
  </si>
  <si>
    <t>Estimation: Calculated as the value tha maximises returns. Cell D64</t>
  </si>
  <si>
    <t>We are being conservative and round numbers down</t>
  </si>
  <si>
    <t>Calculation</t>
  </si>
  <si>
    <t>Calculated</t>
  </si>
  <si>
    <t>Consisent with UNFCCC model assumption</t>
  </si>
  <si>
    <t>Internal costs to cover accoutant and insurance (it is very conservative as the current admin costs are much higher than this assumption)</t>
  </si>
  <si>
    <t>Constant.  Source: http://faculty.engineering.ucdavis.edu/jenkins/CBC/Calculator/index.html</t>
  </si>
  <si>
    <t>A&amp;C report for Jenbacher engines (Table 8)</t>
  </si>
  <si>
    <t>In A&amp;C report (Table 9), the figure is $895,000</t>
  </si>
  <si>
    <t>In A&amp;C report (Table 9), the figure is $322,125</t>
  </si>
  <si>
    <t>In A&amp;C report (Table 9), the figure is ~$305,000</t>
  </si>
  <si>
    <t>Date</t>
  </si>
  <si>
    <t>On credits *</t>
  </si>
  <si>
    <t>On deposits</t>
  </si>
  <si>
    <t>in national currency</t>
  </si>
  <si>
    <t>in foreign exchange</t>
  </si>
  <si>
    <t>integral</t>
  </si>
  <si>
    <t>incl. on term credits in national currency</t>
  </si>
  <si>
    <t>National Bank of Ukraine - Interest Rates for 2008 June</t>
  </si>
  <si>
    <t>Source: http://www.bank.gov.ua/Engl/STATIST/DAILY/2009/Procentlastb_2009.htm</t>
  </si>
  <si>
    <t>Note that this web page will show the current month. Click the year at the top to download the historic date</t>
  </si>
  <si>
    <t>For conservativeness, the lowest interest rate of June 2009 was selelected as a benchmark.</t>
  </si>
  <si>
    <t>The investment decision was made in July 2008.  Hence, it is reasonable to use the previous month (2008 June) as the reference point.</t>
  </si>
  <si>
    <t>Since the loan will be made in national currency, the interest rate for national currency is used.</t>
  </si>
  <si>
    <t>This is consistent with the project agreement signed between Gafsa and the municipality (i.e., a 15-year agreement).</t>
  </si>
  <si>
    <t>This is a conversative assumption considering that availability of engines are 90% and the parasitic load (internal consumption) is about 5% in general.</t>
  </si>
  <si>
    <t>Jun 2008 to Jan 2009 Average (US$)</t>
  </si>
  <si>
    <t>Jun 2008 to Jan 2009 Maximum (US$)</t>
  </si>
  <si>
    <t>Maximum Purchase Price is the highest electricity tariff paid by consumers in Ukraine - Wholesale Electricity Market (WEM) Statistics</t>
  </si>
  <si>
    <t>Maximum number of hours in a year</t>
  </si>
  <si>
    <t>Higher Heating Value for methane (MJ/kg)</t>
  </si>
  <si>
    <t>Energy Content of LFG</t>
  </si>
  <si>
    <t>Higher Heating Value for methane (kJ/m3)</t>
  </si>
  <si>
    <t>Energy Content of LFG (MJ/m^3)</t>
  </si>
  <si>
    <r>
      <t>Density 298K, 1 atm  for methane  (kg/m^</t>
    </r>
    <r>
      <rPr>
        <sz val="9"/>
        <rFont val="Calibri"/>
        <family val="2"/>
      </rPr>
      <t>3)</t>
    </r>
  </si>
  <si>
    <t>Higher Heating Value for methane (kJ/m^3)</t>
  </si>
  <si>
    <t>Given that the technical life time of the engine is 25 years (conservative assumption), the residual value should be calculated based on "technical life time minus project life time (i.e., 25 years - 15 years = 10 years)".</t>
  </si>
  <si>
    <t>Net energy efficiency of the generator</t>
  </si>
  <si>
    <t>Alternative 1</t>
  </si>
  <si>
    <t>Maximum power tariff for the period between 2008 Jun and 2009 Jan.  Refer to the historic tariff in 'WEM-tariffs' worksheet</t>
  </si>
  <si>
    <t>Price of Engine and Associated Costs</t>
  </si>
  <si>
    <t>Source: Andrade And Canellas Report 2009</t>
  </si>
  <si>
    <t>USD</t>
  </si>
  <si>
    <t>BRL</t>
  </si>
  <si>
    <t>Quote Converted into USD</t>
  </si>
  <si>
    <t>Quote in Report in Brazilian Reais</t>
  </si>
  <si>
    <t>1US =</t>
  </si>
  <si>
    <t>Exchange Rate</t>
  </si>
  <si>
    <t>Source: www.xe.com (Exchange rate as of 2009-07-30)</t>
  </si>
  <si>
    <t>Source: A&amp;C Report (Table page 28)</t>
  </si>
  <si>
    <t>Note that the price in the table show the unit price for the engine but the price of auxiliars and civil works is based on 4 engines, hence the price was divided by four.</t>
  </si>
</sst>
</file>

<file path=xl/styles.xml><?xml version="1.0" encoding="utf-8"?>
<styleSheet xmlns="http://schemas.openxmlformats.org/spreadsheetml/2006/main">
  <numFmts count="23">
    <numFmt numFmtId="164" formatCode="_-* #,##0.00_-;\-* #,##0.00_-;_-* &quot;-&quot;??_-;_-@_-"/>
    <numFmt numFmtId="165" formatCode="_-[$$-409]* #,##0.00_ ;_-[$$-409]* \-#,##0.00\ ;_-[$$-409]* &quot;-&quot;??_ ;_-@_ "/>
    <numFmt numFmtId="166" formatCode="#,##0.00_);[Red]\(#,##0.00\);\-_)"/>
    <numFmt numFmtId="167" formatCode="_-[$$-340A]\ * #,##0_-;\-[$$-340A]\ * #,##0_-;_-[$$-340A]\ * &quot;-&quot;_-;_-@_-"/>
    <numFmt numFmtId="168" formatCode="_-[$$-1009]* #,##0.00_-;\-[$$-1009]* #,##0.00_-;_-[$$-1009]* &quot;-&quot;??_-;_-@_-"/>
    <numFmt numFmtId="169" formatCode="#,##0.000_);[Red]\(#,##0.000\);\-_)"/>
    <numFmt numFmtId="170" formatCode="_-* #,##0_-;\-* #,##0_-;_-* &quot;-&quot;??_-;_-@_-"/>
    <numFmt numFmtId="171" formatCode="_-[$€-2]* #,##0.00_-;\-[$€-2]* #,##0.00_-;_-[$€-2]* &quot;-&quot;??_-"/>
    <numFmt numFmtId="172" formatCode="#,##0.0_);[Red]\(#,##0.0\);\-_)"/>
    <numFmt numFmtId="173" formatCode="#,##0_);[Red]\(#,##0\);\-_)"/>
    <numFmt numFmtId="174" formatCode="[$$-C09]#,##0.00;[Red][$$-C09]#,##0.00"/>
    <numFmt numFmtId="175" formatCode="0.0%"/>
    <numFmt numFmtId="176" formatCode="#,##0.0000_);[Red]\(#,##0.0000\);\-_)"/>
    <numFmt numFmtId="177" formatCode="[$-F800]dddd\,\ mmmm\ dd\,\ yyyy"/>
    <numFmt numFmtId="178" formatCode="#,##0.00[$₴-422];[Red]\-#,##0.00[$₴-422]"/>
    <numFmt numFmtId="179" formatCode="0.0000"/>
    <numFmt numFmtId="180" formatCode="[$$-409]#,##0.00_ ;[Red]\-[$$-409]#,##0.00\ "/>
    <numFmt numFmtId="181" formatCode="[$€-2]\ #,##0.00;[Red]\-[$€-2]\ #,##0.00"/>
    <numFmt numFmtId="182" formatCode="[$$-C09]#,##0.0;[Red][$$-C09]#,##0.0"/>
    <numFmt numFmtId="183" formatCode="_-[$$-1009]* #,##0.0_-;\-[$$-1009]* #,##0.0_-;_-[$$-1009]* &quot;-&quot;??_-;_-@_-"/>
    <numFmt numFmtId="184" formatCode="_-[$$-C09]* #,##0.00_-;\-[$$-C09]* #,##0.00_-;_-[$$-C09]* &quot;-&quot;??_-;_-@_-"/>
    <numFmt numFmtId="185" formatCode="_-[$$-409]* #,##0_ ;_-[$$-409]* \-#,##0\ ;_-[$$-409]* &quot;-&quot;??_ ;_-@_ "/>
    <numFmt numFmtId="186" formatCode="_-[$$-409]* #,##0.0_ ;_-[$$-409]* \-#,##0.0\ ;_-[$$-409]* &quot;-&quot;?_ ;_-@_ "/>
  </numFmts>
  <fonts count="26">
    <font>
      <sz val="11"/>
      <color theme="1"/>
      <name val="Calibri"/>
      <family val="2"/>
      <scheme val="minor"/>
    </font>
    <font>
      <sz val="11"/>
      <color indexed="8"/>
      <name val="Calibri"/>
      <family val="2"/>
    </font>
    <font>
      <sz val="10"/>
      <name val="Arial"/>
      <family val="2"/>
    </font>
    <font>
      <sz val="8"/>
      <name val="Calibri"/>
      <family val="2"/>
    </font>
    <font>
      <u/>
      <sz val="8"/>
      <name val="Calibri"/>
      <family val="2"/>
    </font>
    <font>
      <b/>
      <sz val="8"/>
      <name val="Calibri"/>
      <family val="2"/>
    </font>
    <font>
      <sz val="8"/>
      <color indexed="9"/>
      <name val="Calibri"/>
      <family val="2"/>
    </font>
    <font>
      <i/>
      <sz val="8"/>
      <name val="Calibri"/>
      <family val="2"/>
    </font>
    <font>
      <b/>
      <sz val="8"/>
      <color indexed="10"/>
      <name val="Calibri"/>
      <family val="2"/>
    </font>
    <font>
      <b/>
      <sz val="9"/>
      <color indexed="10"/>
      <name val="Calibri"/>
      <family val="2"/>
    </font>
    <font>
      <sz val="9"/>
      <color indexed="81"/>
      <name val="Tahoma"/>
      <family val="2"/>
    </font>
    <font>
      <sz val="9"/>
      <name val="Calibri"/>
      <family val="2"/>
    </font>
    <font>
      <b/>
      <sz val="11"/>
      <color indexed="56"/>
      <name val="Calibri"/>
      <family val="2"/>
    </font>
    <font>
      <sz val="9"/>
      <name val="Calibri"/>
      <family val="3"/>
      <charset val="134"/>
    </font>
    <font>
      <i/>
      <sz val="11"/>
      <color indexed="56"/>
      <name val="Calibri"/>
      <family val="2"/>
    </font>
    <font>
      <b/>
      <sz val="10"/>
      <color indexed="8"/>
      <name val="Calibri"/>
      <family val="2"/>
    </font>
    <font>
      <b/>
      <sz val="11"/>
      <color indexed="8"/>
      <name val="Calibri"/>
      <family val="2"/>
    </font>
    <font>
      <b/>
      <sz val="8"/>
      <color indexed="81"/>
      <name val="Tahoma"/>
      <family val="2"/>
    </font>
    <font>
      <sz val="8"/>
      <color indexed="81"/>
      <name val="Tahoma"/>
      <family val="2"/>
    </font>
    <font>
      <sz val="11"/>
      <color indexed="10"/>
      <name val="Calibri"/>
      <family val="2"/>
    </font>
    <font>
      <b/>
      <sz val="11"/>
      <name val="Calibri"/>
      <family val="2"/>
    </font>
    <font>
      <sz val="11"/>
      <name val="Calibri"/>
      <family val="2"/>
    </font>
    <font>
      <sz val="8"/>
      <color indexed="10"/>
      <name val="Calibri"/>
      <family val="2"/>
    </font>
    <font>
      <sz val="9"/>
      <color indexed="8"/>
      <name val="Calibri"/>
      <family val="2"/>
    </font>
    <font>
      <sz val="8"/>
      <color indexed="81"/>
      <name val="Tahoma"/>
      <charset val="1"/>
    </font>
    <font>
      <b/>
      <sz val="8"/>
      <color indexed="81"/>
      <name val="Tahoma"/>
      <charset val="1"/>
    </font>
  </fonts>
  <fills count="1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18"/>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55"/>
        <bgColor indexed="64"/>
      </patternFill>
    </fill>
    <fill>
      <patternFill patternType="solid">
        <fgColor indexed="53"/>
        <bgColor indexed="64"/>
      </patternFill>
    </fill>
  </fills>
  <borders count="37">
    <border>
      <left/>
      <right/>
      <top/>
      <bottom/>
      <diagonal/>
    </border>
    <border>
      <left/>
      <right/>
      <top/>
      <bottom style="double">
        <color indexed="64"/>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57"/>
      </left>
      <right style="thin">
        <color indexed="57"/>
      </right>
      <top style="thin">
        <color indexed="57"/>
      </top>
      <bottom style="thin">
        <color indexed="57"/>
      </bottom>
      <diagonal/>
    </border>
    <border>
      <left/>
      <right style="thin">
        <color indexed="57"/>
      </right>
      <top style="thin">
        <color indexed="57"/>
      </top>
      <bottom style="thin">
        <color indexed="57"/>
      </bottom>
      <diagonal/>
    </border>
    <border>
      <left style="medium">
        <color indexed="64"/>
      </left>
      <right style="thin">
        <color indexed="57"/>
      </right>
      <top style="thin">
        <color indexed="57"/>
      </top>
      <bottom style="thin">
        <color indexed="57"/>
      </bottom>
      <diagonal/>
    </border>
    <border>
      <left style="thin">
        <color indexed="57"/>
      </left>
      <right style="medium">
        <color indexed="64"/>
      </right>
      <top style="thin">
        <color indexed="57"/>
      </top>
      <bottom style="thin">
        <color indexed="57"/>
      </bottom>
      <diagonal/>
    </border>
    <border>
      <left style="medium">
        <color indexed="64"/>
      </left>
      <right style="thin">
        <color indexed="57"/>
      </right>
      <top style="thin">
        <color indexed="57"/>
      </top>
      <bottom style="medium">
        <color indexed="64"/>
      </bottom>
      <diagonal/>
    </border>
    <border>
      <left style="thin">
        <color indexed="57"/>
      </left>
      <right style="thin">
        <color indexed="57"/>
      </right>
      <top style="thin">
        <color indexed="57"/>
      </top>
      <bottom style="medium">
        <color indexed="64"/>
      </bottom>
      <diagonal/>
    </border>
    <border>
      <left style="thin">
        <color indexed="57"/>
      </left>
      <right style="medium">
        <color indexed="64"/>
      </right>
      <top style="thin">
        <color indexed="57"/>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57"/>
      </bottom>
      <diagonal/>
    </border>
    <border>
      <left style="medium">
        <color indexed="64"/>
      </left>
      <right/>
      <top style="thin">
        <color indexed="57"/>
      </top>
      <bottom style="thin">
        <color indexed="57"/>
      </bottom>
      <diagonal/>
    </border>
    <border>
      <left style="medium">
        <color indexed="64"/>
      </left>
      <right/>
      <top style="thin">
        <color indexed="57"/>
      </top>
      <bottom style="medium">
        <color indexed="64"/>
      </bottom>
      <diagonal/>
    </border>
    <border>
      <left/>
      <right style="thin">
        <color indexed="57"/>
      </right>
      <top style="thin">
        <color indexed="57"/>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57"/>
      </bottom>
      <diagonal/>
    </border>
    <border>
      <left/>
      <right/>
      <top style="medium">
        <color indexed="64"/>
      </top>
      <bottom style="thin">
        <color indexed="57"/>
      </bottom>
      <diagonal/>
    </border>
    <border>
      <left/>
      <right style="medium">
        <color indexed="64"/>
      </right>
      <top style="medium">
        <color indexed="64"/>
      </top>
      <bottom style="thin">
        <color indexed="57"/>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171" fontId="2" fillId="0" borderId="0" applyFont="0" applyFill="0" applyBorder="0" applyAlignment="0" applyProtection="0"/>
    <xf numFmtId="166" fontId="2" fillId="0" borderId="0" applyFont="0" applyFill="0" applyBorder="0" applyAlignment="0" applyProtection="0"/>
    <xf numFmtId="9" fontId="1" fillId="0" borderId="0" applyFont="0" applyFill="0" applyBorder="0" applyAlignment="0" applyProtection="0"/>
  </cellStyleXfs>
  <cellXfs count="131">
    <xf numFmtId="0" fontId="0" fillId="0" borderId="0" xfId="0"/>
    <xf numFmtId="0" fontId="3" fillId="2" borderId="1" xfId="0" applyFont="1" applyFill="1" applyBorder="1"/>
    <xf numFmtId="0" fontId="3" fillId="2" borderId="0" xfId="0" applyFont="1" applyFill="1"/>
    <xf numFmtId="165" fontId="3" fillId="3" borderId="2" xfId="1" applyNumberFormat="1" applyFont="1" applyFill="1" applyBorder="1"/>
    <xf numFmtId="166" fontId="3" fillId="3" borderId="2" xfId="1" applyNumberFormat="1" applyFont="1" applyFill="1" applyBorder="1"/>
    <xf numFmtId="9" fontId="3" fillId="3" borderId="2" xfId="4" applyFont="1" applyFill="1" applyBorder="1"/>
    <xf numFmtId="0" fontId="3" fillId="2" borderId="0" xfId="0" applyFont="1" applyFill="1" applyAlignment="1">
      <alignment horizontal="center"/>
    </xf>
    <xf numFmtId="169" fontId="3" fillId="3" borderId="2" xfId="1" applyNumberFormat="1" applyFont="1" applyFill="1" applyBorder="1"/>
    <xf numFmtId="0" fontId="4" fillId="2" borderId="0" xfId="0" applyFont="1" applyFill="1"/>
    <xf numFmtId="0" fontId="3" fillId="2" borderId="0" xfId="0" applyFont="1" applyFill="1" applyAlignment="1">
      <alignment horizontal="right"/>
    </xf>
    <xf numFmtId="9" fontId="3" fillId="2" borderId="0" xfId="0" applyNumberFormat="1" applyFont="1" applyFill="1"/>
    <xf numFmtId="17" fontId="6" fillId="4" borderId="0" xfId="3" applyNumberFormat="1" applyFont="1" applyFill="1" applyAlignment="1">
      <alignment horizontal="center"/>
    </xf>
    <xf numFmtId="168" fontId="3" fillId="2" borderId="0" xfId="0" applyNumberFormat="1" applyFont="1" applyFill="1"/>
    <xf numFmtId="172" fontId="3" fillId="5" borderId="2" xfId="1" applyNumberFormat="1" applyFont="1" applyFill="1" applyBorder="1"/>
    <xf numFmtId="164" fontId="3" fillId="2" borderId="0" xfId="1" applyFont="1" applyFill="1"/>
    <xf numFmtId="172" fontId="3" fillId="3" borderId="2" xfId="1" applyNumberFormat="1" applyFont="1" applyFill="1" applyBorder="1"/>
    <xf numFmtId="164" fontId="3" fillId="5" borderId="2" xfId="1" applyFont="1" applyFill="1" applyBorder="1"/>
    <xf numFmtId="170" fontId="3" fillId="5" borderId="2" xfId="1" applyNumberFormat="1" applyFont="1" applyFill="1" applyBorder="1"/>
    <xf numFmtId="0" fontId="7" fillId="2" borderId="0" xfId="0" applyFont="1" applyFill="1"/>
    <xf numFmtId="174" fontId="3" fillId="3" borderId="2" xfId="1" applyNumberFormat="1" applyFont="1" applyFill="1" applyBorder="1"/>
    <xf numFmtId="0" fontId="8" fillId="6" borderId="1" xfId="0" applyFont="1" applyFill="1" applyBorder="1" applyAlignment="1">
      <alignment horizontal="center"/>
    </xf>
    <xf numFmtId="170" fontId="3" fillId="2" borderId="0" xfId="1" applyNumberFormat="1" applyFont="1" applyFill="1"/>
    <xf numFmtId="172" fontId="3" fillId="2" borderId="2" xfId="1" applyNumberFormat="1" applyFont="1" applyFill="1" applyBorder="1"/>
    <xf numFmtId="164" fontId="3" fillId="2" borderId="0" xfId="0" applyNumberFormat="1" applyFont="1" applyFill="1"/>
    <xf numFmtId="173" fontId="3" fillId="7" borderId="2" xfId="1" applyNumberFormat="1" applyFont="1" applyFill="1" applyBorder="1"/>
    <xf numFmtId="167" fontId="3" fillId="2" borderId="0" xfId="0" applyNumberFormat="1" applyFont="1" applyFill="1"/>
    <xf numFmtId="167" fontId="3" fillId="2" borderId="1" xfId="0" applyNumberFormat="1" applyFont="1" applyFill="1" applyBorder="1"/>
    <xf numFmtId="10" fontId="9" fillId="8" borderId="0" xfId="0" applyNumberFormat="1" applyFont="1" applyFill="1"/>
    <xf numFmtId="175" fontId="3" fillId="3" borderId="2" xfId="4" applyNumberFormat="1" applyFont="1" applyFill="1" applyBorder="1"/>
    <xf numFmtId="166" fontId="3" fillId="5" borderId="2" xfId="1" applyNumberFormat="1" applyFont="1" applyFill="1" applyBorder="1"/>
    <xf numFmtId="176" fontId="3" fillId="5" borderId="2" xfId="1" applyNumberFormat="1" applyFont="1" applyFill="1" applyBorder="1"/>
    <xf numFmtId="0" fontId="5" fillId="2" borderId="0" xfId="0" applyFont="1" applyFill="1"/>
    <xf numFmtId="9" fontId="3" fillId="2" borderId="0" xfId="4" applyFont="1" applyFill="1" applyBorder="1"/>
    <xf numFmtId="9" fontId="8" fillId="4" borderId="0" xfId="0" applyNumberFormat="1" applyFont="1" applyFill="1" applyAlignment="1">
      <alignment horizontal="center"/>
    </xf>
    <xf numFmtId="10" fontId="3" fillId="2" borderId="0" xfId="4" applyNumberFormat="1" applyFont="1" applyFill="1" applyBorder="1"/>
    <xf numFmtId="10" fontId="3" fillId="2" borderId="0" xfId="0" applyNumberFormat="1" applyFont="1" applyFill="1" applyBorder="1"/>
    <xf numFmtId="174" fontId="3" fillId="2" borderId="0" xfId="1" applyNumberFormat="1" applyFont="1" applyFill="1"/>
    <xf numFmtId="167" fontId="3" fillId="5" borderId="3" xfId="1" applyNumberFormat="1" applyFont="1" applyFill="1" applyBorder="1"/>
    <xf numFmtId="167" fontId="3" fillId="2" borderId="4" xfId="0" applyNumberFormat="1" applyFont="1" applyFill="1" applyBorder="1"/>
    <xf numFmtId="10" fontId="5" fillId="2" borderId="0" xfId="4" applyNumberFormat="1" applyFont="1" applyFill="1" applyBorder="1"/>
    <xf numFmtId="0" fontId="12" fillId="3" borderId="5" xfId="0" applyFont="1" applyFill="1" applyBorder="1" applyAlignment="1">
      <alignment vertical="center" wrapText="1"/>
    </xf>
    <xf numFmtId="0" fontId="12" fillId="3" borderId="6" xfId="0" applyFont="1" applyFill="1" applyBorder="1" applyAlignment="1">
      <alignment vertical="center" wrapText="1"/>
    </xf>
    <xf numFmtId="0" fontId="12" fillId="3" borderId="7" xfId="0" applyFont="1" applyFill="1" applyBorder="1" applyAlignment="1">
      <alignment vertical="center" wrapText="1"/>
    </xf>
    <xf numFmtId="0" fontId="0" fillId="2" borderId="0" xfId="0" applyFill="1" applyAlignment="1">
      <alignment vertical="center" wrapText="1"/>
    </xf>
    <xf numFmtId="0" fontId="0" fillId="2" borderId="8" xfId="0" applyFill="1" applyBorder="1"/>
    <xf numFmtId="177" fontId="0" fillId="2" borderId="9" xfId="0" applyNumberFormat="1" applyFill="1" applyBorder="1"/>
    <xf numFmtId="178" fontId="0" fillId="2" borderId="9" xfId="0" applyNumberFormat="1" applyFill="1" applyBorder="1"/>
    <xf numFmtId="179" fontId="0" fillId="2" borderId="9" xfId="0" applyNumberFormat="1" applyFill="1" applyBorder="1"/>
    <xf numFmtId="0" fontId="0" fillId="2" borderId="9" xfId="0" applyFill="1" applyBorder="1"/>
    <xf numFmtId="181" fontId="0" fillId="2" borderId="10" xfId="0" applyNumberFormat="1" applyFill="1" applyBorder="1"/>
    <xf numFmtId="0" fontId="0" fillId="2" borderId="0" xfId="0" applyFill="1"/>
    <xf numFmtId="0" fontId="0" fillId="2" borderId="11" xfId="0" applyFill="1" applyBorder="1"/>
    <xf numFmtId="177" fontId="0" fillId="2" borderId="0" xfId="0" applyNumberFormat="1" applyFill="1" applyBorder="1"/>
    <xf numFmtId="178" fontId="0" fillId="2" borderId="0" xfId="0" applyNumberFormat="1" applyFill="1" applyBorder="1"/>
    <xf numFmtId="179" fontId="0" fillId="2" borderId="0" xfId="0" applyNumberFormat="1" applyFill="1" applyBorder="1"/>
    <xf numFmtId="0" fontId="0" fillId="2" borderId="0" xfId="0" applyFill="1" applyBorder="1"/>
    <xf numFmtId="180" fontId="0" fillId="2" borderId="0" xfId="0" applyNumberFormat="1" applyFill="1" applyBorder="1"/>
    <xf numFmtId="181" fontId="0" fillId="2" borderId="12" xfId="0" applyNumberFormat="1" applyFill="1" applyBorder="1"/>
    <xf numFmtId="0" fontId="14" fillId="2" borderId="11" xfId="0" applyFont="1" applyFill="1" applyBorder="1"/>
    <xf numFmtId="0" fontId="14" fillId="2" borderId="13" xfId="0" applyFont="1" applyFill="1" applyBorder="1"/>
    <xf numFmtId="177" fontId="0" fillId="2" borderId="14" xfId="0" applyNumberFormat="1" applyFill="1" applyBorder="1"/>
    <xf numFmtId="178" fontId="0" fillId="2" borderId="14" xfId="0" applyNumberFormat="1" applyFill="1" applyBorder="1"/>
    <xf numFmtId="179" fontId="0" fillId="2" borderId="14" xfId="0" applyNumberFormat="1" applyFill="1" applyBorder="1"/>
    <xf numFmtId="0" fontId="0" fillId="2" borderId="14" xfId="0" applyFill="1" applyBorder="1"/>
    <xf numFmtId="181" fontId="0" fillId="2" borderId="15" xfId="0" applyNumberFormat="1" applyFill="1" applyBorder="1"/>
    <xf numFmtId="180" fontId="16" fillId="3" borderId="16" xfId="0" applyNumberFormat="1" applyFont="1" applyFill="1" applyBorder="1"/>
    <xf numFmtId="182" fontId="3" fillId="3" borderId="2" xfId="1" applyNumberFormat="1" applyFont="1" applyFill="1" applyBorder="1"/>
    <xf numFmtId="183" fontId="3" fillId="2" borderId="0" xfId="0" applyNumberFormat="1" applyFont="1" applyFill="1"/>
    <xf numFmtId="0" fontId="19" fillId="2" borderId="0" xfId="0" applyFont="1" applyFill="1"/>
    <xf numFmtId="180" fontId="0" fillId="2" borderId="0" xfId="0" applyNumberFormat="1" applyFill="1"/>
    <xf numFmtId="0" fontId="14" fillId="2" borderId="0" xfId="0" applyFont="1" applyFill="1" applyBorder="1"/>
    <xf numFmtId="181" fontId="0" fillId="2" borderId="0" xfId="0" applyNumberFormat="1" applyFill="1" applyBorder="1"/>
    <xf numFmtId="0" fontId="16" fillId="2" borderId="0" xfId="0" applyFont="1" applyFill="1"/>
    <xf numFmtId="0" fontId="20" fillId="2" borderId="0" xfId="0" applyFont="1" applyFill="1"/>
    <xf numFmtId="170" fontId="0" fillId="0" borderId="0" xfId="1" applyNumberFormat="1" applyFont="1"/>
    <xf numFmtId="164" fontId="0" fillId="0" borderId="0" xfId="1" applyNumberFormat="1" applyFont="1"/>
    <xf numFmtId="0" fontId="16" fillId="0" borderId="0" xfId="0" applyFont="1"/>
    <xf numFmtId="0" fontId="0" fillId="0" borderId="17" xfId="0" applyBorder="1" applyAlignment="1">
      <alignment horizontal="center"/>
    </xf>
    <xf numFmtId="0" fontId="0" fillId="0" borderId="17" xfId="0" applyBorder="1"/>
    <xf numFmtId="170" fontId="0" fillId="0" borderId="17" xfId="1" applyNumberFormat="1" applyFont="1" applyBorder="1"/>
    <xf numFmtId="164" fontId="0" fillId="0" borderId="17" xfId="1" applyNumberFormat="1" applyFont="1" applyBorder="1"/>
    <xf numFmtId="0" fontId="16" fillId="0" borderId="17" xfId="0" applyFont="1" applyBorder="1" applyAlignment="1">
      <alignment horizontal="center"/>
    </xf>
    <xf numFmtId="0" fontId="0" fillId="0" borderId="17" xfId="0" quotePrefix="1" applyBorder="1" applyAlignment="1">
      <alignment horizontal="center"/>
    </xf>
    <xf numFmtId="0" fontId="16" fillId="0" borderId="17" xfId="0" applyFont="1" applyFill="1" applyBorder="1" applyAlignment="1">
      <alignment horizontal="center"/>
    </xf>
    <xf numFmtId="10" fontId="0" fillId="0" borderId="17" xfId="0" applyNumberFormat="1" applyBorder="1" applyAlignment="1">
      <alignment horizontal="center"/>
    </xf>
    <xf numFmtId="0" fontId="22" fillId="2" borderId="0" xfId="0" applyFont="1" applyFill="1"/>
    <xf numFmtId="0" fontId="3" fillId="2" borderId="0" xfId="0" applyFont="1" applyFill="1" applyBorder="1"/>
    <xf numFmtId="0" fontId="5" fillId="2" borderId="0" xfId="0" applyFont="1" applyFill="1" applyBorder="1"/>
    <xf numFmtId="9" fontId="3" fillId="2" borderId="0" xfId="0" applyNumberFormat="1" applyFont="1" applyFill="1" applyBorder="1"/>
    <xf numFmtId="167" fontId="5" fillId="2" borderId="0" xfId="0" applyNumberFormat="1" applyFont="1" applyFill="1" applyBorder="1"/>
    <xf numFmtId="9" fontId="5" fillId="2" borderId="0" xfId="4" applyFont="1" applyFill="1" applyBorder="1"/>
    <xf numFmtId="164" fontId="3" fillId="2" borderId="0" xfId="1" applyFont="1" applyFill="1" applyBorder="1"/>
    <xf numFmtId="164" fontId="3" fillId="2" borderId="0" xfId="0" applyNumberFormat="1" applyFont="1" applyFill="1" applyBorder="1"/>
    <xf numFmtId="164" fontId="5" fillId="2" borderId="0" xfId="1" applyFont="1" applyFill="1" applyBorder="1"/>
    <xf numFmtId="175" fontId="3" fillId="2" borderId="0" xfId="0" applyNumberFormat="1" applyFont="1" applyFill="1" applyBorder="1"/>
    <xf numFmtId="0" fontId="3" fillId="2" borderId="0" xfId="0" applyFont="1" applyFill="1" applyBorder="1" applyAlignment="1">
      <alignment horizontal="left" indent="1"/>
    </xf>
    <xf numFmtId="174" fontId="3" fillId="9" borderId="2" xfId="1" applyNumberFormat="1" applyFont="1" applyFill="1" applyBorder="1"/>
    <xf numFmtId="184" fontId="3" fillId="9" borderId="2" xfId="1" applyNumberFormat="1" applyFont="1" applyFill="1" applyBorder="1"/>
    <xf numFmtId="182" fontId="3" fillId="9" borderId="2" xfId="1" applyNumberFormat="1" applyFont="1" applyFill="1" applyBorder="1"/>
    <xf numFmtId="167" fontId="3" fillId="9" borderId="3" xfId="1" applyNumberFormat="1" applyFont="1" applyFill="1" applyBorder="1"/>
    <xf numFmtId="185" fontId="3" fillId="3" borderId="2" xfId="1" applyNumberFormat="1" applyFont="1" applyFill="1" applyBorder="1"/>
    <xf numFmtId="185" fontId="3" fillId="5" borderId="3" xfId="1" applyNumberFormat="1" applyFont="1" applyFill="1" applyBorder="1"/>
    <xf numFmtId="186" fontId="3" fillId="2" borderId="0" xfId="0" applyNumberFormat="1" applyFont="1" applyFill="1"/>
    <xf numFmtId="165" fontId="3" fillId="2" borderId="0" xfId="0" applyNumberFormat="1" applyFont="1" applyFill="1"/>
    <xf numFmtId="0" fontId="23" fillId="0" borderId="0" xfId="0" applyFont="1"/>
    <xf numFmtId="0" fontId="0" fillId="0" borderId="18" xfId="0" applyBorder="1" applyAlignment="1">
      <alignment horizontal="center" wrapText="1"/>
    </xf>
    <xf numFmtId="0" fontId="0" fillId="0" borderId="19" xfId="0" applyBorder="1" applyAlignment="1">
      <alignment horizontal="center" wrapText="1"/>
    </xf>
    <xf numFmtId="0" fontId="16" fillId="0" borderId="20" xfId="0" applyFont="1" applyBorder="1" applyAlignment="1">
      <alignment horizontal="center" wrapText="1"/>
    </xf>
    <xf numFmtId="0" fontId="0" fillId="0" borderId="21" xfId="0" applyBorder="1" applyAlignment="1">
      <alignment horizontal="center" wrapText="1"/>
    </xf>
    <xf numFmtId="0" fontId="16" fillId="6" borderId="20" xfId="0" applyFont="1" applyFill="1" applyBorder="1" applyAlignment="1">
      <alignment horizontal="center" wrapText="1"/>
    </xf>
    <xf numFmtId="0" fontId="16" fillId="0" borderId="22" xfId="0" applyFont="1" applyBorder="1" applyAlignment="1">
      <alignment horizontal="center" wrapText="1"/>
    </xf>
    <xf numFmtId="0" fontId="0" fillId="0" borderId="23" xfId="0" applyBorder="1" applyAlignment="1">
      <alignment horizontal="center" wrapText="1"/>
    </xf>
    <xf numFmtId="0" fontId="0" fillId="0" borderId="24" xfId="0" applyBorder="1" applyAlignment="1">
      <alignment horizontal="center" wrapText="1"/>
    </xf>
    <xf numFmtId="0" fontId="0" fillId="0" borderId="25" xfId="0" applyBorder="1" applyAlignment="1">
      <alignment horizontal="center" wrapText="1"/>
    </xf>
    <xf numFmtId="0" fontId="0" fillId="0" borderId="26" xfId="0" applyBorder="1" applyAlignment="1">
      <alignment horizontal="center" wrapText="1"/>
    </xf>
    <xf numFmtId="0" fontId="0" fillId="0" borderId="27" xfId="0" applyBorder="1" applyAlignment="1">
      <alignment horizontal="center" wrapText="1"/>
    </xf>
    <xf numFmtId="0" fontId="0" fillId="0" borderId="28" xfId="0" applyBorder="1" applyAlignment="1">
      <alignment horizontal="center" wrapText="1"/>
    </xf>
    <xf numFmtId="0" fontId="0" fillId="0" borderId="29" xfId="0" applyBorder="1" applyAlignment="1">
      <alignment horizontal="center" wrapText="1"/>
    </xf>
    <xf numFmtId="167" fontId="3" fillId="2" borderId="0" xfId="1" applyNumberFormat="1" applyFont="1" applyFill="1" applyBorder="1"/>
    <xf numFmtId="180" fontId="0" fillId="2" borderId="10" xfId="0" applyNumberFormat="1" applyFill="1" applyBorder="1"/>
    <xf numFmtId="180" fontId="0" fillId="2" borderId="12" xfId="0" applyNumberFormat="1" applyFill="1" applyBorder="1"/>
    <xf numFmtId="180" fontId="0" fillId="2" borderId="15" xfId="0" applyNumberFormat="1" applyFill="1" applyBorder="1"/>
    <xf numFmtId="185" fontId="3" fillId="2" borderId="0" xfId="0" applyNumberFormat="1" applyFont="1" applyFill="1"/>
    <xf numFmtId="0" fontId="3" fillId="2" borderId="0" xfId="0" applyFont="1" applyFill="1" applyAlignment="1">
      <alignment horizontal="left" vertical="center" wrapText="1"/>
    </xf>
    <xf numFmtId="0" fontId="15" fillId="2" borderId="30" xfId="0" applyFont="1" applyFill="1" applyBorder="1" applyAlignment="1">
      <alignment horizontal="center"/>
    </xf>
    <xf numFmtId="0" fontId="15" fillId="2" borderId="31" xfId="0" applyFont="1" applyFill="1" applyBorder="1" applyAlignment="1">
      <alignment horizontal="center"/>
    </xf>
    <xf numFmtId="0" fontId="0" fillId="0" borderId="32" xfId="0" applyBorder="1" applyAlignment="1">
      <alignment horizontal="center" wrapText="1"/>
    </xf>
    <xf numFmtId="0" fontId="0" fillId="0" borderId="33" xfId="0" applyBorder="1" applyAlignment="1">
      <alignment horizontal="center" wrapText="1"/>
    </xf>
    <xf numFmtId="0" fontId="0" fillId="0" borderId="34" xfId="0" applyBorder="1" applyAlignment="1">
      <alignment horizontal="center" wrapText="1"/>
    </xf>
    <xf numFmtId="0" fontId="0" fillId="0" borderId="35" xfId="0" applyBorder="1" applyAlignment="1">
      <alignment horizontal="center"/>
    </xf>
    <xf numFmtId="0" fontId="0" fillId="0" borderId="36" xfId="0" applyBorder="1" applyAlignment="1">
      <alignment horizontal="center"/>
    </xf>
  </cellXfs>
  <cellStyles count="5">
    <cellStyle name="Dezimal" xfId="1" builtinId="3"/>
    <cellStyle name="Euro" xfId="2"/>
    <cellStyle name="OperisDateOutputs" xfId="3"/>
    <cellStyle name="Prozent" xfId="4" builtinId="5"/>
    <cellStyle name="Standard"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323850</xdr:colOff>
      <xdr:row>5</xdr:row>
      <xdr:rowOff>9525</xdr:rowOff>
    </xdr:from>
    <xdr:to>
      <xdr:col>2</xdr:col>
      <xdr:colOff>638175</xdr:colOff>
      <xdr:row>7</xdr:row>
      <xdr:rowOff>114300</xdr:rowOff>
    </xdr:to>
    <xdr:sp macro="" textlink="">
      <xdr:nvSpPr>
        <xdr:cNvPr id="2" name="Right Brace 1"/>
        <xdr:cNvSpPr/>
      </xdr:nvSpPr>
      <xdr:spPr>
        <a:xfrm rot="10800000" flipH="1">
          <a:off x="2876550" y="790575"/>
          <a:ext cx="314325" cy="3905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sheetPr>
    <pageSetUpPr fitToPage="1"/>
  </sheetPr>
  <dimension ref="A2:IV88"/>
  <sheetViews>
    <sheetView tabSelected="1" topLeftCell="A16" workbookViewId="0">
      <selection activeCell="D84" sqref="D84"/>
    </sheetView>
  </sheetViews>
  <sheetFormatPr baseColWidth="10" defaultColWidth="9.140625" defaultRowHeight="11.25"/>
  <cols>
    <col min="1" max="1" width="29.140625" style="2" customWidth="1"/>
    <col min="2" max="2" width="9.140625" style="2"/>
    <col min="3" max="3" width="11.7109375" style="2" bestFit="1" customWidth="1"/>
    <col min="4" max="4" width="15.7109375" style="2" customWidth="1"/>
    <col min="5" max="5" width="9.85546875" style="2" customWidth="1"/>
    <col min="6" max="6" width="11.5703125" style="2" bestFit="1" customWidth="1"/>
    <col min="7" max="7" width="11.85546875" style="2" bestFit="1" customWidth="1"/>
    <col min="8" max="8" width="10.5703125" style="2" bestFit="1" customWidth="1"/>
    <col min="9" max="9" width="11.85546875" style="2" bestFit="1" customWidth="1"/>
    <col min="10" max="10" width="17.5703125" style="2" customWidth="1"/>
    <col min="11" max="11" width="14.42578125" style="2" customWidth="1"/>
    <col min="12" max="12" width="12.42578125" style="2" bestFit="1" customWidth="1"/>
    <col min="13" max="15" width="10.5703125" style="2" bestFit="1" customWidth="1"/>
    <col min="16" max="16" width="10" style="2" bestFit="1" customWidth="1"/>
    <col min="17" max="19" width="10.85546875" style="2" customWidth="1"/>
    <col min="20" max="20" width="9.85546875" style="2" bestFit="1" customWidth="1"/>
    <col min="21" max="16384" width="9.140625" style="2"/>
  </cols>
  <sheetData>
    <row r="2" spans="1:12" ht="15">
      <c r="A2" s="73" t="s">
        <v>83</v>
      </c>
    </row>
    <row r="3" spans="1:12">
      <c r="A3" s="31" t="s">
        <v>108</v>
      </c>
    </row>
    <row r="4" spans="1:12" ht="12" thickBot="1">
      <c r="A4" s="1" t="s">
        <v>0</v>
      </c>
      <c r="J4" s="20" t="s">
        <v>30</v>
      </c>
    </row>
    <row r="5" spans="1:12" ht="12" thickTop="1"/>
    <row r="6" spans="1:12">
      <c r="A6" s="2" t="s">
        <v>1</v>
      </c>
      <c r="E6" s="100">
        <v>3233237</v>
      </c>
      <c r="F6" s="2" t="s">
        <v>105</v>
      </c>
      <c r="J6" s="2" t="s">
        <v>43</v>
      </c>
    </row>
    <row r="7" spans="1:12">
      <c r="A7" s="2" t="s">
        <v>61</v>
      </c>
      <c r="D7" s="2" t="s">
        <v>104</v>
      </c>
      <c r="E7" s="100"/>
      <c r="J7" s="2" t="s">
        <v>64</v>
      </c>
    </row>
    <row r="8" spans="1:12">
      <c r="A8" s="2" t="s">
        <v>65</v>
      </c>
      <c r="E8" s="100"/>
    </row>
    <row r="9" spans="1:12">
      <c r="A9" s="2" t="s">
        <v>55</v>
      </c>
      <c r="E9" s="100">
        <f>500000*1.5</f>
        <v>750000</v>
      </c>
      <c r="F9" s="122"/>
      <c r="J9" s="2" t="s">
        <v>122</v>
      </c>
      <c r="L9" s="2" t="s">
        <v>115</v>
      </c>
    </row>
    <row r="10" spans="1:12">
      <c r="A10" s="2" t="s">
        <v>56</v>
      </c>
      <c r="E10" s="100">
        <v>300000</v>
      </c>
      <c r="J10" s="2" t="s">
        <v>123</v>
      </c>
      <c r="L10" s="2" t="s">
        <v>115</v>
      </c>
    </row>
    <row r="11" spans="1:12">
      <c r="A11" s="2" t="s">
        <v>57</v>
      </c>
      <c r="E11" s="100">
        <v>300000</v>
      </c>
      <c r="J11" s="2" t="s">
        <v>124</v>
      </c>
      <c r="L11" s="2" t="s">
        <v>115</v>
      </c>
    </row>
    <row r="12" spans="1:12">
      <c r="A12" s="2" t="s">
        <v>58</v>
      </c>
      <c r="E12" s="100"/>
      <c r="J12" s="2" t="s">
        <v>113</v>
      </c>
    </row>
    <row r="13" spans="1:12">
      <c r="A13" s="2" t="s">
        <v>68</v>
      </c>
      <c r="E13" s="100"/>
      <c r="J13" s="2" t="s">
        <v>113</v>
      </c>
    </row>
    <row r="14" spans="1:12">
      <c r="A14" s="2" t="s">
        <v>2</v>
      </c>
      <c r="E14" s="101">
        <f>SUM(E9:E13)</f>
        <v>1350000</v>
      </c>
      <c r="J14" s="2" t="s">
        <v>116</v>
      </c>
    </row>
    <row r="15" spans="1:12">
      <c r="A15" s="2" t="s">
        <v>3</v>
      </c>
      <c r="E15" s="13">
        <f>D64</f>
        <v>3</v>
      </c>
      <c r="F15" s="102">
        <f>E14*E15</f>
        <v>4050000</v>
      </c>
      <c r="J15" s="2" t="s">
        <v>114</v>
      </c>
    </row>
    <row r="16" spans="1:12">
      <c r="A16" s="2" t="s">
        <v>4</v>
      </c>
      <c r="E16" s="101">
        <f>E6+E7+E8+E14*E15</f>
        <v>7283237</v>
      </c>
    </row>
    <row r="17" spans="1:14">
      <c r="A17" s="2" t="s">
        <v>5</v>
      </c>
      <c r="B17" s="2" t="s">
        <v>6</v>
      </c>
    </row>
    <row r="18" spans="1:14" ht="21.75" customHeight="1">
      <c r="A18" s="2" t="s">
        <v>39</v>
      </c>
      <c r="E18" s="37">
        <f>E9*E15*((25-$B$21)/25)</f>
        <v>900000</v>
      </c>
      <c r="G18" s="103"/>
      <c r="J18" s="123" t="s">
        <v>150</v>
      </c>
      <c r="K18" s="123"/>
      <c r="L18" s="123"/>
      <c r="M18" s="123"/>
      <c r="N18" s="123"/>
    </row>
    <row r="19" spans="1:14" ht="21.75" customHeight="1">
      <c r="E19" s="118"/>
      <c r="G19" s="103"/>
      <c r="J19" s="123"/>
      <c r="K19" s="123"/>
      <c r="L19" s="123"/>
      <c r="M19" s="123"/>
      <c r="N19" s="123"/>
    </row>
    <row r="20" spans="1:14" ht="12.75" thickBot="1">
      <c r="A20" s="1" t="s">
        <v>7</v>
      </c>
      <c r="K20" s="104"/>
    </row>
    <row r="21" spans="1:14" ht="12" thickTop="1">
      <c r="A21" s="2" t="s">
        <v>8</v>
      </c>
      <c r="B21" s="4">
        <v>15</v>
      </c>
      <c r="J21" s="2" t="s">
        <v>138</v>
      </c>
    </row>
    <row r="22" spans="1:14">
      <c r="A22" s="2" t="s">
        <v>9</v>
      </c>
      <c r="B22" s="4">
        <v>10</v>
      </c>
      <c r="C22" s="2" t="s">
        <v>29</v>
      </c>
      <c r="D22" s="37">
        <f>E16/B22</f>
        <v>728323.7</v>
      </c>
      <c r="E22" s="2" t="s">
        <v>10</v>
      </c>
      <c r="J22" s="2" t="s">
        <v>110</v>
      </c>
      <c r="L22" s="2" t="s">
        <v>102</v>
      </c>
    </row>
    <row r="24" spans="1:14">
      <c r="A24" s="2" t="s">
        <v>31</v>
      </c>
      <c r="B24" s="5">
        <v>0.25</v>
      </c>
      <c r="J24" s="2" t="s">
        <v>103</v>
      </c>
      <c r="L24" s="2" t="s">
        <v>102</v>
      </c>
    </row>
    <row r="25" spans="1:14">
      <c r="B25" s="6"/>
    </row>
    <row r="26" spans="1:14" ht="12" thickBot="1">
      <c r="A26" s="1" t="s">
        <v>12</v>
      </c>
      <c r="B26" s="6"/>
    </row>
    <row r="27" spans="1:14" ht="12" thickTop="1">
      <c r="A27" s="2" t="s">
        <v>13</v>
      </c>
      <c r="B27" s="66">
        <f ca="1">WEM</f>
        <v>51.299035237487914</v>
      </c>
      <c r="J27" s="2" t="s">
        <v>153</v>
      </c>
    </row>
    <row r="30" spans="1:14">
      <c r="A30" s="8"/>
    </row>
    <row r="31" spans="1:14" ht="12" thickBot="1">
      <c r="A31" s="1" t="s">
        <v>34</v>
      </c>
      <c r="B31" s="1"/>
    </row>
    <row r="32" spans="1:14" ht="12" thickTop="1">
      <c r="A32" s="2" t="s">
        <v>14</v>
      </c>
      <c r="C32" s="5">
        <v>0.7</v>
      </c>
      <c r="J32" s="2" t="s">
        <v>118</v>
      </c>
    </row>
    <row r="33" spans="1:20">
      <c r="A33" s="2" t="s">
        <v>147</v>
      </c>
      <c r="C33" s="29">
        <f>C40*C34/1000</f>
        <v>18.158221032527006</v>
      </c>
      <c r="J33" s="2" t="s">
        <v>117</v>
      </c>
    </row>
    <row r="34" spans="1:20">
      <c r="A34" s="2" t="s">
        <v>37</v>
      </c>
      <c r="C34" s="5">
        <v>0.5</v>
      </c>
      <c r="J34" s="2" t="s">
        <v>47</v>
      </c>
    </row>
    <row r="35" spans="1:20">
      <c r="A35" s="2" t="s">
        <v>151</v>
      </c>
      <c r="C35" s="28">
        <v>0.371</v>
      </c>
      <c r="I35" s="21"/>
      <c r="J35" s="2" t="s">
        <v>121</v>
      </c>
    </row>
    <row r="36" spans="1:20">
      <c r="A36" s="2" t="s">
        <v>111</v>
      </c>
      <c r="C36" s="5">
        <v>0.9</v>
      </c>
      <c r="I36" s="21"/>
      <c r="J36" s="2" t="s">
        <v>139</v>
      </c>
      <c r="L36" s="21"/>
    </row>
    <row r="37" spans="1:20">
      <c r="A37" s="2" t="s">
        <v>52</v>
      </c>
      <c r="C37" s="29">
        <v>8760</v>
      </c>
      <c r="I37" s="21"/>
      <c r="J37" s="2" t="s">
        <v>143</v>
      </c>
      <c r="L37" s="21"/>
    </row>
    <row r="38" spans="1:20" ht="12">
      <c r="A38" s="2" t="s">
        <v>148</v>
      </c>
      <c r="C38" s="4">
        <f>101325*16/8314/298</f>
        <v>0.65435030747845069</v>
      </c>
      <c r="J38" s="2" t="s">
        <v>120</v>
      </c>
    </row>
    <row r="39" spans="1:20" ht="14.25" customHeight="1">
      <c r="A39" s="2" t="s">
        <v>144</v>
      </c>
      <c r="C39" s="4">
        <v>55.5</v>
      </c>
      <c r="J39" s="2" t="s">
        <v>120</v>
      </c>
    </row>
    <row r="40" spans="1:20">
      <c r="A40" s="2" t="s">
        <v>149</v>
      </c>
      <c r="C40" s="29">
        <f>C38*C39*1000</f>
        <v>36316.442065054012</v>
      </c>
      <c r="J40" s="2" t="s">
        <v>117</v>
      </c>
    </row>
    <row r="43" spans="1:20" ht="12" thickBot="1">
      <c r="A43" s="1" t="s">
        <v>18</v>
      </c>
      <c r="I43" s="21"/>
    </row>
    <row r="44" spans="1:20" ht="11.25" customHeight="1" thickTop="1">
      <c r="A44" s="2" t="s">
        <v>32</v>
      </c>
      <c r="C44" s="19">
        <v>28</v>
      </c>
      <c r="J44" s="2" t="s">
        <v>109</v>
      </c>
    </row>
    <row r="45" spans="1:20">
      <c r="A45" s="2" t="s">
        <v>19</v>
      </c>
      <c r="C45" s="19">
        <v>0</v>
      </c>
      <c r="J45" s="2" t="s">
        <v>112</v>
      </c>
    </row>
    <row r="46" spans="1:20">
      <c r="A46" s="2" t="s">
        <v>38</v>
      </c>
      <c r="C46" s="19">
        <v>40000</v>
      </c>
      <c r="G46" s="23"/>
      <c r="J46" s="2" t="s">
        <v>119</v>
      </c>
    </row>
    <row r="48" spans="1:20">
      <c r="C48" s="22"/>
      <c r="D48" s="22"/>
      <c r="E48" s="22"/>
      <c r="F48" s="22"/>
      <c r="G48" s="22"/>
      <c r="H48" s="22"/>
      <c r="I48" s="22"/>
      <c r="J48" s="22"/>
      <c r="K48" s="22"/>
      <c r="L48" s="22"/>
      <c r="M48" s="22"/>
      <c r="N48" s="22"/>
      <c r="O48" s="22"/>
      <c r="P48" s="22"/>
      <c r="Q48" s="22"/>
      <c r="R48" s="22"/>
      <c r="S48" s="22"/>
      <c r="T48" s="22"/>
    </row>
    <row r="49" spans="3:256">
      <c r="C49" s="22"/>
      <c r="D49" s="22"/>
      <c r="E49" s="22"/>
      <c r="F49" s="22"/>
      <c r="G49" s="22"/>
      <c r="H49" s="22"/>
      <c r="I49" s="22"/>
      <c r="J49" s="22"/>
      <c r="K49" s="22"/>
      <c r="L49" s="22"/>
      <c r="M49" s="22"/>
      <c r="N49" s="22"/>
      <c r="O49" s="22"/>
      <c r="P49" s="22"/>
      <c r="Q49" s="22"/>
      <c r="R49" s="22"/>
      <c r="S49" s="22"/>
      <c r="T49" s="22"/>
    </row>
    <row r="50" spans="3:256">
      <c r="E50" s="11">
        <v>39813</v>
      </c>
      <c r="F50" s="11">
        <v>40178</v>
      </c>
      <c r="G50" s="11">
        <v>40543</v>
      </c>
      <c r="H50" s="11">
        <v>40908</v>
      </c>
      <c r="I50" s="11">
        <v>41274</v>
      </c>
      <c r="J50" s="11">
        <v>41639</v>
      </c>
      <c r="K50" s="11">
        <v>42004</v>
      </c>
      <c r="L50" s="11">
        <v>42369</v>
      </c>
      <c r="M50" s="11">
        <v>42735</v>
      </c>
      <c r="N50" s="11">
        <v>43100</v>
      </c>
      <c r="O50" s="11">
        <v>43465</v>
      </c>
      <c r="P50" s="11">
        <v>43830</v>
      </c>
      <c r="Q50" s="11">
        <v>44196</v>
      </c>
      <c r="R50" s="11">
        <v>44561</v>
      </c>
      <c r="S50" s="11">
        <v>44926</v>
      </c>
      <c r="T50" s="11">
        <v>45291</v>
      </c>
    </row>
    <row r="52" spans="3:256">
      <c r="F52" s="2">
        <v>1</v>
      </c>
      <c r="G52" s="2">
        <v>2</v>
      </c>
      <c r="H52" s="2">
        <f>G52+1</f>
        <v>3</v>
      </c>
      <c r="I52" s="2">
        <f t="shared" ref="I52:R52" si="0">H52+1</f>
        <v>4</v>
      </c>
      <c r="J52" s="2">
        <f t="shared" si="0"/>
        <v>5</v>
      </c>
      <c r="K52" s="2">
        <f t="shared" si="0"/>
        <v>6</v>
      </c>
      <c r="L52" s="2">
        <f t="shared" si="0"/>
        <v>7</v>
      </c>
      <c r="M52" s="2">
        <f t="shared" si="0"/>
        <v>8</v>
      </c>
      <c r="N52" s="2">
        <f t="shared" si="0"/>
        <v>9</v>
      </c>
      <c r="O52" s="2">
        <f t="shared" si="0"/>
        <v>10</v>
      </c>
      <c r="P52" s="2">
        <f t="shared" si="0"/>
        <v>11</v>
      </c>
      <c r="Q52" s="2">
        <f t="shared" si="0"/>
        <v>12</v>
      </c>
      <c r="R52" s="2">
        <f t="shared" si="0"/>
        <v>13</v>
      </c>
      <c r="S52" s="2">
        <f>R52+1</f>
        <v>14</v>
      </c>
      <c r="T52" s="2">
        <f>S52+1</f>
        <v>15</v>
      </c>
    </row>
    <row r="53" spans="3:256" ht="7.5" customHeight="1"/>
    <row r="54" spans="3:256" ht="7.5" customHeight="1"/>
    <row r="55" spans="3:256">
      <c r="C55" s="9" t="s">
        <v>21</v>
      </c>
      <c r="D55" s="67">
        <f>B27</f>
        <v>51.299035237487914</v>
      </c>
      <c r="F55" s="13">
        <f>$D$55</f>
        <v>51.299035237487914</v>
      </c>
      <c r="G55" s="13">
        <f t="shared" ref="G55:P55" si="1">$D$55</f>
        <v>51.299035237487914</v>
      </c>
      <c r="H55" s="13">
        <f t="shared" si="1"/>
        <v>51.299035237487914</v>
      </c>
      <c r="I55" s="13">
        <f t="shared" si="1"/>
        <v>51.299035237487914</v>
      </c>
      <c r="J55" s="13">
        <f t="shared" si="1"/>
        <v>51.299035237487914</v>
      </c>
      <c r="K55" s="13">
        <f t="shared" si="1"/>
        <v>51.299035237487914</v>
      </c>
      <c r="L55" s="13">
        <f t="shared" si="1"/>
        <v>51.299035237487914</v>
      </c>
      <c r="M55" s="13">
        <f t="shared" si="1"/>
        <v>51.299035237487914</v>
      </c>
      <c r="N55" s="13">
        <f t="shared" si="1"/>
        <v>51.299035237487914</v>
      </c>
      <c r="O55" s="13">
        <f t="shared" si="1"/>
        <v>51.299035237487914</v>
      </c>
      <c r="P55" s="13">
        <f t="shared" si="1"/>
        <v>51.299035237487914</v>
      </c>
      <c r="Q55" s="13">
        <f>$D$55</f>
        <v>51.299035237487914</v>
      </c>
      <c r="R55" s="13">
        <f>$D$55</f>
        <v>51.299035237487914</v>
      </c>
      <c r="S55" s="13">
        <f>$D$55</f>
        <v>51.299035237487914</v>
      </c>
      <c r="T55" s="13">
        <f>$D$55</f>
        <v>51.299035237487914</v>
      </c>
    </row>
    <row r="56" spans="3:256" ht="5.25" customHeight="1">
      <c r="C56" s="9"/>
      <c r="D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row>
    <row r="57" spans="3:256">
      <c r="C57" s="9" t="s">
        <v>22</v>
      </c>
      <c r="D57" s="12"/>
      <c r="F57" s="13">
        <v>22346.677920401315</v>
      </c>
      <c r="G57" s="13">
        <v>23731.718395392007</v>
      </c>
      <c r="H57" s="13">
        <v>24977.370885892011</v>
      </c>
      <c r="I57" s="13">
        <v>26246.840195630495</v>
      </c>
      <c r="J57" s="13">
        <v>27102.733094479103</v>
      </c>
      <c r="K57" s="13">
        <v>27161.453021902002</v>
      </c>
      <c r="L57" s="13">
        <v>24345.245432552016</v>
      </c>
      <c r="M57" s="13">
        <v>21904.541291505648</v>
      </c>
      <c r="N57" s="13">
        <v>19781.748299988245</v>
      </c>
      <c r="O57" s="13">
        <v>17928.653758553002</v>
      </c>
      <c r="P57" s="13">
        <v>16304.861643615659</v>
      </c>
      <c r="Q57" s="13">
        <v>14876.492313699584</v>
      </c>
      <c r="R57" s="13">
        <v>13615.10057656947</v>
      </c>
      <c r="S57" s="13">
        <v>12496.775319142103</v>
      </c>
      <c r="T57" s="13">
        <v>11501.390111449493</v>
      </c>
      <c r="U57" s="2" t="s">
        <v>46</v>
      </c>
    </row>
    <row r="58" spans="3:256">
      <c r="C58" s="9" t="s">
        <v>48</v>
      </c>
      <c r="D58" s="12"/>
      <c r="F58" s="24">
        <f t="shared" ref="F58:T58" si="2">F57*1000</f>
        <v>22346677.920401316</v>
      </c>
      <c r="G58" s="24">
        <f t="shared" si="2"/>
        <v>23731718.395392008</v>
      </c>
      <c r="H58" s="24">
        <f t="shared" si="2"/>
        <v>24977370.885892011</v>
      </c>
      <c r="I58" s="24">
        <f t="shared" si="2"/>
        <v>26246840.195630495</v>
      </c>
      <c r="J58" s="24">
        <f t="shared" si="2"/>
        <v>27102733.094479103</v>
      </c>
      <c r="K58" s="24">
        <f t="shared" si="2"/>
        <v>27161453.021902002</v>
      </c>
      <c r="L58" s="24">
        <f t="shared" si="2"/>
        <v>24345245.432552017</v>
      </c>
      <c r="M58" s="24">
        <f t="shared" si="2"/>
        <v>21904541.291505646</v>
      </c>
      <c r="N58" s="24">
        <f t="shared" si="2"/>
        <v>19781748.299988244</v>
      </c>
      <c r="O58" s="24">
        <f t="shared" si="2"/>
        <v>17928653.758553002</v>
      </c>
      <c r="P58" s="24">
        <f t="shared" si="2"/>
        <v>16304861.643615659</v>
      </c>
      <c r="Q58" s="24">
        <f t="shared" si="2"/>
        <v>14876492.313699584</v>
      </c>
      <c r="R58" s="24">
        <f t="shared" si="2"/>
        <v>13615100.57656947</v>
      </c>
      <c r="S58" s="24">
        <f t="shared" si="2"/>
        <v>12496775.319142103</v>
      </c>
      <c r="T58" s="24">
        <f t="shared" si="2"/>
        <v>11501390.111449493</v>
      </c>
    </row>
    <row r="59" spans="3:256">
      <c r="C59" s="9" t="s">
        <v>49</v>
      </c>
      <c r="D59" s="12"/>
      <c r="F59" s="24">
        <f t="shared" ref="F59:T59" si="3">F58*$C$32</f>
        <v>15642674.54428092</v>
      </c>
      <c r="G59" s="24">
        <f t="shared" si="3"/>
        <v>16612202.876774404</v>
      </c>
      <c r="H59" s="24">
        <f t="shared" si="3"/>
        <v>17484159.620124407</v>
      </c>
      <c r="I59" s="24">
        <f t="shared" si="3"/>
        <v>18372788.136941344</v>
      </c>
      <c r="J59" s="24">
        <f t="shared" si="3"/>
        <v>18971913.166135371</v>
      </c>
      <c r="K59" s="24">
        <f t="shared" si="3"/>
        <v>19013017.1153314</v>
      </c>
      <c r="L59" s="24">
        <f t="shared" si="3"/>
        <v>17041671.80278641</v>
      </c>
      <c r="M59" s="24">
        <f t="shared" si="3"/>
        <v>15333178.904053951</v>
      </c>
      <c r="N59" s="24">
        <f t="shared" si="3"/>
        <v>13847223.809991769</v>
      </c>
      <c r="O59" s="24">
        <f t="shared" si="3"/>
        <v>12550057.6309871</v>
      </c>
      <c r="P59" s="24">
        <f t="shared" si="3"/>
        <v>11413403.15053096</v>
      </c>
      <c r="Q59" s="24">
        <f t="shared" si="3"/>
        <v>10413544.619589709</v>
      </c>
      <c r="R59" s="24">
        <f t="shared" si="3"/>
        <v>9530570.4035986289</v>
      </c>
      <c r="S59" s="24">
        <f t="shared" si="3"/>
        <v>8747742.7233994715</v>
      </c>
      <c r="T59" s="24">
        <f t="shared" si="3"/>
        <v>8050973.0780146448</v>
      </c>
    </row>
    <row r="60" spans="3:256">
      <c r="C60" s="9" t="s">
        <v>50</v>
      </c>
      <c r="D60" s="12"/>
      <c r="E60" s="2">
        <f>F62/F64</f>
        <v>8760</v>
      </c>
      <c r="F60" s="24">
        <f t="shared" ref="F60:T60" si="4">F59*$C$33</f>
        <v>284043141.9149366</v>
      </c>
      <c r="G60" s="24">
        <f t="shared" si="4"/>
        <v>301648051.67365062</v>
      </c>
      <c r="H60" s="24">
        <f t="shared" si="4"/>
        <v>317481234.95020241</v>
      </c>
      <c r="I60" s="24">
        <f t="shared" si="4"/>
        <v>333617147.97437096</v>
      </c>
      <c r="J60" s="24">
        <f t="shared" si="4"/>
        <v>344496192.68059534</v>
      </c>
      <c r="K60" s="24">
        <f t="shared" si="4"/>
        <v>345242567.2754066</v>
      </c>
      <c r="L60" s="24">
        <f t="shared" si="4"/>
        <v>309446443.3587786</v>
      </c>
      <c r="M60" s="24">
        <f t="shared" si="4"/>
        <v>278423251.67109185</v>
      </c>
      <c r="N60" s="24">
        <f t="shared" si="4"/>
        <v>251440950.6287013</v>
      </c>
      <c r="O60" s="24">
        <f t="shared" si="4"/>
        <v>227886720.43441603</v>
      </c>
      <c r="P60" s="24">
        <f t="shared" si="4"/>
        <v>207247097.14068127</v>
      </c>
      <c r="Q60" s="24">
        <f t="shared" si="4"/>
        <v>189091444.93459228</v>
      </c>
      <c r="R60" s="24">
        <f t="shared" si="4"/>
        <v>173058203.95460403</v>
      </c>
      <c r="S60" s="24">
        <f t="shared" si="4"/>
        <v>158843445.90716735</v>
      </c>
      <c r="T60" s="24">
        <f t="shared" si="4"/>
        <v>146191348.67751423</v>
      </c>
    </row>
    <row r="61" spans="3:256">
      <c r="C61" s="9" t="s">
        <v>53</v>
      </c>
      <c r="D61" s="12"/>
      <c r="F61" s="13">
        <f t="shared" ref="F61:T61" si="5">F60/3.6/1000</f>
        <v>78900.872754149052</v>
      </c>
      <c r="G61" s="13">
        <f t="shared" si="5"/>
        <v>83791.125464902958</v>
      </c>
      <c r="H61" s="13">
        <f t="shared" si="5"/>
        <v>88189.231930611772</v>
      </c>
      <c r="I61" s="13">
        <f t="shared" si="5"/>
        <v>92671.429992880818</v>
      </c>
      <c r="J61" s="13">
        <f t="shared" si="5"/>
        <v>95693.386855720921</v>
      </c>
      <c r="K61" s="13">
        <f t="shared" si="5"/>
        <v>95900.713132057383</v>
      </c>
      <c r="L61" s="13">
        <f t="shared" si="5"/>
        <v>85957.345377438498</v>
      </c>
      <c r="M61" s="13">
        <f t="shared" si="5"/>
        <v>77339.792130858856</v>
      </c>
      <c r="N61" s="13">
        <f t="shared" si="5"/>
        <v>69844.70850797258</v>
      </c>
      <c r="O61" s="13">
        <f t="shared" si="5"/>
        <v>63301.866787337778</v>
      </c>
      <c r="P61" s="13">
        <f t="shared" si="5"/>
        <v>57568.638094633687</v>
      </c>
      <c r="Q61" s="13">
        <f t="shared" si="5"/>
        <v>52525.401370720072</v>
      </c>
      <c r="R61" s="13">
        <f t="shared" si="5"/>
        <v>48071.723320723337</v>
      </c>
      <c r="S61" s="13">
        <f t="shared" si="5"/>
        <v>44123.179418657593</v>
      </c>
      <c r="T61" s="13">
        <f t="shared" si="5"/>
        <v>40608.707965976173</v>
      </c>
    </row>
    <row r="62" spans="3:256" ht="12" customHeight="1">
      <c r="C62" s="9" t="s">
        <v>54</v>
      </c>
      <c r="D62" s="33">
        <v>1</v>
      </c>
      <c r="F62" s="15">
        <f>F61*$C$35*$C$36*$D$62</f>
        <v>26345.001412610367</v>
      </c>
      <c r="G62" s="15">
        <f t="shared" ref="G62:T62" si="6">G61*$C$35*$C$36*$D$62</f>
        <v>27977.856792731098</v>
      </c>
      <c r="H62" s="15">
        <f t="shared" si="6"/>
        <v>29446.384541631272</v>
      </c>
      <c r="I62" s="15">
        <f t="shared" si="6"/>
        <v>30942.990474622904</v>
      </c>
      <c r="J62" s="15">
        <f t="shared" si="6"/>
        <v>31952.021871125213</v>
      </c>
      <c r="K62" s="15">
        <f t="shared" si="6"/>
        <v>32021.248114793958</v>
      </c>
      <c r="L62" s="15">
        <f t="shared" si="6"/>
        <v>28701.157621526716</v>
      </c>
      <c r="M62" s="15">
        <f t="shared" si="6"/>
        <v>25823.75659249377</v>
      </c>
      <c r="N62" s="15">
        <f t="shared" si="6"/>
        <v>23321.148170812045</v>
      </c>
      <c r="O62" s="15">
        <f t="shared" si="6"/>
        <v>21136.493320292084</v>
      </c>
      <c r="P62" s="15">
        <f t="shared" si="6"/>
        <v>19222.168259798189</v>
      </c>
      <c r="Q62" s="15">
        <f t="shared" si="6"/>
        <v>17538.231517683435</v>
      </c>
      <c r="R62" s="15">
        <f t="shared" si="6"/>
        <v>16051.148416789523</v>
      </c>
      <c r="S62" s="15">
        <f t="shared" si="6"/>
        <v>14732.729607889771</v>
      </c>
      <c r="T62" s="15">
        <f t="shared" si="6"/>
        <v>13559.247589839444</v>
      </c>
    </row>
    <row r="63" spans="3:256" ht="5.25" customHeight="1">
      <c r="C63" s="9"/>
      <c r="D63" s="12"/>
      <c r="E63" s="12"/>
      <c r="F63" s="12"/>
      <c r="G63" s="12"/>
      <c r="H63" s="12"/>
      <c r="I63" s="12"/>
      <c r="J63" s="12"/>
      <c r="K63" s="12"/>
      <c r="L63" s="12"/>
      <c r="M63" s="12"/>
      <c r="N63" s="12"/>
      <c r="O63" s="12"/>
      <c r="P63" s="12"/>
      <c r="Q63" s="12"/>
      <c r="R63" s="12"/>
      <c r="S63" s="12"/>
      <c r="T63" s="12"/>
    </row>
    <row r="64" spans="3:256">
      <c r="C64" s="9" t="s">
        <v>36</v>
      </c>
      <c r="D64" s="13">
        <f>ROUNDUP(AVERAGE(F64:T64),0)</f>
        <v>3</v>
      </c>
      <c r="F64" s="13">
        <f>F62/(8760)</f>
        <v>3.0074202525810922</v>
      </c>
      <c r="G64" s="13">
        <f t="shared" ref="G64:T64" si="7">G62/(8760)</f>
        <v>3.1938192685766094</v>
      </c>
      <c r="H64" s="13">
        <f t="shared" si="7"/>
        <v>3.3614594225606473</v>
      </c>
      <c r="I64" s="13">
        <f t="shared" si="7"/>
        <v>3.5323048487012447</v>
      </c>
      <c r="J64" s="13">
        <f t="shared" si="7"/>
        <v>3.6474910811786772</v>
      </c>
      <c r="K64" s="13">
        <f t="shared" si="7"/>
        <v>3.6553936204102691</v>
      </c>
      <c r="L64" s="13">
        <f t="shared" si="7"/>
        <v>3.2763878563386664</v>
      </c>
      <c r="M64" s="13">
        <f t="shared" si="7"/>
        <v>2.9479174192344488</v>
      </c>
      <c r="N64" s="13">
        <f t="shared" si="7"/>
        <v>2.6622315263484069</v>
      </c>
      <c r="O64" s="13">
        <f t="shared" si="7"/>
        <v>2.4128417032296898</v>
      </c>
      <c r="P64" s="13">
        <f t="shared" si="7"/>
        <v>2.1943114451824415</v>
      </c>
      <c r="Q64" s="13">
        <f t="shared" si="7"/>
        <v>2.002081223479844</v>
      </c>
      <c r="R64" s="13">
        <f t="shared" si="7"/>
        <v>1.8323228786289409</v>
      </c>
      <c r="S64" s="13">
        <f t="shared" si="7"/>
        <v>1.6818184483892433</v>
      </c>
      <c r="T64" s="13">
        <f t="shared" si="7"/>
        <v>1.5478593139086123</v>
      </c>
    </row>
    <row r="65" spans="2:256">
      <c r="C65" s="9" t="s">
        <v>45</v>
      </c>
      <c r="D65" s="13">
        <f>E15*C37</f>
        <v>26280</v>
      </c>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row>
    <row r="66" spans="2:256">
      <c r="C66" s="9" t="s">
        <v>42</v>
      </c>
      <c r="E66" s="13"/>
      <c r="F66" s="13">
        <f>MIN($D$65,F62)</f>
        <v>26280</v>
      </c>
      <c r="G66" s="13">
        <f t="shared" ref="G66:T66" si="8">MIN($D$65,G62)</f>
        <v>26280</v>
      </c>
      <c r="H66" s="13">
        <f t="shared" si="8"/>
        <v>26280</v>
      </c>
      <c r="I66" s="13">
        <f t="shared" si="8"/>
        <v>26280</v>
      </c>
      <c r="J66" s="13">
        <f t="shared" si="8"/>
        <v>26280</v>
      </c>
      <c r="K66" s="13">
        <f t="shared" si="8"/>
        <v>26280</v>
      </c>
      <c r="L66" s="13">
        <f t="shared" si="8"/>
        <v>26280</v>
      </c>
      <c r="M66" s="13">
        <f t="shared" si="8"/>
        <v>25823.75659249377</v>
      </c>
      <c r="N66" s="13">
        <f t="shared" si="8"/>
        <v>23321.148170812045</v>
      </c>
      <c r="O66" s="13">
        <f t="shared" si="8"/>
        <v>21136.493320292084</v>
      </c>
      <c r="P66" s="13">
        <f t="shared" si="8"/>
        <v>19222.168259798189</v>
      </c>
      <c r="Q66" s="13">
        <f t="shared" si="8"/>
        <v>17538.231517683435</v>
      </c>
      <c r="R66" s="13">
        <f t="shared" si="8"/>
        <v>16051.148416789523</v>
      </c>
      <c r="S66" s="13">
        <f t="shared" si="8"/>
        <v>14732.729607889771</v>
      </c>
      <c r="T66" s="13">
        <f t="shared" si="8"/>
        <v>13559.247589839444</v>
      </c>
    </row>
    <row r="68" spans="2:256">
      <c r="C68" s="9" t="s">
        <v>23</v>
      </c>
      <c r="F68" s="15">
        <f>F55*F66</f>
        <v>1348138.6460411823</v>
      </c>
      <c r="G68" s="15">
        <f t="shared" ref="G68:R68" si="9">G55*G66</f>
        <v>1348138.6460411823</v>
      </c>
      <c r="H68" s="15">
        <f t="shared" si="9"/>
        <v>1348138.6460411823</v>
      </c>
      <c r="I68" s="15">
        <f t="shared" si="9"/>
        <v>1348138.6460411823</v>
      </c>
      <c r="J68" s="15">
        <f t="shared" si="9"/>
        <v>1348138.6460411823</v>
      </c>
      <c r="K68" s="15">
        <f t="shared" si="9"/>
        <v>1348138.6460411823</v>
      </c>
      <c r="L68" s="15">
        <f t="shared" si="9"/>
        <v>1348138.6460411823</v>
      </c>
      <c r="M68" s="15">
        <f t="shared" si="9"/>
        <v>1324733.7994026488</v>
      </c>
      <c r="N68" s="15">
        <f t="shared" si="9"/>
        <v>1196352.401793164</v>
      </c>
      <c r="O68" s="15">
        <f t="shared" si="9"/>
        <v>1084281.7156345914</v>
      </c>
      <c r="P68" s="15">
        <f t="shared" si="9"/>
        <v>986078.68690030905</v>
      </c>
      <c r="Q68" s="15">
        <f t="shared" si="9"/>
        <v>899694.35662886361</v>
      </c>
      <c r="R68" s="15">
        <f t="shared" si="9"/>
        <v>823408.42823503411</v>
      </c>
      <c r="S68" s="15">
        <f>S55*S66</f>
        <v>755774.81529951887</v>
      </c>
      <c r="T68" s="15">
        <f>T55*T66</f>
        <v>695576.31990499666</v>
      </c>
    </row>
    <row r="69" spans="2:256">
      <c r="B69" s="2" t="s">
        <v>18</v>
      </c>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c r="IU69" s="9"/>
      <c r="IV69" s="9"/>
    </row>
    <row r="70" spans="2:256">
      <c r="C70" s="9" t="str">
        <f>A44</f>
        <v>Cost per MWh Generated</v>
      </c>
      <c r="D70" s="14">
        <f>C44</f>
        <v>28</v>
      </c>
      <c r="E70" s="9"/>
      <c r="F70" s="17">
        <f>$D$70*F66</f>
        <v>735840</v>
      </c>
      <c r="G70" s="17">
        <f t="shared" ref="G70:T70" si="10">$D$70*G66</f>
        <v>735840</v>
      </c>
      <c r="H70" s="17">
        <f t="shared" si="10"/>
        <v>735840</v>
      </c>
      <c r="I70" s="17">
        <f t="shared" si="10"/>
        <v>735840</v>
      </c>
      <c r="J70" s="17">
        <f t="shared" si="10"/>
        <v>735840</v>
      </c>
      <c r="K70" s="17">
        <f t="shared" si="10"/>
        <v>735840</v>
      </c>
      <c r="L70" s="17">
        <f t="shared" si="10"/>
        <v>735840</v>
      </c>
      <c r="M70" s="17">
        <f t="shared" si="10"/>
        <v>723065.18458982557</v>
      </c>
      <c r="N70" s="17">
        <f t="shared" si="10"/>
        <v>652992.1487827372</v>
      </c>
      <c r="O70" s="17">
        <f t="shared" si="10"/>
        <v>591821.8129681783</v>
      </c>
      <c r="P70" s="17">
        <f t="shared" si="10"/>
        <v>538220.71127434925</v>
      </c>
      <c r="Q70" s="17">
        <f t="shared" si="10"/>
        <v>491070.48249513615</v>
      </c>
      <c r="R70" s="17">
        <f t="shared" si="10"/>
        <v>449432.15567010664</v>
      </c>
      <c r="S70" s="17">
        <f t="shared" si="10"/>
        <v>412516.42902091355</v>
      </c>
      <c r="T70" s="17">
        <f t="shared" si="10"/>
        <v>379658.93251550442</v>
      </c>
    </row>
    <row r="71" spans="2:256">
      <c r="C71" s="9" t="str">
        <f>A46</f>
        <v>Admin costs and insurances per year</v>
      </c>
      <c r="D71" s="36">
        <f>C46</f>
        <v>40000</v>
      </c>
      <c r="E71" s="9"/>
      <c r="F71" s="17">
        <f>$D$71</f>
        <v>40000</v>
      </c>
      <c r="G71" s="17">
        <f>$D$71</f>
        <v>40000</v>
      </c>
      <c r="H71" s="17">
        <f t="shared" ref="H71:T71" si="11">$D$71</f>
        <v>40000</v>
      </c>
      <c r="I71" s="17">
        <f t="shared" si="11"/>
        <v>40000</v>
      </c>
      <c r="J71" s="17">
        <f t="shared" si="11"/>
        <v>40000</v>
      </c>
      <c r="K71" s="17">
        <f t="shared" si="11"/>
        <v>40000</v>
      </c>
      <c r="L71" s="17">
        <f t="shared" si="11"/>
        <v>40000</v>
      </c>
      <c r="M71" s="17">
        <f t="shared" si="11"/>
        <v>40000</v>
      </c>
      <c r="N71" s="17">
        <f t="shared" si="11"/>
        <v>40000</v>
      </c>
      <c r="O71" s="17">
        <f t="shared" si="11"/>
        <v>40000</v>
      </c>
      <c r="P71" s="17">
        <f t="shared" si="11"/>
        <v>40000</v>
      </c>
      <c r="Q71" s="17">
        <f t="shared" si="11"/>
        <v>40000</v>
      </c>
      <c r="R71" s="17">
        <f t="shared" si="11"/>
        <v>40000</v>
      </c>
      <c r="S71" s="17">
        <f t="shared" si="11"/>
        <v>40000</v>
      </c>
      <c r="T71" s="17">
        <f t="shared" si="11"/>
        <v>40000</v>
      </c>
    </row>
    <row r="72" spans="2:256">
      <c r="C72" s="9"/>
      <c r="E72" s="9"/>
    </row>
    <row r="73" spans="2:256">
      <c r="C73" s="9" t="s">
        <v>28</v>
      </c>
      <c r="D73" s="10">
        <v>0.25</v>
      </c>
      <c r="F73" s="16">
        <f t="shared" ref="F73:T73" si="12">IF((F68-SUM(F70:F71)-$D$22)&gt;0,(F68-SUM(F70:F71)-$D$22)*$D$73,0)</f>
        <v>0</v>
      </c>
      <c r="G73" s="16">
        <f t="shared" si="12"/>
        <v>0</v>
      </c>
      <c r="H73" s="16">
        <f t="shared" si="12"/>
        <v>0</v>
      </c>
      <c r="I73" s="16">
        <f t="shared" si="12"/>
        <v>0</v>
      </c>
      <c r="J73" s="16">
        <f t="shared" si="12"/>
        <v>0</v>
      </c>
      <c r="K73" s="16">
        <f t="shared" si="12"/>
        <v>0</v>
      </c>
      <c r="L73" s="16">
        <f t="shared" si="12"/>
        <v>0</v>
      </c>
      <c r="M73" s="16">
        <f t="shared" si="12"/>
        <v>0</v>
      </c>
      <c r="N73" s="16">
        <f t="shared" si="12"/>
        <v>0</v>
      </c>
      <c r="O73" s="16">
        <f t="shared" si="12"/>
        <v>0</v>
      </c>
      <c r="P73" s="16">
        <f t="shared" si="12"/>
        <v>0</v>
      </c>
      <c r="Q73" s="16">
        <f t="shared" si="12"/>
        <v>0</v>
      </c>
      <c r="R73" s="16">
        <f t="shared" si="12"/>
        <v>0</v>
      </c>
      <c r="S73" s="16">
        <f t="shared" si="12"/>
        <v>0</v>
      </c>
      <c r="T73" s="16">
        <f t="shared" si="12"/>
        <v>0</v>
      </c>
    </row>
    <row r="75" spans="2:256">
      <c r="C75" s="2" t="s">
        <v>24</v>
      </c>
      <c r="F75" s="15">
        <f t="shared" ref="F75:T75" si="13">F68-SUM(F70:F73)</f>
        <v>572298.64604118234</v>
      </c>
      <c r="G75" s="15">
        <f t="shared" si="13"/>
        <v>572298.64604118234</v>
      </c>
      <c r="H75" s="15">
        <f t="shared" si="13"/>
        <v>572298.64604118234</v>
      </c>
      <c r="I75" s="15">
        <f t="shared" si="13"/>
        <v>572298.64604118234</v>
      </c>
      <c r="J75" s="15">
        <f t="shared" si="13"/>
        <v>572298.64604118234</v>
      </c>
      <c r="K75" s="15">
        <f t="shared" si="13"/>
        <v>572298.64604118234</v>
      </c>
      <c r="L75" s="15">
        <f t="shared" si="13"/>
        <v>572298.64604118234</v>
      </c>
      <c r="M75" s="15">
        <f t="shared" si="13"/>
        <v>561668.61481282325</v>
      </c>
      <c r="N75" s="15">
        <f t="shared" si="13"/>
        <v>503360.25301042676</v>
      </c>
      <c r="O75" s="15">
        <f t="shared" si="13"/>
        <v>452459.90266641311</v>
      </c>
      <c r="P75" s="15">
        <f t="shared" si="13"/>
        <v>407857.97562595981</v>
      </c>
      <c r="Q75" s="15">
        <f t="shared" si="13"/>
        <v>368623.87413372751</v>
      </c>
      <c r="R75" s="15">
        <f t="shared" si="13"/>
        <v>333976.27256492747</v>
      </c>
      <c r="S75" s="15">
        <f t="shared" si="13"/>
        <v>303258.38627860532</v>
      </c>
      <c r="T75" s="15">
        <f t="shared" si="13"/>
        <v>275917.38738949224</v>
      </c>
    </row>
    <row r="76" spans="2:256" ht="12" thickBot="1"/>
    <row r="77" spans="2:256" ht="12" thickBot="1">
      <c r="C77" s="9" t="s">
        <v>40</v>
      </c>
      <c r="E77" s="38">
        <f>-E16</f>
        <v>-7283237</v>
      </c>
    </row>
    <row r="78" spans="2:256">
      <c r="C78" s="9" t="s">
        <v>25</v>
      </c>
      <c r="F78" s="25">
        <f>F75</f>
        <v>572298.64604118234</v>
      </c>
      <c r="G78" s="25">
        <f>G75</f>
        <v>572298.64604118234</v>
      </c>
      <c r="H78" s="25">
        <f>H75</f>
        <v>572298.64604118234</v>
      </c>
      <c r="I78" s="25">
        <f>I75</f>
        <v>572298.64604118234</v>
      </c>
      <c r="J78" s="25">
        <f t="shared" ref="J78:T78" si="14">J75</f>
        <v>572298.64604118234</v>
      </c>
      <c r="K78" s="25">
        <f t="shared" si="14"/>
        <v>572298.64604118234</v>
      </c>
      <c r="L78" s="25">
        <f t="shared" si="14"/>
        <v>572298.64604118234</v>
      </c>
      <c r="M78" s="25">
        <f t="shared" si="14"/>
        <v>561668.61481282325</v>
      </c>
      <c r="N78" s="25">
        <f t="shared" si="14"/>
        <v>503360.25301042676</v>
      </c>
      <c r="O78" s="25">
        <f t="shared" si="14"/>
        <v>452459.90266641311</v>
      </c>
      <c r="P78" s="25">
        <f t="shared" si="14"/>
        <v>407857.97562595981</v>
      </c>
      <c r="Q78" s="25">
        <f t="shared" si="14"/>
        <v>368623.87413372751</v>
      </c>
      <c r="R78" s="25">
        <f t="shared" si="14"/>
        <v>333976.27256492747</v>
      </c>
      <c r="S78" s="25">
        <f t="shared" si="14"/>
        <v>303258.38627860532</v>
      </c>
      <c r="T78" s="25">
        <f t="shared" si="14"/>
        <v>275917.38738949224</v>
      </c>
    </row>
    <row r="79" spans="2:256" ht="12" thickBot="1">
      <c r="C79" s="9" t="s">
        <v>41</v>
      </c>
      <c r="E79" s="1"/>
      <c r="F79" s="1"/>
      <c r="G79" s="1"/>
      <c r="H79" s="1"/>
      <c r="I79" s="1"/>
      <c r="J79" s="1"/>
      <c r="K79" s="1"/>
      <c r="L79" s="1"/>
      <c r="M79" s="1"/>
      <c r="N79" s="1"/>
      <c r="O79" s="1"/>
      <c r="P79" s="1"/>
      <c r="Q79" s="1"/>
      <c r="R79" s="1"/>
      <c r="S79" s="1"/>
      <c r="T79" s="26">
        <f>E18</f>
        <v>900000</v>
      </c>
    </row>
    <row r="80" spans="2:256" ht="6.75" customHeight="1" thickTop="1"/>
    <row r="81" spans="2:20">
      <c r="C81" s="2" t="s">
        <v>25</v>
      </c>
      <c r="E81" s="15">
        <f>SUM(E77:E79)</f>
        <v>-7283237</v>
      </c>
      <c r="F81" s="15">
        <f>SUM(F77:F79)</f>
        <v>572298.64604118234</v>
      </c>
      <c r="G81" s="15">
        <f t="shared" ref="G81:T81" si="15">SUM(G77:G79)</f>
        <v>572298.64604118234</v>
      </c>
      <c r="H81" s="15">
        <f t="shared" si="15"/>
        <v>572298.64604118234</v>
      </c>
      <c r="I81" s="15">
        <f t="shared" si="15"/>
        <v>572298.64604118234</v>
      </c>
      <c r="J81" s="15">
        <f t="shared" si="15"/>
        <v>572298.64604118234</v>
      </c>
      <c r="K81" s="15">
        <f t="shared" si="15"/>
        <v>572298.64604118234</v>
      </c>
      <c r="L81" s="15">
        <f t="shared" si="15"/>
        <v>572298.64604118234</v>
      </c>
      <c r="M81" s="15">
        <f t="shared" si="15"/>
        <v>561668.61481282325</v>
      </c>
      <c r="N81" s="15">
        <f t="shared" si="15"/>
        <v>503360.25301042676</v>
      </c>
      <c r="O81" s="15">
        <f t="shared" si="15"/>
        <v>452459.90266641311</v>
      </c>
      <c r="P81" s="15">
        <f t="shared" si="15"/>
        <v>407857.97562595981</v>
      </c>
      <c r="Q81" s="15">
        <f t="shared" si="15"/>
        <v>368623.87413372751</v>
      </c>
      <c r="R81" s="15">
        <f t="shared" si="15"/>
        <v>333976.27256492747</v>
      </c>
      <c r="S81" s="15">
        <f t="shared" si="15"/>
        <v>303258.38627860532</v>
      </c>
      <c r="T81" s="15">
        <f t="shared" si="15"/>
        <v>1175917.3873894922</v>
      </c>
    </row>
    <row r="83" spans="2:20" ht="12" thickBot="1">
      <c r="B83" s="1" t="s">
        <v>35</v>
      </c>
      <c r="C83" s="1"/>
    </row>
    <row r="84" spans="2:20" ht="12.75" thickTop="1">
      <c r="C84" s="2" t="s">
        <v>33</v>
      </c>
      <c r="D84" s="27">
        <f>IRR(E81:T81)</f>
        <v>1.3873135668322571E-2</v>
      </c>
    </row>
    <row r="85" spans="2:20">
      <c r="C85" s="2" t="s">
        <v>26</v>
      </c>
    </row>
    <row r="88" spans="2:20">
      <c r="C88" s="18"/>
    </row>
  </sheetData>
  <sheetProtection password="E4EA" sheet="1" objects="1" scenarios="1"/>
  <mergeCells count="1">
    <mergeCell ref="J18:N19"/>
  </mergeCells>
  <phoneticPr fontId="3" type="noConversion"/>
  <printOptions headings="1" gridLines="1"/>
  <pageMargins left="0.36" right="0.27" top="0.55000000000000004" bottom="0.74803149606299213" header="0.31496062992125984" footer="0.31496062992125984"/>
  <pageSetup paperSize="8" scale="10" orientation="landscape" r:id="rId1"/>
  <drawing r:id="rId2"/>
  <legacyDrawing r:id="rId3"/>
</worksheet>
</file>

<file path=xl/worksheets/sheet10.xml><?xml version="1.0" encoding="utf-8"?>
<worksheet xmlns="http://schemas.openxmlformats.org/spreadsheetml/2006/main" xmlns:r="http://schemas.openxmlformats.org/officeDocument/2006/relationships">
  <dimension ref="A2:H34"/>
  <sheetViews>
    <sheetView zoomScaleNormal="100" workbookViewId="0">
      <selection activeCell="A2" sqref="A2"/>
    </sheetView>
  </sheetViews>
  <sheetFormatPr baseColWidth="10" defaultColWidth="9.140625" defaultRowHeight="15"/>
  <cols>
    <col min="2" max="8" width="13.28515625" customWidth="1"/>
  </cols>
  <sheetData>
    <row r="2" spans="1:8">
      <c r="A2" s="76" t="s">
        <v>132</v>
      </c>
    </row>
    <row r="3" spans="1:8">
      <c r="A3" s="76"/>
    </row>
    <row r="4" spans="1:8">
      <c r="A4" s="76"/>
    </row>
    <row r="5" spans="1:8">
      <c r="A5" s="76"/>
    </row>
    <row r="6" spans="1:8" ht="15.75" thickBot="1"/>
    <row r="7" spans="1:8" ht="15" customHeight="1">
      <c r="A7" s="113" t="s">
        <v>125</v>
      </c>
      <c r="B7" s="126" t="s">
        <v>126</v>
      </c>
      <c r="C7" s="127"/>
      <c r="D7" s="128"/>
      <c r="E7" s="127" t="s">
        <v>127</v>
      </c>
      <c r="F7" s="127"/>
      <c r="G7" s="127"/>
      <c r="H7" s="128"/>
    </row>
    <row r="8" spans="1:8" ht="60">
      <c r="A8" s="114"/>
      <c r="B8" s="107" t="s">
        <v>128</v>
      </c>
      <c r="C8" s="105" t="s">
        <v>129</v>
      </c>
      <c r="D8" s="108" t="s">
        <v>130</v>
      </c>
      <c r="E8" s="106" t="s">
        <v>128</v>
      </c>
      <c r="F8" s="105" t="s">
        <v>131</v>
      </c>
      <c r="G8" s="105" t="s">
        <v>129</v>
      </c>
      <c r="H8" s="108" t="s">
        <v>130</v>
      </c>
    </row>
    <row r="9" spans="1:8">
      <c r="A9" s="115">
        <v>2</v>
      </c>
      <c r="B9" s="107">
        <v>17</v>
      </c>
      <c r="C9" s="105">
        <v>11.6</v>
      </c>
      <c r="D9" s="108">
        <v>15</v>
      </c>
      <c r="E9" s="106">
        <v>10.3</v>
      </c>
      <c r="F9" s="105">
        <v>11.8</v>
      </c>
      <c r="G9" s="105">
        <v>4.3</v>
      </c>
      <c r="H9" s="108">
        <v>8.3000000000000007</v>
      </c>
    </row>
    <row r="10" spans="1:8">
      <c r="A10" s="115">
        <v>3</v>
      </c>
      <c r="B10" s="107">
        <v>18.600000000000001</v>
      </c>
      <c r="C10" s="105">
        <v>12.8</v>
      </c>
      <c r="D10" s="108">
        <v>16</v>
      </c>
      <c r="E10" s="106">
        <v>10</v>
      </c>
      <c r="F10" s="105">
        <v>11.4</v>
      </c>
      <c r="G10" s="105">
        <v>4</v>
      </c>
      <c r="H10" s="108">
        <v>7.7</v>
      </c>
    </row>
    <row r="11" spans="1:8">
      <c r="A11" s="115">
        <v>4</v>
      </c>
      <c r="B11" s="107">
        <v>17.600000000000001</v>
      </c>
      <c r="C11" s="105">
        <v>11.7</v>
      </c>
      <c r="D11" s="108">
        <v>15.1</v>
      </c>
      <c r="E11" s="106">
        <v>9</v>
      </c>
      <c r="F11" s="105">
        <v>10.5</v>
      </c>
      <c r="G11" s="105">
        <v>3.8</v>
      </c>
      <c r="H11" s="108">
        <v>6.9</v>
      </c>
    </row>
    <row r="12" spans="1:8">
      <c r="A12" s="115">
        <v>5</v>
      </c>
      <c r="B12" s="107">
        <v>17</v>
      </c>
      <c r="C12" s="105">
        <v>10.8</v>
      </c>
      <c r="D12" s="108">
        <v>14.2</v>
      </c>
      <c r="E12" s="106">
        <v>9.4</v>
      </c>
      <c r="F12" s="105">
        <v>10.7</v>
      </c>
      <c r="G12" s="105">
        <v>3.5</v>
      </c>
      <c r="H12" s="108">
        <v>6.3</v>
      </c>
    </row>
    <row r="13" spans="1:8">
      <c r="A13" s="115">
        <v>6</v>
      </c>
      <c r="B13" s="107">
        <v>16.600000000000001</v>
      </c>
      <c r="C13" s="105">
        <v>12.3</v>
      </c>
      <c r="D13" s="108">
        <v>15.1</v>
      </c>
      <c r="E13" s="106">
        <v>10.5</v>
      </c>
      <c r="F13" s="105">
        <v>11.5</v>
      </c>
      <c r="G13" s="105">
        <v>3.5</v>
      </c>
      <c r="H13" s="108">
        <v>7.4</v>
      </c>
    </row>
    <row r="14" spans="1:8">
      <c r="A14" s="115">
        <v>9</v>
      </c>
      <c r="B14" s="107">
        <v>16.899999999999999</v>
      </c>
      <c r="C14" s="105">
        <v>12.3</v>
      </c>
      <c r="D14" s="108">
        <v>15.3</v>
      </c>
      <c r="E14" s="106">
        <v>9.1999999999999993</v>
      </c>
      <c r="F14" s="105">
        <v>10.6</v>
      </c>
      <c r="G14" s="105">
        <v>3.5</v>
      </c>
      <c r="H14" s="108">
        <v>6.2</v>
      </c>
    </row>
    <row r="15" spans="1:8">
      <c r="A15" s="115">
        <v>10</v>
      </c>
      <c r="B15" s="107">
        <v>16.7</v>
      </c>
      <c r="C15" s="105">
        <v>12</v>
      </c>
      <c r="D15" s="108">
        <v>14.9</v>
      </c>
      <c r="E15" s="106">
        <v>9.4</v>
      </c>
      <c r="F15" s="105">
        <v>10.5</v>
      </c>
      <c r="G15" s="105">
        <v>3.5</v>
      </c>
      <c r="H15" s="108">
        <v>6.6</v>
      </c>
    </row>
    <row r="16" spans="1:8">
      <c r="A16" s="115">
        <v>11</v>
      </c>
      <c r="B16" s="107">
        <v>17.899999999999999</v>
      </c>
      <c r="C16" s="105">
        <v>12.3</v>
      </c>
      <c r="D16" s="108">
        <v>15.1</v>
      </c>
      <c r="E16" s="106">
        <v>9.3000000000000007</v>
      </c>
      <c r="F16" s="105">
        <v>10.4</v>
      </c>
      <c r="G16" s="105">
        <v>3.6</v>
      </c>
      <c r="H16" s="108">
        <v>6.3</v>
      </c>
    </row>
    <row r="17" spans="1:8">
      <c r="A17" s="115">
        <v>12</v>
      </c>
      <c r="B17" s="107">
        <v>17.8</v>
      </c>
      <c r="C17" s="105">
        <v>12.2</v>
      </c>
      <c r="D17" s="108">
        <v>15.2</v>
      </c>
      <c r="E17" s="106">
        <v>9.1</v>
      </c>
      <c r="F17" s="105">
        <v>10.3</v>
      </c>
      <c r="G17" s="105">
        <v>3.3</v>
      </c>
      <c r="H17" s="108">
        <v>5.9</v>
      </c>
    </row>
    <row r="18" spans="1:8">
      <c r="A18" s="115">
        <v>13</v>
      </c>
      <c r="B18" s="107">
        <v>17.5</v>
      </c>
      <c r="C18" s="105">
        <v>12.3</v>
      </c>
      <c r="D18" s="108">
        <v>15.4</v>
      </c>
      <c r="E18" s="106">
        <v>9.4</v>
      </c>
      <c r="F18" s="105">
        <v>10.6</v>
      </c>
      <c r="G18" s="105">
        <v>3.6</v>
      </c>
      <c r="H18" s="108">
        <v>6.6</v>
      </c>
    </row>
    <row r="19" spans="1:8">
      <c r="A19" s="115">
        <v>17</v>
      </c>
      <c r="B19" s="107">
        <v>17.899999999999999</v>
      </c>
      <c r="C19" s="105">
        <v>11.9</v>
      </c>
      <c r="D19" s="108">
        <v>15.3</v>
      </c>
      <c r="E19" s="106">
        <v>9.1</v>
      </c>
      <c r="F19" s="105">
        <v>10.4</v>
      </c>
      <c r="G19" s="105">
        <v>3.5</v>
      </c>
      <c r="H19" s="108">
        <v>6.3</v>
      </c>
    </row>
    <row r="20" spans="1:8">
      <c r="A20" s="115">
        <v>18</v>
      </c>
      <c r="B20" s="107">
        <v>17.100000000000001</v>
      </c>
      <c r="C20" s="105">
        <v>11.6</v>
      </c>
      <c r="D20" s="108">
        <v>15</v>
      </c>
      <c r="E20" s="106">
        <v>9.6</v>
      </c>
      <c r="F20" s="105">
        <v>10.7</v>
      </c>
      <c r="G20" s="105">
        <v>3.4</v>
      </c>
      <c r="H20" s="108">
        <v>6.1</v>
      </c>
    </row>
    <row r="21" spans="1:8">
      <c r="A21" s="115">
        <v>19</v>
      </c>
      <c r="B21" s="107">
        <v>18.8</v>
      </c>
      <c r="C21" s="105">
        <v>12.2</v>
      </c>
      <c r="D21" s="108">
        <v>15.7</v>
      </c>
      <c r="E21" s="106">
        <v>9.8000000000000007</v>
      </c>
      <c r="F21" s="105">
        <v>10.9</v>
      </c>
      <c r="G21" s="105">
        <v>3.8</v>
      </c>
      <c r="H21" s="108">
        <v>6.6</v>
      </c>
    </row>
    <row r="22" spans="1:8">
      <c r="A22" s="115">
        <v>20</v>
      </c>
      <c r="B22" s="107">
        <v>18.100000000000001</v>
      </c>
      <c r="C22" s="105">
        <v>12.9</v>
      </c>
      <c r="D22" s="108">
        <v>15.8</v>
      </c>
      <c r="E22" s="106">
        <v>10.199999999999999</v>
      </c>
      <c r="F22" s="105">
        <v>11.1</v>
      </c>
      <c r="G22" s="105">
        <v>3.6</v>
      </c>
      <c r="H22" s="108">
        <v>7.1</v>
      </c>
    </row>
    <row r="23" spans="1:8">
      <c r="A23" s="115">
        <v>23</v>
      </c>
      <c r="B23" s="107">
        <v>18.2</v>
      </c>
      <c r="C23" s="105">
        <v>11.5</v>
      </c>
      <c r="D23" s="108">
        <v>15.5</v>
      </c>
      <c r="E23" s="106">
        <v>9.8000000000000007</v>
      </c>
      <c r="F23" s="105">
        <v>11.3</v>
      </c>
      <c r="G23" s="105">
        <v>4.2</v>
      </c>
      <c r="H23" s="108">
        <v>7</v>
      </c>
    </row>
    <row r="24" spans="1:8">
      <c r="A24" s="115">
        <v>24</v>
      </c>
      <c r="B24" s="107">
        <v>18.5</v>
      </c>
      <c r="C24" s="105">
        <v>12.1</v>
      </c>
      <c r="D24" s="108">
        <v>15.7</v>
      </c>
      <c r="E24" s="106">
        <v>8.8000000000000007</v>
      </c>
      <c r="F24" s="105">
        <v>9.6</v>
      </c>
      <c r="G24" s="105">
        <v>3.5</v>
      </c>
      <c r="H24" s="108">
        <v>6.3</v>
      </c>
    </row>
    <row r="25" spans="1:8">
      <c r="A25" s="115">
        <v>25</v>
      </c>
      <c r="B25" s="107">
        <v>16.600000000000001</v>
      </c>
      <c r="C25" s="105">
        <v>12.5</v>
      </c>
      <c r="D25" s="108">
        <v>14.9</v>
      </c>
      <c r="E25" s="106">
        <v>8.6</v>
      </c>
      <c r="F25" s="105">
        <v>9.5</v>
      </c>
      <c r="G25" s="105">
        <v>4.4000000000000004</v>
      </c>
      <c r="H25" s="108">
        <v>7.1</v>
      </c>
    </row>
    <row r="26" spans="1:8">
      <c r="A26" s="115">
        <v>26</v>
      </c>
      <c r="B26" s="109">
        <v>16.399999999999999</v>
      </c>
      <c r="C26" s="105">
        <v>13.1</v>
      </c>
      <c r="D26" s="108">
        <v>15.3</v>
      </c>
      <c r="E26" s="106">
        <v>10.6</v>
      </c>
      <c r="F26" s="105">
        <v>11.6</v>
      </c>
      <c r="G26" s="105">
        <v>4.0999999999999996</v>
      </c>
      <c r="H26" s="108">
        <v>8.4</v>
      </c>
    </row>
    <row r="27" spans="1:8" ht="15.75" thickBot="1">
      <c r="A27" s="116">
        <v>27</v>
      </c>
      <c r="B27" s="110">
        <v>16.899999999999999</v>
      </c>
      <c r="C27" s="111">
        <v>10.9</v>
      </c>
      <c r="D27" s="112">
        <v>14.8</v>
      </c>
      <c r="E27" s="117">
        <v>10.3</v>
      </c>
      <c r="F27" s="111">
        <v>11.2</v>
      </c>
      <c r="G27" s="111">
        <v>4.7</v>
      </c>
      <c r="H27" s="112">
        <v>8.8000000000000007</v>
      </c>
    </row>
    <row r="29" spans="1:8">
      <c r="A29" t="s">
        <v>133</v>
      </c>
    </row>
    <row r="31" spans="1:8">
      <c r="A31" t="s">
        <v>134</v>
      </c>
    </row>
    <row r="32" spans="1:8">
      <c r="A32" t="s">
        <v>136</v>
      </c>
    </row>
    <row r="33" spans="1:1">
      <c r="A33" t="s">
        <v>137</v>
      </c>
    </row>
    <row r="34" spans="1:1">
      <c r="A34" t="s">
        <v>135</v>
      </c>
    </row>
  </sheetData>
  <sheetProtection password="E4EA" sheet="1" objects="1" scenarios="1"/>
  <mergeCells count="2">
    <mergeCell ref="B7:D7"/>
    <mergeCell ref="E7:H7"/>
  </mergeCells>
  <phoneticPr fontId="3" type="noConversion"/>
  <pageMargins left="0.7" right="0.7" top="0.75" bottom="0.75" header="0.3" footer="0.3"/>
  <pageSetup paperSize="9" scale="73" orientation="portrait" r:id="rId1"/>
  <legacyDrawing r:id="rId2"/>
</worksheet>
</file>

<file path=xl/worksheets/sheet11.xml><?xml version="1.0" encoding="utf-8"?>
<worksheet xmlns="http://schemas.openxmlformats.org/spreadsheetml/2006/main" xmlns:r="http://schemas.openxmlformats.org/officeDocument/2006/relationships">
  <dimension ref="B2:I12"/>
  <sheetViews>
    <sheetView workbookViewId="0">
      <selection activeCell="B2" sqref="B2"/>
    </sheetView>
  </sheetViews>
  <sheetFormatPr baseColWidth="10" defaultColWidth="9.140625" defaultRowHeight="15"/>
  <cols>
    <col min="2" max="2" width="24.85546875" customWidth="1"/>
    <col min="3" max="4" width="32.28515625" customWidth="1"/>
  </cols>
  <sheetData>
    <row r="2" spans="2:9">
      <c r="B2" s="76" t="s">
        <v>154</v>
      </c>
    </row>
    <row r="3" spans="2:9">
      <c r="B3" t="s">
        <v>155</v>
      </c>
    </row>
    <row r="4" spans="2:9">
      <c r="G4" t="s">
        <v>161</v>
      </c>
    </row>
    <row r="5" spans="2:9">
      <c r="B5" s="129"/>
      <c r="C5" s="77" t="s">
        <v>159</v>
      </c>
      <c r="D5" s="77" t="s">
        <v>158</v>
      </c>
      <c r="G5" t="s">
        <v>160</v>
      </c>
      <c r="H5">
        <v>1.8825000000000001</v>
      </c>
      <c r="I5" t="s">
        <v>157</v>
      </c>
    </row>
    <row r="6" spans="2:9">
      <c r="B6" s="130"/>
      <c r="C6" s="77" t="s">
        <v>157</v>
      </c>
      <c r="D6" s="77" t="s">
        <v>156</v>
      </c>
    </row>
    <row r="7" spans="2:9">
      <c r="B7" s="78" t="s">
        <v>55</v>
      </c>
      <c r="C7" s="79">
        <v>1791000</v>
      </c>
      <c r="D7" s="79">
        <f>C7/$H$5</f>
        <v>951394.42231075699</v>
      </c>
      <c r="G7" t="s">
        <v>162</v>
      </c>
    </row>
    <row r="8" spans="2:9">
      <c r="B8" s="78" t="s">
        <v>56</v>
      </c>
      <c r="C8" s="79">
        <f>2577000/4</f>
        <v>644250</v>
      </c>
      <c r="D8" s="79">
        <f>C8/$H$5</f>
        <v>342231.07569721114</v>
      </c>
    </row>
    <row r="9" spans="2:9">
      <c r="B9" s="78" t="s">
        <v>57</v>
      </c>
      <c r="C9" s="79">
        <f>2422000/4</f>
        <v>605500</v>
      </c>
      <c r="D9" s="79">
        <f>C9/$H$5</f>
        <v>321646.74634794157</v>
      </c>
    </row>
    <row r="11" spans="2:9">
      <c r="B11" t="s">
        <v>163</v>
      </c>
    </row>
    <row r="12" spans="2:9">
      <c r="B12" t="s">
        <v>164</v>
      </c>
    </row>
  </sheetData>
  <sheetProtection password="E4EA" sheet="1" objects="1" scenarios="1"/>
  <mergeCells count="1">
    <mergeCell ref="B5:B6"/>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B2:G11"/>
  <sheetViews>
    <sheetView topLeftCell="E1" workbookViewId="0">
      <selection activeCell="F4" sqref="F4"/>
    </sheetView>
  </sheetViews>
  <sheetFormatPr baseColWidth="10" defaultColWidth="9.140625" defaultRowHeight="15"/>
  <cols>
    <col min="1" max="1" width="4.140625" customWidth="1"/>
    <col min="2" max="2" width="18.85546875" customWidth="1"/>
    <col min="3" max="3" width="14.7109375" customWidth="1"/>
    <col min="4" max="4" width="14.28515625" customWidth="1"/>
    <col min="5" max="5" width="5.5703125" customWidth="1"/>
    <col min="6" max="6" width="27.42578125" customWidth="1"/>
    <col min="7" max="7" width="25.5703125" customWidth="1"/>
  </cols>
  <sheetData>
    <row r="2" spans="2:7">
      <c r="B2" s="76" t="s">
        <v>95</v>
      </c>
    </row>
    <row r="4" spans="2:7">
      <c r="B4" s="81" t="s">
        <v>87</v>
      </c>
      <c r="C4" s="81" t="s">
        <v>92</v>
      </c>
      <c r="D4" s="81" t="s">
        <v>100</v>
      </c>
      <c r="F4" s="81" t="s">
        <v>99</v>
      </c>
      <c r="G4" s="83" t="s">
        <v>101</v>
      </c>
    </row>
    <row r="5" spans="2:7">
      <c r="B5" s="78" t="s">
        <v>88</v>
      </c>
      <c r="C5" s="78" t="s">
        <v>94</v>
      </c>
      <c r="D5" s="79">
        <f ca="1">Alternative1!E14</f>
        <v>1350000</v>
      </c>
      <c r="E5" s="74"/>
      <c r="F5" s="77" t="s">
        <v>152</v>
      </c>
      <c r="G5" s="84">
        <f ca="1">Alternative1!D84</f>
        <v>1.3873135668322571E-2</v>
      </c>
    </row>
    <row r="6" spans="2:7">
      <c r="B6" s="78" t="s">
        <v>89</v>
      </c>
      <c r="C6" s="78" t="s">
        <v>93</v>
      </c>
      <c r="D6" s="79">
        <f ca="1">Alternative1!C44</f>
        <v>28</v>
      </c>
      <c r="E6" s="74"/>
      <c r="F6" s="82" t="s">
        <v>84</v>
      </c>
      <c r="G6" s="84">
        <f ca="1">'Plus10%CapEx'!D84</f>
        <v>6.8293707913811294E-3</v>
      </c>
    </row>
    <row r="7" spans="2:7">
      <c r="B7" s="78" t="s">
        <v>90</v>
      </c>
      <c r="C7" s="78" t="s">
        <v>93</v>
      </c>
      <c r="D7" s="80">
        <f ca="1">Alternative1!B27</f>
        <v>51.299035237487914</v>
      </c>
      <c r="E7" s="75"/>
      <c r="F7" s="82" t="s">
        <v>85</v>
      </c>
      <c r="G7" s="84">
        <f ca="1">'Plus10%OpEx'!D84</f>
        <v>6.388407535658433E-3</v>
      </c>
    </row>
    <row r="8" spans="2:7">
      <c r="F8" s="82" t="s">
        <v>86</v>
      </c>
      <c r="G8" s="84">
        <f ca="1">'Plus10%Tariff'!D84</f>
        <v>4.122162427003194E-2</v>
      </c>
    </row>
    <row r="9" spans="2:7">
      <c r="F9" s="82" t="s">
        <v>96</v>
      </c>
      <c r="G9" s="84">
        <f ca="1">'Minus10%CapEx'!D84</f>
        <v>2.1520924556605221E-2</v>
      </c>
    </row>
    <row r="10" spans="2:7">
      <c r="F10" s="82" t="s">
        <v>97</v>
      </c>
      <c r="G10" s="84">
        <f ca="1">'Minus10%OpEx'!D84</f>
        <v>3.4264246525354022E-2</v>
      </c>
    </row>
    <row r="11" spans="2:7">
      <c r="F11" s="82" t="s">
        <v>98</v>
      </c>
      <c r="G11" s="84">
        <f ca="1">'Minus10%Tariff'!D84</f>
        <v>-1.5470697543177153E-2</v>
      </c>
    </row>
  </sheetData>
  <sheetProtection password="E4EA" sheet="1" objects="1" scenarios="1"/>
  <phoneticPr fontId="1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2:IV88"/>
  <sheetViews>
    <sheetView workbookViewId="0">
      <selection activeCell="A2" sqref="A2"/>
    </sheetView>
  </sheetViews>
  <sheetFormatPr baseColWidth="10" defaultColWidth="9.140625" defaultRowHeight="11.25"/>
  <cols>
    <col min="1" max="1" width="29.140625" style="2" customWidth="1"/>
    <col min="2" max="2" width="9.140625" style="2"/>
    <col min="3" max="3" width="11.7109375" style="2" bestFit="1" customWidth="1"/>
    <col min="4" max="4" width="15.7109375" style="2" customWidth="1"/>
    <col min="5" max="5" width="13" style="2" customWidth="1"/>
    <col min="6" max="6" width="11.5703125" style="2" bestFit="1" customWidth="1"/>
    <col min="7" max="7" width="11.85546875" style="2" bestFit="1" customWidth="1"/>
    <col min="8" max="8" width="10.5703125" style="2" bestFit="1" customWidth="1"/>
    <col min="9" max="9" width="11.85546875" style="2" bestFit="1" customWidth="1"/>
    <col min="10" max="11" width="10.5703125" style="2" bestFit="1" customWidth="1"/>
    <col min="12" max="12" width="12.42578125" style="2" bestFit="1" customWidth="1"/>
    <col min="13" max="15" width="10.5703125" style="2" bestFit="1" customWidth="1"/>
    <col min="16" max="16" width="10" style="2" bestFit="1" customWidth="1"/>
    <col min="17" max="19" width="10.85546875" style="2" customWidth="1"/>
    <col min="20" max="20" width="9.85546875" style="2" bestFit="1" customWidth="1"/>
    <col min="21" max="16384" width="9.140625" style="2"/>
  </cols>
  <sheetData>
    <row r="2" spans="1:6" ht="15">
      <c r="A2" s="73" t="s">
        <v>83</v>
      </c>
    </row>
    <row r="4" spans="1:6" ht="12" thickBot="1">
      <c r="A4" s="1" t="s">
        <v>0</v>
      </c>
    </row>
    <row r="5" spans="1:6" ht="12" thickTop="1"/>
    <row r="6" spans="1:6">
      <c r="A6" s="2" t="s">
        <v>1</v>
      </c>
      <c r="E6" s="3">
        <f ca="1">Alternative1!E6</f>
        <v>3233237</v>
      </c>
    </row>
    <row r="7" spans="1:6">
      <c r="A7" s="2" t="s">
        <v>61</v>
      </c>
      <c r="E7" s="3"/>
    </row>
    <row r="8" spans="1:6">
      <c r="A8" s="2" t="s">
        <v>65</v>
      </c>
      <c r="E8" s="3"/>
    </row>
    <row r="9" spans="1:6">
      <c r="A9" s="2" t="s">
        <v>55</v>
      </c>
      <c r="E9" s="3">
        <f>500000*1.5</f>
        <v>750000</v>
      </c>
    </row>
    <row r="10" spans="1:6">
      <c r="A10" s="2" t="s">
        <v>56</v>
      </c>
      <c r="E10" s="3">
        <v>300000</v>
      </c>
    </row>
    <row r="11" spans="1:6">
      <c r="A11" s="2" t="s">
        <v>57</v>
      </c>
      <c r="E11" s="3">
        <v>300000</v>
      </c>
    </row>
    <row r="12" spans="1:6">
      <c r="A12" s="2" t="s">
        <v>58</v>
      </c>
      <c r="E12" s="3"/>
    </row>
    <row r="13" spans="1:6">
      <c r="A13" s="2" t="s">
        <v>68</v>
      </c>
      <c r="E13" s="3"/>
    </row>
    <row r="14" spans="1:6">
      <c r="A14" s="2" t="s">
        <v>2</v>
      </c>
      <c r="E14" s="99">
        <f>SUM(E9:E13)*(1+10%)</f>
        <v>1485000.0000000002</v>
      </c>
      <c r="F14" s="85" t="s">
        <v>106</v>
      </c>
    </row>
    <row r="15" spans="1:6">
      <c r="A15" s="2" t="s">
        <v>3</v>
      </c>
      <c r="E15" s="4">
        <v>3</v>
      </c>
    </row>
    <row r="16" spans="1:6">
      <c r="A16" s="2" t="s">
        <v>4</v>
      </c>
      <c r="E16" s="37">
        <f>E6+E7+E8+E14*E15</f>
        <v>7688237.0000000009</v>
      </c>
    </row>
    <row r="17" spans="1:5">
      <c r="A17" s="2" t="s">
        <v>5</v>
      </c>
      <c r="B17" s="2" t="s">
        <v>6</v>
      </c>
    </row>
    <row r="18" spans="1:5">
      <c r="A18" s="2" t="s">
        <v>39</v>
      </c>
      <c r="E18" s="37">
        <f ca="1">Alternative1!E18</f>
        <v>900000</v>
      </c>
    </row>
    <row r="19" spans="1:5" ht="12" thickBot="1">
      <c r="A19" s="1" t="s">
        <v>7</v>
      </c>
    </row>
    <row r="20" spans="1:5" ht="12" thickTop="1">
      <c r="A20" s="2" t="s">
        <v>8</v>
      </c>
      <c r="B20" s="4">
        <v>15</v>
      </c>
    </row>
    <row r="21" spans="1:5">
      <c r="A21" s="2" t="s">
        <v>9</v>
      </c>
      <c r="B21" s="4">
        <f ca="1">Alternative1!B22</f>
        <v>10</v>
      </c>
      <c r="C21" s="2" t="s">
        <v>29</v>
      </c>
      <c r="D21" s="37">
        <f>E16/B21</f>
        <v>768823.70000000007</v>
      </c>
      <c r="E21" s="2" t="s">
        <v>10</v>
      </c>
    </row>
    <row r="22" spans="1:5">
      <c r="A22" s="2" t="s">
        <v>11</v>
      </c>
      <c r="B22" s="4">
        <v>1.35</v>
      </c>
    </row>
    <row r="23" spans="1:5">
      <c r="A23" s="2" t="s">
        <v>31</v>
      </c>
      <c r="B23" s="5">
        <v>0.25</v>
      </c>
    </row>
    <row r="24" spans="1:5">
      <c r="B24" s="6"/>
    </row>
    <row r="25" spans="1:5" ht="12" thickBot="1">
      <c r="A25" s="1" t="s">
        <v>12</v>
      </c>
      <c r="B25" s="6"/>
    </row>
    <row r="26" spans="1:5" ht="12" thickTop="1">
      <c r="A26" s="2" t="s">
        <v>13</v>
      </c>
      <c r="B26" s="66">
        <f ca="1">WEM</f>
        <v>51.299035237487914</v>
      </c>
    </row>
    <row r="29" spans="1:5">
      <c r="A29" s="8"/>
    </row>
    <row r="30" spans="1:5" ht="12" thickBot="1">
      <c r="A30" s="1" t="s">
        <v>34</v>
      </c>
      <c r="B30" s="1"/>
    </row>
    <row r="31" spans="1:5" ht="12" thickTop="1">
      <c r="A31" s="2" t="s">
        <v>14</v>
      </c>
      <c r="C31" s="5">
        <v>0.7</v>
      </c>
    </row>
    <row r="32" spans="1:5">
      <c r="A32" s="2" t="s">
        <v>145</v>
      </c>
      <c r="C32" s="30">
        <f>C40*C33/1000</f>
        <v>18.158221032527006</v>
      </c>
      <c r="D32" s="2" t="s">
        <v>15</v>
      </c>
    </row>
    <row r="33" spans="1:20">
      <c r="A33" s="2" t="s">
        <v>37</v>
      </c>
      <c r="C33" s="5">
        <v>0.5</v>
      </c>
    </row>
    <row r="34" spans="1:20">
      <c r="A34" s="2" t="s">
        <v>16</v>
      </c>
      <c r="C34" s="7">
        <v>1E-3</v>
      </c>
      <c r="I34" s="21"/>
    </row>
    <row r="35" spans="1:20">
      <c r="A35" s="2" t="s">
        <v>17</v>
      </c>
      <c r="C35" s="28">
        <v>0.371</v>
      </c>
      <c r="I35" s="21"/>
    </row>
    <row r="36" spans="1:20">
      <c r="A36" s="2" t="s">
        <v>44</v>
      </c>
      <c r="C36" s="5">
        <v>0.9</v>
      </c>
      <c r="I36" s="21"/>
      <c r="L36" s="21"/>
    </row>
    <row r="37" spans="1:20">
      <c r="A37" s="2" t="s">
        <v>52</v>
      </c>
      <c r="C37" s="29">
        <v>8760</v>
      </c>
      <c r="D37" s="2" t="s">
        <v>20</v>
      </c>
      <c r="I37" s="21"/>
      <c r="L37" s="21"/>
    </row>
    <row r="38" spans="1:20">
      <c r="A38" s="2" t="s">
        <v>51</v>
      </c>
      <c r="C38" s="4">
        <f>101325*16/8314/298</f>
        <v>0.65435030747845069</v>
      </c>
    </row>
    <row r="39" spans="1:20" ht="14.25" customHeight="1">
      <c r="A39" s="2" t="s">
        <v>60</v>
      </c>
      <c r="C39" s="4">
        <v>55.5</v>
      </c>
    </row>
    <row r="40" spans="1:20">
      <c r="A40" s="2" t="s">
        <v>146</v>
      </c>
      <c r="C40" s="29">
        <f>C38*C39*1000</f>
        <v>36316.442065054012</v>
      </c>
    </row>
    <row r="43" spans="1:20" ht="12" thickBot="1">
      <c r="A43" s="1" t="s">
        <v>18</v>
      </c>
      <c r="I43" s="21"/>
    </row>
    <row r="44" spans="1:20" ht="12" thickTop="1">
      <c r="A44" s="2" t="s">
        <v>32</v>
      </c>
      <c r="C44" s="19">
        <f ca="1">Alternative1!C44</f>
        <v>28</v>
      </c>
    </row>
    <row r="45" spans="1:20">
      <c r="A45" s="2" t="s">
        <v>19</v>
      </c>
      <c r="C45" s="19">
        <v>0</v>
      </c>
      <c r="D45" s="2" t="s">
        <v>27</v>
      </c>
    </row>
    <row r="46" spans="1:20">
      <c r="A46" s="2" t="s">
        <v>38</v>
      </c>
      <c r="C46" s="19">
        <v>40000</v>
      </c>
      <c r="D46" s="2" t="s">
        <v>67</v>
      </c>
      <c r="G46" s="23"/>
    </row>
    <row r="48" spans="1:20">
      <c r="C48" s="22"/>
      <c r="D48" s="22"/>
      <c r="E48" s="22"/>
      <c r="F48" s="22"/>
      <c r="G48" s="22"/>
      <c r="H48" s="22"/>
      <c r="I48" s="22"/>
      <c r="J48" s="22"/>
      <c r="K48" s="22"/>
      <c r="L48" s="22"/>
      <c r="M48" s="22"/>
      <c r="N48" s="22"/>
      <c r="O48" s="22"/>
      <c r="P48" s="22"/>
      <c r="Q48" s="22"/>
      <c r="R48" s="22"/>
      <c r="S48" s="22"/>
      <c r="T48" s="22"/>
    </row>
    <row r="49" spans="3:256">
      <c r="C49" s="22"/>
      <c r="D49" s="22"/>
      <c r="E49" s="22"/>
      <c r="F49" s="22"/>
      <c r="G49" s="22"/>
      <c r="H49" s="22"/>
      <c r="I49" s="22"/>
      <c r="J49" s="22"/>
      <c r="K49" s="22"/>
      <c r="L49" s="22"/>
      <c r="M49" s="22"/>
      <c r="N49" s="22"/>
      <c r="O49" s="22"/>
      <c r="P49" s="22"/>
      <c r="Q49" s="22"/>
      <c r="R49" s="22"/>
      <c r="S49" s="22"/>
      <c r="T49" s="22"/>
    </row>
    <row r="50" spans="3:256">
      <c r="E50" s="11">
        <v>39813</v>
      </c>
      <c r="F50" s="11">
        <v>40178</v>
      </c>
      <c r="G50" s="11">
        <v>40543</v>
      </c>
      <c r="H50" s="11">
        <v>40908</v>
      </c>
      <c r="I50" s="11">
        <v>41274</v>
      </c>
      <c r="J50" s="11">
        <v>41639</v>
      </c>
      <c r="K50" s="11">
        <v>42004</v>
      </c>
      <c r="L50" s="11">
        <v>42369</v>
      </c>
      <c r="M50" s="11">
        <v>42735</v>
      </c>
      <c r="N50" s="11">
        <v>43100</v>
      </c>
      <c r="O50" s="11">
        <v>43465</v>
      </c>
      <c r="P50" s="11">
        <v>43830</v>
      </c>
      <c r="Q50" s="11">
        <v>44196</v>
      </c>
      <c r="R50" s="11">
        <v>44561</v>
      </c>
      <c r="S50" s="11">
        <v>44926</v>
      </c>
      <c r="T50" s="11">
        <v>45291</v>
      </c>
    </row>
    <row r="52" spans="3:256">
      <c r="F52" s="2">
        <v>1</v>
      </c>
      <c r="G52" s="2">
        <v>2</v>
      </c>
      <c r="H52" s="2">
        <f>G52+1</f>
        <v>3</v>
      </c>
      <c r="I52" s="2">
        <f t="shared" ref="I52:R52" si="0">H52+1</f>
        <v>4</v>
      </c>
      <c r="J52" s="2">
        <f t="shared" si="0"/>
        <v>5</v>
      </c>
      <c r="K52" s="2">
        <f t="shared" si="0"/>
        <v>6</v>
      </c>
      <c r="L52" s="2">
        <f t="shared" si="0"/>
        <v>7</v>
      </c>
      <c r="M52" s="2">
        <f t="shared" si="0"/>
        <v>8</v>
      </c>
      <c r="N52" s="2">
        <f t="shared" si="0"/>
        <v>9</v>
      </c>
      <c r="O52" s="2">
        <f t="shared" si="0"/>
        <v>10</v>
      </c>
      <c r="P52" s="2">
        <f t="shared" si="0"/>
        <v>11</v>
      </c>
      <c r="Q52" s="2">
        <f t="shared" si="0"/>
        <v>12</v>
      </c>
      <c r="R52" s="2">
        <f t="shared" si="0"/>
        <v>13</v>
      </c>
      <c r="S52" s="2">
        <f>R52+1</f>
        <v>14</v>
      </c>
      <c r="T52" s="2">
        <f>S52+1</f>
        <v>15</v>
      </c>
    </row>
    <row r="53" spans="3:256" ht="7.5" customHeight="1"/>
    <row r="54" spans="3:256" ht="7.5" customHeight="1"/>
    <row r="55" spans="3:256">
      <c r="C55" s="9" t="s">
        <v>21</v>
      </c>
      <c r="D55" s="67">
        <f>B26</f>
        <v>51.299035237487914</v>
      </c>
      <c r="F55" s="13">
        <f>$D$55</f>
        <v>51.299035237487914</v>
      </c>
      <c r="G55" s="13">
        <f t="shared" ref="G55:T55" si="1">$D$55</f>
        <v>51.299035237487914</v>
      </c>
      <c r="H55" s="13">
        <f t="shared" si="1"/>
        <v>51.299035237487914</v>
      </c>
      <c r="I55" s="13">
        <f t="shared" si="1"/>
        <v>51.299035237487914</v>
      </c>
      <c r="J55" s="13">
        <f t="shared" si="1"/>
        <v>51.299035237487914</v>
      </c>
      <c r="K55" s="13">
        <f t="shared" si="1"/>
        <v>51.299035237487914</v>
      </c>
      <c r="L55" s="13">
        <f t="shared" si="1"/>
        <v>51.299035237487914</v>
      </c>
      <c r="M55" s="13">
        <f t="shared" si="1"/>
        <v>51.299035237487914</v>
      </c>
      <c r="N55" s="13">
        <f t="shared" si="1"/>
        <v>51.299035237487914</v>
      </c>
      <c r="O55" s="13">
        <f t="shared" si="1"/>
        <v>51.299035237487914</v>
      </c>
      <c r="P55" s="13">
        <f t="shared" si="1"/>
        <v>51.299035237487914</v>
      </c>
      <c r="Q55" s="13">
        <f t="shared" si="1"/>
        <v>51.299035237487914</v>
      </c>
      <c r="R55" s="13">
        <f t="shared" si="1"/>
        <v>51.299035237487914</v>
      </c>
      <c r="S55" s="13">
        <f t="shared" si="1"/>
        <v>51.299035237487914</v>
      </c>
      <c r="T55" s="13">
        <f t="shared" si="1"/>
        <v>51.299035237487914</v>
      </c>
    </row>
    <row r="56" spans="3:256" ht="5.25" customHeight="1">
      <c r="C56" s="9"/>
      <c r="D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row>
    <row r="57" spans="3:256">
      <c r="C57" s="9" t="s">
        <v>22</v>
      </c>
      <c r="D57" s="12"/>
      <c r="F57" s="13">
        <v>22346.677920401315</v>
      </c>
      <c r="G57" s="13">
        <v>23731.718395392007</v>
      </c>
      <c r="H57" s="13">
        <v>24977.370885892011</v>
      </c>
      <c r="I57" s="13">
        <v>26246.840195630495</v>
      </c>
      <c r="J57" s="13">
        <v>27102.733094479103</v>
      </c>
      <c r="K57" s="13">
        <v>27161.453021902002</v>
      </c>
      <c r="L57" s="13">
        <v>24345.245432552016</v>
      </c>
      <c r="M57" s="13">
        <v>21904.541291505648</v>
      </c>
      <c r="N57" s="13">
        <v>19781.748299988245</v>
      </c>
      <c r="O57" s="13">
        <v>17928.653758553002</v>
      </c>
      <c r="P57" s="13">
        <v>16304.861643615659</v>
      </c>
      <c r="Q57" s="13">
        <v>14876.492313699584</v>
      </c>
      <c r="R57" s="13">
        <v>13615.10057656947</v>
      </c>
      <c r="S57" s="13">
        <v>12496.775319142103</v>
      </c>
      <c r="T57" s="13">
        <v>11501.390111449493</v>
      </c>
      <c r="U57" s="2" t="s">
        <v>46</v>
      </c>
    </row>
    <row r="58" spans="3:256">
      <c r="C58" s="9" t="s">
        <v>48</v>
      </c>
      <c r="D58" s="12"/>
      <c r="F58" s="24">
        <f t="shared" ref="F58:T58" si="2">F57*1000</f>
        <v>22346677.920401316</v>
      </c>
      <c r="G58" s="24">
        <f t="shared" si="2"/>
        <v>23731718.395392008</v>
      </c>
      <c r="H58" s="24">
        <f t="shared" si="2"/>
        <v>24977370.885892011</v>
      </c>
      <c r="I58" s="24">
        <f t="shared" si="2"/>
        <v>26246840.195630495</v>
      </c>
      <c r="J58" s="24">
        <f t="shared" si="2"/>
        <v>27102733.094479103</v>
      </c>
      <c r="K58" s="24">
        <f t="shared" si="2"/>
        <v>27161453.021902002</v>
      </c>
      <c r="L58" s="24">
        <f t="shared" si="2"/>
        <v>24345245.432552017</v>
      </c>
      <c r="M58" s="24">
        <f t="shared" si="2"/>
        <v>21904541.291505646</v>
      </c>
      <c r="N58" s="24">
        <f t="shared" si="2"/>
        <v>19781748.299988244</v>
      </c>
      <c r="O58" s="24">
        <f t="shared" si="2"/>
        <v>17928653.758553002</v>
      </c>
      <c r="P58" s="24">
        <f t="shared" si="2"/>
        <v>16304861.643615659</v>
      </c>
      <c r="Q58" s="24">
        <f t="shared" si="2"/>
        <v>14876492.313699584</v>
      </c>
      <c r="R58" s="24">
        <f t="shared" si="2"/>
        <v>13615100.57656947</v>
      </c>
      <c r="S58" s="24">
        <f t="shared" si="2"/>
        <v>12496775.319142103</v>
      </c>
      <c r="T58" s="24">
        <f t="shared" si="2"/>
        <v>11501390.111449493</v>
      </c>
    </row>
    <row r="59" spans="3:256">
      <c r="C59" s="9" t="s">
        <v>49</v>
      </c>
      <c r="D59" s="12"/>
      <c r="F59" s="24">
        <f t="shared" ref="F59:T59" si="3">F58*$C$31</f>
        <v>15642674.54428092</v>
      </c>
      <c r="G59" s="24">
        <f t="shared" si="3"/>
        <v>16612202.876774404</v>
      </c>
      <c r="H59" s="24">
        <f t="shared" si="3"/>
        <v>17484159.620124407</v>
      </c>
      <c r="I59" s="24">
        <f t="shared" si="3"/>
        <v>18372788.136941344</v>
      </c>
      <c r="J59" s="24">
        <f t="shared" si="3"/>
        <v>18971913.166135371</v>
      </c>
      <c r="K59" s="24">
        <f t="shared" si="3"/>
        <v>19013017.1153314</v>
      </c>
      <c r="L59" s="24">
        <f t="shared" si="3"/>
        <v>17041671.80278641</v>
      </c>
      <c r="M59" s="24">
        <f t="shared" si="3"/>
        <v>15333178.904053951</v>
      </c>
      <c r="N59" s="24">
        <f t="shared" si="3"/>
        <v>13847223.809991769</v>
      </c>
      <c r="O59" s="24">
        <f t="shared" si="3"/>
        <v>12550057.6309871</v>
      </c>
      <c r="P59" s="24">
        <f t="shared" si="3"/>
        <v>11413403.15053096</v>
      </c>
      <c r="Q59" s="24">
        <f t="shared" si="3"/>
        <v>10413544.619589709</v>
      </c>
      <c r="R59" s="24">
        <f t="shared" si="3"/>
        <v>9530570.4035986289</v>
      </c>
      <c r="S59" s="24">
        <f t="shared" si="3"/>
        <v>8747742.7233994715</v>
      </c>
      <c r="T59" s="24">
        <f t="shared" si="3"/>
        <v>8050973.0780146448</v>
      </c>
    </row>
    <row r="60" spans="3:256">
      <c r="C60" s="9" t="s">
        <v>50</v>
      </c>
      <c r="D60" s="12"/>
      <c r="F60" s="24">
        <f t="shared" ref="F60:T60" si="4">F59*$C$32</f>
        <v>284043141.9149366</v>
      </c>
      <c r="G60" s="24">
        <f t="shared" si="4"/>
        <v>301648051.67365062</v>
      </c>
      <c r="H60" s="24">
        <f t="shared" si="4"/>
        <v>317481234.95020241</v>
      </c>
      <c r="I60" s="24">
        <f t="shared" si="4"/>
        <v>333617147.97437096</v>
      </c>
      <c r="J60" s="24">
        <f t="shared" si="4"/>
        <v>344496192.68059534</v>
      </c>
      <c r="K60" s="24">
        <f t="shared" si="4"/>
        <v>345242567.2754066</v>
      </c>
      <c r="L60" s="24">
        <f t="shared" si="4"/>
        <v>309446443.3587786</v>
      </c>
      <c r="M60" s="24">
        <f t="shared" si="4"/>
        <v>278423251.67109185</v>
      </c>
      <c r="N60" s="24">
        <f t="shared" si="4"/>
        <v>251440950.6287013</v>
      </c>
      <c r="O60" s="24">
        <f t="shared" si="4"/>
        <v>227886720.43441603</v>
      </c>
      <c r="P60" s="24">
        <f t="shared" si="4"/>
        <v>207247097.14068127</v>
      </c>
      <c r="Q60" s="24">
        <f t="shared" si="4"/>
        <v>189091444.93459228</v>
      </c>
      <c r="R60" s="24">
        <f t="shared" si="4"/>
        <v>173058203.95460403</v>
      </c>
      <c r="S60" s="24">
        <f t="shared" si="4"/>
        <v>158843445.90716735</v>
      </c>
      <c r="T60" s="24">
        <f t="shared" si="4"/>
        <v>146191348.67751423</v>
      </c>
    </row>
    <row r="61" spans="3:256">
      <c r="C61" s="9" t="s">
        <v>53</v>
      </c>
      <c r="D61" s="12"/>
      <c r="F61" s="13">
        <f t="shared" ref="F61:T61" si="5">F60/3.6/1000</f>
        <v>78900.872754149052</v>
      </c>
      <c r="G61" s="13">
        <f t="shared" si="5"/>
        <v>83791.125464902958</v>
      </c>
      <c r="H61" s="13">
        <f t="shared" si="5"/>
        <v>88189.231930611772</v>
      </c>
      <c r="I61" s="13">
        <f t="shared" si="5"/>
        <v>92671.429992880818</v>
      </c>
      <c r="J61" s="13">
        <f t="shared" si="5"/>
        <v>95693.386855720921</v>
      </c>
      <c r="K61" s="13">
        <f t="shared" si="5"/>
        <v>95900.713132057383</v>
      </c>
      <c r="L61" s="13">
        <f t="shared" si="5"/>
        <v>85957.345377438498</v>
      </c>
      <c r="M61" s="13">
        <f t="shared" si="5"/>
        <v>77339.792130858856</v>
      </c>
      <c r="N61" s="13">
        <f t="shared" si="5"/>
        <v>69844.70850797258</v>
      </c>
      <c r="O61" s="13">
        <f t="shared" si="5"/>
        <v>63301.866787337778</v>
      </c>
      <c r="P61" s="13">
        <f t="shared" si="5"/>
        <v>57568.638094633687</v>
      </c>
      <c r="Q61" s="13">
        <f t="shared" si="5"/>
        <v>52525.401370720072</v>
      </c>
      <c r="R61" s="13">
        <f t="shared" si="5"/>
        <v>48071.723320723337</v>
      </c>
      <c r="S61" s="13">
        <f t="shared" si="5"/>
        <v>44123.179418657593</v>
      </c>
      <c r="T61" s="13">
        <f t="shared" si="5"/>
        <v>40608.707965976173</v>
      </c>
    </row>
    <row r="62" spans="3:256" ht="12" customHeight="1">
      <c r="C62" s="9" t="s">
        <v>54</v>
      </c>
      <c r="D62" s="33">
        <v>1</v>
      </c>
      <c r="F62" s="15">
        <f>F61*$C$35*$C$36*$D$62</f>
        <v>26345.001412610367</v>
      </c>
      <c r="G62" s="15">
        <f t="shared" ref="G62:T62" si="6">G61*$C$35*$C$36*$D$62</f>
        <v>27977.856792731098</v>
      </c>
      <c r="H62" s="15">
        <f t="shared" si="6"/>
        <v>29446.384541631272</v>
      </c>
      <c r="I62" s="15">
        <f t="shared" si="6"/>
        <v>30942.990474622904</v>
      </c>
      <c r="J62" s="15">
        <f t="shared" si="6"/>
        <v>31952.021871125213</v>
      </c>
      <c r="K62" s="15">
        <f t="shared" si="6"/>
        <v>32021.248114793958</v>
      </c>
      <c r="L62" s="15">
        <f t="shared" si="6"/>
        <v>28701.157621526716</v>
      </c>
      <c r="M62" s="15">
        <f t="shared" si="6"/>
        <v>25823.75659249377</v>
      </c>
      <c r="N62" s="15">
        <f t="shared" si="6"/>
        <v>23321.148170812045</v>
      </c>
      <c r="O62" s="15">
        <f t="shared" si="6"/>
        <v>21136.493320292084</v>
      </c>
      <c r="P62" s="15">
        <f t="shared" si="6"/>
        <v>19222.168259798189</v>
      </c>
      <c r="Q62" s="15">
        <f t="shared" si="6"/>
        <v>17538.231517683435</v>
      </c>
      <c r="R62" s="15">
        <f t="shared" si="6"/>
        <v>16051.148416789523</v>
      </c>
      <c r="S62" s="15">
        <f t="shared" si="6"/>
        <v>14732.729607889771</v>
      </c>
      <c r="T62" s="15">
        <f t="shared" si="6"/>
        <v>13559.247589839444</v>
      </c>
    </row>
    <row r="63" spans="3:256" ht="5.25" customHeight="1">
      <c r="C63" s="9"/>
      <c r="D63" s="12"/>
      <c r="E63" s="12"/>
      <c r="F63" s="12"/>
      <c r="G63" s="12"/>
      <c r="H63" s="12"/>
      <c r="I63" s="12"/>
      <c r="J63" s="12"/>
      <c r="K63" s="12"/>
      <c r="L63" s="12"/>
      <c r="M63" s="12"/>
      <c r="N63" s="12"/>
      <c r="O63" s="12"/>
      <c r="P63" s="12"/>
      <c r="Q63" s="12"/>
      <c r="R63" s="12"/>
      <c r="S63" s="12"/>
      <c r="T63" s="12"/>
    </row>
    <row r="64" spans="3:256">
      <c r="C64" s="9" t="s">
        <v>36</v>
      </c>
      <c r="D64" s="13">
        <f>ROUNDUP(AVERAGE(F64:T64),0)</f>
        <v>3</v>
      </c>
      <c r="E64" s="14"/>
      <c r="F64" s="13">
        <f>$D$62*F62/(8760)</f>
        <v>3.0074202525810922</v>
      </c>
      <c r="G64" s="13">
        <f t="shared" ref="G64:T64" si="7">$D$62*G62/(8760)</f>
        <v>3.1938192685766094</v>
      </c>
      <c r="H64" s="13">
        <f t="shared" si="7"/>
        <v>3.3614594225606473</v>
      </c>
      <c r="I64" s="13">
        <f t="shared" si="7"/>
        <v>3.5323048487012447</v>
      </c>
      <c r="J64" s="13">
        <f t="shared" si="7"/>
        <v>3.6474910811786772</v>
      </c>
      <c r="K64" s="13">
        <f t="shared" si="7"/>
        <v>3.6553936204102691</v>
      </c>
      <c r="L64" s="13">
        <f t="shared" si="7"/>
        <v>3.2763878563386664</v>
      </c>
      <c r="M64" s="13">
        <f t="shared" si="7"/>
        <v>2.9479174192344488</v>
      </c>
      <c r="N64" s="13">
        <f t="shared" si="7"/>
        <v>2.6622315263484069</v>
      </c>
      <c r="O64" s="13">
        <f t="shared" si="7"/>
        <v>2.4128417032296898</v>
      </c>
      <c r="P64" s="13">
        <f t="shared" si="7"/>
        <v>2.1943114451824415</v>
      </c>
      <c r="Q64" s="13">
        <f t="shared" si="7"/>
        <v>2.002081223479844</v>
      </c>
      <c r="R64" s="13">
        <f t="shared" si="7"/>
        <v>1.8323228786289409</v>
      </c>
      <c r="S64" s="13">
        <f t="shared" si="7"/>
        <v>1.6818184483892433</v>
      </c>
      <c r="T64" s="13">
        <f t="shared" si="7"/>
        <v>1.5478593139086123</v>
      </c>
    </row>
    <row r="65" spans="2:256">
      <c r="C65" s="9" t="s">
        <v>45</v>
      </c>
      <c r="D65" s="13">
        <f>E15*C37</f>
        <v>26280</v>
      </c>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row>
    <row r="66" spans="2:256">
      <c r="C66" s="9" t="s">
        <v>42</v>
      </c>
      <c r="F66" s="13">
        <f>MIN($D$65,F62)</f>
        <v>26280</v>
      </c>
      <c r="G66" s="13">
        <f t="shared" ref="G66:T66" si="8">MIN($D$65,G62)</f>
        <v>26280</v>
      </c>
      <c r="H66" s="13">
        <f t="shared" si="8"/>
        <v>26280</v>
      </c>
      <c r="I66" s="13">
        <f t="shared" si="8"/>
        <v>26280</v>
      </c>
      <c r="J66" s="13">
        <f t="shared" si="8"/>
        <v>26280</v>
      </c>
      <c r="K66" s="13">
        <f t="shared" si="8"/>
        <v>26280</v>
      </c>
      <c r="L66" s="13">
        <f t="shared" si="8"/>
        <v>26280</v>
      </c>
      <c r="M66" s="13">
        <f t="shared" si="8"/>
        <v>25823.75659249377</v>
      </c>
      <c r="N66" s="13">
        <f t="shared" si="8"/>
        <v>23321.148170812045</v>
      </c>
      <c r="O66" s="13">
        <f t="shared" si="8"/>
        <v>21136.493320292084</v>
      </c>
      <c r="P66" s="13">
        <f t="shared" si="8"/>
        <v>19222.168259798189</v>
      </c>
      <c r="Q66" s="13">
        <f t="shared" si="8"/>
        <v>17538.231517683435</v>
      </c>
      <c r="R66" s="13">
        <f t="shared" si="8"/>
        <v>16051.148416789523</v>
      </c>
      <c r="S66" s="13">
        <f t="shared" si="8"/>
        <v>14732.729607889771</v>
      </c>
      <c r="T66" s="13">
        <f t="shared" si="8"/>
        <v>13559.247589839444</v>
      </c>
    </row>
    <row r="68" spans="2:256">
      <c r="C68" s="9" t="s">
        <v>23</v>
      </c>
      <c r="F68" s="15">
        <f>F55*F66</f>
        <v>1348138.6460411823</v>
      </c>
      <c r="G68" s="15">
        <f t="shared" ref="G68:R68" si="9">G55*G66</f>
        <v>1348138.6460411823</v>
      </c>
      <c r="H68" s="15">
        <f t="shared" si="9"/>
        <v>1348138.6460411823</v>
      </c>
      <c r="I68" s="15">
        <f t="shared" si="9"/>
        <v>1348138.6460411823</v>
      </c>
      <c r="J68" s="15">
        <f t="shared" si="9"/>
        <v>1348138.6460411823</v>
      </c>
      <c r="K68" s="15">
        <f t="shared" si="9"/>
        <v>1348138.6460411823</v>
      </c>
      <c r="L68" s="15">
        <f t="shared" si="9"/>
        <v>1348138.6460411823</v>
      </c>
      <c r="M68" s="15">
        <f t="shared" si="9"/>
        <v>1324733.7994026488</v>
      </c>
      <c r="N68" s="15">
        <f t="shared" si="9"/>
        <v>1196352.401793164</v>
      </c>
      <c r="O68" s="15">
        <f t="shared" si="9"/>
        <v>1084281.7156345914</v>
      </c>
      <c r="P68" s="15">
        <f t="shared" si="9"/>
        <v>986078.68690030905</v>
      </c>
      <c r="Q68" s="15">
        <f t="shared" si="9"/>
        <v>899694.35662886361</v>
      </c>
      <c r="R68" s="15">
        <f t="shared" si="9"/>
        <v>823408.42823503411</v>
      </c>
      <c r="S68" s="15">
        <f>S55*S66</f>
        <v>755774.81529951887</v>
      </c>
      <c r="T68" s="15">
        <f>T55*T66</f>
        <v>695576.31990499666</v>
      </c>
    </row>
    <row r="69" spans="2:256">
      <c r="B69" s="2" t="s">
        <v>18</v>
      </c>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c r="IU69" s="9"/>
      <c r="IV69" s="9"/>
    </row>
    <row r="70" spans="2:256">
      <c r="C70" s="9" t="str">
        <f>A44</f>
        <v>Cost per MWh Generated</v>
      </c>
      <c r="D70" s="14">
        <f>C44</f>
        <v>28</v>
      </c>
      <c r="E70" s="9"/>
      <c r="F70" s="17">
        <f>$D$70*F66</f>
        <v>735840</v>
      </c>
      <c r="G70" s="17">
        <f t="shared" ref="G70:T70" si="10">$D$70*G66</f>
        <v>735840</v>
      </c>
      <c r="H70" s="17">
        <f t="shared" si="10"/>
        <v>735840</v>
      </c>
      <c r="I70" s="17">
        <f t="shared" si="10"/>
        <v>735840</v>
      </c>
      <c r="J70" s="17">
        <f t="shared" si="10"/>
        <v>735840</v>
      </c>
      <c r="K70" s="17">
        <f t="shared" si="10"/>
        <v>735840</v>
      </c>
      <c r="L70" s="17">
        <f t="shared" si="10"/>
        <v>735840</v>
      </c>
      <c r="M70" s="17">
        <f t="shared" si="10"/>
        <v>723065.18458982557</v>
      </c>
      <c r="N70" s="17">
        <f t="shared" si="10"/>
        <v>652992.1487827372</v>
      </c>
      <c r="O70" s="17">
        <f t="shared" si="10"/>
        <v>591821.8129681783</v>
      </c>
      <c r="P70" s="17">
        <f t="shared" si="10"/>
        <v>538220.71127434925</v>
      </c>
      <c r="Q70" s="17">
        <f t="shared" si="10"/>
        <v>491070.48249513615</v>
      </c>
      <c r="R70" s="17">
        <f t="shared" si="10"/>
        <v>449432.15567010664</v>
      </c>
      <c r="S70" s="17">
        <f t="shared" si="10"/>
        <v>412516.42902091355</v>
      </c>
      <c r="T70" s="17">
        <f t="shared" si="10"/>
        <v>379658.93251550442</v>
      </c>
    </row>
    <row r="71" spans="2:256">
      <c r="C71" s="9" t="str">
        <f>A46</f>
        <v>Admin costs and insurances per year</v>
      </c>
      <c r="D71" s="36">
        <f>C46</f>
        <v>40000</v>
      </c>
      <c r="E71" s="9"/>
      <c r="F71" s="17">
        <f>$D$71</f>
        <v>40000</v>
      </c>
      <c r="G71" s="17">
        <f>$D$71</f>
        <v>40000</v>
      </c>
      <c r="H71" s="17">
        <f t="shared" ref="H71:T71" si="11">$D$71</f>
        <v>40000</v>
      </c>
      <c r="I71" s="17">
        <f t="shared" si="11"/>
        <v>40000</v>
      </c>
      <c r="J71" s="17">
        <f t="shared" si="11"/>
        <v>40000</v>
      </c>
      <c r="K71" s="17">
        <f t="shared" si="11"/>
        <v>40000</v>
      </c>
      <c r="L71" s="17">
        <f t="shared" si="11"/>
        <v>40000</v>
      </c>
      <c r="M71" s="17">
        <f t="shared" si="11"/>
        <v>40000</v>
      </c>
      <c r="N71" s="17">
        <f t="shared" si="11"/>
        <v>40000</v>
      </c>
      <c r="O71" s="17">
        <f t="shared" si="11"/>
        <v>40000</v>
      </c>
      <c r="P71" s="17">
        <f t="shared" si="11"/>
        <v>40000</v>
      </c>
      <c r="Q71" s="17">
        <f t="shared" si="11"/>
        <v>40000</v>
      </c>
      <c r="R71" s="17">
        <f t="shared" si="11"/>
        <v>40000</v>
      </c>
      <c r="S71" s="17">
        <f t="shared" si="11"/>
        <v>40000</v>
      </c>
      <c r="T71" s="17">
        <f t="shared" si="11"/>
        <v>40000</v>
      </c>
    </row>
    <row r="72" spans="2:256">
      <c r="C72" s="9"/>
      <c r="E72" s="9"/>
    </row>
    <row r="73" spans="2:256">
      <c r="C73" s="9" t="s">
        <v>28</v>
      </c>
      <c r="D73" s="10">
        <v>0.25</v>
      </c>
      <c r="F73" s="16">
        <f t="shared" ref="F73:T73" si="12">IF((F68-SUM(F70:F71)-$D$21)&gt;0,(F68-SUM(F70:F71)-$D$21)*$D$73,0)</f>
        <v>0</v>
      </c>
      <c r="G73" s="16">
        <f t="shared" si="12"/>
        <v>0</v>
      </c>
      <c r="H73" s="16">
        <f t="shared" si="12"/>
        <v>0</v>
      </c>
      <c r="I73" s="16">
        <f t="shared" si="12"/>
        <v>0</v>
      </c>
      <c r="J73" s="16">
        <f t="shared" si="12"/>
        <v>0</v>
      </c>
      <c r="K73" s="16">
        <f t="shared" si="12"/>
        <v>0</v>
      </c>
      <c r="L73" s="16">
        <f t="shared" si="12"/>
        <v>0</v>
      </c>
      <c r="M73" s="16">
        <f t="shared" si="12"/>
        <v>0</v>
      </c>
      <c r="N73" s="16">
        <f t="shared" si="12"/>
        <v>0</v>
      </c>
      <c r="O73" s="16">
        <f t="shared" si="12"/>
        <v>0</v>
      </c>
      <c r="P73" s="16">
        <f t="shared" si="12"/>
        <v>0</v>
      </c>
      <c r="Q73" s="16">
        <f t="shared" si="12"/>
        <v>0</v>
      </c>
      <c r="R73" s="16">
        <f t="shared" si="12"/>
        <v>0</v>
      </c>
      <c r="S73" s="16">
        <f t="shared" si="12"/>
        <v>0</v>
      </c>
      <c r="T73" s="16">
        <f t="shared" si="12"/>
        <v>0</v>
      </c>
    </row>
    <row r="75" spans="2:256">
      <c r="C75" s="2" t="s">
        <v>24</v>
      </c>
      <c r="F75" s="15">
        <f t="shared" ref="F75:T75" si="13">F68-SUM(F70:F73)</f>
        <v>572298.64604118234</v>
      </c>
      <c r="G75" s="15">
        <f t="shared" si="13"/>
        <v>572298.64604118234</v>
      </c>
      <c r="H75" s="15">
        <f t="shared" si="13"/>
        <v>572298.64604118234</v>
      </c>
      <c r="I75" s="15">
        <f t="shared" si="13"/>
        <v>572298.64604118234</v>
      </c>
      <c r="J75" s="15">
        <f t="shared" si="13"/>
        <v>572298.64604118234</v>
      </c>
      <c r="K75" s="15">
        <f t="shared" si="13"/>
        <v>572298.64604118234</v>
      </c>
      <c r="L75" s="15">
        <f t="shared" si="13"/>
        <v>572298.64604118234</v>
      </c>
      <c r="M75" s="15">
        <f t="shared" si="13"/>
        <v>561668.61481282325</v>
      </c>
      <c r="N75" s="15">
        <f t="shared" si="13"/>
        <v>503360.25301042676</v>
      </c>
      <c r="O75" s="15">
        <f t="shared" si="13"/>
        <v>452459.90266641311</v>
      </c>
      <c r="P75" s="15">
        <f t="shared" si="13"/>
        <v>407857.97562595981</v>
      </c>
      <c r="Q75" s="15">
        <f t="shared" si="13"/>
        <v>368623.87413372751</v>
      </c>
      <c r="R75" s="15">
        <f t="shared" si="13"/>
        <v>333976.27256492747</v>
      </c>
      <c r="S75" s="15">
        <f t="shared" si="13"/>
        <v>303258.38627860532</v>
      </c>
      <c r="T75" s="15">
        <f t="shared" si="13"/>
        <v>275917.38738949224</v>
      </c>
    </row>
    <row r="76" spans="2:256" ht="12" thickBot="1"/>
    <row r="77" spans="2:256" ht="12" thickBot="1">
      <c r="C77" s="9" t="s">
        <v>40</v>
      </c>
      <c r="E77" s="38">
        <f>-E16</f>
        <v>-7688237.0000000009</v>
      </c>
    </row>
    <row r="78" spans="2:256">
      <c r="C78" s="9" t="s">
        <v>25</v>
      </c>
      <c r="F78" s="25">
        <f>F75</f>
        <v>572298.64604118234</v>
      </c>
      <c r="G78" s="25">
        <f>G75</f>
        <v>572298.64604118234</v>
      </c>
      <c r="H78" s="25">
        <f>H75</f>
        <v>572298.64604118234</v>
      </c>
      <c r="I78" s="25">
        <f>I75</f>
        <v>572298.64604118234</v>
      </c>
      <c r="J78" s="25">
        <f t="shared" ref="J78:T78" si="14">J75</f>
        <v>572298.64604118234</v>
      </c>
      <c r="K78" s="25">
        <f t="shared" si="14"/>
        <v>572298.64604118234</v>
      </c>
      <c r="L78" s="25">
        <f t="shared" si="14"/>
        <v>572298.64604118234</v>
      </c>
      <c r="M78" s="25">
        <f t="shared" si="14"/>
        <v>561668.61481282325</v>
      </c>
      <c r="N78" s="25">
        <f t="shared" si="14"/>
        <v>503360.25301042676</v>
      </c>
      <c r="O78" s="25">
        <f t="shared" si="14"/>
        <v>452459.90266641311</v>
      </c>
      <c r="P78" s="25">
        <f t="shared" si="14"/>
        <v>407857.97562595981</v>
      </c>
      <c r="Q78" s="25">
        <f t="shared" si="14"/>
        <v>368623.87413372751</v>
      </c>
      <c r="R78" s="25">
        <f t="shared" si="14"/>
        <v>333976.27256492747</v>
      </c>
      <c r="S78" s="25">
        <f t="shared" si="14"/>
        <v>303258.38627860532</v>
      </c>
      <c r="T78" s="25">
        <f t="shared" si="14"/>
        <v>275917.38738949224</v>
      </c>
    </row>
    <row r="79" spans="2:256" ht="12" thickBot="1">
      <c r="C79" s="9" t="s">
        <v>41</v>
      </c>
      <c r="E79" s="1"/>
      <c r="F79" s="1"/>
      <c r="G79" s="1"/>
      <c r="H79" s="1"/>
      <c r="I79" s="1"/>
      <c r="J79" s="1"/>
      <c r="K79" s="1"/>
      <c r="L79" s="1"/>
      <c r="M79" s="1"/>
      <c r="N79" s="1"/>
      <c r="O79" s="1"/>
      <c r="P79" s="1"/>
      <c r="Q79" s="1"/>
      <c r="R79" s="1"/>
      <c r="S79" s="1"/>
      <c r="T79" s="26">
        <f>E18</f>
        <v>900000</v>
      </c>
    </row>
    <row r="80" spans="2:256" ht="6.75" customHeight="1" thickTop="1"/>
    <row r="81" spans="2:20">
      <c r="C81" s="2" t="s">
        <v>25</v>
      </c>
      <c r="E81" s="15">
        <f>SUM(E77:E79)</f>
        <v>-7688237.0000000009</v>
      </c>
      <c r="F81" s="15">
        <f>SUM(F77:F79)</f>
        <v>572298.64604118234</v>
      </c>
      <c r="G81" s="15">
        <f t="shared" ref="G81:T81" si="15">SUM(G77:G79)</f>
        <v>572298.64604118234</v>
      </c>
      <c r="H81" s="15">
        <f t="shared" si="15"/>
        <v>572298.64604118234</v>
      </c>
      <c r="I81" s="15">
        <f t="shared" si="15"/>
        <v>572298.64604118234</v>
      </c>
      <c r="J81" s="15">
        <f t="shared" si="15"/>
        <v>572298.64604118234</v>
      </c>
      <c r="K81" s="15">
        <f t="shared" si="15"/>
        <v>572298.64604118234</v>
      </c>
      <c r="L81" s="15">
        <f t="shared" si="15"/>
        <v>572298.64604118234</v>
      </c>
      <c r="M81" s="15">
        <f t="shared" si="15"/>
        <v>561668.61481282325</v>
      </c>
      <c r="N81" s="15">
        <f t="shared" si="15"/>
        <v>503360.25301042676</v>
      </c>
      <c r="O81" s="15">
        <f t="shared" si="15"/>
        <v>452459.90266641311</v>
      </c>
      <c r="P81" s="15">
        <f t="shared" si="15"/>
        <v>407857.97562595981</v>
      </c>
      <c r="Q81" s="15">
        <f t="shared" si="15"/>
        <v>368623.87413372751</v>
      </c>
      <c r="R81" s="15">
        <f t="shared" si="15"/>
        <v>333976.27256492747</v>
      </c>
      <c r="S81" s="15">
        <f t="shared" si="15"/>
        <v>303258.38627860532</v>
      </c>
      <c r="T81" s="15">
        <f t="shared" si="15"/>
        <v>1175917.3873894922</v>
      </c>
    </row>
    <row r="83" spans="2:20" ht="12" thickBot="1">
      <c r="B83" s="1" t="s">
        <v>35</v>
      </c>
      <c r="C83" s="1"/>
    </row>
    <row r="84" spans="2:20" ht="12.75" thickTop="1">
      <c r="C84" s="2" t="s">
        <v>33</v>
      </c>
      <c r="D84" s="27">
        <f>IRR(E81:T81)</f>
        <v>6.8293707913811294E-3</v>
      </c>
    </row>
    <row r="85" spans="2:20">
      <c r="C85" s="2" t="s">
        <v>26</v>
      </c>
    </row>
    <row r="88" spans="2:20">
      <c r="C88" s="18"/>
    </row>
  </sheetData>
  <sheetProtection password="E4EA" sheet="1" objects="1" scenarios="1"/>
  <phoneticPr fontId="13"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2:IV88"/>
  <sheetViews>
    <sheetView workbookViewId="0">
      <selection activeCell="A2" sqref="A2"/>
    </sheetView>
  </sheetViews>
  <sheetFormatPr baseColWidth="10" defaultColWidth="9.140625" defaultRowHeight="11.25"/>
  <cols>
    <col min="1" max="1" width="29.140625" style="2" customWidth="1"/>
    <col min="2" max="2" width="9.140625" style="2"/>
    <col min="3" max="3" width="11.7109375" style="2" bestFit="1" customWidth="1"/>
    <col min="4" max="4" width="15.7109375" style="2" customWidth="1"/>
    <col min="5" max="5" width="13" style="2" customWidth="1"/>
    <col min="6" max="6" width="11.5703125" style="2" bestFit="1" customWidth="1"/>
    <col min="7" max="7" width="11.85546875" style="2" bestFit="1" customWidth="1"/>
    <col min="8" max="8" width="10.5703125" style="2" bestFit="1" customWidth="1"/>
    <col min="9" max="9" width="11.85546875" style="2" bestFit="1" customWidth="1"/>
    <col min="10" max="11" width="10.5703125" style="2" bestFit="1" customWidth="1"/>
    <col min="12" max="12" width="12.42578125" style="2" bestFit="1" customWidth="1"/>
    <col min="13" max="15" width="10.5703125" style="2" bestFit="1" customWidth="1"/>
    <col min="16" max="16" width="10" style="2" bestFit="1" customWidth="1"/>
    <col min="17" max="19" width="10.85546875" style="2" customWidth="1"/>
    <col min="20" max="20" width="9.85546875" style="2" bestFit="1" customWidth="1"/>
    <col min="21" max="16384" width="9.140625" style="2"/>
  </cols>
  <sheetData>
    <row r="2" spans="1:6" ht="15">
      <c r="A2" s="73" t="s">
        <v>83</v>
      </c>
    </row>
    <row r="4" spans="1:6" ht="12" thickBot="1">
      <c r="A4" s="1" t="s">
        <v>0</v>
      </c>
    </row>
    <row r="5" spans="1:6" ht="12" thickTop="1"/>
    <row r="6" spans="1:6">
      <c r="A6" s="2" t="s">
        <v>1</v>
      </c>
      <c r="E6" s="3">
        <f ca="1">'Plus10%CapEx'!E6</f>
        <v>3233237</v>
      </c>
    </row>
    <row r="7" spans="1:6">
      <c r="A7" s="2" t="s">
        <v>61</v>
      </c>
      <c r="E7" s="3"/>
    </row>
    <row r="8" spans="1:6">
      <c r="A8" s="2" t="s">
        <v>65</v>
      </c>
      <c r="E8" s="3"/>
    </row>
    <row r="9" spans="1:6">
      <c r="A9" s="2" t="s">
        <v>55</v>
      </c>
      <c r="E9" s="3">
        <f>500000*1.5</f>
        <v>750000</v>
      </c>
      <c r="F9" s="2" t="s">
        <v>59</v>
      </c>
    </row>
    <row r="10" spans="1:6">
      <c r="A10" s="2" t="s">
        <v>56</v>
      </c>
      <c r="E10" s="3">
        <v>300000</v>
      </c>
      <c r="F10" s="2" t="s">
        <v>59</v>
      </c>
    </row>
    <row r="11" spans="1:6">
      <c r="A11" s="2" t="s">
        <v>57</v>
      </c>
      <c r="E11" s="3">
        <v>300000</v>
      </c>
    </row>
    <row r="12" spans="1:6">
      <c r="A12" s="2" t="s">
        <v>58</v>
      </c>
      <c r="E12" s="3"/>
    </row>
    <row r="13" spans="1:6">
      <c r="A13" s="2" t="s">
        <v>68</v>
      </c>
      <c r="E13" s="3"/>
    </row>
    <row r="14" spans="1:6">
      <c r="A14" s="2" t="s">
        <v>2</v>
      </c>
      <c r="E14" s="37">
        <f>SUM(E9:E13)</f>
        <v>1350000</v>
      </c>
    </row>
    <row r="15" spans="1:6">
      <c r="A15" s="2" t="s">
        <v>3</v>
      </c>
      <c r="E15" s="4">
        <v>3</v>
      </c>
    </row>
    <row r="16" spans="1:6">
      <c r="A16" s="2" t="s">
        <v>4</v>
      </c>
      <c r="E16" s="37">
        <f>E6+E7+E8+E14*E15</f>
        <v>7283237</v>
      </c>
    </row>
    <row r="17" spans="1:5">
      <c r="A17" s="2" t="s">
        <v>5</v>
      </c>
      <c r="B17" s="2" t="s">
        <v>6</v>
      </c>
    </row>
    <row r="18" spans="1:5">
      <c r="A18" s="2" t="s">
        <v>39</v>
      </c>
      <c r="E18" s="37">
        <f ca="1">Alternative1!E18</f>
        <v>900000</v>
      </c>
    </row>
    <row r="19" spans="1:5" ht="12" thickBot="1">
      <c r="A19" s="1" t="s">
        <v>7</v>
      </c>
    </row>
    <row r="20" spans="1:5" ht="12" thickTop="1">
      <c r="A20" s="2" t="s">
        <v>8</v>
      </c>
      <c r="B20" s="4">
        <v>15</v>
      </c>
    </row>
    <row r="21" spans="1:5">
      <c r="A21" s="2" t="s">
        <v>9</v>
      </c>
      <c r="B21" s="4">
        <f ca="1">Alternative1!B22</f>
        <v>10</v>
      </c>
      <c r="C21" s="2" t="s">
        <v>29</v>
      </c>
      <c r="D21" s="37">
        <f>E16/B21</f>
        <v>728323.7</v>
      </c>
      <c r="E21" s="2" t="s">
        <v>10</v>
      </c>
    </row>
    <row r="22" spans="1:5">
      <c r="A22" s="2" t="s">
        <v>11</v>
      </c>
      <c r="B22" s="4">
        <v>1.35</v>
      </c>
    </row>
    <row r="23" spans="1:5">
      <c r="A23" s="2" t="s">
        <v>31</v>
      </c>
      <c r="B23" s="5">
        <v>0.25</v>
      </c>
    </row>
    <row r="24" spans="1:5">
      <c r="B24" s="6"/>
    </row>
    <row r="25" spans="1:5" ht="12" thickBot="1">
      <c r="A25" s="1" t="s">
        <v>12</v>
      </c>
      <c r="B25" s="6"/>
    </row>
    <row r="26" spans="1:5" ht="12" thickTop="1">
      <c r="A26" s="2" t="s">
        <v>13</v>
      </c>
      <c r="B26" s="66">
        <f ca="1">WEM</f>
        <v>51.299035237487914</v>
      </c>
    </row>
    <row r="29" spans="1:5">
      <c r="A29" s="8"/>
    </row>
    <row r="30" spans="1:5" ht="12" thickBot="1">
      <c r="A30" s="1" t="s">
        <v>34</v>
      </c>
      <c r="B30" s="1"/>
    </row>
    <row r="31" spans="1:5" ht="12" thickTop="1">
      <c r="A31" s="2" t="s">
        <v>14</v>
      </c>
      <c r="C31" s="5">
        <v>0.7</v>
      </c>
    </row>
    <row r="32" spans="1:5">
      <c r="A32" s="2" t="s">
        <v>145</v>
      </c>
      <c r="C32" s="30">
        <f>C40*C33/1000</f>
        <v>18.158221032527006</v>
      </c>
      <c r="D32" s="2" t="s">
        <v>15</v>
      </c>
    </row>
    <row r="33" spans="1:20">
      <c r="A33" s="2" t="s">
        <v>37</v>
      </c>
      <c r="C33" s="5">
        <v>0.5</v>
      </c>
    </row>
    <row r="34" spans="1:20">
      <c r="A34" s="2" t="s">
        <v>16</v>
      </c>
      <c r="C34" s="7">
        <v>1E-3</v>
      </c>
      <c r="I34" s="21"/>
    </row>
    <row r="35" spans="1:20">
      <c r="A35" s="2" t="s">
        <v>17</v>
      </c>
      <c r="C35" s="28">
        <v>0.371</v>
      </c>
      <c r="I35" s="21"/>
    </row>
    <row r="36" spans="1:20">
      <c r="A36" s="2" t="s">
        <v>44</v>
      </c>
      <c r="C36" s="5">
        <v>0.9</v>
      </c>
      <c r="I36" s="21"/>
      <c r="K36" s="21"/>
    </row>
    <row r="37" spans="1:20">
      <c r="A37" s="2" t="s">
        <v>52</v>
      </c>
      <c r="C37" s="29">
        <v>8760</v>
      </c>
      <c r="D37" s="2" t="s">
        <v>20</v>
      </c>
      <c r="I37" s="21"/>
      <c r="K37" s="21"/>
    </row>
    <row r="38" spans="1:20">
      <c r="A38" s="2" t="s">
        <v>51</v>
      </c>
      <c r="C38" s="4">
        <f>101325*16/8314/298</f>
        <v>0.65435030747845069</v>
      </c>
    </row>
    <row r="39" spans="1:20" ht="14.25" customHeight="1">
      <c r="A39" s="2" t="s">
        <v>60</v>
      </c>
      <c r="C39" s="4">
        <v>55.5</v>
      </c>
    </row>
    <row r="40" spans="1:20">
      <c r="A40" s="2" t="s">
        <v>146</v>
      </c>
      <c r="C40" s="29">
        <f>C38*C39*1000</f>
        <v>36316.442065054012</v>
      </c>
    </row>
    <row r="43" spans="1:20" ht="12" thickBot="1">
      <c r="A43" s="1" t="s">
        <v>18</v>
      </c>
      <c r="I43" s="21"/>
    </row>
    <row r="44" spans="1:20" ht="12" thickTop="1">
      <c r="A44" s="2" t="s">
        <v>32</v>
      </c>
      <c r="C44" s="97">
        <f ca="1">Alternative1!C44*(1+10%)</f>
        <v>30.800000000000004</v>
      </c>
    </row>
    <row r="45" spans="1:20">
      <c r="A45" s="2" t="s">
        <v>19</v>
      </c>
      <c r="C45" s="19">
        <v>0</v>
      </c>
      <c r="D45" s="2" t="s">
        <v>27</v>
      </c>
    </row>
    <row r="46" spans="1:20">
      <c r="A46" s="2" t="s">
        <v>38</v>
      </c>
      <c r="C46" s="19">
        <v>40000</v>
      </c>
      <c r="D46" s="2" t="s">
        <v>67</v>
      </c>
      <c r="G46" s="23"/>
    </row>
    <row r="48" spans="1:20">
      <c r="C48" s="22"/>
      <c r="D48" s="22"/>
      <c r="E48" s="22"/>
      <c r="F48" s="22"/>
      <c r="G48" s="22"/>
      <c r="H48" s="22"/>
      <c r="I48" s="22"/>
      <c r="J48" s="22"/>
      <c r="K48" s="22"/>
      <c r="L48" s="22"/>
      <c r="M48" s="22"/>
      <c r="N48" s="22"/>
      <c r="O48" s="22"/>
      <c r="P48" s="22"/>
      <c r="Q48" s="22"/>
      <c r="R48" s="22"/>
      <c r="S48" s="22"/>
      <c r="T48" s="22"/>
    </row>
    <row r="49" spans="3:256">
      <c r="C49" s="22"/>
      <c r="D49" s="22"/>
      <c r="E49" s="22"/>
      <c r="F49" s="22"/>
      <c r="G49" s="22"/>
      <c r="H49" s="22"/>
      <c r="I49" s="22"/>
      <c r="J49" s="22"/>
      <c r="K49" s="22"/>
      <c r="L49" s="22"/>
      <c r="M49" s="22"/>
      <c r="N49" s="22"/>
      <c r="O49" s="22"/>
      <c r="P49" s="22"/>
      <c r="Q49" s="22"/>
      <c r="R49" s="22"/>
      <c r="S49" s="22"/>
      <c r="T49" s="22"/>
    </row>
    <row r="50" spans="3:256">
      <c r="E50" s="11">
        <v>39813</v>
      </c>
      <c r="F50" s="11">
        <v>40178</v>
      </c>
      <c r="G50" s="11">
        <v>40543</v>
      </c>
      <c r="H50" s="11">
        <v>40908</v>
      </c>
      <c r="I50" s="11">
        <v>41274</v>
      </c>
      <c r="J50" s="11">
        <v>41639</v>
      </c>
      <c r="K50" s="11">
        <v>42004</v>
      </c>
      <c r="L50" s="11">
        <v>42369</v>
      </c>
      <c r="M50" s="11">
        <v>42735</v>
      </c>
      <c r="N50" s="11">
        <v>43100</v>
      </c>
      <c r="O50" s="11">
        <v>43465</v>
      </c>
      <c r="P50" s="11">
        <v>43830</v>
      </c>
      <c r="Q50" s="11">
        <v>44196</v>
      </c>
      <c r="R50" s="11">
        <v>44561</v>
      </c>
      <c r="S50" s="11">
        <v>44926</v>
      </c>
      <c r="T50" s="11">
        <v>45291</v>
      </c>
    </row>
    <row r="52" spans="3:256">
      <c r="F52" s="2">
        <v>1</v>
      </c>
      <c r="G52" s="2">
        <v>2</v>
      </c>
      <c r="H52" s="2">
        <f>G52+1</f>
        <v>3</v>
      </c>
      <c r="I52" s="2">
        <f t="shared" ref="I52:R52" si="0">H52+1</f>
        <v>4</v>
      </c>
      <c r="J52" s="2">
        <f t="shared" si="0"/>
        <v>5</v>
      </c>
      <c r="K52" s="2">
        <f t="shared" si="0"/>
        <v>6</v>
      </c>
      <c r="L52" s="2">
        <f t="shared" si="0"/>
        <v>7</v>
      </c>
      <c r="M52" s="2">
        <f t="shared" si="0"/>
        <v>8</v>
      </c>
      <c r="N52" s="2">
        <f t="shared" si="0"/>
        <v>9</v>
      </c>
      <c r="O52" s="2">
        <f t="shared" si="0"/>
        <v>10</v>
      </c>
      <c r="P52" s="2">
        <f t="shared" si="0"/>
        <v>11</v>
      </c>
      <c r="Q52" s="2">
        <f t="shared" si="0"/>
        <v>12</v>
      </c>
      <c r="R52" s="2">
        <f t="shared" si="0"/>
        <v>13</v>
      </c>
      <c r="S52" s="2">
        <f>R52+1</f>
        <v>14</v>
      </c>
      <c r="T52" s="2">
        <f>S52+1</f>
        <v>15</v>
      </c>
    </row>
    <row r="53" spans="3:256" ht="7.5" customHeight="1"/>
    <row r="54" spans="3:256" ht="7.5" customHeight="1"/>
    <row r="55" spans="3:256">
      <c r="C55" s="9" t="s">
        <v>21</v>
      </c>
      <c r="D55" s="67">
        <f>B26</f>
        <v>51.299035237487914</v>
      </c>
      <c r="F55" s="13">
        <f>$D$55</f>
        <v>51.299035237487914</v>
      </c>
      <c r="G55" s="13">
        <f t="shared" ref="G55:T55" si="1">$D$55</f>
        <v>51.299035237487914</v>
      </c>
      <c r="H55" s="13">
        <f t="shared" si="1"/>
        <v>51.299035237487914</v>
      </c>
      <c r="I55" s="13">
        <f t="shared" si="1"/>
        <v>51.299035237487914</v>
      </c>
      <c r="J55" s="13">
        <f t="shared" si="1"/>
        <v>51.299035237487914</v>
      </c>
      <c r="K55" s="13">
        <f t="shared" si="1"/>
        <v>51.299035237487914</v>
      </c>
      <c r="L55" s="13">
        <f t="shared" si="1"/>
        <v>51.299035237487914</v>
      </c>
      <c r="M55" s="13">
        <f t="shared" si="1"/>
        <v>51.299035237487914</v>
      </c>
      <c r="N55" s="13">
        <f t="shared" si="1"/>
        <v>51.299035237487914</v>
      </c>
      <c r="O55" s="13">
        <f t="shared" si="1"/>
        <v>51.299035237487914</v>
      </c>
      <c r="P55" s="13">
        <f t="shared" si="1"/>
        <v>51.299035237487914</v>
      </c>
      <c r="Q55" s="13">
        <f t="shared" si="1"/>
        <v>51.299035237487914</v>
      </c>
      <c r="R55" s="13">
        <f t="shared" si="1"/>
        <v>51.299035237487914</v>
      </c>
      <c r="S55" s="13">
        <f t="shared" si="1"/>
        <v>51.299035237487914</v>
      </c>
      <c r="T55" s="13">
        <f t="shared" si="1"/>
        <v>51.299035237487914</v>
      </c>
    </row>
    <row r="56" spans="3:256" ht="5.25" customHeight="1">
      <c r="C56" s="9"/>
      <c r="D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row>
    <row r="57" spans="3:256">
      <c r="C57" s="9" t="s">
        <v>22</v>
      </c>
      <c r="D57" s="12"/>
      <c r="F57" s="13">
        <v>22346.677920401315</v>
      </c>
      <c r="G57" s="13">
        <v>23731.718395392007</v>
      </c>
      <c r="H57" s="13">
        <v>24977.370885892011</v>
      </c>
      <c r="I57" s="13">
        <v>26246.840195630495</v>
      </c>
      <c r="J57" s="13">
        <v>27102.733094479103</v>
      </c>
      <c r="K57" s="13">
        <v>27161.453021902002</v>
      </c>
      <c r="L57" s="13">
        <v>24345.245432552016</v>
      </c>
      <c r="M57" s="13">
        <v>21904.541291505648</v>
      </c>
      <c r="N57" s="13">
        <v>19781.748299988245</v>
      </c>
      <c r="O57" s="13">
        <v>17928.653758553002</v>
      </c>
      <c r="P57" s="13">
        <v>16304.861643615659</v>
      </c>
      <c r="Q57" s="13">
        <v>14876.492313699584</v>
      </c>
      <c r="R57" s="13">
        <v>13615.10057656947</v>
      </c>
      <c r="S57" s="13">
        <v>12496.775319142103</v>
      </c>
      <c r="T57" s="13">
        <v>11501.390111449493</v>
      </c>
      <c r="U57" s="2" t="s">
        <v>46</v>
      </c>
    </row>
    <row r="58" spans="3:256">
      <c r="C58" s="9" t="s">
        <v>48</v>
      </c>
      <c r="D58" s="12"/>
      <c r="F58" s="24">
        <f t="shared" ref="F58:T58" si="2">F57*1000</f>
        <v>22346677.920401316</v>
      </c>
      <c r="G58" s="24">
        <f t="shared" si="2"/>
        <v>23731718.395392008</v>
      </c>
      <c r="H58" s="24">
        <f t="shared" si="2"/>
        <v>24977370.885892011</v>
      </c>
      <c r="I58" s="24">
        <f t="shared" si="2"/>
        <v>26246840.195630495</v>
      </c>
      <c r="J58" s="24">
        <f t="shared" si="2"/>
        <v>27102733.094479103</v>
      </c>
      <c r="K58" s="24">
        <f t="shared" si="2"/>
        <v>27161453.021902002</v>
      </c>
      <c r="L58" s="24">
        <f t="shared" si="2"/>
        <v>24345245.432552017</v>
      </c>
      <c r="M58" s="24">
        <f t="shared" si="2"/>
        <v>21904541.291505646</v>
      </c>
      <c r="N58" s="24">
        <f t="shared" si="2"/>
        <v>19781748.299988244</v>
      </c>
      <c r="O58" s="24">
        <f t="shared" si="2"/>
        <v>17928653.758553002</v>
      </c>
      <c r="P58" s="24">
        <f t="shared" si="2"/>
        <v>16304861.643615659</v>
      </c>
      <c r="Q58" s="24">
        <f t="shared" si="2"/>
        <v>14876492.313699584</v>
      </c>
      <c r="R58" s="24">
        <f t="shared" si="2"/>
        <v>13615100.57656947</v>
      </c>
      <c r="S58" s="24">
        <f t="shared" si="2"/>
        <v>12496775.319142103</v>
      </c>
      <c r="T58" s="24">
        <f t="shared" si="2"/>
        <v>11501390.111449493</v>
      </c>
    </row>
    <row r="59" spans="3:256">
      <c r="C59" s="9" t="s">
        <v>49</v>
      </c>
      <c r="D59" s="12"/>
      <c r="F59" s="24">
        <f t="shared" ref="F59:T59" si="3">F58*$C$31</f>
        <v>15642674.54428092</v>
      </c>
      <c r="G59" s="24">
        <f t="shared" si="3"/>
        <v>16612202.876774404</v>
      </c>
      <c r="H59" s="24">
        <f t="shared" si="3"/>
        <v>17484159.620124407</v>
      </c>
      <c r="I59" s="24">
        <f t="shared" si="3"/>
        <v>18372788.136941344</v>
      </c>
      <c r="J59" s="24">
        <f t="shared" si="3"/>
        <v>18971913.166135371</v>
      </c>
      <c r="K59" s="24">
        <f t="shared" si="3"/>
        <v>19013017.1153314</v>
      </c>
      <c r="L59" s="24">
        <f t="shared" si="3"/>
        <v>17041671.80278641</v>
      </c>
      <c r="M59" s="24">
        <f t="shared" si="3"/>
        <v>15333178.904053951</v>
      </c>
      <c r="N59" s="24">
        <f t="shared" si="3"/>
        <v>13847223.809991769</v>
      </c>
      <c r="O59" s="24">
        <f t="shared" si="3"/>
        <v>12550057.6309871</v>
      </c>
      <c r="P59" s="24">
        <f t="shared" si="3"/>
        <v>11413403.15053096</v>
      </c>
      <c r="Q59" s="24">
        <f t="shared" si="3"/>
        <v>10413544.619589709</v>
      </c>
      <c r="R59" s="24">
        <f t="shared" si="3"/>
        <v>9530570.4035986289</v>
      </c>
      <c r="S59" s="24">
        <f t="shared" si="3"/>
        <v>8747742.7233994715</v>
      </c>
      <c r="T59" s="24">
        <f t="shared" si="3"/>
        <v>8050973.0780146448</v>
      </c>
    </row>
    <row r="60" spans="3:256">
      <c r="C60" s="9" t="s">
        <v>50</v>
      </c>
      <c r="D60" s="12"/>
      <c r="F60" s="24">
        <f t="shared" ref="F60:T60" si="4">F59*$C$32</f>
        <v>284043141.9149366</v>
      </c>
      <c r="G60" s="24">
        <f t="shared" si="4"/>
        <v>301648051.67365062</v>
      </c>
      <c r="H60" s="24">
        <f t="shared" si="4"/>
        <v>317481234.95020241</v>
      </c>
      <c r="I60" s="24">
        <f t="shared" si="4"/>
        <v>333617147.97437096</v>
      </c>
      <c r="J60" s="24">
        <f t="shared" si="4"/>
        <v>344496192.68059534</v>
      </c>
      <c r="K60" s="24">
        <f t="shared" si="4"/>
        <v>345242567.2754066</v>
      </c>
      <c r="L60" s="24">
        <f t="shared" si="4"/>
        <v>309446443.3587786</v>
      </c>
      <c r="M60" s="24">
        <f t="shared" si="4"/>
        <v>278423251.67109185</v>
      </c>
      <c r="N60" s="24">
        <f t="shared" si="4"/>
        <v>251440950.6287013</v>
      </c>
      <c r="O60" s="24">
        <f t="shared" si="4"/>
        <v>227886720.43441603</v>
      </c>
      <c r="P60" s="24">
        <f t="shared" si="4"/>
        <v>207247097.14068127</v>
      </c>
      <c r="Q60" s="24">
        <f t="shared" si="4"/>
        <v>189091444.93459228</v>
      </c>
      <c r="R60" s="24">
        <f t="shared" si="4"/>
        <v>173058203.95460403</v>
      </c>
      <c r="S60" s="24">
        <f t="shared" si="4"/>
        <v>158843445.90716735</v>
      </c>
      <c r="T60" s="24">
        <f t="shared" si="4"/>
        <v>146191348.67751423</v>
      </c>
    </row>
    <row r="61" spans="3:256">
      <c r="C61" s="9" t="s">
        <v>53</v>
      </c>
      <c r="D61" s="12"/>
      <c r="F61" s="13">
        <f t="shared" ref="F61:T61" si="5">F60/3.6/1000</f>
        <v>78900.872754149052</v>
      </c>
      <c r="G61" s="13">
        <f t="shared" si="5"/>
        <v>83791.125464902958</v>
      </c>
      <c r="H61" s="13">
        <f t="shared" si="5"/>
        <v>88189.231930611772</v>
      </c>
      <c r="I61" s="13">
        <f t="shared" si="5"/>
        <v>92671.429992880818</v>
      </c>
      <c r="J61" s="13">
        <f t="shared" si="5"/>
        <v>95693.386855720921</v>
      </c>
      <c r="K61" s="13">
        <f t="shared" si="5"/>
        <v>95900.713132057383</v>
      </c>
      <c r="L61" s="13">
        <f t="shared" si="5"/>
        <v>85957.345377438498</v>
      </c>
      <c r="M61" s="13">
        <f t="shared" si="5"/>
        <v>77339.792130858856</v>
      </c>
      <c r="N61" s="13">
        <f t="shared" si="5"/>
        <v>69844.70850797258</v>
      </c>
      <c r="O61" s="13">
        <f t="shared" si="5"/>
        <v>63301.866787337778</v>
      </c>
      <c r="P61" s="13">
        <f t="shared" si="5"/>
        <v>57568.638094633687</v>
      </c>
      <c r="Q61" s="13">
        <f t="shared" si="5"/>
        <v>52525.401370720072</v>
      </c>
      <c r="R61" s="13">
        <f t="shared" si="5"/>
        <v>48071.723320723337</v>
      </c>
      <c r="S61" s="13">
        <f t="shared" si="5"/>
        <v>44123.179418657593</v>
      </c>
      <c r="T61" s="13">
        <f t="shared" si="5"/>
        <v>40608.707965976173</v>
      </c>
    </row>
    <row r="62" spans="3:256" ht="12" customHeight="1">
      <c r="C62" s="9" t="s">
        <v>54</v>
      </c>
      <c r="D62" s="33">
        <v>1</v>
      </c>
      <c r="F62" s="15">
        <f>F61*$C$35*$C$36*$D$62</f>
        <v>26345.001412610367</v>
      </c>
      <c r="G62" s="15">
        <f t="shared" ref="G62:T62" si="6">G61*$C$35*$C$36*$D$62</f>
        <v>27977.856792731098</v>
      </c>
      <c r="H62" s="15">
        <f t="shared" si="6"/>
        <v>29446.384541631272</v>
      </c>
      <c r="I62" s="15">
        <f t="shared" si="6"/>
        <v>30942.990474622904</v>
      </c>
      <c r="J62" s="15">
        <f t="shared" si="6"/>
        <v>31952.021871125213</v>
      </c>
      <c r="K62" s="15">
        <f t="shared" si="6"/>
        <v>32021.248114793958</v>
      </c>
      <c r="L62" s="15">
        <f t="shared" si="6"/>
        <v>28701.157621526716</v>
      </c>
      <c r="M62" s="15">
        <f t="shared" si="6"/>
        <v>25823.75659249377</v>
      </c>
      <c r="N62" s="15">
        <f t="shared" si="6"/>
        <v>23321.148170812045</v>
      </c>
      <c r="O62" s="15">
        <f t="shared" si="6"/>
        <v>21136.493320292084</v>
      </c>
      <c r="P62" s="15">
        <f t="shared" si="6"/>
        <v>19222.168259798189</v>
      </c>
      <c r="Q62" s="15">
        <f t="shared" si="6"/>
        <v>17538.231517683435</v>
      </c>
      <c r="R62" s="15">
        <f t="shared" si="6"/>
        <v>16051.148416789523</v>
      </c>
      <c r="S62" s="15">
        <f t="shared" si="6"/>
        <v>14732.729607889771</v>
      </c>
      <c r="T62" s="15">
        <f t="shared" si="6"/>
        <v>13559.247589839444</v>
      </c>
    </row>
    <row r="63" spans="3:256" ht="5.25" customHeight="1">
      <c r="C63" s="9"/>
      <c r="D63" s="12"/>
      <c r="E63" s="12"/>
      <c r="F63" s="12"/>
      <c r="G63" s="12"/>
      <c r="H63" s="12"/>
      <c r="I63" s="12"/>
      <c r="J63" s="12"/>
      <c r="K63" s="12"/>
      <c r="L63" s="12"/>
      <c r="M63" s="12"/>
      <c r="N63" s="12"/>
      <c r="O63" s="12"/>
      <c r="P63" s="12"/>
      <c r="Q63" s="12"/>
      <c r="R63" s="12"/>
      <c r="S63" s="12"/>
      <c r="T63" s="12"/>
    </row>
    <row r="64" spans="3:256">
      <c r="C64" s="9" t="s">
        <v>36</v>
      </c>
      <c r="D64" s="13">
        <f>ROUNDUP(AVERAGE(F64:T64),0)</f>
        <v>3</v>
      </c>
      <c r="E64" s="14"/>
      <c r="F64" s="13">
        <f>$D$62*F62/(8760)</f>
        <v>3.0074202525810922</v>
      </c>
      <c r="G64" s="13">
        <f t="shared" ref="G64:T64" si="7">$D$62*G62/(8760)</f>
        <v>3.1938192685766094</v>
      </c>
      <c r="H64" s="13">
        <f t="shared" si="7"/>
        <v>3.3614594225606473</v>
      </c>
      <c r="I64" s="13">
        <f t="shared" si="7"/>
        <v>3.5323048487012447</v>
      </c>
      <c r="J64" s="13">
        <f t="shared" si="7"/>
        <v>3.6474910811786772</v>
      </c>
      <c r="K64" s="13">
        <f t="shared" si="7"/>
        <v>3.6553936204102691</v>
      </c>
      <c r="L64" s="13">
        <f t="shared" si="7"/>
        <v>3.2763878563386664</v>
      </c>
      <c r="M64" s="13">
        <f t="shared" si="7"/>
        <v>2.9479174192344488</v>
      </c>
      <c r="N64" s="13">
        <f t="shared" si="7"/>
        <v>2.6622315263484069</v>
      </c>
      <c r="O64" s="13">
        <f t="shared" si="7"/>
        <v>2.4128417032296898</v>
      </c>
      <c r="P64" s="13">
        <f t="shared" si="7"/>
        <v>2.1943114451824415</v>
      </c>
      <c r="Q64" s="13">
        <f t="shared" si="7"/>
        <v>2.002081223479844</v>
      </c>
      <c r="R64" s="13">
        <f t="shared" si="7"/>
        <v>1.8323228786289409</v>
      </c>
      <c r="S64" s="13">
        <f t="shared" si="7"/>
        <v>1.6818184483892433</v>
      </c>
      <c r="T64" s="13">
        <f t="shared" si="7"/>
        <v>1.5478593139086123</v>
      </c>
    </row>
    <row r="65" spans="2:256">
      <c r="C65" s="9" t="s">
        <v>45</v>
      </c>
      <c r="D65" s="13">
        <f>E15*C37</f>
        <v>26280</v>
      </c>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row>
    <row r="66" spans="2:256">
      <c r="C66" s="9" t="s">
        <v>42</v>
      </c>
      <c r="F66" s="15">
        <f>F62</f>
        <v>26345.001412610367</v>
      </c>
      <c r="G66" s="15">
        <f t="shared" ref="G66:T66" si="8">G62</f>
        <v>27977.856792731098</v>
      </c>
      <c r="H66" s="15">
        <f t="shared" si="8"/>
        <v>29446.384541631272</v>
      </c>
      <c r="I66" s="15">
        <f t="shared" si="8"/>
        <v>30942.990474622904</v>
      </c>
      <c r="J66" s="15">
        <f t="shared" si="8"/>
        <v>31952.021871125213</v>
      </c>
      <c r="K66" s="15">
        <f t="shared" si="8"/>
        <v>32021.248114793958</v>
      </c>
      <c r="L66" s="15">
        <f t="shared" si="8"/>
        <v>28701.157621526716</v>
      </c>
      <c r="M66" s="15">
        <f t="shared" si="8"/>
        <v>25823.75659249377</v>
      </c>
      <c r="N66" s="15">
        <f t="shared" si="8"/>
        <v>23321.148170812045</v>
      </c>
      <c r="O66" s="15">
        <f t="shared" si="8"/>
        <v>21136.493320292084</v>
      </c>
      <c r="P66" s="15">
        <f t="shared" si="8"/>
        <v>19222.168259798189</v>
      </c>
      <c r="Q66" s="15">
        <f t="shared" si="8"/>
        <v>17538.231517683435</v>
      </c>
      <c r="R66" s="15">
        <f t="shared" si="8"/>
        <v>16051.148416789523</v>
      </c>
      <c r="S66" s="15">
        <f t="shared" si="8"/>
        <v>14732.729607889771</v>
      </c>
      <c r="T66" s="15">
        <f t="shared" si="8"/>
        <v>13559.247589839444</v>
      </c>
    </row>
    <row r="68" spans="2:256">
      <c r="C68" s="9" t="s">
        <v>23</v>
      </c>
      <c r="F68" s="15">
        <f>F55*F66</f>
        <v>1351473.1557971681</v>
      </c>
      <c r="G68" s="15">
        <f t="shared" ref="G68:R68" si="9">G55*G66</f>
        <v>1435237.0614797031</v>
      </c>
      <c r="H68" s="15">
        <f t="shared" si="9"/>
        <v>1510571.1182177621</v>
      </c>
      <c r="I68" s="15">
        <f t="shared" si="9"/>
        <v>1587345.5587109332</v>
      </c>
      <c r="J68" s="15">
        <f t="shared" si="9"/>
        <v>1639107.8958758367</v>
      </c>
      <c r="K68" s="15">
        <f t="shared" si="9"/>
        <v>1642659.1353891587</v>
      </c>
      <c r="L68" s="15">
        <f t="shared" si="9"/>
        <v>1472341.6961833937</v>
      </c>
      <c r="M68" s="15">
        <f t="shared" si="9"/>
        <v>1324733.7994026488</v>
      </c>
      <c r="N68" s="15">
        <f t="shared" si="9"/>
        <v>1196352.401793164</v>
      </c>
      <c r="O68" s="15">
        <f t="shared" si="9"/>
        <v>1084281.7156345914</v>
      </c>
      <c r="P68" s="15">
        <f t="shared" si="9"/>
        <v>986078.68690030905</v>
      </c>
      <c r="Q68" s="15">
        <f t="shared" si="9"/>
        <v>899694.35662886361</v>
      </c>
      <c r="R68" s="15">
        <f t="shared" si="9"/>
        <v>823408.42823503411</v>
      </c>
      <c r="S68" s="15">
        <f>S55*S66</f>
        <v>755774.81529951887</v>
      </c>
      <c r="T68" s="15">
        <f>T55*T66</f>
        <v>695576.31990499666</v>
      </c>
    </row>
    <row r="69" spans="2:256">
      <c r="B69" s="2" t="s">
        <v>18</v>
      </c>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c r="IU69" s="9"/>
      <c r="IV69" s="9"/>
    </row>
    <row r="70" spans="2:256">
      <c r="C70" s="9" t="str">
        <f>A44</f>
        <v>Cost per MWh Generated</v>
      </c>
      <c r="D70" s="14">
        <f>C44</f>
        <v>30.800000000000004</v>
      </c>
      <c r="E70" s="9"/>
      <c r="F70" s="17">
        <f>$D$70*F66</f>
        <v>811426.04350839939</v>
      </c>
      <c r="G70" s="17">
        <f t="shared" ref="G70:T70" si="10">$D$70*G66</f>
        <v>861717.98921611789</v>
      </c>
      <c r="H70" s="17">
        <f t="shared" si="10"/>
        <v>906948.64388224331</v>
      </c>
      <c r="I70" s="17">
        <f t="shared" si="10"/>
        <v>953044.10661838553</v>
      </c>
      <c r="J70" s="17">
        <f t="shared" si="10"/>
        <v>984122.27363065665</v>
      </c>
      <c r="K70" s="17">
        <f t="shared" si="10"/>
        <v>986254.44193565403</v>
      </c>
      <c r="L70" s="17">
        <f t="shared" si="10"/>
        <v>883995.65474302298</v>
      </c>
      <c r="M70" s="17">
        <f t="shared" si="10"/>
        <v>795371.70304880827</v>
      </c>
      <c r="N70" s="17">
        <f t="shared" si="10"/>
        <v>718291.3636610111</v>
      </c>
      <c r="O70" s="17">
        <f t="shared" si="10"/>
        <v>651003.99426499626</v>
      </c>
      <c r="P70" s="17">
        <f t="shared" si="10"/>
        <v>592042.78240178432</v>
      </c>
      <c r="Q70" s="17">
        <f t="shared" si="10"/>
        <v>540177.53074464982</v>
      </c>
      <c r="R70" s="17">
        <f t="shared" si="10"/>
        <v>494375.37123711739</v>
      </c>
      <c r="S70" s="17">
        <f t="shared" si="10"/>
        <v>453768.07192300499</v>
      </c>
      <c r="T70" s="17">
        <f t="shared" si="10"/>
        <v>417624.82576705492</v>
      </c>
    </row>
    <row r="71" spans="2:256">
      <c r="C71" s="9" t="str">
        <f>A46</f>
        <v>Admin costs and insurances per year</v>
      </c>
      <c r="D71" s="36">
        <f>C46</f>
        <v>40000</v>
      </c>
      <c r="E71" s="9"/>
      <c r="F71" s="17">
        <f>$D$71</f>
        <v>40000</v>
      </c>
      <c r="G71" s="17">
        <f>$D$71</f>
        <v>40000</v>
      </c>
      <c r="H71" s="17">
        <f t="shared" ref="H71:T71" si="11">$D$71</f>
        <v>40000</v>
      </c>
      <c r="I71" s="17">
        <f t="shared" si="11"/>
        <v>40000</v>
      </c>
      <c r="J71" s="17">
        <f t="shared" si="11"/>
        <v>40000</v>
      </c>
      <c r="K71" s="17">
        <f t="shared" si="11"/>
        <v>40000</v>
      </c>
      <c r="L71" s="17">
        <f t="shared" si="11"/>
        <v>40000</v>
      </c>
      <c r="M71" s="17">
        <f t="shared" si="11"/>
        <v>40000</v>
      </c>
      <c r="N71" s="17">
        <f t="shared" si="11"/>
        <v>40000</v>
      </c>
      <c r="O71" s="17">
        <f t="shared" si="11"/>
        <v>40000</v>
      </c>
      <c r="P71" s="17">
        <f t="shared" si="11"/>
        <v>40000</v>
      </c>
      <c r="Q71" s="17">
        <f t="shared" si="11"/>
        <v>40000</v>
      </c>
      <c r="R71" s="17">
        <f t="shared" si="11"/>
        <v>40000</v>
      </c>
      <c r="S71" s="17">
        <f t="shared" si="11"/>
        <v>40000</v>
      </c>
      <c r="T71" s="17">
        <f t="shared" si="11"/>
        <v>40000</v>
      </c>
    </row>
    <row r="72" spans="2:256">
      <c r="C72" s="9"/>
      <c r="E72" s="9"/>
    </row>
    <row r="73" spans="2:256">
      <c r="C73" s="9" t="s">
        <v>28</v>
      </c>
      <c r="D73" s="10">
        <v>0.25</v>
      </c>
      <c r="F73" s="16">
        <f t="shared" ref="F73:T73" si="12">IF((F68-SUM(F70:F71)-$D$21)&gt;0,(F68-SUM(F70:F71)-$D$21)*$D$73,0)</f>
        <v>0</v>
      </c>
      <c r="G73" s="16">
        <f t="shared" si="12"/>
        <v>0</v>
      </c>
      <c r="H73" s="16">
        <f t="shared" si="12"/>
        <v>0</v>
      </c>
      <c r="I73" s="16">
        <f t="shared" si="12"/>
        <v>0</v>
      </c>
      <c r="J73" s="16">
        <f t="shared" si="12"/>
        <v>0</v>
      </c>
      <c r="K73" s="16">
        <f t="shared" si="12"/>
        <v>0</v>
      </c>
      <c r="L73" s="16">
        <f t="shared" si="12"/>
        <v>0</v>
      </c>
      <c r="M73" s="16">
        <f t="shared" si="12"/>
        <v>0</v>
      </c>
      <c r="N73" s="16">
        <f t="shared" si="12"/>
        <v>0</v>
      </c>
      <c r="O73" s="16">
        <f t="shared" si="12"/>
        <v>0</v>
      </c>
      <c r="P73" s="16">
        <f t="shared" si="12"/>
        <v>0</v>
      </c>
      <c r="Q73" s="16">
        <f t="shared" si="12"/>
        <v>0</v>
      </c>
      <c r="R73" s="16">
        <f t="shared" si="12"/>
        <v>0</v>
      </c>
      <c r="S73" s="16">
        <f t="shared" si="12"/>
        <v>0</v>
      </c>
      <c r="T73" s="16">
        <f t="shared" si="12"/>
        <v>0</v>
      </c>
    </row>
    <row r="75" spans="2:256">
      <c r="C75" s="2" t="s">
        <v>24</v>
      </c>
      <c r="F75" s="15">
        <f t="shared" ref="F75:T75" si="13">F68-SUM(F70:F73)</f>
        <v>500047.11228876875</v>
      </c>
      <c r="G75" s="15">
        <f t="shared" si="13"/>
        <v>533519.07226358517</v>
      </c>
      <c r="H75" s="15">
        <f t="shared" si="13"/>
        <v>563622.47433551878</v>
      </c>
      <c r="I75" s="15">
        <f t="shared" si="13"/>
        <v>594301.45209254767</v>
      </c>
      <c r="J75" s="15">
        <f t="shared" si="13"/>
        <v>614985.62224518007</v>
      </c>
      <c r="K75" s="15">
        <f t="shared" si="13"/>
        <v>616404.6934535047</v>
      </c>
      <c r="L75" s="15">
        <f t="shared" si="13"/>
        <v>548346.04144037073</v>
      </c>
      <c r="M75" s="15">
        <f t="shared" si="13"/>
        <v>489362.09635384055</v>
      </c>
      <c r="N75" s="15">
        <f t="shared" si="13"/>
        <v>438061.03813215287</v>
      </c>
      <c r="O75" s="15">
        <f t="shared" si="13"/>
        <v>393277.72136959515</v>
      </c>
      <c r="P75" s="15">
        <f t="shared" si="13"/>
        <v>354035.90449852473</v>
      </c>
      <c r="Q75" s="15">
        <f t="shared" si="13"/>
        <v>319516.82588421379</v>
      </c>
      <c r="R75" s="15">
        <f t="shared" si="13"/>
        <v>289033.05699791678</v>
      </c>
      <c r="S75" s="15">
        <f t="shared" si="13"/>
        <v>262006.74337651388</v>
      </c>
      <c r="T75" s="15">
        <f t="shared" si="13"/>
        <v>237951.49413794174</v>
      </c>
    </row>
    <row r="76" spans="2:256" ht="12" thickBot="1"/>
    <row r="77" spans="2:256" ht="12" thickBot="1">
      <c r="C77" s="9" t="s">
        <v>40</v>
      </c>
      <c r="E77" s="38">
        <f>-E16</f>
        <v>-7283237</v>
      </c>
    </row>
    <row r="78" spans="2:256">
      <c r="C78" s="9" t="s">
        <v>25</v>
      </c>
      <c r="F78" s="25">
        <f>F75</f>
        <v>500047.11228876875</v>
      </c>
      <c r="G78" s="25">
        <f>G75</f>
        <v>533519.07226358517</v>
      </c>
      <c r="H78" s="25">
        <f>H75</f>
        <v>563622.47433551878</v>
      </c>
      <c r="I78" s="25">
        <f>I75</f>
        <v>594301.45209254767</v>
      </c>
      <c r="J78" s="25">
        <f t="shared" ref="J78:T78" si="14">J75</f>
        <v>614985.62224518007</v>
      </c>
      <c r="K78" s="25">
        <f t="shared" si="14"/>
        <v>616404.6934535047</v>
      </c>
      <c r="L78" s="25">
        <f t="shared" si="14"/>
        <v>548346.04144037073</v>
      </c>
      <c r="M78" s="25">
        <f t="shared" si="14"/>
        <v>489362.09635384055</v>
      </c>
      <c r="N78" s="25">
        <f t="shared" si="14"/>
        <v>438061.03813215287</v>
      </c>
      <c r="O78" s="25">
        <f t="shared" si="14"/>
        <v>393277.72136959515</v>
      </c>
      <c r="P78" s="25">
        <f t="shared" si="14"/>
        <v>354035.90449852473</v>
      </c>
      <c r="Q78" s="25">
        <f t="shared" si="14"/>
        <v>319516.82588421379</v>
      </c>
      <c r="R78" s="25">
        <f t="shared" si="14"/>
        <v>289033.05699791678</v>
      </c>
      <c r="S78" s="25">
        <f t="shared" si="14"/>
        <v>262006.74337651388</v>
      </c>
      <c r="T78" s="25">
        <f t="shared" si="14"/>
        <v>237951.49413794174</v>
      </c>
    </row>
    <row r="79" spans="2:256" ht="12" thickBot="1">
      <c r="C79" s="9" t="s">
        <v>41</v>
      </c>
      <c r="E79" s="1"/>
      <c r="F79" s="1"/>
      <c r="G79" s="1"/>
      <c r="H79" s="1"/>
      <c r="I79" s="1"/>
      <c r="J79" s="1"/>
      <c r="K79" s="1"/>
      <c r="L79" s="1"/>
      <c r="M79" s="1"/>
      <c r="N79" s="1"/>
      <c r="O79" s="1"/>
      <c r="P79" s="1"/>
      <c r="Q79" s="1"/>
      <c r="R79" s="1"/>
      <c r="S79" s="1"/>
      <c r="T79" s="26">
        <f>E18</f>
        <v>900000</v>
      </c>
    </row>
    <row r="80" spans="2:256" ht="6.75" customHeight="1" thickTop="1"/>
    <row r="81" spans="2:20">
      <c r="C81" s="2" t="s">
        <v>25</v>
      </c>
      <c r="E81" s="15">
        <f>SUM(E77:E79)</f>
        <v>-7283237</v>
      </c>
      <c r="F81" s="15">
        <f>SUM(F77:F79)</f>
        <v>500047.11228876875</v>
      </c>
      <c r="G81" s="15">
        <f t="shared" ref="G81:T81" si="15">SUM(G77:G79)</f>
        <v>533519.07226358517</v>
      </c>
      <c r="H81" s="15">
        <f t="shared" si="15"/>
        <v>563622.47433551878</v>
      </c>
      <c r="I81" s="15">
        <f t="shared" si="15"/>
        <v>594301.45209254767</v>
      </c>
      <c r="J81" s="15">
        <f t="shared" si="15"/>
        <v>614985.62224518007</v>
      </c>
      <c r="K81" s="15">
        <f t="shared" si="15"/>
        <v>616404.6934535047</v>
      </c>
      <c r="L81" s="15">
        <f t="shared" si="15"/>
        <v>548346.04144037073</v>
      </c>
      <c r="M81" s="15">
        <f t="shared" si="15"/>
        <v>489362.09635384055</v>
      </c>
      <c r="N81" s="15">
        <f t="shared" si="15"/>
        <v>438061.03813215287</v>
      </c>
      <c r="O81" s="15">
        <f t="shared" si="15"/>
        <v>393277.72136959515</v>
      </c>
      <c r="P81" s="15">
        <f t="shared" si="15"/>
        <v>354035.90449852473</v>
      </c>
      <c r="Q81" s="15">
        <f t="shared" si="15"/>
        <v>319516.82588421379</v>
      </c>
      <c r="R81" s="15">
        <f t="shared" si="15"/>
        <v>289033.05699791678</v>
      </c>
      <c r="S81" s="15">
        <f t="shared" si="15"/>
        <v>262006.74337651388</v>
      </c>
      <c r="T81" s="15">
        <f t="shared" si="15"/>
        <v>1137951.4941379419</v>
      </c>
    </row>
    <row r="83" spans="2:20" ht="12" thickBot="1">
      <c r="B83" s="1" t="s">
        <v>35</v>
      </c>
      <c r="C83" s="1"/>
    </row>
    <row r="84" spans="2:20" ht="12.75" thickTop="1">
      <c r="C84" s="2" t="s">
        <v>33</v>
      </c>
      <c r="D84" s="27">
        <f>IRR(E81:T81)</f>
        <v>6.388407535658433E-3</v>
      </c>
    </row>
    <row r="85" spans="2:20">
      <c r="C85" s="2" t="s">
        <v>26</v>
      </c>
    </row>
    <row r="88" spans="2:20">
      <c r="C88" s="18"/>
    </row>
  </sheetData>
  <sheetProtection password="E4EA" sheet="1" objects="1" scenarios="1"/>
  <phoneticPr fontId="1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dimension ref="A2:IV146"/>
  <sheetViews>
    <sheetView workbookViewId="0">
      <selection activeCell="A2" sqref="A2"/>
    </sheetView>
  </sheetViews>
  <sheetFormatPr baseColWidth="10" defaultColWidth="9.140625" defaultRowHeight="11.25"/>
  <cols>
    <col min="1" max="1" width="29.140625" style="2" customWidth="1"/>
    <col min="2" max="2" width="9.140625" style="2"/>
    <col min="3" max="3" width="11.7109375" style="2" bestFit="1" customWidth="1"/>
    <col min="4" max="4" width="15.7109375" style="2" customWidth="1"/>
    <col min="5" max="5" width="13" style="2" customWidth="1"/>
    <col min="6" max="6" width="11.5703125" style="2" bestFit="1" customWidth="1"/>
    <col min="7" max="7" width="11.85546875" style="2" bestFit="1" customWidth="1"/>
    <col min="8" max="8" width="10.5703125" style="2" bestFit="1" customWidth="1"/>
    <col min="9" max="9" width="11.85546875" style="2" bestFit="1" customWidth="1"/>
    <col min="10" max="11" width="10.5703125" style="2" bestFit="1" customWidth="1"/>
    <col min="12" max="12" width="12.42578125" style="2" bestFit="1" customWidth="1"/>
    <col min="13" max="15" width="10.5703125" style="2" bestFit="1" customWidth="1"/>
    <col min="16" max="16" width="10" style="2" bestFit="1" customWidth="1"/>
    <col min="17" max="19" width="10.85546875" style="2" customWidth="1"/>
    <col min="20" max="20" width="9.85546875" style="2" bestFit="1" customWidth="1"/>
    <col min="21" max="16384" width="9.140625" style="2"/>
  </cols>
  <sheetData>
    <row r="2" spans="1:6" ht="15">
      <c r="A2" s="73" t="s">
        <v>83</v>
      </c>
    </row>
    <row r="4" spans="1:6" ht="12" thickBot="1">
      <c r="A4" s="1" t="s">
        <v>0</v>
      </c>
    </row>
    <row r="5" spans="1:6" ht="12" thickTop="1"/>
    <row r="6" spans="1:6">
      <c r="A6" s="2" t="s">
        <v>1</v>
      </c>
      <c r="E6" s="3">
        <f ca="1">'Plus10%OpEx'!E6</f>
        <v>3233237</v>
      </c>
    </row>
    <row r="7" spans="1:6">
      <c r="A7" s="2" t="s">
        <v>61</v>
      </c>
      <c r="E7" s="3"/>
    </row>
    <row r="8" spans="1:6">
      <c r="A8" s="2" t="s">
        <v>65</v>
      </c>
      <c r="E8" s="3"/>
    </row>
    <row r="9" spans="1:6">
      <c r="A9" s="2" t="s">
        <v>55</v>
      </c>
      <c r="E9" s="3">
        <f>500000*1.5</f>
        <v>750000</v>
      </c>
      <c r="F9" s="2" t="s">
        <v>59</v>
      </c>
    </row>
    <row r="10" spans="1:6">
      <c r="A10" s="2" t="s">
        <v>56</v>
      </c>
      <c r="E10" s="3">
        <v>300000</v>
      </c>
      <c r="F10" s="2" t="s">
        <v>59</v>
      </c>
    </row>
    <row r="11" spans="1:6">
      <c r="A11" s="2" t="s">
        <v>57</v>
      </c>
      <c r="E11" s="3">
        <v>300000</v>
      </c>
    </row>
    <row r="12" spans="1:6">
      <c r="A12" s="2" t="s">
        <v>58</v>
      </c>
      <c r="E12" s="3"/>
    </row>
    <row r="13" spans="1:6">
      <c r="A13" s="2" t="s">
        <v>68</v>
      </c>
      <c r="E13" s="3"/>
    </row>
    <row r="14" spans="1:6">
      <c r="A14" s="2" t="s">
        <v>2</v>
      </c>
      <c r="E14" s="37">
        <f>SUM(E9:E13)</f>
        <v>1350000</v>
      </c>
    </row>
    <row r="15" spans="1:6">
      <c r="A15" s="2" t="s">
        <v>3</v>
      </c>
      <c r="E15" s="4">
        <v>3</v>
      </c>
    </row>
    <row r="16" spans="1:6">
      <c r="A16" s="2" t="s">
        <v>4</v>
      </c>
      <c r="E16" s="37">
        <f>E6+E7+E8+E14*E15</f>
        <v>7283237</v>
      </c>
    </row>
    <row r="17" spans="1:5">
      <c r="A17" s="2" t="s">
        <v>5</v>
      </c>
      <c r="B17" s="2" t="s">
        <v>6</v>
      </c>
    </row>
    <row r="18" spans="1:5">
      <c r="A18" s="2" t="s">
        <v>39</v>
      </c>
      <c r="E18" s="37">
        <f ca="1">Alternative1!E18</f>
        <v>900000</v>
      </c>
    </row>
    <row r="19" spans="1:5" ht="12" thickBot="1">
      <c r="A19" s="1" t="s">
        <v>7</v>
      </c>
    </row>
    <row r="20" spans="1:5" ht="12" thickTop="1">
      <c r="A20" s="2" t="s">
        <v>8</v>
      </c>
      <c r="B20" s="4">
        <v>15</v>
      </c>
    </row>
    <row r="21" spans="1:5">
      <c r="A21" s="2" t="s">
        <v>9</v>
      </c>
      <c r="B21" s="4">
        <f ca="1">Alternative1!B22</f>
        <v>10</v>
      </c>
      <c r="C21" s="2" t="s">
        <v>29</v>
      </c>
      <c r="D21" s="37">
        <f>E16/B21</f>
        <v>728323.7</v>
      </c>
      <c r="E21" s="2" t="s">
        <v>10</v>
      </c>
    </row>
    <row r="22" spans="1:5">
      <c r="A22" s="2" t="s">
        <v>11</v>
      </c>
      <c r="B22" s="4">
        <v>1.35</v>
      </c>
    </row>
    <row r="23" spans="1:5">
      <c r="A23" s="2" t="s">
        <v>31</v>
      </c>
      <c r="B23" s="5">
        <v>0.25</v>
      </c>
    </row>
    <row r="24" spans="1:5">
      <c r="B24" s="6"/>
    </row>
    <row r="25" spans="1:5" ht="12" thickBot="1">
      <c r="A25" s="1" t="s">
        <v>12</v>
      </c>
      <c r="B25" s="6"/>
    </row>
    <row r="26" spans="1:5" ht="12" thickTop="1">
      <c r="A26" s="2" t="s">
        <v>13</v>
      </c>
      <c r="B26" s="98">
        <f ca="1">WEM*(1+10%)</f>
        <v>56.428938761236708</v>
      </c>
    </row>
    <row r="29" spans="1:5">
      <c r="A29" s="8"/>
    </row>
    <row r="30" spans="1:5" ht="12" thickBot="1">
      <c r="A30" s="1" t="s">
        <v>34</v>
      </c>
      <c r="B30" s="1"/>
    </row>
    <row r="31" spans="1:5" ht="12" thickTop="1">
      <c r="A31" s="2" t="s">
        <v>14</v>
      </c>
      <c r="C31" s="5">
        <v>0.7</v>
      </c>
    </row>
    <row r="32" spans="1:5">
      <c r="A32" s="2" t="s">
        <v>145</v>
      </c>
      <c r="C32" s="30">
        <f>C40*C33/1000</f>
        <v>18.158221032527006</v>
      </c>
      <c r="D32" s="2" t="s">
        <v>15</v>
      </c>
    </row>
    <row r="33" spans="1:20">
      <c r="A33" s="2" t="s">
        <v>37</v>
      </c>
      <c r="C33" s="5">
        <v>0.5</v>
      </c>
    </row>
    <row r="34" spans="1:20">
      <c r="A34" s="2" t="s">
        <v>16</v>
      </c>
      <c r="C34" s="7">
        <v>1E-3</v>
      </c>
      <c r="I34" s="21"/>
    </row>
    <row r="35" spans="1:20">
      <c r="A35" s="2" t="s">
        <v>17</v>
      </c>
      <c r="C35" s="28">
        <v>0.371</v>
      </c>
      <c r="I35" s="21"/>
    </row>
    <row r="36" spans="1:20">
      <c r="A36" s="2" t="s">
        <v>44</v>
      </c>
      <c r="C36" s="5">
        <v>0.9</v>
      </c>
      <c r="I36" s="21"/>
      <c r="K36" s="21"/>
    </row>
    <row r="37" spans="1:20">
      <c r="A37" s="2" t="s">
        <v>52</v>
      </c>
      <c r="C37" s="29">
        <v>8760</v>
      </c>
      <c r="D37" s="2" t="s">
        <v>20</v>
      </c>
      <c r="I37" s="21"/>
      <c r="K37" s="21"/>
    </row>
    <row r="38" spans="1:20">
      <c r="A38" s="2" t="s">
        <v>51</v>
      </c>
      <c r="C38" s="4">
        <f>101325*16/8314/298</f>
        <v>0.65435030747845069</v>
      </c>
    </row>
    <row r="39" spans="1:20" ht="14.25" customHeight="1">
      <c r="A39" s="2" t="s">
        <v>60</v>
      </c>
      <c r="C39" s="4">
        <v>55.5</v>
      </c>
    </row>
    <row r="40" spans="1:20">
      <c r="A40" s="2" t="s">
        <v>146</v>
      </c>
      <c r="C40" s="29">
        <f>C38*C39*1000</f>
        <v>36316.442065054012</v>
      </c>
    </row>
    <row r="43" spans="1:20" ht="12" thickBot="1">
      <c r="A43" s="1" t="s">
        <v>18</v>
      </c>
      <c r="I43" s="21"/>
    </row>
    <row r="44" spans="1:20" ht="12" thickTop="1">
      <c r="A44" s="2" t="s">
        <v>32</v>
      </c>
      <c r="C44" s="19">
        <f ca="1">Alternative1!C44</f>
        <v>28</v>
      </c>
    </row>
    <row r="45" spans="1:20">
      <c r="A45" s="2" t="s">
        <v>19</v>
      </c>
      <c r="C45" s="19">
        <v>0</v>
      </c>
      <c r="D45" s="2" t="s">
        <v>27</v>
      </c>
    </row>
    <row r="46" spans="1:20">
      <c r="A46" s="2" t="s">
        <v>38</v>
      </c>
      <c r="C46" s="19">
        <v>40000</v>
      </c>
      <c r="D46" s="2" t="s">
        <v>67</v>
      </c>
      <c r="G46" s="23"/>
    </row>
    <row r="48" spans="1:20">
      <c r="C48" s="22"/>
      <c r="D48" s="22"/>
      <c r="E48" s="22"/>
      <c r="F48" s="22"/>
      <c r="G48" s="22"/>
      <c r="H48" s="22"/>
      <c r="I48" s="22"/>
      <c r="J48" s="22"/>
      <c r="K48" s="22"/>
      <c r="L48" s="22"/>
      <c r="M48" s="22"/>
      <c r="N48" s="22"/>
      <c r="O48" s="22"/>
      <c r="P48" s="22"/>
      <c r="Q48" s="22"/>
      <c r="R48" s="22"/>
      <c r="S48" s="22"/>
      <c r="T48" s="22"/>
    </row>
    <row r="49" spans="3:256">
      <c r="C49" s="22"/>
      <c r="D49" s="22"/>
      <c r="E49" s="22"/>
      <c r="F49" s="22"/>
      <c r="G49" s="22"/>
      <c r="H49" s="22"/>
      <c r="I49" s="22"/>
      <c r="J49" s="22"/>
      <c r="K49" s="22"/>
      <c r="L49" s="22"/>
      <c r="M49" s="22"/>
      <c r="N49" s="22"/>
      <c r="O49" s="22"/>
      <c r="P49" s="22"/>
      <c r="Q49" s="22"/>
      <c r="R49" s="22"/>
      <c r="S49" s="22"/>
      <c r="T49" s="22"/>
    </row>
    <row r="50" spans="3:256">
      <c r="E50" s="11">
        <v>39813</v>
      </c>
      <c r="F50" s="11">
        <v>40178</v>
      </c>
      <c r="G50" s="11">
        <v>40543</v>
      </c>
      <c r="H50" s="11">
        <v>40908</v>
      </c>
      <c r="I50" s="11">
        <v>41274</v>
      </c>
      <c r="J50" s="11">
        <v>41639</v>
      </c>
      <c r="K50" s="11">
        <v>42004</v>
      </c>
      <c r="L50" s="11">
        <v>42369</v>
      </c>
      <c r="M50" s="11">
        <v>42735</v>
      </c>
      <c r="N50" s="11">
        <v>43100</v>
      </c>
      <c r="O50" s="11">
        <v>43465</v>
      </c>
      <c r="P50" s="11">
        <v>43830</v>
      </c>
      <c r="Q50" s="11">
        <v>44196</v>
      </c>
      <c r="R50" s="11">
        <v>44561</v>
      </c>
      <c r="S50" s="11">
        <v>44926</v>
      </c>
      <c r="T50" s="11">
        <v>45291</v>
      </c>
    </row>
    <row r="52" spans="3:256">
      <c r="F52" s="2">
        <v>1</v>
      </c>
      <c r="G52" s="2">
        <v>2</v>
      </c>
      <c r="H52" s="2">
        <f>G52+1</f>
        <v>3</v>
      </c>
      <c r="I52" s="2">
        <f t="shared" ref="I52:R52" si="0">H52+1</f>
        <v>4</v>
      </c>
      <c r="J52" s="2">
        <f t="shared" si="0"/>
        <v>5</v>
      </c>
      <c r="K52" s="2">
        <f t="shared" si="0"/>
        <v>6</v>
      </c>
      <c r="L52" s="2">
        <f t="shared" si="0"/>
        <v>7</v>
      </c>
      <c r="M52" s="2">
        <f t="shared" si="0"/>
        <v>8</v>
      </c>
      <c r="N52" s="2">
        <f t="shared" si="0"/>
        <v>9</v>
      </c>
      <c r="O52" s="2">
        <f t="shared" si="0"/>
        <v>10</v>
      </c>
      <c r="P52" s="2">
        <f t="shared" si="0"/>
        <v>11</v>
      </c>
      <c r="Q52" s="2">
        <f t="shared" si="0"/>
        <v>12</v>
      </c>
      <c r="R52" s="2">
        <f t="shared" si="0"/>
        <v>13</v>
      </c>
      <c r="S52" s="2">
        <f>R52+1</f>
        <v>14</v>
      </c>
      <c r="T52" s="2">
        <f>S52+1</f>
        <v>15</v>
      </c>
    </row>
    <row r="53" spans="3:256" ht="7.5" customHeight="1"/>
    <row r="54" spans="3:256" ht="7.5" customHeight="1"/>
    <row r="55" spans="3:256">
      <c r="C55" s="9" t="s">
        <v>21</v>
      </c>
      <c r="D55" s="67">
        <f>B26</f>
        <v>56.428938761236708</v>
      </c>
      <c r="F55" s="13">
        <f>$D$55</f>
        <v>56.428938761236708</v>
      </c>
      <c r="G55" s="13">
        <f t="shared" ref="G55:T55" si="1">$D$55</f>
        <v>56.428938761236708</v>
      </c>
      <c r="H55" s="13">
        <f t="shared" si="1"/>
        <v>56.428938761236708</v>
      </c>
      <c r="I55" s="13">
        <f t="shared" si="1"/>
        <v>56.428938761236708</v>
      </c>
      <c r="J55" s="13">
        <f t="shared" si="1"/>
        <v>56.428938761236708</v>
      </c>
      <c r="K55" s="13">
        <f t="shared" si="1"/>
        <v>56.428938761236708</v>
      </c>
      <c r="L55" s="13">
        <f t="shared" si="1"/>
        <v>56.428938761236708</v>
      </c>
      <c r="M55" s="13">
        <f t="shared" si="1"/>
        <v>56.428938761236708</v>
      </c>
      <c r="N55" s="13">
        <f t="shared" si="1"/>
        <v>56.428938761236708</v>
      </c>
      <c r="O55" s="13">
        <f t="shared" si="1"/>
        <v>56.428938761236708</v>
      </c>
      <c r="P55" s="13">
        <f t="shared" si="1"/>
        <v>56.428938761236708</v>
      </c>
      <c r="Q55" s="13">
        <f t="shared" si="1"/>
        <v>56.428938761236708</v>
      </c>
      <c r="R55" s="13">
        <f t="shared" si="1"/>
        <v>56.428938761236708</v>
      </c>
      <c r="S55" s="13">
        <f t="shared" si="1"/>
        <v>56.428938761236708</v>
      </c>
      <c r="T55" s="13">
        <f t="shared" si="1"/>
        <v>56.428938761236708</v>
      </c>
    </row>
    <row r="56" spans="3:256" ht="5.25" customHeight="1">
      <c r="C56" s="9"/>
      <c r="D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row>
    <row r="57" spans="3:256">
      <c r="C57" s="9" t="s">
        <v>22</v>
      </c>
      <c r="D57" s="12"/>
      <c r="F57" s="13">
        <v>22346.677920401315</v>
      </c>
      <c r="G57" s="13">
        <v>23731.718395392007</v>
      </c>
      <c r="H57" s="13">
        <v>24977.370885892011</v>
      </c>
      <c r="I57" s="13">
        <v>26246.840195630495</v>
      </c>
      <c r="J57" s="13">
        <v>27102.733094479103</v>
      </c>
      <c r="K57" s="13">
        <v>27161.453021902002</v>
      </c>
      <c r="L57" s="13">
        <v>24345.245432552016</v>
      </c>
      <c r="M57" s="13">
        <v>21904.541291505648</v>
      </c>
      <c r="N57" s="13">
        <v>19781.748299988245</v>
      </c>
      <c r="O57" s="13">
        <v>17928.653758553002</v>
      </c>
      <c r="P57" s="13">
        <v>16304.861643615659</v>
      </c>
      <c r="Q57" s="13">
        <v>14876.492313699584</v>
      </c>
      <c r="R57" s="13">
        <v>13615.10057656947</v>
      </c>
      <c r="S57" s="13">
        <v>12496.775319142103</v>
      </c>
      <c r="T57" s="13">
        <v>11501.390111449493</v>
      </c>
      <c r="U57" s="2" t="s">
        <v>46</v>
      </c>
    </row>
    <row r="58" spans="3:256">
      <c r="C58" s="9" t="s">
        <v>48</v>
      </c>
      <c r="D58" s="12"/>
      <c r="F58" s="24">
        <f t="shared" ref="F58:T58" si="2">F57*1000</f>
        <v>22346677.920401316</v>
      </c>
      <c r="G58" s="24">
        <f t="shared" si="2"/>
        <v>23731718.395392008</v>
      </c>
      <c r="H58" s="24">
        <f t="shared" si="2"/>
        <v>24977370.885892011</v>
      </c>
      <c r="I58" s="24">
        <f t="shared" si="2"/>
        <v>26246840.195630495</v>
      </c>
      <c r="J58" s="24">
        <f t="shared" si="2"/>
        <v>27102733.094479103</v>
      </c>
      <c r="K58" s="24">
        <f t="shared" si="2"/>
        <v>27161453.021902002</v>
      </c>
      <c r="L58" s="24">
        <f t="shared" si="2"/>
        <v>24345245.432552017</v>
      </c>
      <c r="M58" s="24">
        <f t="shared" si="2"/>
        <v>21904541.291505646</v>
      </c>
      <c r="N58" s="24">
        <f t="shared" si="2"/>
        <v>19781748.299988244</v>
      </c>
      <c r="O58" s="24">
        <f t="shared" si="2"/>
        <v>17928653.758553002</v>
      </c>
      <c r="P58" s="24">
        <f t="shared" si="2"/>
        <v>16304861.643615659</v>
      </c>
      <c r="Q58" s="24">
        <f t="shared" si="2"/>
        <v>14876492.313699584</v>
      </c>
      <c r="R58" s="24">
        <f t="shared" si="2"/>
        <v>13615100.57656947</v>
      </c>
      <c r="S58" s="24">
        <f t="shared" si="2"/>
        <v>12496775.319142103</v>
      </c>
      <c r="T58" s="24">
        <f t="shared" si="2"/>
        <v>11501390.111449493</v>
      </c>
    </row>
    <row r="59" spans="3:256">
      <c r="C59" s="9" t="s">
        <v>49</v>
      </c>
      <c r="D59" s="12"/>
      <c r="F59" s="24">
        <f t="shared" ref="F59:T59" si="3">F58*$C$31</f>
        <v>15642674.54428092</v>
      </c>
      <c r="G59" s="24">
        <f t="shared" si="3"/>
        <v>16612202.876774404</v>
      </c>
      <c r="H59" s="24">
        <f t="shared" si="3"/>
        <v>17484159.620124407</v>
      </c>
      <c r="I59" s="24">
        <f t="shared" si="3"/>
        <v>18372788.136941344</v>
      </c>
      <c r="J59" s="24">
        <f t="shared" si="3"/>
        <v>18971913.166135371</v>
      </c>
      <c r="K59" s="24">
        <f t="shared" si="3"/>
        <v>19013017.1153314</v>
      </c>
      <c r="L59" s="24">
        <f t="shared" si="3"/>
        <v>17041671.80278641</v>
      </c>
      <c r="M59" s="24">
        <f t="shared" si="3"/>
        <v>15333178.904053951</v>
      </c>
      <c r="N59" s="24">
        <f t="shared" si="3"/>
        <v>13847223.809991769</v>
      </c>
      <c r="O59" s="24">
        <f t="shared" si="3"/>
        <v>12550057.6309871</v>
      </c>
      <c r="P59" s="24">
        <f t="shared" si="3"/>
        <v>11413403.15053096</v>
      </c>
      <c r="Q59" s="24">
        <f t="shared" si="3"/>
        <v>10413544.619589709</v>
      </c>
      <c r="R59" s="24">
        <f t="shared" si="3"/>
        <v>9530570.4035986289</v>
      </c>
      <c r="S59" s="24">
        <f t="shared" si="3"/>
        <v>8747742.7233994715</v>
      </c>
      <c r="T59" s="24">
        <f t="shared" si="3"/>
        <v>8050973.0780146448</v>
      </c>
    </row>
    <row r="60" spans="3:256">
      <c r="C60" s="9" t="s">
        <v>50</v>
      </c>
      <c r="D60" s="12"/>
      <c r="F60" s="24">
        <f t="shared" ref="F60:T60" si="4">F59*$C$32</f>
        <v>284043141.9149366</v>
      </c>
      <c r="G60" s="24">
        <f t="shared" si="4"/>
        <v>301648051.67365062</v>
      </c>
      <c r="H60" s="24">
        <f t="shared" si="4"/>
        <v>317481234.95020241</v>
      </c>
      <c r="I60" s="24">
        <f t="shared" si="4"/>
        <v>333617147.97437096</v>
      </c>
      <c r="J60" s="24">
        <f t="shared" si="4"/>
        <v>344496192.68059534</v>
      </c>
      <c r="K60" s="24">
        <f t="shared" si="4"/>
        <v>345242567.2754066</v>
      </c>
      <c r="L60" s="24">
        <f t="shared" si="4"/>
        <v>309446443.3587786</v>
      </c>
      <c r="M60" s="24">
        <f t="shared" si="4"/>
        <v>278423251.67109185</v>
      </c>
      <c r="N60" s="24">
        <f t="shared" si="4"/>
        <v>251440950.6287013</v>
      </c>
      <c r="O60" s="24">
        <f t="shared" si="4"/>
        <v>227886720.43441603</v>
      </c>
      <c r="P60" s="24">
        <f t="shared" si="4"/>
        <v>207247097.14068127</v>
      </c>
      <c r="Q60" s="24">
        <f t="shared" si="4"/>
        <v>189091444.93459228</v>
      </c>
      <c r="R60" s="24">
        <f t="shared" si="4"/>
        <v>173058203.95460403</v>
      </c>
      <c r="S60" s="24">
        <f t="shared" si="4"/>
        <v>158843445.90716735</v>
      </c>
      <c r="T60" s="24">
        <f t="shared" si="4"/>
        <v>146191348.67751423</v>
      </c>
    </row>
    <row r="61" spans="3:256">
      <c r="C61" s="9" t="s">
        <v>53</v>
      </c>
      <c r="D61" s="12"/>
      <c r="F61" s="13">
        <f t="shared" ref="F61:T61" si="5">F60/3.6/1000</f>
        <v>78900.872754149052</v>
      </c>
      <c r="G61" s="13">
        <f t="shared" si="5"/>
        <v>83791.125464902958</v>
      </c>
      <c r="H61" s="13">
        <f t="shared" si="5"/>
        <v>88189.231930611772</v>
      </c>
      <c r="I61" s="13">
        <f t="shared" si="5"/>
        <v>92671.429992880818</v>
      </c>
      <c r="J61" s="13">
        <f t="shared" si="5"/>
        <v>95693.386855720921</v>
      </c>
      <c r="K61" s="13">
        <f t="shared" si="5"/>
        <v>95900.713132057383</v>
      </c>
      <c r="L61" s="13">
        <f t="shared" si="5"/>
        <v>85957.345377438498</v>
      </c>
      <c r="M61" s="13">
        <f t="shared" si="5"/>
        <v>77339.792130858856</v>
      </c>
      <c r="N61" s="13">
        <f t="shared" si="5"/>
        <v>69844.70850797258</v>
      </c>
      <c r="O61" s="13">
        <f t="shared" si="5"/>
        <v>63301.866787337778</v>
      </c>
      <c r="P61" s="13">
        <f t="shared" si="5"/>
        <v>57568.638094633687</v>
      </c>
      <c r="Q61" s="13">
        <f t="shared" si="5"/>
        <v>52525.401370720072</v>
      </c>
      <c r="R61" s="13">
        <f t="shared" si="5"/>
        <v>48071.723320723337</v>
      </c>
      <c r="S61" s="13">
        <f t="shared" si="5"/>
        <v>44123.179418657593</v>
      </c>
      <c r="T61" s="13">
        <f t="shared" si="5"/>
        <v>40608.707965976173</v>
      </c>
    </row>
    <row r="62" spans="3:256" ht="12" customHeight="1">
      <c r="C62" s="9" t="s">
        <v>54</v>
      </c>
      <c r="D62" s="33">
        <v>1</v>
      </c>
      <c r="F62" s="15">
        <f>F61*$C$35*$C$36*$D$62</f>
        <v>26345.001412610367</v>
      </c>
      <c r="G62" s="15">
        <f t="shared" ref="G62:T62" si="6">G61*$C$35*$C$36*$D$62</f>
        <v>27977.856792731098</v>
      </c>
      <c r="H62" s="15">
        <f t="shared" si="6"/>
        <v>29446.384541631272</v>
      </c>
      <c r="I62" s="15">
        <f t="shared" si="6"/>
        <v>30942.990474622904</v>
      </c>
      <c r="J62" s="15">
        <f t="shared" si="6"/>
        <v>31952.021871125213</v>
      </c>
      <c r="K62" s="15">
        <f t="shared" si="6"/>
        <v>32021.248114793958</v>
      </c>
      <c r="L62" s="15">
        <f t="shared" si="6"/>
        <v>28701.157621526716</v>
      </c>
      <c r="M62" s="15">
        <f t="shared" si="6"/>
        <v>25823.75659249377</v>
      </c>
      <c r="N62" s="15">
        <f t="shared" si="6"/>
        <v>23321.148170812045</v>
      </c>
      <c r="O62" s="15">
        <f t="shared" si="6"/>
        <v>21136.493320292084</v>
      </c>
      <c r="P62" s="15">
        <f t="shared" si="6"/>
        <v>19222.168259798189</v>
      </c>
      <c r="Q62" s="15">
        <f t="shared" si="6"/>
        <v>17538.231517683435</v>
      </c>
      <c r="R62" s="15">
        <f t="shared" si="6"/>
        <v>16051.148416789523</v>
      </c>
      <c r="S62" s="15">
        <f t="shared" si="6"/>
        <v>14732.729607889771</v>
      </c>
      <c r="T62" s="15">
        <f t="shared" si="6"/>
        <v>13559.247589839444</v>
      </c>
    </row>
    <row r="63" spans="3:256" ht="5.25" customHeight="1">
      <c r="C63" s="9"/>
      <c r="D63" s="12"/>
      <c r="E63" s="12"/>
      <c r="F63" s="12"/>
      <c r="G63" s="12"/>
      <c r="H63" s="12"/>
      <c r="I63" s="12"/>
      <c r="J63" s="12"/>
      <c r="K63" s="12"/>
      <c r="L63" s="12"/>
      <c r="M63" s="12"/>
      <c r="N63" s="12"/>
      <c r="O63" s="12"/>
      <c r="P63" s="12"/>
      <c r="Q63" s="12"/>
      <c r="R63" s="12"/>
      <c r="S63" s="12"/>
      <c r="T63" s="12"/>
    </row>
    <row r="64" spans="3:256">
      <c r="C64" s="9" t="s">
        <v>36</v>
      </c>
      <c r="D64" s="13">
        <f>ROUNDUP(AVERAGE(F64:T64),0)</f>
        <v>3</v>
      </c>
      <c r="E64" s="14"/>
      <c r="F64" s="13">
        <f>$D$62*F62/(8760)</f>
        <v>3.0074202525810922</v>
      </c>
      <c r="G64" s="13">
        <f t="shared" ref="G64:T64" si="7">$D$62*G62/(8760)</f>
        <v>3.1938192685766094</v>
      </c>
      <c r="H64" s="13">
        <f t="shared" si="7"/>
        <v>3.3614594225606473</v>
      </c>
      <c r="I64" s="13">
        <f t="shared" si="7"/>
        <v>3.5323048487012447</v>
      </c>
      <c r="J64" s="13">
        <f t="shared" si="7"/>
        <v>3.6474910811786772</v>
      </c>
      <c r="K64" s="13">
        <f t="shared" si="7"/>
        <v>3.6553936204102691</v>
      </c>
      <c r="L64" s="13">
        <f t="shared" si="7"/>
        <v>3.2763878563386664</v>
      </c>
      <c r="M64" s="13">
        <f t="shared" si="7"/>
        <v>2.9479174192344488</v>
      </c>
      <c r="N64" s="13">
        <f t="shared" si="7"/>
        <v>2.6622315263484069</v>
      </c>
      <c r="O64" s="13">
        <f t="shared" si="7"/>
        <v>2.4128417032296898</v>
      </c>
      <c r="P64" s="13">
        <f t="shared" si="7"/>
        <v>2.1943114451824415</v>
      </c>
      <c r="Q64" s="13">
        <f t="shared" si="7"/>
        <v>2.002081223479844</v>
      </c>
      <c r="R64" s="13">
        <f t="shared" si="7"/>
        <v>1.8323228786289409</v>
      </c>
      <c r="S64" s="13">
        <f t="shared" si="7"/>
        <v>1.6818184483892433</v>
      </c>
      <c r="T64" s="13">
        <f t="shared" si="7"/>
        <v>1.5478593139086123</v>
      </c>
    </row>
    <row r="65" spans="2:256">
      <c r="C65" s="9" t="s">
        <v>45</v>
      </c>
      <c r="D65" s="13">
        <f>E15*C37</f>
        <v>26280</v>
      </c>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row>
    <row r="66" spans="2:256">
      <c r="C66" s="9" t="s">
        <v>42</v>
      </c>
      <c r="F66" s="13">
        <f>MIN($D$65,F62)</f>
        <v>26280</v>
      </c>
      <c r="G66" s="13">
        <f t="shared" ref="G66:T66" si="8">MIN($D$65,G62)</f>
        <v>26280</v>
      </c>
      <c r="H66" s="13">
        <f t="shared" si="8"/>
        <v>26280</v>
      </c>
      <c r="I66" s="13">
        <f t="shared" si="8"/>
        <v>26280</v>
      </c>
      <c r="J66" s="13">
        <f t="shared" si="8"/>
        <v>26280</v>
      </c>
      <c r="K66" s="13">
        <f t="shared" si="8"/>
        <v>26280</v>
      </c>
      <c r="L66" s="13">
        <f t="shared" si="8"/>
        <v>26280</v>
      </c>
      <c r="M66" s="13">
        <f t="shared" si="8"/>
        <v>25823.75659249377</v>
      </c>
      <c r="N66" s="13">
        <f t="shared" si="8"/>
        <v>23321.148170812045</v>
      </c>
      <c r="O66" s="13">
        <f t="shared" si="8"/>
        <v>21136.493320292084</v>
      </c>
      <c r="P66" s="13">
        <f t="shared" si="8"/>
        <v>19222.168259798189</v>
      </c>
      <c r="Q66" s="13">
        <f t="shared" si="8"/>
        <v>17538.231517683435</v>
      </c>
      <c r="R66" s="13">
        <f t="shared" si="8"/>
        <v>16051.148416789523</v>
      </c>
      <c r="S66" s="13">
        <f t="shared" si="8"/>
        <v>14732.729607889771</v>
      </c>
      <c r="T66" s="13">
        <f t="shared" si="8"/>
        <v>13559.247589839444</v>
      </c>
    </row>
    <row r="68" spans="2:256">
      <c r="C68" s="9" t="s">
        <v>23</v>
      </c>
      <c r="F68" s="15">
        <f>F55*F66</f>
        <v>1482952.5106453006</v>
      </c>
      <c r="G68" s="15">
        <f t="shared" ref="G68:R68" si="9">G55*G66</f>
        <v>1482952.5106453006</v>
      </c>
      <c r="H68" s="15">
        <f t="shared" si="9"/>
        <v>1482952.5106453006</v>
      </c>
      <c r="I68" s="15">
        <f t="shared" si="9"/>
        <v>1482952.5106453006</v>
      </c>
      <c r="J68" s="15">
        <f t="shared" si="9"/>
        <v>1482952.5106453006</v>
      </c>
      <c r="K68" s="15">
        <f t="shared" si="9"/>
        <v>1482952.5106453006</v>
      </c>
      <c r="L68" s="15">
        <f t="shared" si="9"/>
        <v>1482952.5106453006</v>
      </c>
      <c r="M68" s="15">
        <f t="shared" si="9"/>
        <v>1457207.1793429137</v>
      </c>
      <c r="N68" s="15">
        <f t="shared" si="9"/>
        <v>1315987.6419724803</v>
      </c>
      <c r="O68" s="15">
        <f t="shared" si="9"/>
        <v>1192709.8871980507</v>
      </c>
      <c r="P68" s="15">
        <f t="shared" si="9"/>
        <v>1084686.5555903399</v>
      </c>
      <c r="Q68" s="15">
        <f t="shared" si="9"/>
        <v>989663.79229175008</v>
      </c>
      <c r="R68" s="15">
        <f t="shared" si="9"/>
        <v>905749.27105853753</v>
      </c>
      <c r="S68" s="15">
        <f>S55*S66</f>
        <v>831352.29682947078</v>
      </c>
      <c r="T68" s="15">
        <f>T55*T66</f>
        <v>765133.95189549646</v>
      </c>
    </row>
    <row r="69" spans="2:256">
      <c r="B69" s="2" t="s">
        <v>18</v>
      </c>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c r="IU69" s="9"/>
      <c r="IV69" s="9"/>
    </row>
    <row r="70" spans="2:256">
      <c r="C70" s="9" t="str">
        <f>A44</f>
        <v>Cost per MWh Generated</v>
      </c>
      <c r="D70" s="14">
        <f>C44</f>
        <v>28</v>
      </c>
      <c r="E70" s="9"/>
      <c r="F70" s="17">
        <f>$D$70*F66</f>
        <v>735840</v>
      </c>
      <c r="G70" s="17">
        <f t="shared" ref="G70:T70" si="10">$D$70*G66</f>
        <v>735840</v>
      </c>
      <c r="H70" s="17">
        <f t="shared" si="10"/>
        <v>735840</v>
      </c>
      <c r="I70" s="17">
        <f t="shared" si="10"/>
        <v>735840</v>
      </c>
      <c r="J70" s="17">
        <f t="shared" si="10"/>
        <v>735840</v>
      </c>
      <c r="K70" s="17">
        <f t="shared" si="10"/>
        <v>735840</v>
      </c>
      <c r="L70" s="17">
        <f t="shared" si="10"/>
        <v>735840</v>
      </c>
      <c r="M70" s="17">
        <f t="shared" si="10"/>
        <v>723065.18458982557</v>
      </c>
      <c r="N70" s="17">
        <f t="shared" si="10"/>
        <v>652992.1487827372</v>
      </c>
      <c r="O70" s="17">
        <f t="shared" si="10"/>
        <v>591821.8129681783</v>
      </c>
      <c r="P70" s="17">
        <f t="shared" si="10"/>
        <v>538220.71127434925</v>
      </c>
      <c r="Q70" s="17">
        <f t="shared" si="10"/>
        <v>491070.48249513615</v>
      </c>
      <c r="R70" s="17">
        <f t="shared" si="10"/>
        <v>449432.15567010664</v>
      </c>
      <c r="S70" s="17">
        <f t="shared" si="10"/>
        <v>412516.42902091355</v>
      </c>
      <c r="T70" s="17">
        <f t="shared" si="10"/>
        <v>379658.93251550442</v>
      </c>
    </row>
    <row r="71" spans="2:256">
      <c r="C71" s="9" t="str">
        <f>A46</f>
        <v>Admin costs and insurances per year</v>
      </c>
      <c r="D71" s="36">
        <f>C46</f>
        <v>40000</v>
      </c>
      <c r="E71" s="9"/>
      <c r="F71" s="17">
        <f>$D$71</f>
        <v>40000</v>
      </c>
      <c r="G71" s="17">
        <f>$D$71</f>
        <v>40000</v>
      </c>
      <c r="H71" s="17">
        <f t="shared" ref="H71:T71" si="11">$D$71</f>
        <v>40000</v>
      </c>
      <c r="I71" s="17">
        <f t="shared" si="11"/>
        <v>40000</v>
      </c>
      <c r="J71" s="17">
        <f t="shared" si="11"/>
        <v>40000</v>
      </c>
      <c r="K71" s="17">
        <f t="shared" si="11"/>
        <v>40000</v>
      </c>
      <c r="L71" s="17">
        <f t="shared" si="11"/>
        <v>40000</v>
      </c>
      <c r="M71" s="17">
        <f t="shared" si="11"/>
        <v>40000</v>
      </c>
      <c r="N71" s="17">
        <f t="shared" si="11"/>
        <v>40000</v>
      </c>
      <c r="O71" s="17">
        <f t="shared" si="11"/>
        <v>40000</v>
      </c>
      <c r="P71" s="17">
        <f t="shared" si="11"/>
        <v>40000</v>
      </c>
      <c r="Q71" s="17">
        <f t="shared" si="11"/>
        <v>40000</v>
      </c>
      <c r="R71" s="17">
        <f t="shared" si="11"/>
        <v>40000</v>
      </c>
      <c r="S71" s="17">
        <f t="shared" si="11"/>
        <v>40000</v>
      </c>
      <c r="T71" s="17">
        <f t="shared" si="11"/>
        <v>40000</v>
      </c>
    </row>
    <row r="72" spans="2:256">
      <c r="C72" s="9"/>
      <c r="E72" s="9"/>
    </row>
    <row r="73" spans="2:256">
      <c r="C73" s="9" t="s">
        <v>28</v>
      </c>
      <c r="D73" s="10">
        <v>0.25</v>
      </c>
      <c r="F73" s="16">
        <f t="shared" ref="F73:T73" si="12">IF((F68-SUM(F70:F71)-$D$21)&gt;0,(F68-SUM(F70:F71)-$D$21)*$D$73,0)</f>
        <v>0</v>
      </c>
      <c r="G73" s="16">
        <f t="shared" si="12"/>
        <v>0</v>
      </c>
      <c r="H73" s="16">
        <f t="shared" si="12"/>
        <v>0</v>
      </c>
      <c r="I73" s="16">
        <f t="shared" si="12"/>
        <v>0</v>
      </c>
      <c r="J73" s="16">
        <f t="shared" si="12"/>
        <v>0</v>
      </c>
      <c r="K73" s="16">
        <f t="shared" si="12"/>
        <v>0</v>
      </c>
      <c r="L73" s="16">
        <f t="shared" si="12"/>
        <v>0</v>
      </c>
      <c r="M73" s="16">
        <f t="shared" si="12"/>
        <v>0</v>
      </c>
      <c r="N73" s="16">
        <f t="shared" si="12"/>
        <v>0</v>
      </c>
      <c r="O73" s="16">
        <f t="shared" si="12"/>
        <v>0</v>
      </c>
      <c r="P73" s="16">
        <f t="shared" si="12"/>
        <v>0</v>
      </c>
      <c r="Q73" s="16">
        <f t="shared" si="12"/>
        <v>0</v>
      </c>
      <c r="R73" s="16">
        <f t="shared" si="12"/>
        <v>0</v>
      </c>
      <c r="S73" s="16">
        <f t="shared" si="12"/>
        <v>0</v>
      </c>
      <c r="T73" s="16">
        <f t="shared" si="12"/>
        <v>0</v>
      </c>
    </row>
    <row r="75" spans="2:256">
      <c r="C75" s="2" t="s">
        <v>24</v>
      </c>
      <c r="F75" s="15">
        <f t="shared" ref="F75:T75" si="13">F68-SUM(F70:F73)</f>
        <v>707112.51064530062</v>
      </c>
      <c r="G75" s="15">
        <f t="shared" si="13"/>
        <v>707112.51064530062</v>
      </c>
      <c r="H75" s="15">
        <f t="shared" si="13"/>
        <v>707112.51064530062</v>
      </c>
      <c r="I75" s="15">
        <f t="shared" si="13"/>
        <v>707112.51064530062</v>
      </c>
      <c r="J75" s="15">
        <f t="shared" si="13"/>
        <v>707112.51064530062</v>
      </c>
      <c r="K75" s="15">
        <f t="shared" si="13"/>
        <v>707112.51064530062</v>
      </c>
      <c r="L75" s="15">
        <f t="shared" si="13"/>
        <v>707112.51064530062</v>
      </c>
      <c r="M75" s="15">
        <f t="shared" si="13"/>
        <v>694141.9947530881</v>
      </c>
      <c r="N75" s="15">
        <f t="shared" si="13"/>
        <v>622995.49318974314</v>
      </c>
      <c r="O75" s="15">
        <f t="shared" si="13"/>
        <v>560888.07422987244</v>
      </c>
      <c r="P75" s="15">
        <f t="shared" si="13"/>
        <v>506465.84431599069</v>
      </c>
      <c r="Q75" s="15">
        <f t="shared" si="13"/>
        <v>458593.30979661399</v>
      </c>
      <c r="R75" s="15">
        <f t="shared" si="13"/>
        <v>416317.11538843089</v>
      </c>
      <c r="S75" s="15">
        <f t="shared" si="13"/>
        <v>378835.86780855723</v>
      </c>
      <c r="T75" s="15">
        <f t="shared" si="13"/>
        <v>345475.01937999204</v>
      </c>
    </row>
    <row r="76" spans="2:256" ht="12" thickBot="1"/>
    <row r="77" spans="2:256" ht="12" thickBot="1">
      <c r="C77" s="9" t="s">
        <v>40</v>
      </c>
      <c r="E77" s="38">
        <f>-E16</f>
        <v>-7283237</v>
      </c>
    </row>
    <row r="78" spans="2:256">
      <c r="C78" s="9" t="s">
        <v>25</v>
      </c>
      <c r="F78" s="25">
        <f>F75</f>
        <v>707112.51064530062</v>
      </c>
      <c r="G78" s="25">
        <f>G75</f>
        <v>707112.51064530062</v>
      </c>
      <c r="H78" s="25">
        <f>H75</f>
        <v>707112.51064530062</v>
      </c>
      <c r="I78" s="25">
        <f>I75</f>
        <v>707112.51064530062</v>
      </c>
      <c r="J78" s="25">
        <f t="shared" ref="J78:T78" si="14">J75</f>
        <v>707112.51064530062</v>
      </c>
      <c r="K78" s="25">
        <f t="shared" si="14"/>
        <v>707112.51064530062</v>
      </c>
      <c r="L78" s="25">
        <f t="shared" si="14"/>
        <v>707112.51064530062</v>
      </c>
      <c r="M78" s="25">
        <f t="shared" si="14"/>
        <v>694141.9947530881</v>
      </c>
      <c r="N78" s="25">
        <f t="shared" si="14"/>
        <v>622995.49318974314</v>
      </c>
      <c r="O78" s="25">
        <f t="shared" si="14"/>
        <v>560888.07422987244</v>
      </c>
      <c r="P78" s="25">
        <f t="shared" si="14"/>
        <v>506465.84431599069</v>
      </c>
      <c r="Q78" s="25">
        <f t="shared" si="14"/>
        <v>458593.30979661399</v>
      </c>
      <c r="R78" s="25">
        <f t="shared" si="14"/>
        <v>416317.11538843089</v>
      </c>
      <c r="S78" s="25">
        <f t="shared" si="14"/>
        <v>378835.86780855723</v>
      </c>
      <c r="T78" s="25">
        <f t="shared" si="14"/>
        <v>345475.01937999204</v>
      </c>
    </row>
    <row r="79" spans="2:256" ht="12" thickBot="1">
      <c r="C79" s="9" t="s">
        <v>41</v>
      </c>
      <c r="E79" s="1"/>
      <c r="F79" s="1"/>
      <c r="G79" s="1"/>
      <c r="H79" s="1"/>
      <c r="I79" s="1"/>
      <c r="J79" s="1"/>
      <c r="K79" s="1"/>
      <c r="L79" s="1"/>
      <c r="M79" s="1"/>
      <c r="N79" s="1"/>
      <c r="O79" s="1"/>
      <c r="P79" s="1"/>
      <c r="Q79" s="1"/>
      <c r="R79" s="1"/>
      <c r="S79" s="1"/>
      <c r="T79" s="26">
        <f>E18</f>
        <v>900000</v>
      </c>
    </row>
    <row r="80" spans="2:256" ht="6.75" customHeight="1" thickTop="1"/>
    <row r="81" spans="1:20">
      <c r="C81" s="2" t="s">
        <v>25</v>
      </c>
      <c r="E81" s="15">
        <f>SUM(E77:E79)</f>
        <v>-7283237</v>
      </c>
      <c r="F81" s="15">
        <f>SUM(F77:F79)</f>
        <v>707112.51064530062</v>
      </c>
      <c r="G81" s="15">
        <f t="shared" ref="G81:T81" si="15">SUM(G77:G79)</f>
        <v>707112.51064530062</v>
      </c>
      <c r="H81" s="15">
        <f t="shared" si="15"/>
        <v>707112.51064530062</v>
      </c>
      <c r="I81" s="15">
        <f t="shared" si="15"/>
        <v>707112.51064530062</v>
      </c>
      <c r="J81" s="15">
        <f t="shared" si="15"/>
        <v>707112.51064530062</v>
      </c>
      <c r="K81" s="15">
        <f t="shared" si="15"/>
        <v>707112.51064530062</v>
      </c>
      <c r="L81" s="15">
        <f t="shared" si="15"/>
        <v>707112.51064530062</v>
      </c>
      <c r="M81" s="15">
        <f t="shared" si="15"/>
        <v>694141.9947530881</v>
      </c>
      <c r="N81" s="15">
        <f t="shared" si="15"/>
        <v>622995.49318974314</v>
      </c>
      <c r="O81" s="15">
        <f t="shared" si="15"/>
        <v>560888.07422987244</v>
      </c>
      <c r="P81" s="15">
        <f t="shared" si="15"/>
        <v>506465.84431599069</v>
      </c>
      <c r="Q81" s="15">
        <f t="shared" si="15"/>
        <v>458593.30979661399</v>
      </c>
      <c r="R81" s="15">
        <f t="shared" si="15"/>
        <v>416317.11538843089</v>
      </c>
      <c r="S81" s="15">
        <f t="shared" si="15"/>
        <v>378835.86780855723</v>
      </c>
      <c r="T81" s="15">
        <f t="shared" si="15"/>
        <v>1245475.019379992</v>
      </c>
    </row>
    <row r="83" spans="1:20" ht="12" thickBot="1">
      <c r="B83" s="1" t="s">
        <v>35</v>
      </c>
      <c r="C83" s="1"/>
    </row>
    <row r="84" spans="1:20" ht="12.75" thickTop="1">
      <c r="C84" s="2" t="s">
        <v>33</v>
      </c>
      <c r="D84" s="27">
        <f>IRR(E81:T81)</f>
        <v>4.122162427003194E-2</v>
      </c>
    </row>
    <row r="85" spans="1:20">
      <c r="C85" s="2" t="s">
        <v>26</v>
      </c>
    </row>
    <row r="88" spans="1:20">
      <c r="C88" s="18"/>
    </row>
    <row r="92" spans="1:20">
      <c r="A92" s="86"/>
      <c r="B92" s="86"/>
      <c r="C92" s="86"/>
      <c r="D92" s="86"/>
      <c r="E92" s="86"/>
      <c r="F92" s="86"/>
      <c r="G92" s="86"/>
      <c r="H92" s="86"/>
      <c r="I92" s="86"/>
      <c r="J92" s="86"/>
      <c r="K92" s="86"/>
    </row>
    <row r="93" spans="1:20">
      <c r="A93" s="86"/>
      <c r="B93" s="86"/>
      <c r="C93" s="86"/>
      <c r="D93" s="86"/>
      <c r="E93" s="86"/>
      <c r="F93" s="86"/>
      <c r="G93" s="86"/>
      <c r="H93" s="86"/>
      <c r="I93" s="86"/>
      <c r="J93" s="86"/>
      <c r="K93" s="86"/>
    </row>
    <row r="94" spans="1:20">
      <c r="A94" s="86"/>
      <c r="B94" s="86"/>
      <c r="C94" s="86"/>
      <c r="D94" s="86"/>
      <c r="E94" s="86"/>
      <c r="F94" s="86"/>
      <c r="G94" s="86"/>
      <c r="H94" s="86"/>
      <c r="I94" s="86"/>
      <c r="J94" s="86"/>
      <c r="K94" s="86"/>
    </row>
    <row r="95" spans="1:20">
      <c r="A95" s="86"/>
      <c r="B95" s="86"/>
      <c r="C95" s="86"/>
      <c r="D95" s="86"/>
      <c r="E95" s="86"/>
      <c r="F95" s="86"/>
      <c r="G95" s="86"/>
      <c r="H95" s="86"/>
      <c r="I95" s="86"/>
      <c r="J95" s="86"/>
      <c r="K95" s="86"/>
    </row>
    <row r="96" spans="1:20">
      <c r="A96" s="86"/>
      <c r="B96" s="86"/>
      <c r="C96" s="86"/>
      <c r="D96" s="86"/>
      <c r="E96" s="86"/>
      <c r="F96" s="86"/>
      <c r="G96" s="86"/>
      <c r="H96" s="86"/>
      <c r="I96" s="86"/>
      <c r="J96" s="86"/>
      <c r="K96" s="86"/>
    </row>
    <row r="97" spans="1:11">
      <c r="A97" s="86"/>
      <c r="B97" s="86"/>
      <c r="C97" s="86"/>
      <c r="D97" s="86"/>
      <c r="E97" s="86"/>
      <c r="F97" s="86"/>
      <c r="G97" s="86"/>
      <c r="H97" s="86"/>
      <c r="I97" s="86"/>
      <c r="J97" s="86"/>
      <c r="K97" s="86"/>
    </row>
    <row r="98" spans="1:11">
      <c r="A98" s="86"/>
      <c r="B98" s="86"/>
      <c r="C98" s="86"/>
      <c r="D98" s="86"/>
      <c r="E98" s="86"/>
      <c r="F98" s="86"/>
      <c r="G98" s="86"/>
      <c r="H98" s="86"/>
      <c r="I98" s="86"/>
      <c r="J98" s="86"/>
      <c r="K98" s="86"/>
    </row>
    <row r="99" spans="1:11">
      <c r="A99" s="86"/>
      <c r="B99" s="86"/>
      <c r="C99" s="86"/>
      <c r="D99" s="86"/>
      <c r="E99" s="86"/>
      <c r="F99" s="86"/>
      <c r="G99" s="86"/>
      <c r="H99" s="86"/>
      <c r="I99" s="86"/>
      <c r="J99" s="86"/>
      <c r="K99" s="86"/>
    </row>
    <row r="100" spans="1:11">
      <c r="A100" s="86"/>
      <c r="B100" s="86"/>
      <c r="C100" s="86"/>
      <c r="D100" s="86"/>
      <c r="E100" s="86"/>
      <c r="F100" s="86"/>
      <c r="G100" s="86"/>
      <c r="H100" s="86"/>
      <c r="I100" s="86"/>
      <c r="J100" s="86"/>
      <c r="K100" s="86"/>
    </row>
    <row r="101" spans="1:11">
      <c r="A101" s="86"/>
      <c r="B101" s="86"/>
      <c r="C101" s="86"/>
      <c r="D101" s="86"/>
      <c r="E101" s="86"/>
      <c r="F101" s="86"/>
      <c r="G101" s="86"/>
      <c r="H101" s="86"/>
      <c r="I101" s="86"/>
      <c r="J101" s="86"/>
      <c r="K101" s="86"/>
    </row>
    <row r="102" spans="1:11">
      <c r="A102" s="86"/>
      <c r="B102" s="86"/>
      <c r="C102" s="86"/>
      <c r="D102" s="86"/>
      <c r="E102" s="86"/>
      <c r="F102" s="86"/>
      <c r="G102" s="86"/>
      <c r="H102" s="86"/>
      <c r="I102" s="86"/>
      <c r="J102" s="86"/>
      <c r="K102" s="86"/>
    </row>
    <row r="103" spans="1:11">
      <c r="A103" s="86"/>
      <c r="B103" s="86"/>
      <c r="C103" s="86"/>
      <c r="D103" s="86"/>
      <c r="E103" s="86"/>
      <c r="F103" s="86"/>
      <c r="G103" s="86"/>
      <c r="H103" s="86"/>
      <c r="I103" s="86"/>
      <c r="J103" s="86"/>
      <c r="K103" s="86"/>
    </row>
    <row r="104" spans="1:11">
      <c r="A104" s="86"/>
      <c r="B104" s="86"/>
      <c r="C104" s="86"/>
      <c r="D104" s="86"/>
      <c r="E104" s="86"/>
      <c r="F104" s="86"/>
      <c r="G104" s="86"/>
      <c r="H104" s="86"/>
      <c r="I104" s="86"/>
      <c r="J104" s="86"/>
      <c r="K104" s="86"/>
    </row>
    <row r="105" spans="1:11">
      <c r="A105" s="86"/>
      <c r="B105" s="86"/>
      <c r="C105" s="86"/>
      <c r="D105" s="86"/>
      <c r="E105" s="86"/>
      <c r="F105" s="86"/>
      <c r="G105" s="86"/>
      <c r="H105" s="86"/>
      <c r="I105" s="86"/>
      <c r="J105" s="86"/>
      <c r="K105" s="86"/>
    </row>
    <row r="106" spans="1:11">
      <c r="A106" s="86"/>
      <c r="B106" s="86"/>
      <c r="C106" s="86"/>
      <c r="D106" s="86"/>
      <c r="E106" s="86"/>
      <c r="F106" s="86"/>
      <c r="G106" s="86"/>
      <c r="H106" s="86"/>
      <c r="I106" s="86"/>
      <c r="J106" s="86"/>
      <c r="K106" s="86"/>
    </row>
    <row r="107" spans="1:11">
      <c r="A107" s="86"/>
      <c r="B107" s="86"/>
      <c r="C107" s="86"/>
      <c r="D107" s="86"/>
      <c r="E107" s="86"/>
      <c r="F107" s="86"/>
      <c r="G107" s="86"/>
      <c r="H107" s="86"/>
      <c r="I107" s="86"/>
      <c r="J107" s="86"/>
      <c r="K107" s="86"/>
    </row>
    <row r="108" spans="1:11">
      <c r="A108" s="86"/>
      <c r="B108" s="86"/>
      <c r="C108" s="86"/>
      <c r="D108" s="86"/>
      <c r="E108" s="86"/>
      <c r="F108" s="86"/>
      <c r="G108" s="86"/>
      <c r="H108" s="86"/>
      <c r="I108" s="86"/>
      <c r="J108" s="86"/>
      <c r="K108" s="86"/>
    </row>
    <row r="109" spans="1:11">
      <c r="A109" s="86"/>
      <c r="B109" s="86"/>
      <c r="C109" s="86"/>
      <c r="D109" s="86"/>
      <c r="E109" s="86"/>
      <c r="F109" s="86"/>
      <c r="G109" s="86"/>
      <c r="H109" s="86"/>
      <c r="I109" s="86"/>
      <c r="J109" s="86"/>
      <c r="K109" s="86"/>
    </row>
    <row r="110" spans="1:11">
      <c r="A110" s="86"/>
      <c r="B110" s="86"/>
      <c r="C110" s="86"/>
      <c r="D110" s="86"/>
      <c r="E110" s="86"/>
      <c r="F110" s="86"/>
      <c r="G110" s="86"/>
      <c r="H110" s="86"/>
      <c r="I110" s="86"/>
      <c r="J110" s="86"/>
      <c r="K110" s="86"/>
    </row>
    <row r="111" spans="1:11">
      <c r="A111" s="86"/>
      <c r="B111" s="86"/>
      <c r="C111" s="86"/>
      <c r="D111" s="86"/>
      <c r="E111" s="86"/>
      <c r="F111" s="86"/>
      <c r="G111" s="86"/>
      <c r="H111" s="86"/>
      <c r="I111" s="86"/>
      <c r="J111" s="86"/>
      <c r="K111" s="86"/>
    </row>
    <row r="112" spans="1:11">
      <c r="A112" s="86"/>
      <c r="B112" s="86"/>
      <c r="C112" s="86"/>
      <c r="D112" s="86"/>
      <c r="E112" s="86"/>
      <c r="F112" s="86"/>
      <c r="G112" s="86"/>
      <c r="H112" s="86"/>
      <c r="I112" s="86"/>
      <c r="J112" s="86"/>
      <c r="K112" s="86"/>
    </row>
    <row r="113" spans="1:11">
      <c r="A113" s="86"/>
      <c r="B113" s="86"/>
      <c r="C113" s="86"/>
      <c r="D113" s="86"/>
      <c r="E113" s="86"/>
      <c r="F113" s="86"/>
      <c r="G113" s="86"/>
      <c r="H113" s="86"/>
      <c r="I113" s="86"/>
      <c r="J113" s="86"/>
      <c r="K113" s="86"/>
    </row>
    <row r="114" spans="1:11">
      <c r="A114" s="86"/>
      <c r="B114" s="86"/>
      <c r="C114" s="86"/>
      <c r="D114" s="86"/>
      <c r="E114" s="86"/>
      <c r="F114" s="86"/>
      <c r="G114" s="86"/>
      <c r="H114" s="86"/>
      <c r="I114" s="86"/>
      <c r="J114" s="86"/>
      <c r="K114" s="86"/>
    </row>
    <row r="115" spans="1:11">
      <c r="A115" s="86"/>
      <c r="B115" s="86"/>
      <c r="C115" s="86"/>
      <c r="D115" s="86"/>
      <c r="E115" s="86"/>
      <c r="F115" s="86"/>
      <c r="G115" s="86"/>
      <c r="H115" s="86"/>
      <c r="I115" s="86"/>
      <c r="J115" s="86"/>
      <c r="K115" s="86"/>
    </row>
    <row r="116" spans="1:11">
      <c r="A116" s="86"/>
      <c r="B116" s="86"/>
      <c r="C116" s="86"/>
      <c r="D116" s="86"/>
      <c r="E116" s="86"/>
      <c r="F116" s="86"/>
      <c r="G116" s="86"/>
      <c r="H116" s="86"/>
      <c r="I116" s="86"/>
      <c r="J116" s="86"/>
      <c r="K116" s="86"/>
    </row>
    <row r="117" spans="1:11">
      <c r="A117" s="86"/>
      <c r="B117" s="86"/>
      <c r="C117" s="86"/>
      <c r="D117" s="86"/>
      <c r="E117" s="86"/>
      <c r="F117" s="86"/>
      <c r="G117" s="86"/>
      <c r="H117" s="86"/>
      <c r="I117" s="86"/>
      <c r="J117" s="86"/>
      <c r="K117" s="86"/>
    </row>
    <row r="118" spans="1:11">
      <c r="A118" s="86"/>
      <c r="B118" s="86"/>
      <c r="C118" s="86"/>
      <c r="D118" s="86"/>
      <c r="E118" s="86"/>
      <c r="F118" s="86"/>
      <c r="G118" s="86"/>
      <c r="H118" s="86"/>
      <c r="I118" s="86"/>
      <c r="J118" s="86"/>
      <c r="K118" s="86"/>
    </row>
    <row r="119" spans="1:11">
      <c r="A119" s="86"/>
      <c r="B119" s="86"/>
      <c r="C119" s="86"/>
      <c r="D119" s="86"/>
      <c r="E119" s="86"/>
      <c r="F119" s="86"/>
      <c r="G119" s="86"/>
      <c r="H119" s="86"/>
      <c r="I119" s="86"/>
      <c r="J119" s="86"/>
      <c r="K119" s="86"/>
    </row>
    <row r="120" spans="1:11">
      <c r="A120" s="86"/>
      <c r="B120" s="86"/>
      <c r="C120" s="86"/>
      <c r="D120" s="86"/>
      <c r="E120" s="86"/>
      <c r="F120" s="86"/>
      <c r="G120" s="86"/>
      <c r="H120" s="86"/>
      <c r="I120" s="86"/>
      <c r="J120" s="86"/>
      <c r="K120" s="86"/>
    </row>
    <row r="121" spans="1:11">
      <c r="A121" s="86"/>
      <c r="B121" s="86"/>
      <c r="C121" s="86"/>
      <c r="D121" s="86"/>
      <c r="E121" s="86"/>
      <c r="F121" s="86"/>
      <c r="G121" s="86"/>
      <c r="H121" s="86"/>
      <c r="I121" s="86"/>
      <c r="J121" s="86"/>
      <c r="K121" s="86"/>
    </row>
    <row r="122" spans="1:11">
      <c r="A122" s="86"/>
      <c r="B122" s="86"/>
      <c r="C122" s="86"/>
      <c r="D122" s="86"/>
      <c r="E122" s="86"/>
      <c r="F122" s="86"/>
      <c r="G122" s="86"/>
      <c r="H122" s="86"/>
      <c r="I122" s="86"/>
      <c r="J122" s="86"/>
      <c r="K122" s="86"/>
    </row>
    <row r="123" spans="1:11">
      <c r="A123" s="86"/>
      <c r="B123" s="86"/>
      <c r="C123" s="86"/>
      <c r="D123" s="86"/>
      <c r="E123" s="86"/>
      <c r="F123" s="86"/>
      <c r="G123" s="86"/>
      <c r="H123" s="86"/>
      <c r="I123" s="86"/>
      <c r="J123" s="86"/>
      <c r="K123" s="86"/>
    </row>
    <row r="124" spans="1:11">
      <c r="A124" s="86"/>
      <c r="B124" s="86"/>
      <c r="C124" s="86"/>
      <c r="D124" s="86"/>
      <c r="E124" s="86"/>
      <c r="F124" s="86"/>
      <c r="G124" s="86"/>
      <c r="H124" s="86"/>
      <c r="I124" s="86"/>
      <c r="J124" s="86"/>
      <c r="K124" s="86"/>
    </row>
    <row r="125" spans="1:11">
      <c r="A125" s="86"/>
      <c r="B125" s="86"/>
      <c r="C125" s="86"/>
      <c r="D125" s="86"/>
      <c r="E125" s="86"/>
      <c r="F125" s="86"/>
      <c r="G125" s="86"/>
      <c r="H125" s="86"/>
      <c r="I125" s="86"/>
      <c r="J125" s="86"/>
      <c r="K125" s="86"/>
    </row>
    <row r="126" spans="1:11">
      <c r="A126" s="86"/>
      <c r="B126" s="86"/>
      <c r="C126" s="86"/>
      <c r="D126" s="86"/>
      <c r="E126" s="86"/>
      <c r="F126" s="86"/>
      <c r="G126" s="86"/>
      <c r="H126" s="86"/>
      <c r="I126" s="86"/>
      <c r="J126" s="86"/>
      <c r="K126" s="86"/>
    </row>
    <row r="127" spans="1:11">
      <c r="A127" s="86"/>
      <c r="B127" s="86"/>
      <c r="C127" s="86"/>
      <c r="D127" s="86"/>
      <c r="E127" s="86"/>
      <c r="F127" s="86"/>
      <c r="G127" s="86"/>
      <c r="H127" s="86"/>
      <c r="I127" s="86"/>
      <c r="J127" s="86"/>
      <c r="K127" s="86"/>
    </row>
    <row r="128" spans="1:11">
      <c r="A128" s="86"/>
      <c r="B128" s="86"/>
      <c r="C128" s="86"/>
      <c r="D128" s="86"/>
      <c r="E128" s="86"/>
      <c r="F128" s="86"/>
      <c r="G128" s="86"/>
      <c r="H128" s="86"/>
      <c r="I128" s="86"/>
      <c r="J128" s="86"/>
      <c r="K128" s="86"/>
    </row>
    <row r="129" spans="1:11">
      <c r="A129" s="86"/>
      <c r="B129" s="86"/>
      <c r="C129" s="86"/>
      <c r="D129" s="86"/>
      <c r="E129" s="86"/>
      <c r="F129" s="86"/>
      <c r="G129" s="86"/>
      <c r="H129" s="86"/>
      <c r="I129" s="86"/>
      <c r="J129" s="86"/>
      <c r="K129" s="86"/>
    </row>
    <row r="130" spans="1:11">
      <c r="A130" s="86"/>
      <c r="B130" s="86"/>
      <c r="C130" s="86"/>
      <c r="D130" s="86"/>
      <c r="E130" s="86"/>
      <c r="F130" s="86"/>
      <c r="G130" s="86"/>
      <c r="H130" s="86"/>
      <c r="I130" s="86"/>
      <c r="J130" s="86"/>
      <c r="K130" s="86"/>
    </row>
    <row r="131" spans="1:11">
      <c r="A131" s="86"/>
      <c r="B131" s="86"/>
      <c r="C131" s="86"/>
      <c r="D131" s="86"/>
      <c r="E131" s="86"/>
      <c r="F131" s="86"/>
      <c r="G131" s="86"/>
      <c r="H131" s="86"/>
      <c r="I131" s="86"/>
      <c r="J131" s="86"/>
      <c r="K131" s="86"/>
    </row>
    <row r="132" spans="1:11">
      <c r="A132" s="86"/>
      <c r="B132" s="86"/>
      <c r="C132" s="86"/>
      <c r="D132" s="86"/>
      <c r="E132" s="86"/>
      <c r="F132" s="86"/>
      <c r="G132" s="86"/>
      <c r="H132" s="86"/>
      <c r="I132" s="86"/>
      <c r="J132" s="86"/>
      <c r="K132" s="86"/>
    </row>
    <row r="133" spans="1:11">
      <c r="A133" s="86"/>
      <c r="B133" s="86"/>
      <c r="C133" s="86"/>
      <c r="D133" s="86"/>
      <c r="E133" s="86"/>
      <c r="F133" s="86"/>
      <c r="G133" s="86"/>
      <c r="H133" s="86"/>
      <c r="I133" s="86"/>
      <c r="J133" s="86"/>
      <c r="K133" s="86"/>
    </row>
    <row r="134" spans="1:11">
      <c r="A134" s="86"/>
      <c r="B134" s="86"/>
      <c r="C134" s="86"/>
      <c r="D134" s="86"/>
      <c r="E134" s="86"/>
      <c r="F134" s="86"/>
      <c r="G134" s="86"/>
      <c r="H134" s="86"/>
      <c r="I134" s="86"/>
      <c r="J134" s="86"/>
      <c r="K134" s="86"/>
    </row>
    <row r="135" spans="1:11">
      <c r="A135" s="86"/>
      <c r="B135" s="86"/>
      <c r="C135" s="86"/>
      <c r="D135" s="86"/>
      <c r="E135" s="86"/>
      <c r="F135" s="86"/>
      <c r="G135" s="86"/>
      <c r="H135" s="86"/>
      <c r="I135" s="86"/>
      <c r="J135" s="86"/>
      <c r="K135" s="86"/>
    </row>
    <row r="136" spans="1:11">
      <c r="A136" s="86"/>
      <c r="B136" s="86"/>
      <c r="C136" s="86"/>
      <c r="D136" s="86"/>
      <c r="E136" s="86"/>
      <c r="F136" s="86"/>
      <c r="G136" s="86"/>
      <c r="H136" s="86"/>
      <c r="I136" s="86"/>
      <c r="J136" s="86"/>
      <c r="K136" s="86"/>
    </row>
    <row r="137" spans="1:11">
      <c r="A137" s="86"/>
      <c r="B137" s="86"/>
      <c r="C137" s="86"/>
      <c r="D137" s="86"/>
      <c r="E137" s="86"/>
      <c r="F137" s="86"/>
      <c r="G137" s="86"/>
      <c r="H137" s="86"/>
      <c r="I137" s="86"/>
      <c r="J137" s="86"/>
      <c r="K137" s="86"/>
    </row>
    <row r="138" spans="1:11">
      <c r="A138" s="86"/>
      <c r="B138" s="86"/>
      <c r="C138" s="86"/>
      <c r="D138" s="86"/>
      <c r="E138" s="86"/>
      <c r="F138" s="86"/>
      <c r="G138" s="86"/>
      <c r="H138" s="86"/>
      <c r="I138" s="86"/>
      <c r="J138" s="86"/>
      <c r="K138" s="86"/>
    </row>
    <row r="139" spans="1:11">
      <c r="A139" s="86"/>
      <c r="B139" s="86"/>
      <c r="C139" s="86"/>
      <c r="D139" s="86"/>
      <c r="E139" s="86"/>
      <c r="F139" s="86"/>
      <c r="G139" s="86"/>
      <c r="H139" s="86"/>
      <c r="I139" s="86"/>
      <c r="J139" s="86"/>
      <c r="K139" s="86"/>
    </row>
    <row r="140" spans="1:11">
      <c r="A140" s="86"/>
      <c r="B140" s="86"/>
      <c r="C140" s="86"/>
      <c r="D140" s="86"/>
      <c r="E140" s="86"/>
      <c r="F140" s="86"/>
      <c r="G140" s="86"/>
      <c r="H140" s="86"/>
      <c r="I140" s="86"/>
      <c r="J140" s="86"/>
      <c r="K140" s="86"/>
    </row>
    <row r="141" spans="1:11">
      <c r="A141" s="86"/>
      <c r="B141" s="86"/>
      <c r="C141" s="86"/>
      <c r="D141" s="86"/>
      <c r="E141" s="86"/>
      <c r="F141" s="86"/>
      <c r="G141" s="86"/>
      <c r="H141" s="86"/>
      <c r="I141" s="86"/>
      <c r="J141" s="86"/>
      <c r="K141" s="86"/>
    </row>
    <row r="142" spans="1:11">
      <c r="A142" s="86"/>
      <c r="B142" s="86"/>
      <c r="C142" s="86"/>
      <c r="D142" s="86"/>
      <c r="E142" s="86"/>
      <c r="F142" s="86"/>
      <c r="G142" s="86"/>
      <c r="H142" s="86"/>
      <c r="I142" s="86"/>
      <c r="J142" s="86"/>
      <c r="K142" s="86"/>
    </row>
    <row r="143" spans="1:11">
      <c r="A143" s="86"/>
      <c r="B143" s="86"/>
      <c r="C143" s="86"/>
      <c r="D143" s="86"/>
      <c r="E143" s="86"/>
      <c r="F143" s="86"/>
      <c r="G143" s="86"/>
      <c r="H143" s="86"/>
      <c r="I143" s="86"/>
      <c r="J143" s="86"/>
      <c r="K143" s="86"/>
    </row>
    <row r="144" spans="1:11">
      <c r="A144" s="86"/>
      <c r="B144" s="86"/>
      <c r="C144" s="86"/>
      <c r="D144" s="86"/>
      <c r="E144" s="86"/>
      <c r="F144" s="86"/>
      <c r="G144" s="86"/>
      <c r="H144" s="86"/>
      <c r="I144" s="86"/>
      <c r="J144" s="86"/>
      <c r="K144" s="86"/>
    </row>
    <row r="145" spans="1:11">
      <c r="A145" s="86"/>
      <c r="B145" s="86"/>
      <c r="C145" s="86"/>
      <c r="D145" s="86"/>
      <c r="E145" s="86"/>
      <c r="F145" s="86"/>
      <c r="G145" s="86"/>
      <c r="H145" s="86"/>
      <c r="I145" s="86"/>
      <c r="J145" s="86"/>
      <c r="K145" s="86"/>
    </row>
    <row r="146" spans="1:11">
      <c r="A146" s="86"/>
      <c r="B146" s="86"/>
      <c r="C146" s="86"/>
      <c r="D146" s="86"/>
      <c r="E146" s="86"/>
      <c r="F146" s="86"/>
      <c r="G146" s="86"/>
      <c r="H146" s="86"/>
      <c r="I146" s="86"/>
      <c r="J146" s="86"/>
      <c r="K146" s="86"/>
    </row>
  </sheetData>
  <sheetProtection password="E4EA" sheet="1" objects="1" scenarios="1"/>
  <phoneticPr fontId="13"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dimension ref="A2:IV106"/>
  <sheetViews>
    <sheetView workbookViewId="0">
      <selection activeCell="A2" sqref="A2"/>
    </sheetView>
  </sheetViews>
  <sheetFormatPr baseColWidth="10" defaultColWidth="9.140625" defaultRowHeight="11.25"/>
  <cols>
    <col min="1" max="1" width="29.140625" style="2" customWidth="1"/>
    <col min="2" max="2" width="9.140625" style="2"/>
    <col min="3" max="3" width="11.7109375" style="2" bestFit="1" customWidth="1"/>
    <col min="4" max="4" width="15.7109375" style="2" customWidth="1"/>
    <col min="5" max="5" width="13" style="2" customWidth="1"/>
    <col min="6" max="6" width="11.5703125" style="2" bestFit="1" customWidth="1"/>
    <col min="7" max="7" width="11.85546875" style="2" bestFit="1" customWidth="1"/>
    <col min="8" max="8" width="10.5703125" style="2" bestFit="1" customWidth="1"/>
    <col min="9" max="9" width="11.85546875" style="2" bestFit="1" customWidth="1"/>
    <col min="10" max="11" width="10.5703125" style="2" bestFit="1" customWidth="1"/>
    <col min="12" max="12" width="12.42578125" style="2" bestFit="1" customWidth="1"/>
    <col min="13" max="15" width="10.5703125" style="2" bestFit="1" customWidth="1"/>
    <col min="16" max="16" width="10" style="2" bestFit="1" customWidth="1"/>
    <col min="17" max="19" width="10.85546875" style="2" customWidth="1"/>
    <col min="20" max="20" width="9.85546875" style="2" bestFit="1" customWidth="1"/>
    <col min="21" max="16384" width="9.140625" style="2"/>
  </cols>
  <sheetData>
    <row r="2" spans="1:6" ht="15">
      <c r="A2" s="73" t="s">
        <v>83</v>
      </c>
    </row>
    <row r="4" spans="1:6" ht="12" thickBot="1">
      <c r="A4" s="1" t="s">
        <v>0</v>
      </c>
    </row>
    <row r="5" spans="1:6" ht="12" thickTop="1"/>
    <row r="6" spans="1:6">
      <c r="A6" s="2" t="s">
        <v>1</v>
      </c>
      <c r="E6" s="3">
        <f ca="1">Alternative1!E6</f>
        <v>3233237</v>
      </c>
      <c r="F6" s="2" t="s">
        <v>107</v>
      </c>
    </row>
    <row r="7" spans="1:6">
      <c r="A7" s="2" t="s">
        <v>61</v>
      </c>
      <c r="E7" s="3"/>
    </row>
    <row r="8" spans="1:6">
      <c r="A8" s="2" t="s">
        <v>65</v>
      </c>
      <c r="E8" s="3"/>
    </row>
    <row r="9" spans="1:6">
      <c r="A9" s="2" t="s">
        <v>55</v>
      </c>
      <c r="E9" s="3">
        <f>500000*1.5</f>
        <v>750000</v>
      </c>
      <c r="F9" s="2" t="s">
        <v>59</v>
      </c>
    </row>
    <row r="10" spans="1:6">
      <c r="A10" s="2" t="s">
        <v>56</v>
      </c>
      <c r="E10" s="3">
        <v>300000</v>
      </c>
      <c r="F10" s="2" t="s">
        <v>59</v>
      </c>
    </row>
    <row r="11" spans="1:6">
      <c r="A11" s="2" t="s">
        <v>57</v>
      </c>
      <c r="E11" s="3">
        <v>300000</v>
      </c>
    </row>
    <row r="12" spans="1:6">
      <c r="A12" s="2" t="s">
        <v>58</v>
      </c>
      <c r="E12" s="3"/>
    </row>
    <row r="13" spans="1:6">
      <c r="A13" s="2" t="s">
        <v>68</v>
      </c>
      <c r="E13" s="3"/>
    </row>
    <row r="14" spans="1:6">
      <c r="A14" s="2" t="s">
        <v>2</v>
      </c>
      <c r="E14" s="99">
        <f>SUM(E9:E13)*(1-10%)</f>
        <v>1215000</v>
      </c>
    </row>
    <row r="15" spans="1:6">
      <c r="A15" s="2" t="s">
        <v>3</v>
      </c>
      <c r="E15" s="4">
        <v>3</v>
      </c>
    </row>
    <row r="16" spans="1:6">
      <c r="A16" s="2" t="s">
        <v>4</v>
      </c>
      <c r="E16" s="37">
        <f>E6+E7+E8+E14*E15</f>
        <v>6878237</v>
      </c>
    </row>
    <row r="17" spans="1:5">
      <c r="A17" s="2" t="s">
        <v>5</v>
      </c>
      <c r="B17" s="2" t="s">
        <v>6</v>
      </c>
    </row>
    <row r="18" spans="1:5">
      <c r="A18" s="2" t="s">
        <v>39</v>
      </c>
      <c r="E18" s="37">
        <f ca="1">Alternative1!E18</f>
        <v>900000</v>
      </c>
    </row>
    <row r="19" spans="1:5" ht="12" thickBot="1">
      <c r="A19" s="1" t="s">
        <v>7</v>
      </c>
    </row>
    <row r="20" spans="1:5" ht="12" thickTop="1">
      <c r="A20" s="2" t="s">
        <v>8</v>
      </c>
      <c r="B20" s="4">
        <v>15</v>
      </c>
    </row>
    <row r="21" spans="1:5">
      <c r="A21" s="2" t="s">
        <v>9</v>
      </c>
      <c r="B21" s="4">
        <f ca="1">Alternative1!B22</f>
        <v>10</v>
      </c>
      <c r="C21" s="2" t="s">
        <v>29</v>
      </c>
      <c r="D21" s="37">
        <f>E16/B21</f>
        <v>687823.7</v>
      </c>
      <c r="E21" s="2" t="s">
        <v>10</v>
      </c>
    </row>
    <row r="22" spans="1:5">
      <c r="A22" s="2" t="s">
        <v>11</v>
      </c>
      <c r="B22" s="4">
        <v>1.35</v>
      </c>
    </row>
    <row r="23" spans="1:5">
      <c r="A23" s="2" t="s">
        <v>31</v>
      </c>
      <c r="B23" s="5">
        <v>0.25</v>
      </c>
    </row>
    <row r="24" spans="1:5">
      <c r="B24" s="6"/>
    </row>
    <row r="25" spans="1:5" ht="12" thickBot="1">
      <c r="A25" s="1" t="s">
        <v>12</v>
      </c>
      <c r="B25" s="6"/>
    </row>
    <row r="26" spans="1:5" ht="12" thickTop="1">
      <c r="A26" s="2" t="s">
        <v>13</v>
      </c>
      <c r="B26" s="66">
        <f ca="1">WEM</f>
        <v>51.299035237487914</v>
      </c>
    </row>
    <row r="29" spans="1:5">
      <c r="A29" s="8"/>
    </row>
    <row r="30" spans="1:5" ht="12" thickBot="1">
      <c r="A30" s="1" t="s">
        <v>34</v>
      </c>
      <c r="B30" s="1"/>
    </row>
    <row r="31" spans="1:5" ht="12" thickTop="1">
      <c r="A31" s="2" t="s">
        <v>14</v>
      </c>
      <c r="C31" s="5">
        <v>0.7</v>
      </c>
    </row>
    <row r="32" spans="1:5">
      <c r="A32" s="2" t="s">
        <v>145</v>
      </c>
      <c r="C32" s="30">
        <f>C40*C33/1000</f>
        <v>18.158221032527006</v>
      </c>
      <c r="D32" s="2" t="s">
        <v>15</v>
      </c>
    </row>
    <row r="33" spans="1:20">
      <c r="A33" s="2" t="s">
        <v>37</v>
      </c>
      <c r="C33" s="5">
        <v>0.5</v>
      </c>
    </row>
    <row r="34" spans="1:20">
      <c r="A34" s="2" t="s">
        <v>16</v>
      </c>
      <c r="C34" s="7">
        <v>1E-3</v>
      </c>
      <c r="I34" s="21"/>
    </row>
    <row r="35" spans="1:20">
      <c r="A35" s="2" t="s">
        <v>17</v>
      </c>
      <c r="C35" s="28">
        <v>0.371</v>
      </c>
      <c r="I35" s="21"/>
    </row>
    <row r="36" spans="1:20">
      <c r="A36" s="2" t="s">
        <v>44</v>
      </c>
      <c r="C36" s="5">
        <v>0.9</v>
      </c>
      <c r="I36" s="21"/>
      <c r="K36" s="21"/>
    </row>
    <row r="37" spans="1:20">
      <c r="A37" s="2" t="s">
        <v>52</v>
      </c>
      <c r="C37" s="29">
        <v>8760</v>
      </c>
      <c r="D37" s="2" t="s">
        <v>20</v>
      </c>
      <c r="I37" s="21"/>
      <c r="K37" s="21"/>
    </row>
    <row r="38" spans="1:20">
      <c r="A38" s="2" t="s">
        <v>51</v>
      </c>
      <c r="C38" s="4">
        <f>101325*16/8314/298</f>
        <v>0.65435030747845069</v>
      </c>
    </row>
    <row r="39" spans="1:20" ht="14.25" customHeight="1">
      <c r="A39" s="2" t="s">
        <v>60</v>
      </c>
      <c r="C39" s="4">
        <v>55.5</v>
      </c>
    </row>
    <row r="40" spans="1:20">
      <c r="A40" s="2" t="s">
        <v>146</v>
      </c>
      <c r="C40" s="29">
        <f>C38*C39*1000</f>
        <v>36316.442065054012</v>
      </c>
    </row>
    <row r="43" spans="1:20" ht="12" thickBot="1">
      <c r="A43" s="1" t="s">
        <v>18</v>
      </c>
      <c r="I43" s="21"/>
    </row>
    <row r="44" spans="1:20" ht="12" thickTop="1">
      <c r="A44" s="2" t="s">
        <v>32</v>
      </c>
      <c r="C44" s="19">
        <f ca="1">Alternative1!C44</f>
        <v>28</v>
      </c>
    </row>
    <row r="45" spans="1:20">
      <c r="A45" s="2" t="s">
        <v>19</v>
      </c>
      <c r="C45" s="19">
        <v>0</v>
      </c>
      <c r="D45" s="2" t="s">
        <v>27</v>
      </c>
    </row>
    <row r="46" spans="1:20">
      <c r="A46" s="2" t="s">
        <v>38</v>
      </c>
      <c r="C46" s="19">
        <v>40000</v>
      </c>
      <c r="D46" s="2" t="s">
        <v>67</v>
      </c>
      <c r="G46" s="23"/>
    </row>
    <row r="48" spans="1:20">
      <c r="C48" s="22"/>
      <c r="D48" s="22"/>
      <c r="E48" s="22"/>
      <c r="F48" s="22"/>
      <c r="G48" s="22"/>
      <c r="H48" s="22"/>
      <c r="I48" s="22"/>
      <c r="J48" s="22"/>
      <c r="K48" s="22"/>
      <c r="L48" s="22"/>
      <c r="M48" s="22"/>
      <c r="N48" s="22"/>
      <c r="O48" s="22"/>
      <c r="P48" s="22"/>
      <c r="Q48" s="22"/>
      <c r="R48" s="22"/>
      <c r="S48" s="22"/>
      <c r="T48" s="22"/>
    </row>
    <row r="49" spans="3:256">
      <c r="C49" s="22"/>
      <c r="D49" s="22"/>
      <c r="E49" s="22"/>
      <c r="F49" s="22"/>
      <c r="G49" s="22"/>
      <c r="H49" s="22"/>
      <c r="I49" s="22"/>
      <c r="J49" s="22"/>
      <c r="K49" s="22"/>
      <c r="L49" s="22"/>
      <c r="M49" s="22"/>
      <c r="N49" s="22"/>
      <c r="O49" s="22"/>
      <c r="P49" s="22"/>
      <c r="Q49" s="22"/>
      <c r="R49" s="22"/>
      <c r="S49" s="22"/>
      <c r="T49" s="22"/>
    </row>
    <row r="50" spans="3:256">
      <c r="E50" s="11">
        <v>39813</v>
      </c>
      <c r="F50" s="11">
        <v>40178</v>
      </c>
      <c r="G50" s="11">
        <v>40543</v>
      </c>
      <c r="H50" s="11">
        <v>40908</v>
      </c>
      <c r="I50" s="11">
        <v>41274</v>
      </c>
      <c r="J50" s="11">
        <v>41639</v>
      </c>
      <c r="K50" s="11">
        <v>42004</v>
      </c>
      <c r="L50" s="11">
        <v>42369</v>
      </c>
      <c r="M50" s="11">
        <v>42735</v>
      </c>
      <c r="N50" s="11">
        <v>43100</v>
      </c>
      <c r="O50" s="11">
        <v>43465</v>
      </c>
      <c r="P50" s="11">
        <v>43830</v>
      </c>
      <c r="Q50" s="11">
        <v>44196</v>
      </c>
      <c r="R50" s="11">
        <v>44561</v>
      </c>
      <c r="S50" s="11">
        <v>44926</v>
      </c>
      <c r="T50" s="11">
        <v>45291</v>
      </c>
    </row>
    <row r="52" spans="3:256">
      <c r="F52" s="2">
        <v>1</v>
      </c>
      <c r="G52" s="2">
        <v>2</v>
      </c>
      <c r="H52" s="2">
        <f>G52+1</f>
        <v>3</v>
      </c>
      <c r="I52" s="2">
        <f t="shared" ref="I52:R52" si="0">H52+1</f>
        <v>4</v>
      </c>
      <c r="J52" s="2">
        <f t="shared" si="0"/>
        <v>5</v>
      </c>
      <c r="K52" s="2">
        <f t="shared" si="0"/>
        <v>6</v>
      </c>
      <c r="L52" s="2">
        <f t="shared" si="0"/>
        <v>7</v>
      </c>
      <c r="M52" s="2">
        <f t="shared" si="0"/>
        <v>8</v>
      </c>
      <c r="N52" s="2">
        <f t="shared" si="0"/>
        <v>9</v>
      </c>
      <c r="O52" s="2">
        <f t="shared" si="0"/>
        <v>10</v>
      </c>
      <c r="P52" s="2">
        <f t="shared" si="0"/>
        <v>11</v>
      </c>
      <c r="Q52" s="2">
        <f t="shared" si="0"/>
        <v>12</v>
      </c>
      <c r="R52" s="2">
        <f t="shared" si="0"/>
        <v>13</v>
      </c>
      <c r="S52" s="2">
        <f>R52+1</f>
        <v>14</v>
      </c>
      <c r="T52" s="2">
        <f>S52+1</f>
        <v>15</v>
      </c>
    </row>
    <row r="53" spans="3:256" ht="7.5" customHeight="1"/>
    <row r="54" spans="3:256" ht="7.5" customHeight="1"/>
    <row r="55" spans="3:256">
      <c r="C55" s="9" t="s">
        <v>21</v>
      </c>
      <c r="D55" s="67">
        <f>B26</f>
        <v>51.299035237487914</v>
      </c>
      <c r="F55" s="13">
        <f>$D$55</f>
        <v>51.299035237487914</v>
      </c>
      <c r="G55" s="13">
        <f t="shared" ref="G55:T55" si="1">$D$55</f>
        <v>51.299035237487914</v>
      </c>
      <c r="H55" s="13">
        <f t="shared" si="1"/>
        <v>51.299035237487914</v>
      </c>
      <c r="I55" s="13">
        <f t="shared" si="1"/>
        <v>51.299035237487914</v>
      </c>
      <c r="J55" s="13">
        <f t="shared" si="1"/>
        <v>51.299035237487914</v>
      </c>
      <c r="K55" s="13">
        <f t="shared" si="1"/>
        <v>51.299035237487914</v>
      </c>
      <c r="L55" s="13">
        <f t="shared" si="1"/>
        <v>51.299035237487914</v>
      </c>
      <c r="M55" s="13">
        <f t="shared" si="1"/>
        <v>51.299035237487914</v>
      </c>
      <c r="N55" s="13">
        <f t="shared" si="1"/>
        <v>51.299035237487914</v>
      </c>
      <c r="O55" s="13">
        <f t="shared" si="1"/>
        <v>51.299035237487914</v>
      </c>
      <c r="P55" s="13">
        <f t="shared" si="1"/>
        <v>51.299035237487914</v>
      </c>
      <c r="Q55" s="13">
        <f t="shared" si="1"/>
        <v>51.299035237487914</v>
      </c>
      <c r="R55" s="13">
        <f t="shared" si="1"/>
        <v>51.299035237487914</v>
      </c>
      <c r="S55" s="13">
        <f t="shared" si="1"/>
        <v>51.299035237487914</v>
      </c>
      <c r="T55" s="13">
        <f t="shared" si="1"/>
        <v>51.299035237487914</v>
      </c>
    </row>
    <row r="56" spans="3:256" ht="5.25" customHeight="1">
      <c r="C56" s="9"/>
      <c r="D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row>
    <row r="57" spans="3:256">
      <c r="C57" s="9" t="s">
        <v>22</v>
      </c>
      <c r="D57" s="12"/>
      <c r="F57" s="13">
        <v>22346.677920401315</v>
      </c>
      <c r="G57" s="13">
        <v>23731.718395392007</v>
      </c>
      <c r="H57" s="13">
        <v>24977.370885892011</v>
      </c>
      <c r="I57" s="13">
        <v>26246.840195630495</v>
      </c>
      <c r="J57" s="13">
        <v>27102.733094479103</v>
      </c>
      <c r="K57" s="13">
        <v>27161.453021902002</v>
      </c>
      <c r="L57" s="13">
        <v>24345.245432552016</v>
      </c>
      <c r="M57" s="13">
        <v>21904.541291505648</v>
      </c>
      <c r="N57" s="13">
        <v>19781.748299988245</v>
      </c>
      <c r="O57" s="13">
        <v>17928.653758553002</v>
      </c>
      <c r="P57" s="13">
        <v>16304.861643615659</v>
      </c>
      <c r="Q57" s="13">
        <v>14876.492313699584</v>
      </c>
      <c r="R57" s="13">
        <v>13615.10057656947</v>
      </c>
      <c r="S57" s="13">
        <v>12496.775319142103</v>
      </c>
      <c r="T57" s="13">
        <v>11501.390111449493</v>
      </c>
      <c r="U57" s="2" t="s">
        <v>46</v>
      </c>
    </row>
    <row r="58" spans="3:256">
      <c r="C58" s="9" t="s">
        <v>48</v>
      </c>
      <c r="D58" s="12"/>
      <c r="F58" s="24">
        <f t="shared" ref="F58:T58" si="2">F57*1000</f>
        <v>22346677.920401316</v>
      </c>
      <c r="G58" s="24">
        <f t="shared" si="2"/>
        <v>23731718.395392008</v>
      </c>
      <c r="H58" s="24">
        <f t="shared" si="2"/>
        <v>24977370.885892011</v>
      </c>
      <c r="I58" s="24">
        <f t="shared" si="2"/>
        <v>26246840.195630495</v>
      </c>
      <c r="J58" s="24">
        <f t="shared" si="2"/>
        <v>27102733.094479103</v>
      </c>
      <c r="K58" s="24">
        <f t="shared" si="2"/>
        <v>27161453.021902002</v>
      </c>
      <c r="L58" s="24">
        <f t="shared" si="2"/>
        <v>24345245.432552017</v>
      </c>
      <c r="M58" s="24">
        <f t="shared" si="2"/>
        <v>21904541.291505646</v>
      </c>
      <c r="N58" s="24">
        <f t="shared" si="2"/>
        <v>19781748.299988244</v>
      </c>
      <c r="O58" s="24">
        <f t="shared" si="2"/>
        <v>17928653.758553002</v>
      </c>
      <c r="P58" s="24">
        <f t="shared" si="2"/>
        <v>16304861.643615659</v>
      </c>
      <c r="Q58" s="24">
        <f t="shared" si="2"/>
        <v>14876492.313699584</v>
      </c>
      <c r="R58" s="24">
        <f t="shared" si="2"/>
        <v>13615100.57656947</v>
      </c>
      <c r="S58" s="24">
        <f t="shared" si="2"/>
        <v>12496775.319142103</v>
      </c>
      <c r="T58" s="24">
        <f t="shared" si="2"/>
        <v>11501390.111449493</v>
      </c>
    </row>
    <row r="59" spans="3:256">
      <c r="C59" s="9" t="s">
        <v>49</v>
      </c>
      <c r="D59" s="12"/>
      <c r="F59" s="24">
        <f t="shared" ref="F59:T59" si="3">F58*$C$31</f>
        <v>15642674.54428092</v>
      </c>
      <c r="G59" s="24">
        <f t="shared" si="3"/>
        <v>16612202.876774404</v>
      </c>
      <c r="H59" s="24">
        <f t="shared" si="3"/>
        <v>17484159.620124407</v>
      </c>
      <c r="I59" s="24">
        <f t="shared" si="3"/>
        <v>18372788.136941344</v>
      </c>
      <c r="J59" s="24">
        <f t="shared" si="3"/>
        <v>18971913.166135371</v>
      </c>
      <c r="K59" s="24">
        <f t="shared" si="3"/>
        <v>19013017.1153314</v>
      </c>
      <c r="L59" s="24">
        <f t="shared" si="3"/>
        <v>17041671.80278641</v>
      </c>
      <c r="M59" s="24">
        <f t="shared" si="3"/>
        <v>15333178.904053951</v>
      </c>
      <c r="N59" s="24">
        <f t="shared" si="3"/>
        <v>13847223.809991769</v>
      </c>
      <c r="O59" s="24">
        <f t="shared" si="3"/>
        <v>12550057.6309871</v>
      </c>
      <c r="P59" s="24">
        <f t="shared" si="3"/>
        <v>11413403.15053096</v>
      </c>
      <c r="Q59" s="24">
        <f t="shared" si="3"/>
        <v>10413544.619589709</v>
      </c>
      <c r="R59" s="24">
        <f t="shared" si="3"/>
        <v>9530570.4035986289</v>
      </c>
      <c r="S59" s="24">
        <f t="shared" si="3"/>
        <v>8747742.7233994715</v>
      </c>
      <c r="T59" s="24">
        <f t="shared" si="3"/>
        <v>8050973.0780146448</v>
      </c>
    </row>
    <row r="60" spans="3:256">
      <c r="C60" s="9" t="s">
        <v>50</v>
      </c>
      <c r="D60" s="12"/>
      <c r="F60" s="24">
        <f t="shared" ref="F60:T60" si="4">F59*$C$32</f>
        <v>284043141.9149366</v>
      </c>
      <c r="G60" s="24">
        <f t="shared" si="4"/>
        <v>301648051.67365062</v>
      </c>
      <c r="H60" s="24">
        <f t="shared" si="4"/>
        <v>317481234.95020241</v>
      </c>
      <c r="I60" s="24">
        <f t="shared" si="4"/>
        <v>333617147.97437096</v>
      </c>
      <c r="J60" s="24">
        <f t="shared" si="4"/>
        <v>344496192.68059534</v>
      </c>
      <c r="K60" s="24">
        <f t="shared" si="4"/>
        <v>345242567.2754066</v>
      </c>
      <c r="L60" s="24">
        <f t="shared" si="4"/>
        <v>309446443.3587786</v>
      </c>
      <c r="M60" s="24">
        <f t="shared" si="4"/>
        <v>278423251.67109185</v>
      </c>
      <c r="N60" s="24">
        <f t="shared" si="4"/>
        <v>251440950.6287013</v>
      </c>
      <c r="O60" s="24">
        <f t="shared" si="4"/>
        <v>227886720.43441603</v>
      </c>
      <c r="P60" s="24">
        <f t="shared" si="4"/>
        <v>207247097.14068127</v>
      </c>
      <c r="Q60" s="24">
        <f t="shared" si="4"/>
        <v>189091444.93459228</v>
      </c>
      <c r="R60" s="24">
        <f t="shared" si="4"/>
        <v>173058203.95460403</v>
      </c>
      <c r="S60" s="24">
        <f t="shared" si="4"/>
        <v>158843445.90716735</v>
      </c>
      <c r="T60" s="24">
        <f t="shared" si="4"/>
        <v>146191348.67751423</v>
      </c>
    </row>
    <row r="61" spans="3:256">
      <c r="C61" s="9" t="s">
        <v>53</v>
      </c>
      <c r="D61" s="12"/>
      <c r="F61" s="13">
        <f t="shared" ref="F61:T61" si="5">F60/3.6/1000</f>
        <v>78900.872754149052</v>
      </c>
      <c r="G61" s="13">
        <f t="shared" si="5"/>
        <v>83791.125464902958</v>
      </c>
      <c r="H61" s="13">
        <f t="shared" si="5"/>
        <v>88189.231930611772</v>
      </c>
      <c r="I61" s="13">
        <f t="shared" si="5"/>
        <v>92671.429992880818</v>
      </c>
      <c r="J61" s="13">
        <f t="shared" si="5"/>
        <v>95693.386855720921</v>
      </c>
      <c r="K61" s="13">
        <f t="shared" si="5"/>
        <v>95900.713132057383</v>
      </c>
      <c r="L61" s="13">
        <f t="shared" si="5"/>
        <v>85957.345377438498</v>
      </c>
      <c r="M61" s="13">
        <f t="shared" si="5"/>
        <v>77339.792130858856</v>
      </c>
      <c r="N61" s="13">
        <f t="shared" si="5"/>
        <v>69844.70850797258</v>
      </c>
      <c r="O61" s="13">
        <f t="shared" si="5"/>
        <v>63301.866787337778</v>
      </c>
      <c r="P61" s="13">
        <f t="shared" si="5"/>
        <v>57568.638094633687</v>
      </c>
      <c r="Q61" s="13">
        <f t="shared" si="5"/>
        <v>52525.401370720072</v>
      </c>
      <c r="R61" s="13">
        <f t="shared" si="5"/>
        <v>48071.723320723337</v>
      </c>
      <c r="S61" s="13">
        <f t="shared" si="5"/>
        <v>44123.179418657593</v>
      </c>
      <c r="T61" s="13">
        <f t="shared" si="5"/>
        <v>40608.707965976173</v>
      </c>
    </row>
    <row r="62" spans="3:256" ht="12" customHeight="1">
      <c r="C62" s="9" t="s">
        <v>54</v>
      </c>
      <c r="D62" s="33">
        <v>1</v>
      </c>
      <c r="F62" s="15">
        <f>F61*$C$35*$C$36*$D$62</f>
        <v>26345.001412610367</v>
      </c>
      <c r="G62" s="15">
        <f t="shared" ref="G62:T62" si="6">G61*$C$35*$C$36*$D$62</f>
        <v>27977.856792731098</v>
      </c>
      <c r="H62" s="15">
        <f t="shared" si="6"/>
        <v>29446.384541631272</v>
      </c>
      <c r="I62" s="15">
        <f t="shared" si="6"/>
        <v>30942.990474622904</v>
      </c>
      <c r="J62" s="15">
        <f t="shared" si="6"/>
        <v>31952.021871125213</v>
      </c>
      <c r="K62" s="15">
        <f t="shared" si="6"/>
        <v>32021.248114793958</v>
      </c>
      <c r="L62" s="15">
        <f t="shared" si="6"/>
        <v>28701.157621526716</v>
      </c>
      <c r="M62" s="15">
        <f t="shared" si="6"/>
        <v>25823.75659249377</v>
      </c>
      <c r="N62" s="15">
        <f t="shared" si="6"/>
        <v>23321.148170812045</v>
      </c>
      <c r="O62" s="15">
        <f t="shared" si="6"/>
        <v>21136.493320292084</v>
      </c>
      <c r="P62" s="15">
        <f t="shared" si="6"/>
        <v>19222.168259798189</v>
      </c>
      <c r="Q62" s="15">
        <f t="shared" si="6"/>
        <v>17538.231517683435</v>
      </c>
      <c r="R62" s="15">
        <f t="shared" si="6"/>
        <v>16051.148416789523</v>
      </c>
      <c r="S62" s="15">
        <f t="shared" si="6"/>
        <v>14732.729607889771</v>
      </c>
      <c r="T62" s="15">
        <f t="shared" si="6"/>
        <v>13559.247589839444</v>
      </c>
    </row>
    <row r="63" spans="3:256" ht="5.25" customHeight="1">
      <c r="C63" s="9"/>
      <c r="D63" s="12"/>
      <c r="E63" s="12"/>
      <c r="F63" s="12"/>
      <c r="G63" s="12"/>
      <c r="H63" s="12"/>
      <c r="I63" s="12"/>
      <c r="J63" s="12"/>
      <c r="K63" s="12"/>
      <c r="L63" s="12"/>
      <c r="M63" s="12"/>
      <c r="N63" s="12"/>
      <c r="O63" s="12"/>
      <c r="P63" s="12"/>
      <c r="Q63" s="12"/>
      <c r="R63" s="12"/>
      <c r="S63" s="12"/>
      <c r="T63" s="12"/>
    </row>
    <row r="64" spans="3:256">
      <c r="C64" s="9" t="s">
        <v>36</v>
      </c>
      <c r="D64" s="13">
        <f>ROUNDUP(AVERAGE(F64:T64),0)</f>
        <v>3</v>
      </c>
      <c r="E64" s="14"/>
      <c r="F64" s="13">
        <f>$D$62*F62/(8760)</f>
        <v>3.0074202525810922</v>
      </c>
      <c r="G64" s="13">
        <f t="shared" ref="G64:T64" si="7">$D$62*G62/(8760)</f>
        <v>3.1938192685766094</v>
      </c>
      <c r="H64" s="13">
        <f t="shared" si="7"/>
        <v>3.3614594225606473</v>
      </c>
      <c r="I64" s="13">
        <f t="shared" si="7"/>
        <v>3.5323048487012447</v>
      </c>
      <c r="J64" s="13">
        <f t="shared" si="7"/>
        <v>3.6474910811786772</v>
      </c>
      <c r="K64" s="13">
        <f t="shared" si="7"/>
        <v>3.6553936204102691</v>
      </c>
      <c r="L64" s="13">
        <f t="shared" si="7"/>
        <v>3.2763878563386664</v>
      </c>
      <c r="M64" s="13">
        <f t="shared" si="7"/>
        <v>2.9479174192344488</v>
      </c>
      <c r="N64" s="13">
        <f t="shared" si="7"/>
        <v>2.6622315263484069</v>
      </c>
      <c r="O64" s="13">
        <f t="shared" si="7"/>
        <v>2.4128417032296898</v>
      </c>
      <c r="P64" s="13">
        <f t="shared" si="7"/>
        <v>2.1943114451824415</v>
      </c>
      <c r="Q64" s="13">
        <f t="shared" si="7"/>
        <v>2.002081223479844</v>
      </c>
      <c r="R64" s="13">
        <f t="shared" si="7"/>
        <v>1.8323228786289409</v>
      </c>
      <c r="S64" s="13">
        <f t="shared" si="7"/>
        <v>1.6818184483892433</v>
      </c>
      <c r="T64" s="13">
        <f t="shared" si="7"/>
        <v>1.5478593139086123</v>
      </c>
    </row>
    <row r="65" spans="2:256">
      <c r="C65" s="9" t="s">
        <v>45</v>
      </c>
      <c r="D65" s="13">
        <f>E15*C37</f>
        <v>26280</v>
      </c>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row>
    <row r="66" spans="2:256">
      <c r="C66" s="9" t="s">
        <v>42</v>
      </c>
      <c r="F66" s="13">
        <f>MIN($D$65,F62)</f>
        <v>26280</v>
      </c>
      <c r="G66" s="13">
        <f t="shared" ref="G66:T66" si="8">MIN($D$65,G62)</f>
        <v>26280</v>
      </c>
      <c r="H66" s="13">
        <f t="shared" si="8"/>
        <v>26280</v>
      </c>
      <c r="I66" s="13">
        <f t="shared" si="8"/>
        <v>26280</v>
      </c>
      <c r="J66" s="13">
        <f t="shared" si="8"/>
        <v>26280</v>
      </c>
      <c r="K66" s="13">
        <f t="shared" si="8"/>
        <v>26280</v>
      </c>
      <c r="L66" s="13">
        <f t="shared" si="8"/>
        <v>26280</v>
      </c>
      <c r="M66" s="13">
        <f t="shared" si="8"/>
        <v>25823.75659249377</v>
      </c>
      <c r="N66" s="13">
        <f t="shared" si="8"/>
        <v>23321.148170812045</v>
      </c>
      <c r="O66" s="13">
        <f t="shared" si="8"/>
        <v>21136.493320292084</v>
      </c>
      <c r="P66" s="13">
        <f t="shared" si="8"/>
        <v>19222.168259798189</v>
      </c>
      <c r="Q66" s="13">
        <f t="shared" si="8"/>
        <v>17538.231517683435</v>
      </c>
      <c r="R66" s="13">
        <f t="shared" si="8"/>
        <v>16051.148416789523</v>
      </c>
      <c r="S66" s="13">
        <f t="shared" si="8"/>
        <v>14732.729607889771</v>
      </c>
      <c r="T66" s="13">
        <f t="shared" si="8"/>
        <v>13559.247589839444</v>
      </c>
    </row>
    <row r="68" spans="2:256">
      <c r="C68" s="9" t="s">
        <v>23</v>
      </c>
      <c r="F68" s="15">
        <f>F55*F66</f>
        <v>1348138.6460411823</v>
      </c>
      <c r="G68" s="15">
        <f t="shared" ref="G68:R68" si="9">G55*G66</f>
        <v>1348138.6460411823</v>
      </c>
      <c r="H68" s="15">
        <f t="shared" si="9"/>
        <v>1348138.6460411823</v>
      </c>
      <c r="I68" s="15">
        <f t="shared" si="9"/>
        <v>1348138.6460411823</v>
      </c>
      <c r="J68" s="15">
        <f t="shared" si="9"/>
        <v>1348138.6460411823</v>
      </c>
      <c r="K68" s="15">
        <f t="shared" si="9"/>
        <v>1348138.6460411823</v>
      </c>
      <c r="L68" s="15">
        <f t="shared" si="9"/>
        <v>1348138.6460411823</v>
      </c>
      <c r="M68" s="15">
        <f t="shared" si="9"/>
        <v>1324733.7994026488</v>
      </c>
      <c r="N68" s="15">
        <f t="shared" si="9"/>
        <v>1196352.401793164</v>
      </c>
      <c r="O68" s="15">
        <f t="shared" si="9"/>
        <v>1084281.7156345914</v>
      </c>
      <c r="P68" s="15">
        <f t="shared" si="9"/>
        <v>986078.68690030905</v>
      </c>
      <c r="Q68" s="15">
        <f t="shared" si="9"/>
        <v>899694.35662886361</v>
      </c>
      <c r="R68" s="15">
        <f t="shared" si="9"/>
        <v>823408.42823503411</v>
      </c>
      <c r="S68" s="15">
        <f>S55*S66</f>
        <v>755774.81529951887</v>
      </c>
      <c r="T68" s="15">
        <f>T55*T66</f>
        <v>695576.31990499666</v>
      </c>
    </row>
    <row r="69" spans="2:256">
      <c r="B69" s="2" t="s">
        <v>18</v>
      </c>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c r="IU69" s="9"/>
      <c r="IV69" s="9"/>
    </row>
    <row r="70" spans="2:256">
      <c r="C70" s="9" t="str">
        <f>A44</f>
        <v>Cost per MWh Generated</v>
      </c>
      <c r="D70" s="14">
        <f>C44</f>
        <v>28</v>
      </c>
      <c r="E70" s="9"/>
      <c r="F70" s="17">
        <f>$D$70*F66</f>
        <v>735840</v>
      </c>
      <c r="G70" s="17">
        <f t="shared" ref="G70:T70" si="10">$D$70*G66</f>
        <v>735840</v>
      </c>
      <c r="H70" s="17">
        <f t="shared" si="10"/>
        <v>735840</v>
      </c>
      <c r="I70" s="17">
        <f t="shared" si="10"/>
        <v>735840</v>
      </c>
      <c r="J70" s="17">
        <f t="shared" si="10"/>
        <v>735840</v>
      </c>
      <c r="K70" s="17">
        <f t="shared" si="10"/>
        <v>735840</v>
      </c>
      <c r="L70" s="17">
        <f t="shared" si="10"/>
        <v>735840</v>
      </c>
      <c r="M70" s="17">
        <f t="shared" si="10"/>
        <v>723065.18458982557</v>
      </c>
      <c r="N70" s="17">
        <f t="shared" si="10"/>
        <v>652992.1487827372</v>
      </c>
      <c r="O70" s="17">
        <f t="shared" si="10"/>
        <v>591821.8129681783</v>
      </c>
      <c r="P70" s="17">
        <f t="shared" si="10"/>
        <v>538220.71127434925</v>
      </c>
      <c r="Q70" s="17">
        <f t="shared" si="10"/>
        <v>491070.48249513615</v>
      </c>
      <c r="R70" s="17">
        <f t="shared" si="10"/>
        <v>449432.15567010664</v>
      </c>
      <c r="S70" s="17">
        <f t="shared" si="10"/>
        <v>412516.42902091355</v>
      </c>
      <c r="T70" s="17">
        <f t="shared" si="10"/>
        <v>379658.93251550442</v>
      </c>
    </row>
    <row r="71" spans="2:256">
      <c r="C71" s="9" t="str">
        <f>A46</f>
        <v>Admin costs and insurances per year</v>
      </c>
      <c r="D71" s="36">
        <f>C46</f>
        <v>40000</v>
      </c>
      <c r="E71" s="9"/>
      <c r="F71" s="17">
        <f>$D$71</f>
        <v>40000</v>
      </c>
      <c r="G71" s="17">
        <f>$D$71</f>
        <v>40000</v>
      </c>
      <c r="H71" s="17">
        <f t="shared" ref="H71:T71" si="11">$D$71</f>
        <v>40000</v>
      </c>
      <c r="I71" s="17">
        <f t="shared" si="11"/>
        <v>40000</v>
      </c>
      <c r="J71" s="17">
        <f t="shared" si="11"/>
        <v>40000</v>
      </c>
      <c r="K71" s="17">
        <f t="shared" si="11"/>
        <v>40000</v>
      </c>
      <c r="L71" s="17">
        <f t="shared" si="11"/>
        <v>40000</v>
      </c>
      <c r="M71" s="17">
        <f t="shared" si="11"/>
        <v>40000</v>
      </c>
      <c r="N71" s="17">
        <f t="shared" si="11"/>
        <v>40000</v>
      </c>
      <c r="O71" s="17">
        <f t="shared" si="11"/>
        <v>40000</v>
      </c>
      <c r="P71" s="17">
        <f t="shared" si="11"/>
        <v>40000</v>
      </c>
      <c r="Q71" s="17">
        <f t="shared" si="11"/>
        <v>40000</v>
      </c>
      <c r="R71" s="17">
        <f t="shared" si="11"/>
        <v>40000</v>
      </c>
      <c r="S71" s="17">
        <f t="shared" si="11"/>
        <v>40000</v>
      </c>
      <c r="T71" s="17">
        <f t="shared" si="11"/>
        <v>40000</v>
      </c>
    </row>
    <row r="72" spans="2:256">
      <c r="C72" s="9"/>
      <c r="E72" s="9"/>
    </row>
    <row r="73" spans="2:256">
      <c r="C73" s="9" t="s">
        <v>28</v>
      </c>
      <c r="D73" s="10">
        <v>0.25</v>
      </c>
      <c r="F73" s="16">
        <f t="shared" ref="F73:T73" si="12">IF((F68-SUM(F70:F71)-$D$21)&gt;0,(F68-SUM(F70:F71)-$D$21)*$D$73,0)</f>
        <v>0</v>
      </c>
      <c r="G73" s="16">
        <f t="shared" si="12"/>
        <v>0</v>
      </c>
      <c r="H73" s="16">
        <f t="shared" si="12"/>
        <v>0</v>
      </c>
      <c r="I73" s="16">
        <f t="shared" si="12"/>
        <v>0</v>
      </c>
      <c r="J73" s="16">
        <f t="shared" si="12"/>
        <v>0</v>
      </c>
      <c r="K73" s="16">
        <f t="shared" si="12"/>
        <v>0</v>
      </c>
      <c r="L73" s="16">
        <f t="shared" si="12"/>
        <v>0</v>
      </c>
      <c r="M73" s="16">
        <f t="shared" si="12"/>
        <v>0</v>
      </c>
      <c r="N73" s="16">
        <f t="shared" si="12"/>
        <v>0</v>
      </c>
      <c r="O73" s="16">
        <f t="shared" si="12"/>
        <v>0</v>
      </c>
      <c r="P73" s="16">
        <f t="shared" si="12"/>
        <v>0</v>
      </c>
      <c r="Q73" s="16">
        <f t="shared" si="12"/>
        <v>0</v>
      </c>
      <c r="R73" s="16">
        <f t="shared" si="12"/>
        <v>0</v>
      </c>
      <c r="S73" s="16">
        <f t="shared" si="12"/>
        <v>0</v>
      </c>
      <c r="T73" s="16">
        <f t="shared" si="12"/>
        <v>0</v>
      </c>
    </row>
    <row r="75" spans="2:256">
      <c r="C75" s="2" t="s">
        <v>24</v>
      </c>
      <c r="F75" s="15">
        <f t="shared" ref="F75:T75" si="13">F68-SUM(F70:F73)</f>
        <v>572298.64604118234</v>
      </c>
      <c r="G75" s="15">
        <f t="shared" si="13"/>
        <v>572298.64604118234</v>
      </c>
      <c r="H75" s="15">
        <f t="shared" si="13"/>
        <v>572298.64604118234</v>
      </c>
      <c r="I75" s="15">
        <f t="shared" si="13"/>
        <v>572298.64604118234</v>
      </c>
      <c r="J75" s="15">
        <f t="shared" si="13"/>
        <v>572298.64604118234</v>
      </c>
      <c r="K75" s="15">
        <f t="shared" si="13"/>
        <v>572298.64604118234</v>
      </c>
      <c r="L75" s="15">
        <f t="shared" si="13"/>
        <v>572298.64604118234</v>
      </c>
      <c r="M75" s="15">
        <f t="shared" si="13"/>
        <v>561668.61481282325</v>
      </c>
      <c r="N75" s="15">
        <f t="shared" si="13"/>
        <v>503360.25301042676</v>
      </c>
      <c r="O75" s="15">
        <f t="shared" si="13"/>
        <v>452459.90266641311</v>
      </c>
      <c r="P75" s="15">
        <f t="shared" si="13"/>
        <v>407857.97562595981</v>
      </c>
      <c r="Q75" s="15">
        <f t="shared" si="13"/>
        <v>368623.87413372751</v>
      </c>
      <c r="R75" s="15">
        <f t="shared" si="13"/>
        <v>333976.27256492747</v>
      </c>
      <c r="S75" s="15">
        <f t="shared" si="13"/>
        <v>303258.38627860532</v>
      </c>
      <c r="T75" s="15">
        <f t="shared" si="13"/>
        <v>275917.38738949224</v>
      </c>
    </row>
    <row r="76" spans="2:256" ht="12" thickBot="1"/>
    <row r="77" spans="2:256" ht="12" thickBot="1">
      <c r="C77" s="9" t="s">
        <v>40</v>
      </c>
      <c r="E77" s="38">
        <f>-E16</f>
        <v>-6878237</v>
      </c>
    </row>
    <row r="78" spans="2:256">
      <c r="C78" s="9" t="s">
        <v>25</v>
      </c>
      <c r="F78" s="25">
        <f>F75</f>
        <v>572298.64604118234</v>
      </c>
      <c r="G78" s="25">
        <f>G75</f>
        <v>572298.64604118234</v>
      </c>
      <c r="H78" s="25">
        <f>H75</f>
        <v>572298.64604118234</v>
      </c>
      <c r="I78" s="25">
        <f>I75</f>
        <v>572298.64604118234</v>
      </c>
      <c r="J78" s="25">
        <f t="shared" ref="J78:T78" si="14">J75</f>
        <v>572298.64604118234</v>
      </c>
      <c r="K78" s="25">
        <f t="shared" si="14"/>
        <v>572298.64604118234</v>
      </c>
      <c r="L78" s="25">
        <f t="shared" si="14"/>
        <v>572298.64604118234</v>
      </c>
      <c r="M78" s="25">
        <f t="shared" si="14"/>
        <v>561668.61481282325</v>
      </c>
      <c r="N78" s="25">
        <f t="shared" si="14"/>
        <v>503360.25301042676</v>
      </c>
      <c r="O78" s="25">
        <f t="shared" si="14"/>
        <v>452459.90266641311</v>
      </c>
      <c r="P78" s="25">
        <f t="shared" si="14"/>
        <v>407857.97562595981</v>
      </c>
      <c r="Q78" s="25">
        <f t="shared" si="14"/>
        <v>368623.87413372751</v>
      </c>
      <c r="R78" s="25">
        <f t="shared" si="14"/>
        <v>333976.27256492747</v>
      </c>
      <c r="S78" s="25">
        <f t="shared" si="14"/>
        <v>303258.38627860532</v>
      </c>
      <c r="T78" s="25">
        <f t="shared" si="14"/>
        <v>275917.38738949224</v>
      </c>
    </row>
    <row r="79" spans="2:256" ht="12" thickBot="1">
      <c r="C79" s="9" t="s">
        <v>41</v>
      </c>
      <c r="E79" s="1"/>
      <c r="F79" s="1"/>
      <c r="G79" s="1"/>
      <c r="H79" s="1"/>
      <c r="I79" s="1"/>
      <c r="J79" s="1"/>
      <c r="K79" s="1"/>
      <c r="L79" s="1"/>
      <c r="M79" s="1"/>
      <c r="N79" s="1"/>
      <c r="O79" s="1"/>
      <c r="P79" s="1"/>
      <c r="Q79" s="1"/>
      <c r="R79" s="1"/>
      <c r="S79" s="1"/>
      <c r="T79" s="26">
        <f>E18</f>
        <v>900000</v>
      </c>
    </row>
    <row r="80" spans="2:256" ht="6.75" customHeight="1" thickTop="1"/>
    <row r="81" spans="1:20">
      <c r="C81" s="2" t="s">
        <v>25</v>
      </c>
      <c r="E81" s="15">
        <f>SUM(E77:E79)</f>
        <v>-6878237</v>
      </c>
      <c r="F81" s="15">
        <f>SUM(F77:F79)</f>
        <v>572298.64604118234</v>
      </c>
      <c r="G81" s="15">
        <f t="shared" ref="G81:T81" si="15">SUM(G77:G79)</f>
        <v>572298.64604118234</v>
      </c>
      <c r="H81" s="15">
        <f t="shared" si="15"/>
        <v>572298.64604118234</v>
      </c>
      <c r="I81" s="15">
        <f t="shared" si="15"/>
        <v>572298.64604118234</v>
      </c>
      <c r="J81" s="15">
        <f t="shared" si="15"/>
        <v>572298.64604118234</v>
      </c>
      <c r="K81" s="15">
        <f t="shared" si="15"/>
        <v>572298.64604118234</v>
      </c>
      <c r="L81" s="15">
        <f t="shared" si="15"/>
        <v>572298.64604118234</v>
      </c>
      <c r="M81" s="15">
        <f t="shared" si="15"/>
        <v>561668.61481282325</v>
      </c>
      <c r="N81" s="15">
        <f t="shared" si="15"/>
        <v>503360.25301042676</v>
      </c>
      <c r="O81" s="15">
        <f t="shared" si="15"/>
        <v>452459.90266641311</v>
      </c>
      <c r="P81" s="15">
        <f t="shared" si="15"/>
        <v>407857.97562595981</v>
      </c>
      <c r="Q81" s="15">
        <f t="shared" si="15"/>
        <v>368623.87413372751</v>
      </c>
      <c r="R81" s="15">
        <f t="shared" si="15"/>
        <v>333976.27256492747</v>
      </c>
      <c r="S81" s="15">
        <f t="shared" si="15"/>
        <v>303258.38627860532</v>
      </c>
      <c r="T81" s="15">
        <f t="shared" si="15"/>
        <v>1175917.3873894922</v>
      </c>
    </row>
    <row r="83" spans="1:20" ht="12" thickBot="1">
      <c r="B83" s="1" t="s">
        <v>35</v>
      </c>
      <c r="C83" s="1"/>
    </row>
    <row r="84" spans="1:20" ht="12.75" thickTop="1">
      <c r="C84" s="2" t="s">
        <v>33</v>
      </c>
      <c r="D84" s="27">
        <f>IRR(E81:T81)</f>
        <v>2.1520924556605221E-2</v>
      </c>
    </row>
    <row r="85" spans="1:20">
      <c r="C85" s="2" t="s">
        <v>26</v>
      </c>
    </row>
    <row r="88" spans="1:20">
      <c r="C88" s="18"/>
    </row>
    <row r="89" spans="1:20">
      <c r="A89" s="86"/>
      <c r="B89" s="86"/>
      <c r="C89" s="86"/>
      <c r="D89" s="86"/>
      <c r="E89" s="86"/>
      <c r="F89" s="86"/>
      <c r="G89" s="86"/>
      <c r="H89" s="86"/>
      <c r="I89" s="86"/>
      <c r="J89" s="86"/>
      <c r="K89" s="86"/>
    </row>
    <row r="90" spans="1:20">
      <c r="A90" s="86"/>
      <c r="B90" s="86"/>
      <c r="C90" s="86"/>
      <c r="D90" s="35"/>
      <c r="E90" s="92"/>
      <c r="F90" s="92"/>
      <c r="G90" s="93"/>
      <c r="H90" s="92"/>
      <c r="I90" s="92"/>
      <c r="J90" s="92"/>
      <c r="K90" s="86"/>
    </row>
    <row r="91" spans="1:20">
      <c r="A91" s="86"/>
      <c r="B91" s="91"/>
      <c r="C91" s="86"/>
      <c r="D91" s="34"/>
      <c r="E91" s="32"/>
      <c r="F91" s="32"/>
      <c r="G91" s="32"/>
      <c r="H91" s="32"/>
      <c r="I91" s="32"/>
      <c r="J91" s="32"/>
      <c r="K91" s="86"/>
    </row>
    <row r="92" spans="1:20">
      <c r="A92" s="86"/>
      <c r="B92" s="91"/>
      <c r="C92" s="86"/>
      <c r="D92" s="34"/>
      <c r="E92" s="32"/>
      <c r="F92" s="32"/>
      <c r="G92" s="32"/>
      <c r="H92" s="32"/>
      <c r="I92" s="32"/>
      <c r="J92" s="32"/>
      <c r="K92" s="86"/>
    </row>
    <row r="93" spans="1:20">
      <c r="A93" s="86"/>
      <c r="B93" s="91"/>
      <c r="C93" s="87"/>
      <c r="D93" s="39"/>
      <c r="E93" s="32"/>
      <c r="F93" s="32"/>
      <c r="G93" s="32"/>
      <c r="H93" s="32"/>
      <c r="I93" s="32"/>
      <c r="J93" s="32"/>
      <c r="K93" s="86"/>
    </row>
    <row r="94" spans="1:20">
      <c r="A94" s="86"/>
      <c r="B94" s="91"/>
      <c r="C94" s="87"/>
      <c r="D94" s="39"/>
      <c r="E94" s="32"/>
      <c r="F94" s="32"/>
      <c r="G94" s="32"/>
      <c r="H94" s="32"/>
      <c r="I94" s="32"/>
      <c r="J94" s="32"/>
      <c r="K94" s="86"/>
    </row>
    <row r="95" spans="1:20">
      <c r="A95" s="86"/>
      <c r="B95" s="91"/>
      <c r="C95" s="86"/>
      <c r="D95" s="35"/>
      <c r="E95" s="86"/>
      <c r="F95" s="86"/>
      <c r="G95" s="86"/>
      <c r="H95" s="86"/>
      <c r="I95" s="86"/>
      <c r="J95" s="86"/>
      <c r="K95" s="86"/>
    </row>
    <row r="96" spans="1:20">
      <c r="A96" s="86"/>
      <c r="B96" s="91"/>
      <c r="C96" s="86"/>
      <c r="D96" s="35"/>
      <c r="E96" s="86"/>
      <c r="F96" s="86"/>
      <c r="G96" s="86"/>
      <c r="H96" s="86"/>
      <c r="I96" s="86"/>
      <c r="J96" s="86"/>
      <c r="K96" s="86"/>
    </row>
    <row r="97" spans="1:11">
      <c r="A97" s="86"/>
      <c r="B97" s="86"/>
      <c r="C97" s="86"/>
      <c r="D97" s="86"/>
      <c r="E97" s="86"/>
      <c r="F97" s="86"/>
      <c r="G97" s="86"/>
      <c r="H97" s="86"/>
      <c r="I97" s="86"/>
      <c r="J97" s="86"/>
      <c r="K97" s="86"/>
    </row>
    <row r="98" spans="1:11">
      <c r="A98" s="86"/>
      <c r="B98" s="86"/>
      <c r="C98" s="35"/>
      <c r="D98" s="94"/>
      <c r="E98" s="94"/>
      <c r="F98" s="88"/>
      <c r="G98" s="88"/>
      <c r="H98" s="88"/>
      <c r="I98" s="86"/>
      <c r="J98" s="86"/>
      <c r="K98" s="86"/>
    </row>
    <row r="99" spans="1:11">
      <c r="A99" s="86"/>
      <c r="B99" s="86"/>
      <c r="C99" s="86"/>
      <c r="D99" s="39"/>
      <c r="E99" s="34"/>
      <c r="F99" s="34"/>
      <c r="G99" s="34"/>
      <c r="H99" s="34"/>
      <c r="I99" s="86"/>
      <c r="J99" s="86"/>
      <c r="K99" s="86"/>
    </row>
    <row r="100" spans="1:11">
      <c r="A100" s="95"/>
      <c r="B100" s="86"/>
      <c r="C100" s="86"/>
      <c r="D100" s="34"/>
      <c r="E100" s="39"/>
      <c r="F100" s="34"/>
      <c r="G100" s="34"/>
      <c r="H100" s="34"/>
      <c r="I100" s="86"/>
      <c r="J100" s="86"/>
      <c r="K100" s="86"/>
    </row>
    <row r="101" spans="1:11">
      <c r="A101" s="95"/>
      <c r="B101" s="86"/>
      <c r="C101" s="87"/>
      <c r="D101" s="34"/>
      <c r="E101" s="34"/>
      <c r="F101" s="39"/>
      <c r="G101" s="34"/>
      <c r="H101" s="34"/>
      <c r="I101" s="86"/>
      <c r="J101" s="86"/>
      <c r="K101" s="86"/>
    </row>
    <row r="102" spans="1:11">
      <c r="A102" s="86"/>
      <c r="B102" s="86"/>
      <c r="C102" s="86"/>
      <c r="D102" s="34"/>
      <c r="E102" s="34"/>
      <c r="F102" s="34"/>
      <c r="G102" s="39"/>
      <c r="H102" s="34"/>
      <c r="I102" s="86"/>
      <c r="J102" s="86"/>
      <c r="K102" s="86"/>
    </row>
    <row r="103" spans="1:11">
      <c r="A103" s="86"/>
      <c r="B103" s="86"/>
      <c r="C103" s="86"/>
      <c r="D103" s="34"/>
      <c r="E103" s="34"/>
      <c r="F103" s="34"/>
      <c r="G103" s="34"/>
      <c r="H103" s="39"/>
      <c r="I103" s="86"/>
      <c r="J103" s="86"/>
      <c r="K103" s="86"/>
    </row>
    <row r="104" spans="1:11">
      <c r="A104" s="86"/>
      <c r="B104" s="86"/>
      <c r="C104" s="86"/>
      <c r="D104" s="86"/>
      <c r="E104" s="86"/>
      <c r="F104" s="86"/>
      <c r="G104" s="86"/>
      <c r="H104" s="86"/>
      <c r="I104" s="86"/>
      <c r="J104" s="86"/>
      <c r="K104" s="86"/>
    </row>
    <row r="105" spans="1:11">
      <c r="A105" s="86"/>
      <c r="B105" s="86"/>
      <c r="C105" s="86"/>
      <c r="D105" s="86"/>
      <c r="E105" s="86"/>
      <c r="F105" s="86"/>
      <c r="G105" s="86"/>
      <c r="H105" s="86"/>
      <c r="I105" s="86"/>
      <c r="J105" s="86"/>
      <c r="K105" s="86"/>
    </row>
    <row r="106" spans="1:11">
      <c r="A106" s="86"/>
      <c r="B106" s="86"/>
      <c r="C106" s="86"/>
      <c r="D106" s="86"/>
      <c r="E106" s="86"/>
      <c r="F106" s="86"/>
      <c r="G106" s="86"/>
      <c r="H106" s="86"/>
      <c r="I106" s="86"/>
      <c r="J106" s="86"/>
      <c r="K106" s="86"/>
    </row>
  </sheetData>
  <sheetProtection password="E4EA" sheet="1" objects="1" scenarios="1"/>
  <phoneticPr fontId="13"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2:IV116"/>
  <sheetViews>
    <sheetView workbookViewId="0">
      <selection activeCell="A2" sqref="A2"/>
    </sheetView>
  </sheetViews>
  <sheetFormatPr baseColWidth="10" defaultColWidth="9.140625" defaultRowHeight="11.25"/>
  <cols>
    <col min="1" max="1" width="29.140625" style="2" customWidth="1"/>
    <col min="2" max="2" width="9.140625" style="2"/>
    <col min="3" max="3" width="11.7109375" style="2" bestFit="1" customWidth="1"/>
    <col min="4" max="4" width="15.7109375" style="2" customWidth="1"/>
    <col min="5" max="5" width="13" style="2" customWidth="1"/>
    <col min="6" max="6" width="11.5703125" style="2" bestFit="1" customWidth="1"/>
    <col min="7" max="7" width="11.85546875" style="2" bestFit="1" customWidth="1"/>
    <col min="8" max="8" width="10.5703125" style="2" bestFit="1" customWidth="1"/>
    <col min="9" max="9" width="11.85546875" style="2" bestFit="1" customWidth="1"/>
    <col min="10" max="11" width="10.5703125" style="2" bestFit="1" customWidth="1"/>
    <col min="12" max="12" width="12.42578125" style="2" bestFit="1" customWidth="1"/>
    <col min="13" max="15" width="10.5703125" style="2" bestFit="1" customWidth="1"/>
    <col min="16" max="16" width="10" style="2" bestFit="1" customWidth="1"/>
    <col min="17" max="19" width="10.85546875" style="2" customWidth="1"/>
    <col min="20" max="20" width="9.85546875" style="2" bestFit="1" customWidth="1"/>
    <col min="21" max="16384" width="9.140625" style="2"/>
  </cols>
  <sheetData>
    <row r="2" spans="1:6" ht="15">
      <c r="A2" s="73" t="s">
        <v>91</v>
      </c>
    </row>
    <row r="4" spans="1:6" ht="12" thickBot="1">
      <c r="A4" s="1" t="s">
        <v>0</v>
      </c>
    </row>
    <row r="5" spans="1:6" ht="12" thickTop="1"/>
    <row r="6" spans="1:6">
      <c r="A6" s="2" t="s">
        <v>1</v>
      </c>
      <c r="E6" s="3">
        <v>2597737</v>
      </c>
      <c r="F6" s="2" t="s">
        <v>63</v>
      </c>
    </row>
    <row r="7" spans="1:6">
      <c r="A7" s="2" t="s">
        <v>61</v>
      </c>
      <c r="E7" s="3">
        <f>412000/1.11</f>
        <v>371171.17117117113</v>
      </c>
      <c r="F7" s="2" t="s">
        <v>62</v>
      </c>
    </row>
    <row r="8" spans="1:6">
      <c r="A8" s="2" t="s">
        <v>65</v>
      </c>
      <c r="E8" s="3"/>
      <c r="F8" s="2" t="s">
        <v>66</v>
      </c>
    </row>
    <row r="9" spans="1:6">
      <c r="A9" s="2" t="s">
        <v>55</v>
      </c>
      <c r="E9" s="3">
        <f>500000*1.5</f>
        <v>750000</v>
      </c>
      <c r="F9" s="2" t="s">
        <v>59</v>
      </c>
    </row>
    <row r="10" spans="1:6">
      <c r="A10" s="2" t="s">
        <v>56</v>
      </c>
      <c r="E10" s="3">
        <v>300000</v>
      </c>
      <c r="F10" s="2" t="s">
        <v>59</v>
      </c>
    </row>
    <row r="11" spans="1:6">
      <c r="A11" s="2" t="s">
        <v>57</v>
      </c>
      <c r="E11" s="3">
        <v>300000</v>
      </c>
    </row>
    <row r="12" spans="1:6">
      <c r="A12" s="2" t="s">
        <v>58</v>
      </c>
      <c r="E12" s="3"/>
    </row>
    <row r="13" spans="1:6">
      <c r="A13" s="2" t="s">
        <v>68</v>
      </c>
      <c r="E13" s="3"/>
    </row>
    <row r="14" spans="1:6">
      <c r="A14" s="2" t="s">
        <v>2</v>
      </c>
      <c r="E14" s="37">
        <f>SUM(E9:E13)</f>
        <v>1350000</v>
      </c>
    </row>
    <row r="15" spans="1:6">
      <c r="A15" s="2" t="s">
        <v>3</v>
      </c>
      <c r="E15" s="4">
        <v>3</v>
      </c>
    </row>
    <row r="16" spans="1:6">
      <c r="A16" s="2" t="s">
        <v>4</v>
      </c>
      <c r="E16" s="37">
        <f>E6+E7+E8+E14*E15</f>
        <v>7018908.1711711716</v>
      </c>
    </row>
    <row r="17" spans="1:5">
      <c r="A17" s="2" t="s">
        <v>5</v>
      </c>
      <c r="B17" s="2" t="s">
        <v>6</v>
      </c>
    </row>
    <row r="18" spans="1:5">
      <c r="A18" s="2" t="s">
        <v>39</v>
      </c>
      <c r="E18" s="37">
        <f ca="1">Alternative1!E18</f>
        <v>900000</v>
      </c>
    </row>
    <row r="19" spans="1:5" ht="12" thickBot="1">
      <c r="A19" s="1" t="s">
        <v>7</v>
      </c>
    </row>
    <row r="20" spans="1:5" ht="12" thickTop="1">
      <c r="A20" s="2" t="s">
        <v>8</v>
      </c>
      <c r="B20" s="4">
        <v>15</v>
      </c>
    </row>
    <row r="21" spans="1:5">
      <c r="A21" s="2" t="s">
        <v>9</v>
      </c>
      <c r="B21" s="4">
        <f ca="1">Alternative1!B22</f>
        <v>10</v>
      </c>
      <c r="C21" s="2" t="s">
        <v>29</v>
      </c>
      <c r="D21" s="37">
        <f>E16/B21</f>
        <v>701890.81711711711</v>
      </c>
      <c r="E21" s="2" t="s">
        <v>10</v>
      </c>
    </row>
    <row r="22" spans="1:5">
      <c r="A22" s="2" t="s">
        <v>11</v>
      </c>
      <c r="B22" s="4">
        <v>1.35</v>
      </c>
    </row>
    <row r="23" spans="1:5">
      <c r="A23" s="2" t="s">
        <v>31</v>
      </c>
      <c r="B23" s="5">
        <v>0.25</v>
      </c>
    </row>
    <row r="24" spans="1:5">
      <c r="B24" s="6"/>
    </row>
    <row r="25" spans="1:5" ht="12" thickBot="1">
      <c r="A25" s="1" t="s">
        <v>12</v>
      </c>
      <c r="B25" s="6"/>
    </row>
    <row r="26" spans="1:5" ht="12" thickTop="1">
      <c r="A26" s="2" t="s">
        <v>13</v>
      </c>
      <c r="B26" s="66">
        <f ca="1">WEM</f>
        <v>51.299035237487914</v>
      </c>
    </row>
    <row r="29" spans="1:5">
      <c r="A29" s="8"/>
    </row>
    <row r="30" spans="1:5" ht="12" thickBot="1">
      <c r="A30" s="1" t="s">
        <v>34</v>
      </c>
      <c r="B30" s="1"/>
    </row>
    <row r="31" spans="1:5" ht="12" thickTop="1">
      <c r="A31" s="2" t="s">
        <v>14</v>
      </c>
      <c r="C31" s="5">
        <v>0.7</v>
      </c>
    </row>
    <row r="32" spans="1:5">
      <c r="A32" s="2" t="s">
        <v>145</v>
      </c>
      <c r="C32" s="30">
        <f>C40*C33/1000</f>
        <v>18.158221032527006</v>
      </c>
      <c r="D32" s="2" t="s">
        <v>15</v>
      </c>
    </row>
    <row r="33" spans="1:20">
      <c r="A33" s="2" t="s">
        <v>37</v>
      </c>
      <c r="C33" s="5">
        <v>0.5</v>
      </c>
    </row>
    <row r="34" spans="1:20">
      <c r="A34" s="2" t="s">
        <v>16</v>
      </c>
      <c r="C34" s="7">
        <v>1E-3</v>
      </c>
      <c r="I34" s="21"/>
    </row>
    <row r="35" spans="1:20">
      <c r="A35" s="2" t="s">
        <v>17</v>
      </c>
      <c r="C35" s="28">
        <v>0.371</v>
      </c>
      <c r="I35" s="21"/>
    </row>
    <row r="36" spans="1:20">
      <c r="A36" s="2" t="s">
        <v>44</v>
      </c>
      <c r="C36" s="5">
        <v>0.9</v>
      </c>
      <c r="I36" s="21"/>
      <c r="K36" s="21"/>
    </row>
    <row r="37" spans="1:20">
      <c r="A37" s="2" t="s">
        <v>52</v>
      </c>
      <c r="C37" s="29">
        <v>8760</v>
      </c>
      <c r="D37" s="2" t="s">
        <v>20</v>
      </c>
      <c r="I37" s="21"/>
      <c r="K37" s="21"/>
    </row>
    <row r="38" spans="1:20">
      <c r="A38" s="2" t="s">
        <v>51</v>
      </c>
      <c r="C38" s="4">
        <f>101325*16/8314/298</f>
        <v>0.65435030747845069</v>
      </c>
    </row>
    <row r="39" spans="1:20" ht="14.25" customHeight="1">
      <c r="A39" s="2" t="s">
        <v>60</v>
      </c>
      <c r="C39" s="4">
        <v>55.5</v>
      </c>
    </row>
    <row r="40" spans="1:20">
      <c r="A40" s="2" t="s">
        <v>146</v>
      </c>
      <c r="C40" s="29">
        <f>C38*C39*1000</f>
        <v>36316.442065054012</v>
      </c>
    </row>
    <row r="43" spans="1:20" ht="12" thickBot="1">
      <c r="A43" s="1" t="s">
        <v>18</v>
      </c>
      <c r="I43" s="21"/>
    </row>
    <row r="44" spans="1:20" ht="12" thickTop="1">
      <c r="A44" s="2" t="s">
        <v>32</v>
      </c>
      <c r="C44" s="96">
        <f ca="1">Alternative1!C44*(1-10%)</f>
        <v>25.2</v>
      </c>
    </row>
    <row r="45" spans="1:20">
      <c r="A45" s="2" t="s">
        <v>19</v>
      </c>
      <c r="C45" s="19">
        <v>0</v>
      </c>
      <c r="D45" s="2" t="s">
        <v>27</v>
      </c>
    </row>
    <row r="46" spans="1:20">
      <c r="A46" s="2" t="s">
        <v>38</v>
      </c>
      <c r="C46" s="19">
        <v>40000</v>
      </c>
      <c r="D46" s="2" t="s">
        <v>67</v>
      </c>
      <c r="G46" s="23"/>
    </row>
    <row r="48" spans="1:20">
      <c r="C48" s="22"/>
      <c r="D48" s="22"/>
      <c r="E48" s="22"/>
      <c r="F48" s="22"/>
      <c r="G48" s="22"/>
      <c r="H48" s="22"/>
      <c r="I48" s="22"/>
      <c r="J48" s="22"/>
      <c r="K48" s="22"/>
      <c r="L48" s="22"/>
      <c r="M48" s="22"/>
      <c r="N48" s="22"/>
      <c r="O48" s="22"/>
      <c r="P48" s="22"/>
      <c r="Q48" s="22"/>
      <c r="R48" s="22"/>
      <c r="S48" s="22"/>
      <c r="T48" s="22"/>
    </row>
    <row r="49" spans="3:256">
      <c r="C49" s="22"/>
      <c r="D49" s="22"/>
      <c r="E49" s="22"/>
      <c r="F49" s="22"/>
      <c r="G49" s="22"/>
      <c r="H49" s="22"/>
      <c r="I49" s="22"/>
      <c r="J49" s="22"/>
      <c r="K49" s="22"/>
      <c r="L49" s="22"/>
      <c r="M49" s="22"/>
      <c r="N49" s="22"/>
      <c r="O49" s="22"/>
      <c r="P49" s="22"/>
      <c r="Q49" s="22"/>
      <c r="R49" s="22"/>
      <c r="S49" s="22"/>
      <c r="T49" s="22"/>
    </row>
    <row r="50" spans="3:256">
      <c r="E50" s="11">
        <v>39813</v>
      </c>
      <c r="F50" s="11">
        <v>40178</v>
      </c>
      <c r="G50" s="11">
        <v>40543</v>
      </c>
      <c r="H50" s="11">
        <v>40908</v>
      </c>
      <c r="I50" s="11">
        <v>41274</v>
      </c>
      <c r="J50" s="11">
        <v>41639</v>
      </c>
      <c r="K50" s="11">
        <v>42004</v>
      </c>
      <c r="L50" s="11">
        <v>42369</v>
      </c>
      <c r="M50" s="11">
        <v>42735</v>
      </c>
      <c r="N50" s="11">
        <v>43100</v>
      </c>
      <c r="O50" s="11">
        <v>43465</v>
      </c>
      <c r="P50" s="11">
        <v>43830</v>
      </c>
      <c r="Q50" s="11">
        <v>44196</v>
      </c>
      <c r="R50" s="11">
        <v>44561</v>
      </c>
      <c r="S50" s="11">
        <v>44926</v>
      </c>
      <c r="T50" s="11">
        <v>45291</v>
      </c>
    </row>
    <row r="52" spans="3:256">
      <c r="F52" s="2">
        <v>1</v>
      </c>
      <c r="G52" s="2">
        <v>2</v>
      </c>
      <c r="H52" s="2">
        <f>G52+1</f>
        <v>3</v>
      </c>
      <c r="I52" s="2">
        <f t="shared" ref="I52:R52" si="0">H52+1</f>
        <v>4</v>
      </c>
      <c r="J52" s="2">
        <f t="shared" si="0"/>
        <v>5</v>
      </c>
      <c r="K52" s="2">
        <f t="shared" si="0"/>
        <v>6</v>
      </c>
      <c r="L52" s="2">
        <f t="shared" si="0"/>
        <v>7</v>
      </c>
      <c r="M52" s="2">
        <f t="shared" si="0"/>
        <v>8</v>
      </c>
      <c r="N52" s="2">
        <f t="shared" si="0"/>
        <v>9</v>
      </c>
      <c r="O52" s="2">
        <f t="shared" si="0"/>
        <v>10</v>
      </c>
      <c r="P52" s="2">
        <f t="shared" si="0"/>
        <v>11</v>
      </c>
      <c r="Q52" s="2">
        <f t="shared" si="0"/>
        <v>12</v>
      </c>
      <c r="R52" s="2">
        <f t="shared" si="0"/>
        <v>13</v>
      </c>
      <c r="S52" s="2">
        <f>R52+1</f>
        <v>14</v>
      </c>
      <c r="T52" s="2">
        <f>S52+1</f>
        <v>15</v>
      </c>
    </row>
    <row r="53" spans="3:256" ht="7.5" customHeight="1"/>
    <row r="54" spans="3:256" ht="7.5" customHeight="1"/>
    <row r="55" spans="3:256">
      <c r="C55" s="9" t="s">
        <v>21</v>
      </c>
      <c r="D55" s="67">
        <f>B26</f>
        <v>51.299035237487914</v>
      </c>
      <c r="F55" s="13">
        <f>$D$55</f>
        <v>51.299035237487914</v>
      </c>
      <c r="G55" s="13">
        <f t="shared" ref="G55:T55" si="1">$D$55</f>
        <v>51.299035237487914</v>
      </c>
      <c r="H55" s="13">
        <f t="shared" si="1"/>
        <v>51.299035237487914</v>
      </c>
      <c r="I55" s="13">
        <f t="shared" si="1"/>
        <v>51.299035237487914</v>
      </c>
      <c r="J55" s="13">
        <f t="shared" si="1"/>
        <v>51.299035237487914</v>
      </c>
      <c r="K55" s="13">
        <f t="shared" si="1"/>
        <v>51.299035237487914</v>
      </c>
      <c r="L55" s="13">
        <f t="shared" si="1"/>
        <v>51.299035237487914</v>
      </c>
      <c r="M55" s="13">
        <f t="shared" si="1"/>
        <v>51.299035237487914</v>
      </c>
      <c r="N55" s="13">
        <f t="shared" si="1"/>
        <v>51.299035237487914</v>
      </c>
      <c r="O55" s="13">
        <f t="shared" si="1"/>
        <v>51.299035237487914</v>
      </c>
      <c r="P55" s="13">
        <f t="shared" si="1"/>
        <v>51.299035237487914</v>
      </c>
      <c r="Q55" s="13">
        <f t="shared" si="1"/>
        <v>51.299035237487914</v>
      </c>
      <c r="R55" s="13">
        <f t="shared" si="1"/>
        <v>51.299035237487914</v>
      </c>
      <c r="S55" s="13">
        <f t="shared" si="1"/>
        <v>51.299035237487914</v>
      </c>
      <c r="T55" s="13">
        <f t="shared" si="1"/>
        <v>51.299035237487914</v>
      </c>
    </row>
    <row r="56" spans="3:256" ht="5.25" customHeight="1">
      <c r="C56" s="9"/>
      <c r="D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row>
    <row r="57" spans="3:256">
      <c r="C57" s="9" t="s">
        <v>22</v>
      </c>
      <c r="D57" s="12"/>
      <c r="F57" s="13">
        <v>22346.677920401315</v>
      </c>
      <c r="G57" s="13">
        <v>23731.718395392007</v>
      </c>
      <c r="H57" s="13">
        <v>24977.370885892011</v>
      </c>
      <c r="I57" s="13">
        <v>26246.840195630495</v>
      </c>
      <c r="J57" s="13">
        <v>27102.733094479103</v>
      </c>
      <c r="K57" s="13">
        <v>27161.453021902002</v>
      </c>
      <c r="L57" s="13">
        <v>24345.245432552016</v>
      </c>
      <c r="M57" s="13">
        <v>21904.541291505648</v>
      </c>
      <c r="N57" s="13">
        <v>19781.748299988245</v>
      </c>
      <c r="O57" s="13">
        <v>17928.653758553002</v>
      </c>
      <c r="P57" s="13">
        <v>16304.861643615659</v>
      </c>
      <c r="Q57" s="13">
        <v>14876.492313699584</v>
      </c>
      <c r="R57" s="13">
        <v>13615.10057656947</v>
      </c>
      <c r="S57" s="13">
        <v>12496.775319142103</v>
      </c>
      <c r="T57" s="13">
        <v>11501.390111449493</v>
      </c>
      <c r="U57" s="2" t="s">
        <v>46</v>
      </c>
    </row>
    <row r="58" spans="3:256">
      <c r="C58" s="9" t="s">
        <v>48</v>
      </c>
      <c r="D58" s="12"/>
      <c r="F58" s="24">
        <f t="shared" ref="F58:T58" si="2">F57*1000</f>
        <v>22346677.920401316</v>
      </c>
      <c r="G58" s="24">
        <f t="shared" si="2"/>
        <v>23731718.395392008</v>
      </c>
      <c r="H58" s="24">
        <f t="shared" si="2"/>
        <v>24977370.885892011</v>
      </c>
      <c r="I58" s="24">
        <f t="shared" si="2"/>
        <v>26246840.195630495</v>
      </c>
      <c r="J58" s="24">
        <f t="shared" si="2"/>
        <v>27102733.094479103</v>
      </c>
      <c r="K58" s="24">
        <f t="shared" si="2"/>
        <v>27161453.021902002</v>
      </c>
      <c r="L58" s="24">
        <f t="shared" si="2"/>
        <v>24345245.432552017</v>
      </c>
      <c r="M58" s="24">
        <f t="shared" si="2"/>
        <v>21904541.291505646</v>
      </c>
      <c r="N58" s="24">
        <f t="shared" si="2"/>
        <v>19781748.299988244</v>
      </c>
      <c r="O58" s="24">
        <f t="shared" si="2"/>
        <v>17928653.758553002</v>
      </c>
      <c r="P58" s="24">
        <f t="shared" si="2"/>
        <v>16304861.643615659</v>
      </c>
      <c r="Q58" s="24">
        <f t="shared" si="2"/>
        <v>14876492.313699584</v>
      </c>
      <c r="R58" s="24">
        <f t="shared" si="2"/>
        <v>13615100.57656947</v>
      </c>
      <c r="S58" s="24">
        <f t="shared" si="2"/>
        <v>12496775.319142103</v>
      </c>
      <c r="T58" s="24">
        <f t="shared" si="2"/>
        <v>11501390.111449493</v>
      </c>
    </row>
    <row r="59" spans="3:256">
      <c r="C59" s="9" t="s">
        <v>49</v>
      </c>
      <c r="D59" s="12"/>
      <c r="F59" s="24">
        <f t="shared" ref="F59:T59" si="3">F58*$C$31</f>
        <v>15642674.54428092</v>
      </c>
      <c r="G59" s="24">
        <f t="shared" si="3"/>
        <v>16612202.876774404</v>
      </c>
      <c r="H59" s="24">
        <f t="shared" si="3"/>
        <v>17484159.620124407</v>
      </c>
      <c r="I59" s="24">
        <f t="shared" si="3"/>
        <v>18372788.136941344</v>
      </c>
      <c r="J59" s="24">
        <f t="shared" si="3"/>
        <v>18971913.166135371</v>
      </c>
      <c r="K59" s="24">
        <f t="shared" si="3"/>
        <v>19013017.1153314</v>
      </c>
      <c r="L59" s="24">
        <f t="shared" si="3"/>
        <v>17041671.80278641</v>
      </c>
      <c r="M59" s="24">
        <f t="shared" si="3"/>
        <v>15333178.904053951</v>
      </c>
      <c r="N59" s="24">
        <f t="shared" si="3"/>
        <v>13847223.809991769</v>
      </c>
      <c r="O59" s="24">
        <f t="shared" si="3"/>
        <v>12550057.6309871</v>
      </c>
      <c r="P59" s="24">
        <f t="shared" si="3"/>
        <v>11413403.15053096</v>
      </c>
      <c r="Q59" s="24">
        <f t="shared" si="3"/>
        <v>10413544.619589709</v>
      </c>
      <c r="R59" s="24">
        <f t="shared" si="3"/>
        <v>9530570.4035986289</v>
      </c>
      <c r="S59" s="24">
        <f t="shared" si="3"/>
        <v>8747742.7233994715</v>
      </c>
      <c r="T59" s="24">
        <f t="shared" si="3"/>
        <v>8050973.0780146448</v>
      </c>
    </row>
    <row r="60" spans="3:256">
      <c r="C60" s="9" t="s">
        <v>50</v>
      </c>
      <c r="D60" s="12"/>
      <c r="F60" s="24">
        <f t="shared" ref="F60:T60" si="4">F59*$C$32</f>
        <v>284043141.9149366</v>
      </c>
      <c r="G60" s="24">
        <f t="shared" si="4"/>
        <v>301648051.67365062</v>
      </c>
      <c r="H60" s="24">
        <f t="shared" si="4"/>
        <v>317481234.95020241</v>
      </c>
      <c r="I60" s="24">
        <f t="shared" si="4"/>
        <v>333617147.97437096</v>
      </c>
      <c r="J60" s="24">
        <f t="shared" si="4"/>
        <v>344496192.68059534</v>
      </c>
      <c r="K60" s="24">
        <f t="shared" si="4"/>
        <v>345242567.2754066</v>
      </c>
      <c r="L60" s="24">
        <f t="shared" si="4"/>
        <v>309446443.3587786</v>
      </c>
      <c r="M60" s="24">
        <f t="shared" si="4"/>
        <v>278423251.67109185</v>
      </c>
      <c r="N60" s="24">
        <f t="shared" si="4"/>
        <v>251440950.6287013</v>
      </c>
      <c r="O60" s="24">
        <f t="shared" si="4"/>
        <v>227886720.43441603</v>
      </c>
      <c r="P60" s="24">
        <f t="shared" si="4"/>
        <v>207247097.14068127</v>
      </c>
      <c r="Q60" s="24">
        <f t="shared" si="4"/>
        <v>189091444.93459228</v>
      </c>
      <c r="R60" s="24">
        <f t="shared" si="4"/>
        <v>173058203.95460403</v>
      </c>
      <c r="S60" s="24">
        <f t="shared" si="4"/>
        <v>158843445.90716735</v>
      </c>
      <c r="T60" s="24">
        <f t="shared" si="4"/>
        <v>146191348.67751423</v>
      </c>
    </row>
    <row r="61" spans="3:256">
      <c r="C61" s="9" t="s">
        <v>53</v>
      </c>
      <c r="D61" s="12"/>
      <c r="F61" s="13">
        <f t="shared" ref="F61:T61" si="5">F60/3.6/1000</f>
        <v>78900.872754149052</v>
      </c>
      <c r="G61" s="13">
        <f t="shared" si="5"/>
        <v>83791.125464902958</v>
      </c>
      <c r="H61" s="13">
        <f t="shared" si="5"/>
        <v>88189.231930611772</v>
      </c>
      <c r="I61" s="13">
        <f t="shared" si="5"/>
        <v>92671.429992880818</v>
      </c>
      <c r="J61" s="13">
        <f t="shared" si="5"/>
        <v>95693.386855720921</v>
      </c>
      <c r="K61" s="13">
        <f t="shared" si="5"/>
        <v>95900.713132057383</v>
      </c>
      <c r="L61" s="13">
        <f t="shared" si="5"/>
        <v>85957.345377438498</v>
      </c>
      <c r="M61" s="13">
        <f t="shared" si="5"/>
        <v>77339.792130858856</v>
      </c>
      <c r="N61" s="13">
        <f t="shared" si="5"/>
        <v>69844.70850797258</v>
      </c>
      <c r="O61" s="13">
        <f t="shared" si="5"/>
        <v>63301.866787337778</v>
      </c>
      <c r="P61" s="13">
        <f t="shared" si="5"/>
        <v>57568.638094633687</v>
      </c>
      <c r="Q61" s="13">
        <f t="shared" si="5"/>
        <v>52525.401370720072</v>
      </c>
      <c r="R61" s="13">
        <f t="shared" si="5"/>
        <v>48071.723320723337</v>
      </c>
      <c r="S61" s="13">
        <f t="shared" si="5"/>
        <v>44123.179418657593</v>
      </c>
      <c r="T61" s="13">
        <f t="shared" si="5"/>
        <v>40608.707965976173</v>
      </c>
    </row>
    <row r="62" spans="3:256" ht="12" customHeight="1">
      <c r="C62" s="9" t="s">
        <v>54</v>
      </c>
      <c r="D62" s="33">
        <v>1</v>
      </c>
      <c r="F62" s="15">
        <f>F61*$C$35*$C$36*$D$62</f>
        <v>26345.001412610367</v>
      </c>
      <c r="G62" s="15">
        <f t="shared" ref="G62:T62" si="6">G61*$C$35*$C$36*$D$62</f>
        <v>27977.856792731098</v>
      </c>
      <c r="H62" s="15">
        <f t="shared" si="6"/>
        <v>29446.384541631272</v>
      </c>
      <c r="I62" s="15">
        <f t="shared" si="6"/>
        <v>30942.990474622904</v>
      </c>
      <c r="J62" s="15">
        <f t="shared" si="6"/>
        <v>31952.021871125213</v>
      </c>
      <c r="K62" s="15">
        <f t="shared" si="6"/>
        <v>32021.248114793958</v>
      </c>
      <c r="L62" s="15">
        <f t="shared" si="6"/>
        <v>28701.157621526716</v>
      </c>
      <c r="M62" s="15">
        <f t="shared" si="6"/>
        <v>25823.75659249377</v>
      </c>
      <c r="N62" s="15">
        <f t="shared" si="6"/>
        <v>23321.148170812045</v>
      </c>
      <c r="O62" s="15">
        <f t="shared" si="6"/>
        <v>21136.493320292084</v>
      </c>
      <c r="P62" s="15">
        <f t="shared" si="6"/>
        <v>19222.168259798189</v>
      </c>
      <c r="Q62" s="15">
        <f t="shared" si="6"/>
        <v>17538.231517683435</v>
      </c>
      <c r="R62" s="15">
        <f t="shared" si="6"/>
        <v>16051.148416789523</v>
      </c>
      <c r="S62" s="15">
        <f t="shared" si="6"/>
        <v>14732.729607889771</v>
      </c>
      <c r="T62" s="15">
        <f t="shared" si="6"/>
        <v>13559.247589839444</v>
      </c>
    </row>
    <row r="63" spans="3:256" ht="5.25" customHeight="1">
      <c r="C63" s="9"/>
      <c r="D63" s="12"/>
      <c r="E63" s="12"/>
      <c r="F63" s="12"/>
      <c r="G63" s="12"/>
      <c r="H63" s="12"/>
      <c r="I63" s="12"/>
      <c r="J63" s="12"/>
      <c r="K63" s="12"/>
      <c r="L63" s="12"/>
      <c r="M63" s="12"/>
      <c r="N63" s="12"/>
      <c r="O63" s="12"/>
      <c r="P63" s="12"/>
      <c r="Q63" s="12"/>
      <c r="R63" s="12"/>
      <c r="S63" s="12"/>
      <c r="T63" s="12"/>
    </row>
    <row r="64" spans="3:256">
      <c r="C64" s="9" t="s">
        <v>36</v>
      </c>
      <c r="D64" s="13">
        <f>E15</f>
        <v>3</v>
      </c>
      <c r="E64" s="14"/>
      <c r="F64" s="13">
        <f>$D$62*F62/(8760)</f>
        <v>3.0074202525810922</v>
      </c>
      <c r="G64" s="13">
        <f t="shared" ref="G64:T64" si="7">$D$62*G62/(8760)</f>
        <v>3.1938192685766094</v>
      </c>
      <c r="H64" s="13">
        <f t="shared" si="7"/>
        <v>3.3614594225606473</v>
      </c>
      <c r="I64" s="13">
        <f t="shared" si="7"/>
        <v>3.5323048487012447</v>
      </c>
      <c r="J64" s="13">
        <f t="shared" si="7"/>
        <v>3.6474910811786772</v>
      </c>
      <c r="K64" s="13">
        <f t="shared" si="7"/>
        <v>3.6553936204102691</v>
      </c>
      <c r="L64" s="13">
        <f t="shared" si="7"/>
        <v>3.2763878563386664</v>
      </c>
      <c r="M64" s="13">
        <f t="shared" si="7"/>
        <v>2.9479174192344488</v>
      </c>
      <c r="N64" s="13">
        <f t="shared" si="7"/>
        <v>2.6622315263484069</v>
      </c>
      <c r="O64" s="13">
        <f t="shared" si="7"/>
        <v>2.4128417032296898</v>
      </c>
      <c r="P64" s="13">
        <f t="shared" si="7"/>
        <v>2.1943114451824415</v>
      </c>
      <c r="Q64" s="13">
        <f t="shared" si="7"/>
        <v>2.002081223479844</v>
      </c>
      <c r="R64" s="13">
        <f t="shared" si="7"/>
        <v>1.8323228786289409</v>
      </c>
      <c r="S64" s="13">
        <f t="shared" si="7"/>
        <v>1.6818184483892433</v>
      </c>
      <c r="T64" s="13">
        <f t="shared" si="7"/>
        <v>1.5478593139086123</v>
      </c>
    </row>
    <row r="65" spans="2:256">
      <c r="C65" s="9" t="s">
        <v>45</v>
      </c>
      <c r="D65" s="13">
        <f>E15*C37</f>
        <v>26280</v>
      </c>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row>
    <row r="66" spans="2:256">
      <c r="C66" s="9" t="s">
        <v>42</v>
      </c>
      <c r="F66" s="13">
        <f>MIN($D$65,F62)</f>
        <v>26280</v>
      </c>
      <c r="G66" s="13">
        <f t="shared" ref="G66:T66" si="8">MIN($D$65,G62)</f>
        <v>26280</v>
      </c>
      <c r="H66" s="13">
        <f t="shared" si="8"/>
        <v>26280</v>
      </c>
      <c r="I66" s="13">
        <f t="shared" si="8"/>
        <v>26280</v>
      </c>
      <c r="J66" s="13">
        <f t="shared" si="8"/>
        <v>26280</v>
      </c>
      <c r="K66" s="13">
        <f t="shared" si="8"/>
        <v>26280</v>
      </c>
      <c r="L66" s="13">
        <f t="shared" si="8"/>
        <v>26280</v>
      </c>
      <c r="M66" s="13">
        <f t="shared" si="8"/>
        <v>25823.75659249377</v>
      </c>
      <c r="N66" s="13">
        <f t="shared" si="8"/>
        <v>23321.148170812045</v>
      </c>
      <c r="O66" s="13">
        <f t="shared" si="8"/>
        <v>21136.493320292084</v>
      </c>
      <c r="P66" s="13">
        <f t="shared" si="8"/>
        <v>19222.168259798189</v>
      </c>
      <c r="Q66" s="13">
        <f t="shared" si="8"/>
        <v>17538.231517683435</v>
      </c>
      <c r="R66" s="13">
        <f t="shared" si="8"/>
        <v>16051.148416789523</v>
      </c>
      <c r="S66" s="13">
        <f t="shared" si="8"/>
        <v>14732.729607889771</v>
      </c>
      <c r="T66" s="13">
        <f t="shared" si="8"/>
        <v>13559.247589839444</v>
      </c>
    </row>
    <row r="68" spans="2:256">
      <c r="C68" s="9" t="s">
        <v>23</v>
      </c>
      <c r="F68" s="15">
        <f>F55*F66</f>
        <v>1348138.6460411823</v>
      </c>
      <c r="G68" s="15">
        <f t="shared" ref="G68:R68" si="9">G55*G66</f>
        <v>1348138.6460411823</v>
      </c>
      <c r="H68" s="15">
        <f t="shared" si="9"/>
        <v>1348138.6460411823</v>
      </c>
      <c r="I68" s="15">
        <f t="shared" si="9"/>
        <v>1348138.6460411823</v>
      </c>
      <c r="J68" s="15">
        <f t="shared" si="9"/>
        <v>1348138.6460411823</v>
      </c>
      <c r="K68" s="15">
        <f t="shared" si="9"/>
        <v>1348138.6460411823</v>
      </c>
      <c r="L68" s="15">
        <f t="shared" si="9"/>
        <v>1348138.6460411823</v>
      </c>
      <c r="M68" s="15">
        <f t="shared" si="9"/>
        <v>1324733.7994026488</v>
      </c>
      <c r="N68" s="15">
        <f t="shared" si="9"/>
        <v>1196352.401793164</v>
      </c>
      <c r="O68" s="15">
        <f t="shared" si="9"/>
        <v>1084281.7156345914</v>
      </c>
      <c r="P68" s="15">
        <f t="shared" si="9"/>
        <v>986078.68690030905</v>
      </c>
      <c r="Q68" s="15">
        <f t="shared" si="9"/>
        <v>899694.35662886361</v>
      </c>
      <c r="R68" s="15">
        <f t="shared" si="9"/>
        <v>823408.42823503411</v>
      </c>
      <c r="S68" s="15">
        <f>S55*S66</f>
        <v>755774.81529951887</v>
      </c>
      <c r="T68" s="15">
        <f>T55*T66</f>
        <v>695576.31990499666</v>
      </c>
    </row>
    <row r="69" spans="2:256">
      <c r="B69" s="2" t="s">
        <v>18</v>
      </c>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c r="IU69" s="9"/>
      <c r="IV69" s="9"/>
    </row>
    <row r="70" spans="2:256">
      <c r="C70" s="9" t="str">
        <f>A44</f>
        <v>Cost per MWh Generated</v>
      </c>
      <c r="D70" s="14">
        <f>C44</f>
        <v>25.2</v>
      </c>
      <c r="E70" s="9"/>
      <c r="F70" s="17">
        <f>$D$70*F66</f>
        <v>662256</v>
      </c>
      <c r="G70" s="17">
        <f t="shared" ref="G70:T70" si="10">$D$70*G66</f>
        <v>662256</v>
      </c>
      <c r="H70" s="17">
        <f t="shared" si="10"/>
        <v>662256</v>
      </c>
      <c r="I70" s="17">
        <f t="shared" si="10"/>
        <v>662256</v>
      </c>
      <c r="J70" s="17">
        <f t="shared" si="10"/>
        <v>662256</v>
      </c>
      <c r="K70" s="17">
        <f t="shared" si="10"/>
        <v>662256</v>
      </c>
      <c r="L70" s="17">
        <f t="shared" si="10"/>
        <v>662256</v>
      </c>
      <c r="M70" s="17">
        <f t="shared" si="10"/>
        <v>650758.66613084299</v>
      </c>
      <c r="N70" s="17">
        <f t="shared" si="10"/>
        <v>587692.93390446354</v>
      </c>
      <c r="O70" s="17">
        <f t="shared" si="10"/>
        <v>532639.63167136046</v>
      </c>
      <c r="P70" s="17">
        <f t="shared" si="10"/>
        <v>484398.64014691435</v>
      </c>
      <c r="Q70" s="17">
        <f t="shared" si="10"/>
        <v>441963.43424562254</v>
      </c>
      <c r="R70" s="17">
        <f t="shared" si="10"/>
        <v>404488.94010309596</v>
      </c>
      <c r="S70" s="17">
        <f t="shared" si="10"/>
        <v>371264.78611882223</v>
      </c>
      <c r="T70" s="17">
        <f t="shared" si="10"/>
        <v>341693.03926395398</v>
      </c>
    </row>
    <row r="71" spans="2:256">
      <c r="C71" s="9" t="str">
        <f>A46</f>
        <v>Admin costs and insurances per year</v>
      </c>
      <c r="D71" s="36">
        <f>C46</f>
        <v>40000</v>
      </c>
      <c r="E71" s="9"/>
      <c r="F71" s="17">
        <f>$D$71</f>
        <v>40000</v>
      </c>
      <c r="G71" s="17">
        <f>$D$71</f>
        <v>40000</v>
      </c>
      <c r="H71" s="17">
        <f t="shared" ref="H71:T71" si="11">$D$71</f>
        <v>40000</v>
      </c>
      <c r="I71" s="17">
        <f t="shared" si="11"/>
        <v>40000</v>
      </c>
      <c r="J71" s="17">
        <f t="shared" si="11"/>
        <v>40000</v>
      </c>
      <c r="K71" s="17">
        <f t="shared" si="11"/>
        <v>40000</v>
      </c>
      <c r="L71" s="17">
        <f t="shared" si="11"/>
        <v>40000</v>
      </c>
      <c r="M71" s="17">
        <f t="shared" si="11"/>
        <v>40000</v>
      </c>
      <c r="N71" s="17">
        <f t="shared" si="11"/>
        <v>40000</v>
      </c>
      <c r="O71" s="17">
        <f t="shared" si="11"/>
        <v>40000</v>
      </c>
      <c r="P71" s="17">
        <f t="shared" si="11"/>
        <v>40000</v>
      </c>
      <c r="Q71" s="17">
        <f t="shared" si="11"/>
        <v>40000</v>
      </c>
      <c r="R71" s="17">
        <f t="shared" si="11"/>
        <v>40000</v>
      </c>
      <c r="S71" s="17">
        <f t="shared" si="11"/>
        <v>40000</v>
      </c>
      <c r="T71" s="17">
        <f t="shared" si="11"/>
        <v>40000</v>
      </c>
    </row>
    <row r="72" spans="2:256">
      <c r="C72" s="9"/>
      <c r="E72" s="9"/>
    </row>
    <row r="73" spans="2:256">
      <c r="C73" s="9" t="s">
        <v>28</v>
      </c>
      <c r="D73" s="10">
        <v>0.25</v>
      </c>
      <c r="F73" s="16">
        <f t="shared" ref="F73:T73" si="12">IF((F68-SUM(F70:F71)-$D$21)&gt;0,(F68-SUM(F70:F71)-$D$21)*$D$73,0)</f>
        <v>0</v>
      </c>
      <c r="G73" s="16">
        <f t="shared" si="12"/>
        <v>0</v>
      </c>
      <c r="H73" s="16">
        <f t="shared" si="12"/>
        <v>0</v>
      </c>
      <c r="I73" s="16">
        <f t="shared" si="12"/>
        <v>0</v>
      </c>
      <c r="J73" s="16">
        <f t="shared" si="12"/>
        <v>0</v>
      </c>
      <c r="K73" s="16">
        <f t="shared" si="12"/>
        <v>0</v>
      </c>
      <c r="L73" s="16">
        <f t="shared" si="12"/>
        <v>0</v>
      </c>
      <c r="M73" s="16">
        <f t="shared" si="12"/>
        <v>0</v>
      </c>
      <c r="N73" s="16">
        <f t="shared" si="12"/>
        <v>0</v>
      </c>
      <c r="O73" s="16">
        <f t="shared" si="12"/>
        <v>0</v>
      </c>
      <c r="P73" s="16">
        <f t="shared" si="12"/>
        <v>0</v>
      </c>
      <c r="Q73" s="16">
        <f t="shared" si="12"/>
        <v>0</v>
      </c>
      <c r="R73" s="16">
        <f t="shared" si="12"/>
        <v>0</v>
      </c>
      <c r="S73" s="16">
        <f t="shared" si="12"/>
        <v>0</v>
      </c>
      <c r="T73" s="16">
        <f t="shared" si="12"/>
        <v>0</v>
      </c>
    </row>
    <row r="75" spans="2:256">
      <c r="C75" s="2" t="s">
        <v>24</v>
      </c>
      <c r="F75" s="15">
        <f t="shared" ref="F75:T75" si="13">F68-SUM(F70:F73)</f>
        <v>645882.64604118234</v>
      </c>
      <c r="G75" s="15">
        <f t="shared" si="13"/>
        <v>645882.64604118234</v>
      </c>
      <c r="H75" s="15">
        <f t="shared" si="13"/>
        <v>645882.64604118234</v>
      </c>
      <c r="I75" s="15">
        <f t="shared" si="13"/>
        <v>645882.64604118234</v>
      </c>
      <c r="J75" s="15">
        <f t="shared" si="13"/>
        <v>645882.64604118234</v>
      </c>
      <c r="K75" s="15">
        <f t="shared" si="13"/>
        <v>645882.64604118234</v>
      </c>
      <c r="L75" s="15">
        <f t="shared" si="13"/>
        <v>645882.64604118234</v>
      </c>
      <c r="M75" s="15">
        <f t="shared" si="13"/>
        <v>633975.13327180583</v>
      </c>
      <c r="N75" s="15">
        <f t="shared" si="13"/>
        <v>568659.46788870043</v>
      </c>
      <c r="O75" s="15">
        <f t="shared" si="13"/>
        <v>511642.08396323095</v>
      </c>
      <c r="P75" s="15">
        <f t="shared" si="13"/>
        <v>461680.04675339465</v>
      </c>
      <c r="Q75" s="15">
        <f t="shared" si="13"/>
        <v>417730.92238324106</v>
      </c>
      <c r="R75" s="15">
        <f t="shared" si="13"/>
        <v>378919.48813193815</v>
      </c>
      <c r="S75" s="15">
        <f t="shared" si="13"/>
        <v>344510.02918069664</v>
      </c>
      <c r="T75" s="15">
        <f t="shared" si="13"/>
        <v>313883.28064104269</v>
      </c>
    </row>
    <row r="76" spans="2:256" ht="12" thickBot="1"/>
    <row r="77" spans="2:256" ht="12" thickBot="1">
      <c r="C77" s="9" t="s">
        <v>40</v>
      </c>
      <c r="E77" s="38">
        <f>-E16</f>
        <v>-7018908.1711711716</v>
      </c>
    </row>
    <row r="78" spans="2:256">
      <c r="C78" s="9" t="s">
        <v>25</v>
      </c>
      <c r="F78" s="25">
        <f>F75</f>
        <v>645882.64604118234</v>
      </c>
      <c r="G78" s="25">
        <f>G75</f>
        <v>645882.64604118234</v>
      </c>
      <c r="H78" s="25">
        <f>H75</f>
        <v>645882.64604118234</v>
      </c>
      <c r="I78" s="25">
        <f>I75</f>
        <v>645882.64604118234</v>
      </c>
      <c r="J78" s="25">
        <f t="shared" ref="J78:T78" si="14">J75</f>
        <v>645882.64604118234</v>
      </c>
      <c r="K78" s="25">
        <f t="shared" si="14"/>
        <v>645882.64604118234</v>
      </c>
      <c r="L78" s="25">
        <f t="shared" si="14"/>
        <v>645882.64604118234</v>
      </c>
      <c r="M78" s="25">
        <f t="shared" si="14"/>
        <v>633975.13327180583</v>
      </c>
      <c r="N78" s="25">
        <f t="shared" si="14"/>
        <v>568659.46788870043</v>
      </c>
      <c r="O78" s="25">
        <f t="shared" si="14"/>
        <v>511642.08396323095</v>
      </c>
      <c r="P78" s="25">
        <f t="shared" si="14"/>
        <v>461680.04675339465</v>
      </c>
      <c r="Q78" s="25">
        <f t="shared" si="14"/>
        <v>417730.92238324106</v>
      </c>
      <c r="R78" s="25">
        <f t="shared" si="14"/>
        <v>378919.48813193815</v>
      </c>
      <c r="S78" s="25">
        <f t="shared" si="14"/>
        <v>344510.02918069664</v>
      </c>
      <c r="T78" s="25">
        <f t="shared" si="14"/>
        <v>313883.28064104269</v>
      </c>
    </row>
    <row r="79" spans="2:256" ht="12" thickBot="1">
      <c r="C79" s="9" t="s">
        <v>41</v>
      </c>
      <c r="E79" s="1"/>
      <c r="F79" s="1"/>
      <c r="G79" s="1"/>
      <c r="H79" s="1"/>
      <c r="I79" s="1"/>
      <c r="J79" s="1"/>
      <c r="K79" s="1"/>
      <c r="L79" s="1"/>
      <c r="M79" s="1"/>
      <c r="N79" s="1"/>
      <c r="O79" s="1"/>
      <c r="P79" s="1"/>
      <c r="Q79" s="1"/>
      <c r="R79" s="1"/>
      <c r="S79" s="1"/>
      <c r="T79" s="26">
        <f>E18</f>
        <v>900000</v>
      </c>
    </row>
    <row r="80" spans="2:256" ht="6.75" customHeight="1" thickTop="1"/>
    <row r="81" spans="1:20">
      <c r="C81" s="2" t="s">
        <v>25</v>
      </c>
      <c r="E81" s="15">
        <f>SUM(E77:E79)</f>
        <v>-7018908.1711711716</v>
      </c>
      <c r="F81" s="15">
        <f>SUM(F77:F79)</f>
        <v>645882.64604118234</v>
      </c>
      <c r="G81" s="15">
        <f t="shared" ref="G81:T81" si="15">SUM(G77:G79)</f>
        <v>645882.64604118234</v>
      </c>
      <c r="H81" s="15">
        <f t="shared" si="15"/>
        <v>645882.64604118234</v>
      </c>
      <c r="I81" s="15">
        <f t="shared" si="15"/>
        <v>645882.64604118234</v>
      </c>
      <c r="J81" s="15">
        <f t="shared" si="15"/>
        <v>645882.64604118234</v>
      </c>
      <c r="K81" s="15">
        <f t="shared" si="15"/>
        <v>645882.64604118234</v>
      </c>
      <c r="L81" s="15">
        <f t="shared" si="15"/>
        <v>645882.64604118234</v>
      </c>
      <c r="M81" s="15">
        <f t="shared" si="15"/>
        <v>633975.13327180583</v>
      </c>
      <c r="N81" s="15">
        <f t="shared" si="15"/>
        <v>568659.46788870043</v>
      </c>
      <c r="O81" s="15">
        <f t="shared" si="15"/>
        <v>511642.08396323095</v>
      </c>
      <c r="P81" s="15">
        <f t="shared" si="15"/>
        <v>461680.04675339465</v>
      </c>
      <c r="Q81" s="15">
        <f t="shared" si="15"/>
        <v>417730.92238324106</v>
      </c>
      <c r="R81" s="15">
        <f t="shared" si="15"/>
        <v>378919.48813193815</v>
      </c>
      <c r="S81" s="15">
        <f t="shared" si="15"/>
        <v>344510.02918069664</v>
      </c>
      <c r="T81" s="15">
        <f t="shared" si="15"/>
        <v>1213883.2806410426</v>
      </c>
    </row>
    <row r="83" spans="1:20" ht="12" thickBot="1">
      <c r="B83" s="1" t="s">
        <v>35</v>
      </c>
      <c r="C83" s="1"/>
    </row>
    <row r="84" spans="1:20" ht="12.75" thickTop="1">
      <c r="C84" s="2" t="s">
        <v>33</v>
      </c>
      <c r="D84" s="27">
        <f>IRR(E81:T81)</f>
        <v>3.4264246525354022E-2</v>
      </c>
    </row>
    <row r="85" spans="1:20">
      <c r="C85" s="2" t="s">
        <v>26</v>
      </c>
    </row>
    <row r="88" spans="1:20">
      <c r="C88" s="18"/>
    </row>
    <row r="92" spans="1:20">
      <c r="A92" s="86"/>
      <c r="B92" s="86"/>
      <c r="C92" s="89"/>
      <c r="D92" s="32"/>
      <c r="E92" s="32"/>
      <c r="F92" s="32"/>
      <c r="G92" s="90"/>
      <c r="H92" s="32"/>
      <c r="I92" s="32"/>
      <c r="J92" s="32"/>
      <c r="K92" s="86"/>
      <c r="L92" s="86"/>
      <c r="M92" s="86"/>
    </row>
    <row r="93" spans="1:20">
      <c r="A93" s="86"/>
      <c r="B93" s="88"/>
      <c r="C93" s="91"/>
      <c r="D93" s="32"/>
      <c r="E93" s="32"/>
      <c r="F93" s="32"/>
      <c r="G93" s="32"/>
      <c r="H93" s="32"/>
      <c r="I93" s="32"/>
      <c r="J93" s="32"/>
      <c r="K93" s="86"/>
      <c r="L93" s="86"/>
      <c r="M93" s="86"/>
    </row>
    <row r="94" spans="1:20">
      <c r="A94" s="86"/>
      <c r="B94" s="88"/>
      <c r="C94" s="91"/>
      <c r="D94" s="32"/>
      <c r="E94" s="32"/>
      <c r="F94" s="32"/>
      <c r="G94" s="32"/>
      <c r="H94" s="32"/>
      <c r="I94" s="32"/>
      <c r="J94" s="32"/>
      <c r="K94" s="86"/>
      <c r="L94" s="86"/>
      <c r="M94" s="86"/>
    </row>
    <row r="95" spans="1:20">
      <c r="A95" s="86"/>
      <c r="B95" s="86"/>
      <c r="C95" s="86"/>
      <c r="D95" s="86"/>
      <c r="E95" s="86"/>
      <c r="F95" s="86"/>
      <c r="G95" s="86"/>
      <c r="H95" s="86"/>
      <c r="I95" s="86"/>
      <c r="J95" s="86"/>
      <c r="K95" s="86"/>
      <c r="L95" s="86"/>
      <c r="M95" s="86"/>
    </row>
    <row r="96" spans="1:20">
      <c r="A96" s="86"/>
      <c r="B96" s="86"/>
      <c r="C96" s="86"/>
      <c r="D96" s="86"/>
      <c r="E96" s="86"/>
      <c r="F96" s="86"/>
      <c r="G96" s="86"/>
      <c r="H96" s="86"/>
      <c r="I96" s="86"/>
      <c r="J96" s="86"/>
      <c r="K96" s="86"/>
      <c r="L96" s="86"/>
      <c r="M96" s="86"/>
    </row>
    <row r="97" spans="1:13">
      <c r="A97" s="86"/>
      <c r="B97" s="86"/>
      <c r="C97" s="86"/>
      <c r="D97" s="35"/>
      <c r="E97" s="92"/>
      <c r="F97" s="92"/>
      <c r="G97" s="93"/>
      <c r="H97" s="92"/>
      <c r="I97" s="92"/>
      <c r="J97" s="92"/>
      <c r="K97" s="86"/>
      <c r="L97" s="86"/>
      <c r="M97" s="86"/>
    </row>
    <row r="98" spans="1:13">
      <c r="A98" s="86"/>
      <c r="B98" s="91"/>
      <c r="C98" s="86"/>
      <c r="D98" s="34"/>
      <c r="E98" s="32"/>
      <c r="F98" s="32"/>
      <c r="G98" s="32"/>
      <c r="H98" s="32"/>
      <c r="I98" s="32"/>
      <c r="J98" s="32"/>
      <c r="K98" s="86"/>
      <c r="L98" s="86"/>
      <c r="M98" s="86"/>
    </row>
    <row r="99" spans="1:13">
      <c r="A99" s="86"/>
      <c r="B99" s="91"/>
      <c r="C99" s="86"/>
      <c r="D99" s="34"/>
      <c r="E99" s="32"/>
      <c r="F99" s="32"/>
      <c r="G99" s="32"/>
      <c r="H99" s="32"/>
      <c r="I99" s="32"/>
      <c r="J99" s="32"/>
      <c r="K99" s="86"/>
      <c r="L99" s="86"/>
      <c r="M99" s="86"/>
    </row>
    <row r="100" spans="1:13">
      <c r="A100" s="86"/>
      <c r="B100" s="91"/>
      <c r="C100" s="87"/>
      <c r="D100" s="39"/>
      <c r="E100" s="32"/>
      <c r="F100" s="32"/>
      <c r="G100" s="32"/>
      <c r="H100" s="32"/>
      <c r="I100" s="32"/>
      <c r="J100" s="32"/>
      <c r="K100" s="86"/>
      <c r="L100" s="86"/>
      <c r="M100" s="86"/>
    </row>
    <row r="101" spans="1:13">
      <c r="A101" s="86"/>
      <c r="B101" s="91"/>
      <c r="C101" s="87"/>
      <c r="D101" s="39"/>
      <c r="E101" s="32"/>
      <c r="F101" s="32"/>
      <c r="G101" s="32"/>
      <c r="H101" s="32"/>
      <c r="I101" s="32"/>
      <c r="J101" s="32"/>
      <c r="K101" s="86"/>
      <c r="L101" s="86"/>
      <c r="M101" s="86"/>
    </row>
    <row r="102" spans="1:13">
      <c r="A102" s="86"/>
      <c r="B102" s="91"/>
      <c r="C102" s="86"/>
      <c r="D102" s="35"/>
      <c r="E102" s="86"/>
      <c r="F102" s="86"/>
      <c r="G102" s="86"/>
      <c r="H102" s="86"/>
      <c r="I102" s="86"/>
      <c r="J102" s="86"/>
      <c r="K102" s="86"/>
      <c r="L102" s="86"/>
      <c r="M102" s="86"/>
    </row>
    <row r="103" spans="1:13">
      <c r="A103" s="86"/>
      <c r="B103" s="91"/>
      <c r="C103" s="86"/>
      <c r="D103" s="35"/>
      <c r="E103" s="86"/>
      <c r="F103" s="86"/>
      <c r="G103" s="86"/>
      <c r="H103" s="86"/>
      <c r="I103" s="86"/>
      <c r="J103" s="86"/>
      <c r="K103" s="86"/>
      <c r="L103" s="86"/>
      <c r="M103" s="86"/>
    </row>
    <row r="104" spans="1:13">
      <c r="A104" s="86"/>
      <c r="B104" s="86"/>
      <c r="C104" s="86"/>
      <c r="D104" s="86"/>
      <c r="E104" s="86"/>
      <c r="F104" s="86"/>
      <c r="G104" s="86"/>
      <c r="H104" s="86"/>
      <c r="I104" s="86"/>
      <c r="J104" s="86"/>
      <c r="K104" s="86"/>
      <c r="L104" s="86"/>
      <c r="M104" s="86"/>
    </row>
    <row r="105" spans="1:13">
      <c r="A105" s="86"/>
      <c r="B105" s="86"/>
      <c r="C105" s="35"/>
      <c r="D105" s="94"/>
      <c r="E105" s="94"/>
      <c r="F105" s="88"/>
      <c r="G105" s="88"/>
      <c r="H105" s="88"/>
      <c r="I105" s="86"/>
      <c r="J105" s="86"/>
      <c r="K105" s="86"/>
      <c r="L105" s="86"/>
      <c r="M105" s="86"/>
    </row>
    <row r="106" spans="1:13">
      <c r="A106" s="86"/>
      <c r="B106" s="86"/>
      <c r="C106" s="86"/>
      <c r="D106" s="39"/>
      <c r="E106" s="34"/>
      <c r="F106" s="34"/>
      <c r="G106" s="34"/>
      <c r="H106" s="34"/>
      <c r="I106" s="86"/>
      <c r="J106" s="86"/>
      <c r="K106" s="86"/>
      <c r="L106" s="86"/>
      <c r="M106" s="86"/>
    </row>
    <row r="107" spans="1:13">
      <c r="A107" s="95"/>
      <c r="B107" s="86"/>
      <c r="C107" s="86"/>
      <c r="D107" s="34"/>
      <c r="E107" s="39"/>
      <c r="F107" s="34"/>
      <c r="G107" s="34"/>
      <c r="H107" s="34"/>
      <c r="I107" s="86"/>
      <c r="J107" s="86"/>
      <c r="K107" s="86"/>
      <c r="L107" s="86"/>
      <c r="M107" s="86"/>
    </row>
    <row r="108" spans="1:13">
      <c r="A108" s="95"/>
      <c r="B108" s="86"/>
      <c r="C108" s="87"/>
      <c r="D108" s="34"/>
      <c r="E108" s="34"/>
      <c r="F108" s="39"/>
      <c r="G108" s="34"/>
      <c r="H108" s="34"/>
      <c r="I108" s="86"/>
      <c r="J108" s="86"/>
      <c r="K108" s="86"/>
      <c r="L108" s="86"/>
      <c r="M108" s="86"/>
    </row>
    <row r="109" spans="1:13">
      <c r="A109" s="86"/>
      <c r="B109" s="86"/>
      <c r="C109" s="86"/>
      <c r="D109" s="34"/>
      <c r="E109" s="34"/>
      <c r="F109" s="34"/>
      <c r="G109" s="39"/>
      <c r="H109" s="34"/>
      <c r="I109" s="86"/>
      <c r="J109" s="86"/>
      <c r="K109" s="86"/>
      <c r="L109" s="86"/>
      <c r="M109" s="86"/>
    </row>
    <row r="110" spans="1:13">
      <c r="A110" s="86"/>
      <c r="B110" s="86"/>
      <c r="C110" s="86"/>
      <c r="D110" s="34"/>
      <c r="E110" s="34"/>
      <c r="F110" s="34"/>
      <c r="G110" s="34"/>
      <c r="H110" s="39"/>
      <c r="I110" s="86"/>
      <c r="J110" s="86"/>
      <c r="K110" s="86"/>
      <c r="L110" s="86"/>
      <c r="M110" s="86"/>
    </row>
    <row r="111" spans="1:13">
      <c r="A111" s="86"/>
      <c r="B111" s="86"/>
      <c r="C111" s="86"/>
      <c r="D111" s="86"/>
      <c r="E111" s="86"/>
      <c r="F111" s="86"/>
      <c r="G111" s="86"/>
      <c r="H111" s="86"/>
      <c r="I111" s="86"/>
      <c r="J111" s="86"/>
      <c r="K111" s="86"/>
      <c r="L111" s="86"/>
      <c r="M111" s="86"/>
    </row>
    <row r="112" spans="1:13">
      <c r="A112" s="86"/>
      <c r="B112" s="86"/>
      <c r="C112" s="86"/>
      <c r="D112" s="86"/>
      <c r="E112" s="86"/>
      <c r="F112" s="86"/>
      <c r="G112" s="86"/>
      <c r="H112" s="86"/>
      <c r="I112" s="86"/>
      <c r="J112" s="86"/>
      <c r="K112" s="86"/>
      <c r="L112" s="86"/>
      <c r="M112" s="86"/>
    </row>
    <row r="113" spans="1:13">
      <c r="A113" s="86"/>
      <c r="B113" s="86"/>
      <c r="C113" s="86"/>
      <c r="D113" s="86"/>
      <c r="E113" s="86"/>
      <c r="F113" s="86"/>
      <c r="G113" s="86"/>
      <c r="H113" s="86"/>
      <c r="I113" s="86"/>
      <c r="J113" s="86"/>
      <c r="K113" s="86"/>
      <c r="L113" s="86"/>
      <c r="M113" s="86"/>
    </row>
    <row r="114" spans="1:13">
      <c r="A114" s="86"/>
      <c r="B114" s="86"/>
      <c r="C114" s="86"/>
      <c r="D114" s="86"/>
      <c r="E114" s="86"/>
      <c r="F114" s="86"/>
      <c r="G114" s="86"/>
      <c r="H114" s="86"/>
      <c r="I114" s="86"/>
      <c r="J114" s="86"/>
      <c r="K114" s="86"/>
      <c r="L114" s="86"/>
      <c r="M114" s="86"/>
    </row>
    <row r="115" spans="1:13">
      <c r="A115" s="86"/>
      <c r="B115" s="86"/>
      <c r="C115" s="86"/>
      <c r="D115" s="86"/>
      <c r="E115" s="86"/>
      <c r="F115" s="86"/>
      <c r="G115" s="86"/>
      <c r="H115" s="86"/>
      <c r="I115" s="86"/>
      <c r="J115" s="86"/>
      <c r="K115" s="86"/>
      <c r="L115" s="86"/>
      <c r="M115" s="86"/>
    </row>
    <row r="116" spans="1:13">
      <c r="A116" s="86"/>
      <c r="B116" s="86"/>
      <c r="C116" s="86"/>
      <c r="D116" s="86"/>
      <c r="E116" s="86"/>
      <c r="F116" s="86"/>
      <c r="G116" s="86"/>
      <c r="H116" s="86"/>
      <c r="I116" s="86"/>
      <c r="J116" s="86"/>
      <c r="K116" s="86"/>
      <c r="L116" s="86"/>
      <c r="M116" s="86"/>
    </row>
  </sheetData>
  <sheetProtection password="E4EA" sheet="1" objects="1" scenarios="1"/>
  <phoneticPr fontId="13"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dimension ref="A2:IV108"/>
  <sheetViews>
    <sheetView workbookViewId="0">
      <selection activeCell="A2" sqref="A2"/>
    </sheetView>
  </sheetViews>
  <sheetFormatPr baseColWidth="10" defaultColWidth="9.140625" defaultRowHeight="11.25"/>
  <cols>
    <col min="1" max="1" width="29.140625" style="2" customWidth="1"/>
    <col min="2" max="2" width="9.140625" style="2"/>
    <col min="3" max="3" width="11.7109375" style="2" bestFit="1" customWidth="1"/>
    <col min="4" max="4" width="15.7109375" style="2" customWidth="1"/>
    <col min="5" max="5" width="13" style="2" customWidth="1"/>
    <col min="6" max="6" width="11.5703125" style="2" bestFit="1" customWidth="1"/>
    <col min="7" max="7" width="11.85546875" style="2" bestFit="1" customWidth="1"/>
    <col min="8" max="8" width="10.5703125" style="2" bestFit="1" customWidth="1"/>
    <col min="9" max="9" width="11.85546875" style="2" bestFit="1" customWidth="1"/>
    <col min="10" max="11" width="10.5703125" style="2" bestFit="1" customWidth="1"/>
    <col min="12" max="12" width="12.42578125" style="2" bestFit="1" customWidth="1"/>
    <col min="13" max="15" width="10.5703125" style="2" bestFit="1" customWidth="1"/>
    <col min="16" max="16" width="10" style="2" bestFit="1" customWidth="1"/>
    <col min="17" max="19" width="10.85546875" style="2" customWidth="1"/>
    <col min="20" max="20" width="9.85546875" style="2" bestFit="1" customWidth="1"/>
    <col min="21" max="16384" width="9.140625" style="2"/>
  </cols>
  <sheetData>
    <row r="2" spans="1:6" ht="15">
      <c r="A2" s="73" t="s">
        <v>83</v>
      </c>
    </row>
    <row r="4" spans="1:6" ht="12" thickBot="1">
      <c r="A4" s="1" t="s">
        <v>0</v>
      </c>
    </row>
    <row r="5" spans="1:6" ht="12" thickTop="1"/>
    <row r="6" spans="1:6">
      <c r="A6" s="2" t="s">
        <v>1</v>
      </c>
      <c r="E6" s="3">
        <f ca="1">Alternative1!E6</f>
        <v>3233237</v>
      </c>
    </row>
    <row r="7" spans="1:6">
      <c r="A7" s="2" t="s">
        <v>61</v>
      </c>
      <c r="E7" s="3"/>
    </row>
    <row r="8" spans="1:6">
      <c r="A8" s="2" t="s">
        <v>65</v>
      </c>
      <c r="E8" s="3"/>
    </row>
    <row r="9" spans="1:6">
      <c r="A9" s="2" t="s">
        <v>55</v>
      </c>
      <c r="E9" s="3">
        <f>500000*1.5</f>
        <v>750000</v>
      </c>
      <c r="F9" s="2" t="s">
        <v>59</v>
      </c>
    </row>
    <row r="10" spans="1:6">
      <c r="A10" s="2" t="s">
        <v>56</v>
      </c>
      <c r="E10" s="3">
        <v>300000</v>
      </c>
      <c r="F10" s="2" t="s">
        <v>59</v>
      </c>
    </row>
    <row r="11" spans="1:6">
      <c r="A11" s="2" t="s">
        <v>57</v>
      </c>
      <c r="E11" s="3">
        <v>300000</v>
      </c>
    </row>
    <row r="12" spans="1:6">
      <c r="A12" s="2" t="s">
        <v>58</v>
      </c>
      <c r="E12" s="3"/>
    </row>
    <row r="13" spans="1:6">
      <c r="A13" s="2" t="s">
        <v>68</v>
      </c>
      <c r="E13" s="3"/>
    </row>
    <row r="14" spans="1:6">
      <c r="A14" s="2" t="s">
        <v>2</v>
      </c>
      <c r="E14" s="37">
        <f>SUM(E9:E13)</f>
        <v>1350000</v>
      </c>
    </row>
    <row r="15" spans="1:6">
      <c r="A15" s="2" t="s">
        <v>3</v>
      </c>
      <c r="E15" s="4">
        <v>3</v>
      </c>
    </row>
    <row r="16" spans="1:6">
      <c r="A16" s="2" t="s">
        <v>4</v>
      </c>
      <c r="E16" s="37">
        <f>E6+E7+E8+E14*E15</f>
        <v>7283237</v>
      </c>
    </row>
    <row r="17" spans="1:5">
      <c r="A17" s="2" t="s">
        <v>5</v>
      </c>
      <c r="B17" s="2" t="s">
        <v>6</v>
      </c>
    </row>
    <row r="18" spans="1:5">
      <c r="A18" s="2" t="s">
        <v>39</v>
      </c>
      <c r="E18" s="37">
        <f ca="1">Alternative1!E18</f>
        <v>900000</v>
      </c>
    </row>
    <row r="19" spans="1:5" ht="12" thickBot="1">
      <c r="A19" s="1" t="s">
        <v>7</v>
      </c>
    </row>
    <row r="20" spans="1:5" ht="12" thickTop="1">
      <c r="A20" s="2" t="s">
        <v>8</v>
      </c>
      <c r="B20" s="4">
        <v>15</v>
      </c>
    </row>
    <row r="21" spans="1:5">
      <c r="A21" s="2" t="s">
        <v>9</v>
      </c>
      <c r="B21" s="4">
        <f ca="1">Alternative1!B22</f>
        <v>10</v>
      </c>
      <c r="C21" s="2" t="s">
        <v>29</v>
      </c>
      <c r="D21" s="37">
        <f>E16/B21</f>
        <v>728323.7</v>
      </c>
      <c r="E21" s="2" t="s">
        <v>10</v>
      </c>
    </row>
    <row r="22" spans="1:5">
      <c r="A22" s="2" t="s">
        <v>11</v>
      </c>
      <c r="B22" s="4">
        <v>1.35</v>
      </c>
    </row>
    <row r="23" spans="1:5">
      <c r="A23" s="2" t="s">
        <v>31</v>
      </c>
      <c r="B23" s="5">
        <v>0.25</v>
      </c>
    </row>
    <row r="24" spans="1:5">
      <c r="B24" s="6"/>
    </row>
    <row r="25" spans="1:5" ht="12" thickBot="1">
      <c r="A25" s="1" t="s">
        <v>12</v>
      </c>
      <c r="B25" s="6"/>
    </row>
    <row r="26" spans="1:5" ht="12" thickTop="1">
      <c r="A26" s="2" t="s">
        <v>13</v>
      </c>
      <c r="B26" s="98">
        <f ca="1">WEM*(1-10%)</f>
        <v>46.169131713739127</v>
      </c>
    </row>
    <row r="29" spans="1:5">
      <c r="A29" s="8"/>
    </row>
    <row r="30" spans="1:5" ht="12" thickBot="1">
      <c r="A30" s="1" t="s">
        <v>34</v>
      </c>
      <c r="B30" s="1"/>
    </row>
    <row r="31" spans="1:5" ht="12" thickTop="1">
      <c r="A31" s="2" t="s">
        <v>14</v>
      </c>
      <c r="C31" s="5">
        <v>0.7</v>
      </c>
    </row>
    <row r="32" spans="1:5">
      <c r="A32" s="2" t="s">
        <v>145</v>
      </c>
      <c r="C32" s="30">
        <f>C40*C33/1000</f>
        <v>18.158221032527006</v>
      </c>
      <c r="D32" s="2" t="s">
        <v>15</v>
      </c>
    </row>
    <row r="33" spans="1:20">
      <c r="A33" s="2" t="s">
        <v>37</v>
      </c>
      <c r="C33" s="5">
        <v>0.5</v>
      </c>
    </row>
    <row r="34" spans="1:20">
      <c r="A34" s="2" t="s">
        <v>16</v>
      </c>
      <c r="C34" s="7">
        <v>1E-3</v>
      </c>
      <c r="I34" s="21"/>
    </row>
    <row r="35" spans="1:20">
      <c r="A35" s="2" t="s">
        <v>17</v>
      </c>
      <c r="C35" s="28">
        <v>0.371</v>
      </c>
      <c r="I35" s="21"/>
    </row>
    <row r="36" spans="1:20">
      <c r="A36" s="2" t="s">
        <v>44</v>
      </c>
      <c r="C36" s="5">
        <v>0.9</v>
      </c>
      <c r="I36" s="21"/>
      <c r="K36" s="21"/>
    </row>
    <row r="37" spans="1:20">
      <c r="A37" s="2" t="s">
        <v>52</v>
      </c>
      <c r="C37" s="29">
        <v>8760</v>
      </c>
      <c r="D37" s="2" t="s">
        <v>20</v>
      </c>
      <c r="I37" s="21"/>
      <c r="K37" s="21"/>
    </row>
    <row r="38" spans="1:20">
      <c r="A38" s="2" t="s">
        <v>51</v>
      </c>
      <c r="C38" s="4">
        <f>101325*16/8314/298</f>
        <v>0.65435030747845069</v>
      </c>
    </row>
    <row r="39" spans="1:20" ht="14.25" customHeight="1">
      <c r="A39" s="2" t="s">
        <v>60</v>
      </c>
      <c r="C39" s="4">
        <v>55.5</v>
      </c>
    </row>
    <row r="40" spans="1:20">
      <c r="A40" s="2" t="s">
        <v>146</v>
      </c>
      <c r="C40" s="29">
        <f>C38*C39*1000</f>
        <v>36316.442065054012</v>
      </c>
    </row>
    <row r="43" spans="1:20" ht="12" thickBot="1">
      <c r="A43" s="1" t="s">
        <v>18</v>
      </c>
      <c r="I43" s="21"/>
    </row>
    <row r="44" spans="1:20" ht="12" thickTop="1">
      <c r="A44" s="2" t="s">
        <v>32</v>
      </c>
      <c r="C44" s="19">
        <f ca="1">Alternative1!C44</f>
        <v>28</v>
      </c>
    </row>
    <row r="45" spans="1:20">
      <c r="A45" s="2" t="s">
        <v>19</v>
      </c>
      <c r="C45" s="19">
        <v>0</v>
      </c>
      <c r="D45" s="2" t="s">
        <v>27</v>
      </c>
    </row>
    <row r="46" spans="1:20">
      <c r="A46" s="2" t="s">
        <v>38</v>
      </c>
      <c r="C46" s="19">
        <v>40000</v>
      </c>
      <c r="D46" s="2" t="s">
        <v>67</v>
      </c>
      <c r="G46" s="23"/>
    </row>
    <row r="48" spans="1:20">
      <c r="C48" s="22"/>
      <c r="D48" s="22"/>
      <c r="E48" s="22"/>
      <c r="F48" s="22"/>
      <c r="G48" s="22"/>
      <c r="H48" s="22"/>
      <c r="I48" s="22"/>
      <c r="J48" s="22"/>
      <c r="K48" s="22"/>
      <c r="L48" s="22"/>
      <c r="M48" s="22"/>
      <c r="N48" s="22"/>
      <c r="O48" s="22"/>
      <c r="P48" s="22"/>
      <c r="Q48" s="22"/>
      <c r="R48" s="22"/>
      <c r="S48" s="22"/>
      <c r="T48" s="22"/>
    </row>
    <row r="49" spans="3:256">
      <c r="C49" s="22"/>
      <c r="D49" s="22"/>
      <c r="E49" s="22"/>
      <c r="F49" s="22"/>
      <c r="G49" s="22"/>
      <c r="H49" s="22"/>
      <c r="I49" s="22"/>
      <c r="J49" s="22"/>
      <c r="K49" s="22"/>
      <c r="L49" s="22"/>
      <c r="M49" s="22"/>
      <c r="N49" s="22"/>
      <c r="O49" s="22"/>
      <c r="P49" s="22"/>
      <c r="Q49" s="22"/>
      <c r="R49" s="22"/>
      <c r="S49" s="22"/>
      <c r="T49" s="22"/>
    </row>
    <row r="50" spans="3:256">
      <c r="E50" s="11">
        <v>39813</v>
      </c>
      <c r="F50" s="11">
        <v>40178</v>
      </c>
      <c r="G50" s="11">
        <v>40543</v>
      </c>
      <c r="H50" s="11">
        <v>40908</v>
      </c>
      <c r="I50" s="11">
        <v>41274</v>
      </c>
      <c r="J50" s="11">
        <v>41639</v>
      </c>
      <c r="K50" s="11">
        <v>42004</v>
      </c>
      <c r="L50" s="11">
        <v>42369</v>
      </c>
      <c r="M50" s="11">
        <v>42735</v>
      </c>
      <c r="N50" s="11">
        <v>43100</v>
      </c>
      <c r="O50" s="11">
        <v>43465</v>
      </c>
      <c r="P50" s="11">
        <v>43830</v>
      </c>
      <c r="Q50" s="11">
        <v>44196</v>
      </c>
      <c r="R50" s="11">
        <v>44561</v>
      </c>
      <c r="S50" s="11">
        <v>44926</v>
      </c>
      <c r="T50" s="11">
        <v>45291</v>
      </c>
    </row>
    <row r="52" spans="3:256">
      <c r="F52" s="2">
        <v>1</v>
      </c>
      <c r="G52" s="2">
        <v>2</v>
      </c>
      <c r="H52" s="2">
        <f>G52+1</f>
        <v>3</v>
      </c>
      <c r="I52" s="2">
        <f t="shared" ref="I52:R52" si="0">H52+1</f>
        <v>4</v>
      </c>
      <c r="J52" s="2">
        <f t="shared" si="0"/>
        <v>5</v>
      </c>
      <c r="K52" s="2">
        <f t="shared" si="0"/>
        <v>6</v>
      </c>
      <c r="L52" s="2">
        <f t="shared" si="0"/>
        <v>7</v>
      </c>
      <c r="M52" s="2">
        <f t="shared" si="0"/>
        <v>8</v>
      </c>
      <c r="N52" s="2">
        <f t="shared" si="0"/>
        <v>9</v>
      </c>
      <c r="O52" s="2">
        <f t="shared" si="0"/>
        <v>10</v>
      </c>
      <c r="P52" s="2">
        <f t="shared" si="0"/>
        <v>11</v>
      </c>
      <c r="Q52" s="2">
        <f t="shared" si="0"/>
        <v>12</v>
      </c>
      <c r="R52" s="2">
        <f t="shared" si="0"/>
        <v>13</v>
      </c>
      <c r="S52" s="2">
        <f>R52+1</f>
        <v>14</v>
      </c>
      <c r="T52" s="2">
        <f>S52+1</f>
        <v>15</v>
      </c>
    </row>
    <row r="53" spans="3:256" ht="7.5" customHeight="1"/>
    <row r="54" spans="3:256" ht="7.5" customHeight="1"/>
    <row r="55" spans="3:256">
      <c r="C55" s="9" t="s">
        <v>21</v>
      </c>
      <c r="D55" s="67">
        <f>B26</f>
        <v>46.169131713739127</v>
      </c>
      <c r="F55" s="13">
        <f>$D$55</f>
        <v>46.169131713739127</v>
      </c>
      <c r="G55" s="13">
        <f t="shared" ref="G55:T55" si="1">$D$55</f>
        <v>46.169131713739127</v>
      </c>
      <c r="H55" s="13">
        <f t="shared" si="1"/>
        <v>46.169131713739127</v>
      </c>
      <c r="I55" s="13">
        <f t="shared" si="1"/>
        <v>46.169131713739127</v>
      </c>
      <c r="J55" s="13">
        <f t="shared" si="1"/>
        <v>46.169131713739127</v>
      </c>
      <c r="K55" s="13">
        <f t="shared" si="1"/>
        <v>46.169131713739127</v>
      </c>
      <c r="L55" s="13">
        <f t="shared" si="1"/>
        <v>46.169131713739127</v>
      </c>
      <c r="M55" s="13">
        <f t="shared" si="1"/>
        <v>46.169131713739127</v>
      </c>
      <c r="N55" s="13">
        <f t="shared" si="1"/>
        <v>46.169131713739127</v>
      </c>
      <c r="O55" s="13">
        <f t="shared" si="1"/>
        <v>46.169131713739127</v>
      </c>
      <c r="P55" s="13">
        <f t="shared" si="1"/>
        <v>46.169131713739127</v>
      </c>
      <c r="Q55" s="13">
        <f t="shared" si="1"/>
        <v>46.169131713739127</v>
      </c>
      <c r="R55" s="13">
        <f t="shared" si="1"/>
        <v>46.169131713739127</v>
      </c>
      <c r="S55" s="13">
        <f t="shared" si="1"/>
        <v>46.169131713739127</v>
      </c>
      <c r="T55" s="13">
        <f t="shared" si="1"/>
        <v>46.169131713739127</v>
      </c>
    </row>
    <row r="56" spans="3:256" ht="5.25" customHeight="1">
      <c r="C56" s="9"/>
      <c r="D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row>
    <row r="57" spans="3:256">
      <c r="C57" s="9" t="s">
        <v>22</v>
      </c>
      <c r="D57" s="12"/>
      <c r="F57" s="13">
        <v>22346.677920401315</v>
      </c>
      <c r="G57" s="13">
        <v>23731.718395392007</v>
      </c>
      <c r="H57" s="13">
        <v>24977.370885892011</v>
      </c>
      <c r="I57" s="13">
        <v>26246.840195630495</v>
      </c>
      <c r="J57" s="13">
        <v>27102.733094479103</v>
      </c>
      <c r="K57" s="13">
        <v>27161.453021902002</v>
      </c>
      <c r="L57" s="13">
        <v>24345.245432552016</v>
      </c>
      <c r="M57" s="13">
        <v>21904.541291505648</v>
      </c>
      <c r="N57" s="13">
        <v>19781.748299988245</v>
      </c>
      <c r="O57" s="13">
        <v>17928.653758553002</v>
      </c>
      <c r="P57" s="13">
        <v>16304.861643615659</v>
      </c>
      <c r="Q57" s="13">
        <v>14876.492313699584</v>
      </c>
      <c r="R57" s="13">
        <v>13615.10057656947</v>
      </c>
      <c r="S57" s="13">
        <v>12496.775319142103</v>
      </c>
      <c r="T57" s="13">
        <v>11501.390111449493</v>
      </c>
      <c r="U57" s="2" t="s">
        <v>46</v>
      </c>
    </row>
    <row r="58" spans="3:256">
      <c r="C58" s="9" t="s">
        <v>48</v>
      </c>
      <c r="D58" s="12"/>
      <c r="F58" s="24">
        <f t="shared" ref="F58:T58" si="2">F57*1000</f>
        <v>22346677.920401316</v>
      </c>
      <c r="G58" s="24">
        <f t="shared" si="2"/>
        <v>23731718.395392008</v>
      </c>
      <c r="H58" s="24">
        <f t="shared" si="2"/>
        <v>24977370.885892011</v>
      </c>
      <c r="I58" s="24">
        <f t="shared" si="2"/>
        <v>26246840.195630495</v>
      </c>
      <c r="J58" s="24">
        <f t="shared" si="2"/>
        <v>27102733.094479103</v>
      </c>
      <c r="K58" s="24">
        <f t="shared" si="2"/>
        <v>27161453.021902002</v>
      </c>
      <c r="L58" s="24">
        <f t="shared" si="2"/>
        <v>24345245.432552017</v>
      </c>
      <c r="M58" s="24">
        <f t="shared" si="2"/>
        <v>21904541.291505646</v>
      </c>
      <c r="N58" s="24">
        <f t="shared" si="2"/>
        <v>19781748.299988244</v>
      </c>
      <c r="O58" s="24">
        <f t="shared" si="2"/>
        <v>17928653.758553002</v>
      </c>
      <c r="P58" s="24">
        <f t="shared" si="2"/>
        <v>16304861.643615659</v>
      </c>
      <c r="Q58" s="24">
        <f t="shared" si="2"/>
        <v>14876492.313699584</v>
      </c>
      <c r="R58" s="24">
        <f t="shared" si="2"/>
        <v>13615100.57656947</v>
      </c>
      <c r="S58" s="24">
        <f t="shared" si="2"/>
        <v>12496775.319142103</v>
      </c>
      <c r="T58" s="24">
        <f t="shared" si="2"/>
        <v>11501390.111449493</v>
      </c>
    </row>
    <row r="59" spans="3:256">
      <c r="C59" s="9" t="s">
        <v>49</v>
      </c>
      <c r="D59" s="12"/>
      <c r="F59" s="24">
        <f t="shared" ref="F59:T59" si="3">F58*$C$31</f>
        <v>15642674.54428092</v>
      </c>
      <c r="G59" s="24">
        <f t="shared" si="3"/>
        <v>16612202.876774404</v>
      </c>
      <c r="H59" s="24">
        <f t="shared" si="3"/>
        <v>17484159.620124407</v>
      </c>
      <c r="I59" s="24">
        <f t="shared" si="3"/>
        <v>18372788.136941344</v>
      </c>
      <c r="J59" s="24">
        <f t="shared" si="3"/>
        <v>18971913.166135371</v>
      </c>
      <c r="K59" s="24">
        <f t="shared" si="3"/>
        <v>19013017.1153314</v>
      </c>
      <c r="L59" s="24">
        <f t="shared" si="3"/>
        <v>17041671.80278641</v>
      </c>
      <c r="M59" s="24">
        <f t="shared" si="3"/>
        <v>15333178.904053951</v>
      </c>
      <c r="N59" s="24">
        <f t="shared" si="3"/>
        <v>13847223.809991769</v>
      </c>
      <c r="O59" s="24">
        <f t="shared" si="3"/>
        <v>12550057.6309871</v>
      </c>
      <c r="P59" s="24">
        <f t="shared" si="3"/>
        <v>11413403.15053096</v>
      </c>
      <c r="Q59" s="24">
        <f t="shared" si="3"/>
        <v>10413544.619589709</v>
      </c>
      <c r="R59" s="24">
        <f t="shared" si="3"/>
        <v>9530570.4035986289</v>
      </c>
      <c r="S59" s="24">
        <f t="shared" si="3"/>
        <v>8747742.7233994715</v>
      </c>
      <c r="T59" s="24">
        <f t="shared" si="3"/>
        <v>8050973.0780146448</v>
      </c>
    </row>
    <row r="60" spans="3:256">
      <c r="C60" s="9" t="s">
        <v>50</v>
      </c>
      <c r="D60" s="12"/>
      <c r="F60" s="24">
        <f t="shared" ref="F60:T60" si="4">F59*$C$32</f>
        <v>284043141.9149366</v>
      </c>
      <c r="G60" s="24">
        <f t="shared" si="4"/>
        <v>301648051.67365062</v>
      </c>
      <c r="H60" s="24">
        <f t="shared" si="4"/>
        <v>317481234.95020241</v>
      </c>
      <c r="I60" s="24">
        <f t="shared" si="4"/>
        <v>333617147.97437096</v>
      </c>
      <c r="J60" s="24">
        <f t="shared" si="4"/>
        <v>344496192.68059534</v>
      </c>
      <c r="K60" s="24">
        <f t="shared" si="4"/>
        <v>345242567.2754066</v>
      </c>
      <c r="L60" s="24">
        <f t="shared" si="4"/>
        <v>309446443.3587786</v>
      </c>
      <c r="M60" s="24">
        <f t="shared" si="4"/>
        <v>278423251.67109185</v>
      </c>
      <c r="N60" s="24">
        <f t="shared" si="4"/>
        <v>251440950.6287013</v>
      </c>
      <c r="O60" s="24">
        <f t="shared" si="4"/>
        <v>227886720.43441603</v>
      </c>
      <c r="P60" s="24">
        <f t="shared" si="4"/>
        <v>207247097.14068127</v>
      </c>
      <c r="Q60" s="24">
        <f t="shared" si="4"/>
        <v>189091444.93459228</v>
      </c>
      <c r="R60" s="24">
        <f t="shared" si="4"/>
        <v>173058203.95460403</v>
      </c>
      <c r="S60" s="24">
        <f t="shared" si="4"/>
        <v>158843445.90716735</v>
      </c>
      <c r="T60" s="24">
        <f t="shared" si="4"/>
        <v>146191348.67751423</v>
      </c>
    </row>
    <row r="61" spans="3:256">
      <c r="C61" s="9" t="s">
        <v>53</v>
      </c>
      <c r="D61" s="12"/>
      <c r="F61" s="13">
        <f t="shared" ref="F61:T61" si="5">F60/3.6/1000</f>
        <v>78900.872754149052</v>
      </c>
      <c r="G61" s="13">
        <f t="shared" si="5"/>
        <v>83791.125464902958</v>
      </c>
      <c r="H61" s="13">
        <f t="shared" si="5"/>
        <v>88189.231930611772</v>
      </c>
      <c r="I61" s="13">
        <f t="shared" si="5"/>
        <v>92671.429992880818</v>
      </c>
      <c r="J61" s="13">
        <f t="shared" si="5"/>
        <v>95693.386855720921</v>
      </c>
      <c r="K61" s="13">
        <f t="shared" si="5"/>
        <v>95900.713132057383</v>
      </c>
      <c r="L61" s="13">
        <f t="shared" si="5"/>
        <v>85957.345377438498</v>
      </c>
      <c r="M61" s="13">
        <f t="shared" si="5"/>
        <v>77339.792130858856</v>
      </c>
      <c r="N61" s="13">
        <f t="shared" si="5"/>
        <v>69844.70850797258</v>
      </c>
      <c r="O61" s="13">
        <f t="shared" si="5"/>
        <v>63301.866787337778</v>
      </c>
      <c r="P61" s="13">
        <f t="shared" si="5"/>
        <v>57568.638094633687</v>
      </c>
      <c r="Q61" s="13">
        <f t="shared" si="5"/>
        <v>52525.401370720072</v>
      </c>
      <c r="R61" s="13">
        <f t="shared" si="5"/>
        <v>48071.723320723337</v>
      </c>
      <c r="S61" s="13">
        <f t="shared" si="5"/>
        <v>44123.179418657593</v>
      </c>
      <c r="T61" s="13">
        <f t="shared" si="5"/>
        <v>40608.707965976173</v>
      </c>
    </row>
    <row r="62" spans="3:256" ht="12" customHeight="1">
      <c r="C62" s="9" t="s">
        <v>54</v>
      </c>
      <c r="D62" s="33">
        <v>1</v>
      </c>
      <c r="F62" s="15">
        <f>F61*$C$35*$C$36*$D$62</f>
        <v>26345.001412610367</v>
      </c>
      <c r="G62" s="15">
        <f t="shared" ref="G62:T62" si="6">G61*$C$35*$C$36*$D$62</f>
        <v>27977.856792731098</v>
      </c>
      <c r="H62" s="15">
        <f t="shared" si="6"/>
        <v>29446.384541631272</v>
      </c>
      <c r="I62" s="15">
        <f t="shared" si="6"/>
        <v>30942.990474622904</v>
      </c>
      <c r="J62" s="15">
        <f t="shared" si="6"/>
        <v>31952.021871125213</v>
      </c>
      <c r="K62" s="15">
        <f t="shared" si="6"/>
        <v>32021.248114793958</v>
      </c>
      <c r="L62" s="15">
        <f t="shared" si="6"/>
        <v>28701.157621526716</v>
      </c>
      <c r="M62" s="15">
        <f t="shared" si="6"/>
        <v>25823.75659249377</v>
      </c>
      <c r="N62" s="15">
        <f t="shared" si="6"/>
        <v>23321.148170812045</v>
      </c>
      <c r="O62" s="15">
        <f t="shared" si="6"/>
        <v>21136.493320292084</v>
      </c>
      <c r="P62" s="15">
        <f t="shared" si="6"/>
        <v>19222.168259798189</v>
      </c>
      <c r="Q62" s="15">
        <f t="shared" si="6"/>
        <v>17538.231517683435</v>
      </c>
      <c r="R62" s="15">
        <f t="shared" si="6"/>
        <v>16051.148416789523</v>
      </c>
      <c r="S62" s="15">
        <f t="shared" si="6"/>
        <v>14732.729607889771</v>
      </c>
      <c r="T62" s="15">
        <f t="shared" si="6"/>
        <v>13559.247589839444</v>
      </c>
    </row>
    <row r="63" spans="3:256" ht="5.25" customHeight="1">
      <c r="C63" s="9"/>
      <c r="D63" s="12"/>
      <c r="E63" s="12"/>
      <c r="F63" s="12"/>
      <c r="G63" s="12"/>
      <c r="H63" s="12"/>
      <c r="I63" s="12"/>
      <c r="J63" s="12"/>
      <c r="K63" s="12"/>
      <c r="L63" s="12"/>
      <c r="M63" s="12"/>
      <c r="N63" s="12"/>
      <c r="O63" s="12"/>
      <c r="P63" s="12"/>
      <c r="Q63" s="12"/>
      <c r="R63" s="12"/>
      <c r="S63" s="12"/>
      <c r="T63" s="12"/>
    </row>
    <row r="64" spans="3:256">
      <c r="C64" s="9" t="s">
        <v>36</v>
      </c>
      <c r="D64" s="13">
        <f>E15</f>
        <v>3</v>
      </c>
      <c r="E64" s="14"/>
      <c r="F64" s="13">
        <f>$D$62*F62/(8760)</f>
        <v>3.0074202525810922</v>
      </c>
      <c r="G64" s="13">
        <f t="shared" ref="G64:T64" si="7">$D$62*G62/(8760)</f>
        <v>3.1938192685766094</v>
      </c>
      <c r="H64" s="13">
        <f t="shared" si="7"/>
        <v>3.3614594225606473</v>
      </c>
      <c r="I64" s="13">
        <f t="shared" si="7"/>
        <v>3.5323048487012447</v>
      </c>
      <c r="J64" s="13">
        <f t="shared" si="7"/>
        <v>3.6474910811786772</v>
      </c>
      <c r="K64" s="13">
        <f t="shared" si="7"/>
        <v>3.6553936204102691</v>
      </c>
      <c r="L64" s="13">
        <f t="shared" si="7"/>
        <v>3.2763878563386664</v>
      </c>
      <c r="M64" s="13">
        <f t="shared" si="7"/>
        <v>2.9479174192344488</v>
      </c>
      <c r="N64" s="13">
        <f t="shared" si="7"/>
        <v>2.6622315263484069</v>
      </c>
      <c r="O64" s="13">
        <f t="shared" si="7"/>
        <v>2.4128417032296898</v>
      </c>
      <c r="P64" s="13">
        <f t="shared" si="7"/>
        <v>2.1943114451824415</v>
      </c>
      <c r="Q64" s="13">
        <f t="shared" si="7"/>
        <v>2.002081223479844</v>
      </c>
      <c r="R64" s="13">
        <f t="shared" si="7"/>
        <v>1.8323228786289409</v>
      </c>
      <c r="S64" s="13">
        <f t="shared" si="7"/>
        <v>1.6818184483892433</v>
      </c>
      <c r="T64" s="13">
        <f t="shared" si="7"/>
        <v>1.5478593139086123</v>
      </c>
    </row>
    <row r="65" spans="2:256">
      <c r="C65" s="9" t="s">
        <v>45</v>
      </c>
      <c r="D65" s="13">
        <f>E15*C37</f>
        <v>26280</v>
      </c>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c r="CK65" s="14"/>
      <c r="CL65" s="14"/>
      <c r="CM65" s="14"/>
      <c r="CN65" s="14"/>
      <c r="CO65" s="14"/>
      <c r="CP65" s="14"/>
      <c r="CQ65" s="14"/>
      <c r="CR65" s="14"/>
      <c r="CS65" s="14"/>
      <c r="CT65" s="14"/>
      <c r="CU65" s="14"/>
      <c r="CV65" s="14"/>
      <c r="CW65" s="14"/>
      <c r="CX65" s="14"/>
      <c r="CY65" s="14"/>
      <c r="CZ65" s="14"/>
      <c r="DA65" s="14"/>
      <c r="DB65" s="14"/>
      <c r="DC65" s="14"/>
      <c r="DD65" s="14"/>
      <c r="DE65" s="14"/>
      <c r="DF65" s="14"/>
      <c r="DG65" s="14"/>
      <c r="DH65" s="14"/>
      <c r="DI65" s="14"/>
      <c r="DJ65" s="14"/>
      <c r="DK65" s="14"/>
      <c r="DL65" s="14"/>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14"/>
      <c r="EV65" s="14"/>
      <c r="EW65" s="14"/>
      <c r="EX65" s="14"/>
      <c r="EY65" s="14"/>
      <c r="EZ65" s="14"/>
      <c r="FA65" s="14"/>
      <c r="FB65" s="14"/>
      <c r="FC65" s="14"/>
      <c r="FD65" s="14"/>
      <c r="FE65" s="14"/>
      <c r="FF65" s="14"/>
      <c r="FG65" s="14"/>
      <c r="FH65" s="14"/>
      <c r="FI65" s="14"/>
      <c r="FJ65" s="14"/>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c r="GT65" s="14"/>
      <c r="GU65" s="14"/>
      <c r="GV65" s="14"/>
      <c r="GW65" s="14"/>
      <c r="GX65" s="14"/>
      <c r="GY65" s="14"/>
      <c r="GZ65" s="14"/>
      <c r="HA65" s="14"/>
      <c r="HB65" s="14"/>
      <c r="HC65" s="14"/>
      <c r="HD65" s="14"/>
      <c r="HE65" s="14"/>
      <c r="HF65" s="14"/>
      <c r="HG65" s="14"/>
      <c r="HH65" s="14"/>
      <c r="HI65" s="14"/>
      <c r="HJ65" s="14"/>
      <c r="HK65" s="14"/>
      <c r="HL65" s="14"/>
      <c r="HM65" s="14"/>
      <c r="HN65" s="14"/>
      <c r="HO65" s="14"/>
      <c r="HP65" s="14"/>
      <c r="HQ65" s="14"/>
      <c r="HR65" s="14"/>
      <c r="HS65" s="14"/>
      <c r="HT65" s="14"/>
      <c r="HU65" s="14"/>
      <c r="HV65" s="14"/>
      <c r="HW65" s="14"/>
      <c r="HX65" s="14"/>
      <c r="HY65" s="14"/>
      <c r="HZ65" s="14"/>
      <c r="IA65" s="14"/>
      <c r="IB65" s="14"/>
      <c r="IC65" s="14"/>
      <c r="ID65" s="14"/>
      <c r="IE65" s="14"/>
      <c r="IF65" s="14"/>
      <c r="IG65" s="14"/>
      <c r="IH65" s="14"/>
      <c r="II65" s="14"/>
      <c r="IJ65" s="14"/>
      <c r="IK65" s="14"/>
      <c r="IL65" s="14"/>
      <c r="IM65" s="14"/>
      <c r="IN65" s="14"/>
      <c r="IO65" s="14"/>
      <c r="IP65" s="14"/>
      <c r="IQ65" s="14"/>
      <c r="IR65" s="14"/>
      <c r="IS65" s="14"/>
      <c r="IT65" s="14"/>
      <c r="IU65" s="14"/>
      <c r="IV65" s="14"/>
    </row>
    <row r="66" spans="2:256">
      <c r="C66" s="9" t="s">
        <v>42</v>
      </c>
      <c r="F66" s="13">
        <f>MIN($D$65,F62)</f>
        <v>26280</v>
      </c>
      <c r="G66" s="13">
        <f t="shared" ref="G66:T66" si="8">MIN($D$65,G62)</f>
        <v>26280</v>
      </c>
      <c r="H66" s="13">
        <f t="shared" si="8"/>
        <v>26280</v>
      </c>
      <c r="I66" s="13">
        <f t="shared" si="8"/>
        <v>26280</v>
      </c>
      <c r="J66" s="13">
        <f t="shared" si="8"/>
        <v>26280</v>
      </c>
      <c r="K66" s="13">
        <f t="shared" si="8"/>
        <v>26280</v>
      </c>
      <c r="L66" s="13">
        <f t="shared" si="8"/>
        <v>26280</v>
      </c>
      <c r="M66" s="13">
        <f t="shared" si="8"/>
        <v>25823.75659249377</v>
      </c>
      <c r="N66" s="13">
        <f t="shared" si="8"/>
        <v>23321.148170812045</v>
      </c>
      <c r="O66" s="13">
        <f t="shared" si="8"/>
        <v>21136.493320292084</v>
      </c>
      <c r="P66" s="13">
        <f t="shared" si="8"/>
        <v>19222.168259798189</v>
      </c>
      <c r="Q66" s="13">
        <f t="shared" si="8"/>
        <v>17538.231517683435</v>
      </c>
      <c r="R66" s="13">
        <f t="shared" si="8"/>
        <v>16051.148416789523</v>
      </c>
      <c r="S66" s="13">
        <f t="shared" si="8"/>
        <v>14732.729607889771</v>
      </c>
      <c r="T66" s="13">
        <f t="shared" si="8"/>
        <v>13559.247589839444</v>
      </c>
    </row>
    <row r="68" spans="2:256">
      <c r="C68" s="9" t="s">
        <v>23</v>
      </c>
      <c r="F68" s="15">
        <f>F55*F66</f>
        <v>1213324.7814370643</v>
      </c>
      <c r="G68" s="15">
        <f t="shared" ref="G68:R68" si="9">G55*G66</f>
        <v>1213324.7814370643</v>
      </c>
      <c r="H68" s="15">
        <f t="shared" si="9"/>
        <v>1213324.7814370643</v>
      </c>
      <c r="I68" s="15">
        <f t="shared" si="9"/>
        <v>1213324.7814370643</v>
      </c>
      <c r="J68" s="15">
        <f t="shared" si="9"/>
        <v>1213324.7814370643</v>
      </c>
      <c r="K68" s="15">
        <f t="shared" si="9"/>
        <v>1213324.7814370643</v>
      </c>
      <c r="L68" s="15">
        <f t="shared" si="9"/>
        <v>1213324.7814370643</v>
      </c>
      <c r="M68" s="15">
        <f t="shared" si="9"/>
        <v>1192260.419462384</v>
      </c>
      <c r="N68" s="15">
        <f t="shared" si="9"/>
        <v>1076717.1616138476</v>
      </c>
      <c r="O68" s="15">
        <f t="shared" si="9"/>
        <v>975853.54407113243</v>
      </c>
      <c r="P68" s="15">
        <f t="shared" si="9"/>
        <v>887470.81821027817</v>
      </c>
      <c r="Q68" s="15">
        <f t="shared" si="9"/>
        <v>809724.92096597736</v>
      </c>
      <c r="R68" s="15">
        <f t="shared" si="9"/>
        <v>741067.5854115308</v>
      </c>
      <c r="S68" s="15">
        <f>S55*S66</f>
        <v>680197.33376956708</v>
      </c>
      <c r="T68" s="15">
        <f>T55*T66</f>
        <v>626018.6879144971</v>
      </c>
    </row>
    <row r="69" spans="2:256">
      <c r="B69" s="2" t="s">
        <v>18</v>
      </c>
      <c r="D69" s="9"/>
      <c r="E69" s="9"/>
      <c r="F69" s="9"/>
      <c r="G69" s="9"/>
      <c r="H69" s="9"/>
      <c r="I69" s="9"/>
      <c r="J69" s="9"/>
      <c r="K69" s="9"/>
      <c r="L69" s="9"/>
      <c r="M69" s="9"/>
      <c r="N69" s="9"/>
      <c r="O69" s="9"/>
      <c r="P69" s="9"/>
      <c r="Q69" s="9"/>
      <c r="R69" s="9"/>
      <c r="S69" s="9"/>
      <c r="T69" s="9"/>
      <c r="U69" s="9"/>
      <c r="V69" s="9"/>
      <c r="W69" s="9"/>
      <c r="X69" s="9"/>
      <c r="Y69" s="9"/>
      <c r="Z69" s="9"/>
      <c r="AA69" s="9"/>
      <c r="AB69" s="9"/>
      <c r="AC69" s="9"/>
      <c r="AD69" s="9"/>
      <c r="AE69" s="9"/>
      <c r="AF69" s="9"/>
      <c r="AG69" s="9"/>
      <c r="AH69" s="9"/>
      <c r="AI69" s="9"/>
      <c r="AJ69" s="9"/>
      <c r="AK69" s="9"/>
      <c r="AL69" s="9"/>
      <c r="AM69" s="9"/>
      <c r="AN69" s="9"/>
      <c r="AO69" s="9"/>
      <c r="AP69" s="9"/>
      <c r="AQ69" s="9"/>
      <c r="AR69" s="9"/>
      <c r="AS69" s="9"/>
      <c r="AT69" s="9"/>
      <c r="AU69" s="9"/>
      <c r="AV69" s="9"/>
      <c r="AW69" s="9"/>
      <c r="AX69" s="9"/>
      <c r="AY69" s="9"/>
      <c r="AZ69" s="9"/>
      <c r="BA69" s="9"/>
      <c r="BB69" s="9"/>
      <c r="BC69" s="9"/>
      <c r="BD69" s="9"/>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c r="CO69" s="9"/>
      <c r="CP69" s="9"/>
      <c r="CQ69" s="9"/>
      <c r="CR69" s="9"/>
      <c r="CS69" s="9"/>
      <c r="CT69" s="9"/>
      <c r="CU69" s="9"/>
      <c r="CV69" s="9"/>
      <c r="CW69" s="9"/>
      <c r="CX69" s="9"/>
      <c r="CY69" s="9"/>
      <c r="CZ69" s="9"/>
      <c r="DA69" s="9"/>
      <c r="DB69" s="9"/>
      <c r="DC69" s="9"/>
      <c r="DD69" s="9"/>
      <c r="DE69" s="9"/>
      <c r="DF69" s="9"/>
      <c r="DG69" s="9"/>
      <c r="DH69" s="9"/>
      <c r="DI69" s="9"/>
      <c r="DJ69" s="9"/>
      <c r="DK69" s="9"/>
      <c r="DL69" s="9"/>
      <c r="DM69" s="9"/>
      <c r="DN69" s="9"/>
      <c r="DO69" s="9"/>
      <c r="DP69" s="9"/>
      <c r="DQ69" s="9"/>
      <c r="DR69" s="9"/>
      <c r="DS69" s="9"/>
      <c r="DT69" s="9"/>
      <c r="DU69" s="9"/>
      <c r="DV69" s="9"/>
      <c r="DW69" s="9"/>
      <c r="DX69" s="9"/>
      <c r="DY69" s="9"/>
      <c r="DZ69" s="9"/>
      <c r="EA69" s="9"/>
      <c r="EB69" s="9"/>
      <c r="EC69" s="9"/>
      <c r="ED69" s="9"/>
      <c r="EE69" s="9"/>
      <c r="EF69" s="9"/>
      <c r="EG69" s="9"/>
      <c r="EH69" s="9"/>
      <c r="EI69" s="9"/>
      <c r="EJ69" s="9"/>
      <c r="EK69" s="9"/>
      <c r="EL69" s="9"/>
      <c r="EM69" s="9"/>
      <c r="EN69" s="9"/>
      <c r="EO69" s="9"/>
      <c r="EP69" s="9"/>
      <c r="EQ69" s="9"/>
      <c r="ER69" s="9"/>
      <c r="ES69" s="9"/>
      <c r="ET69" s="9"/>
      <c r="EU69" s="9"/>
      <c r="EV69" s="9"/>
      <c r="EW69" s="9"/>
      <c r="EX69" s="9"/>
      <c r="EY69" s="9"/>
      <c r="EZ69" s="9"/>
      <c r="FA69" s="9"/>
      <c r="FB69" s="9"/>
      <c r="FC69" s="9"/>
      <c r="FD69" s="9"/>
      <c r="FE69" s="9"/>
      <c r="FF69" s="9"/>
      <c r="FG69" s="9"/>
      <c r="FH69" s="9"/>
      <c r="FI69" s="9"/>
      <c r="FJ69" s="9"/>
      <c r="FK69" s="9"/>
      <c r="FL69" s="9"/>
      <c r="FM69" s="9"/>
      <c r="FN69" s="9"/>
      <c r="FO69" s="9"/>
      <c r="FP69" s="9"/>
      <c r="FQ69" s="9"/>
      <c r="FR69" s="9"/>
      <c r="FS69" s="9"/>
      <c r="FT69" s="9"/>
      <c r="FU69" s="9"/>
      <c r="FV69" s="9"/>
      <c r="FW69" s="9"/>
      <c r="FX69" s="9"/>
      <c r="FY69" s="9"/>
      <c r="FZ69" s="9"/>
      <c r="GA69" s="9"/>
      <c r="GB69" s="9"/>
      <c r="GC69" s="9"/>
      <c r="GD69" s="9"/>
      <c r="GE69" s="9"/>
      <c r="GF69" s="9"/>
      <c r="GG69" s="9"/>
      <c r="GH69" s="9"/>
      <c r="GI69" s="9"/>
      <c r="GJ69" s="9"/>
      <c r="GK69" s="9"/>
      <c r="GL69" s="9"/>
      <c r="GM69" s="9"/>
      <c r="GN69" s="9"/>
      <c r="GO69" s="9"/>
      <c r="GP69" s="9"/>
      <c r="GQ69" s="9"/>
      <c r="GR69" s="9"/>
      <c r="GS69" s="9"/>
      <c r="GT69" s="9"/>
      <c r="GU69" s="9"/>
      <c r="GV69" s="9"/>
      <c r="GW69" s="9"/>
      <c r="GX69" s="9"/>
      <c r="GY69" s="9"/>
      <c r="GZ69" s="9"/>
      <c r="HA69" s="9"/>
      <c r="HB69" s="9"/>
      <c r="HC69" s="9"/>
      <c r="HD69" s="9"/>
      <c r="HE69" s="9"/>
      <c r="HF69" s="9"/>
      <c r="HG69" s="9"/>
      <c r="HH69" s="9"/>
      <c r="HI69" s="9"/>
      <c r="HJ69" s="9"/>
      <c r="HK69" s="9"/>
      <c r="HL69" s="9"/>
      <c r="HM69" s="9"/>
      <c r="HN69" s="9"/>
      <c r="HO69" s="9"/>
      <c r="HP69" s="9"/>
      <c r="HQ69" s="9"/>
      <c r="HR69" s="9"/>
      <c r="HS69" s="9"/>
      <c r="HT69" s="9"/>
      <c r="HU69" s="9"/>
      <c r="HV69" s="9"/>
      <c r="HW69" s="9"/>
      <c r="HX69" s="9"/>
      <c r="HY69" s="9"/>
      <c r="HZ69" s="9"/>
      <c r="IA69" s="9"/>
      <c r="IB69" s="9"/>
      <c r="IC69" s="9"/>
      <c r="ID69" s="9"/>
      <c r="IE69" s="9"/>
      <c r="IF69" s="9"/>
      <c r="IG69" s="9"/>
      <c r="IH69" s="9"/>
      <c r="II69" s="9"/>
      <c r="IJ69" s="9"/>
      <c r="IK69" s="9"/>
      <c r="IL69" s="9"/>
      <c r="IM69" s="9"/>
      <c r="IN69" s="9"/>
      <c r="IO69" s="9"/>
      <c r="IP69" s="9"/>
      <c r="IQ69" s="9"/>
      <c r="IR69" s="9"/>
      <c r="IS69" s="9"/>
      <c r="IT69" s="9"/>
      <c r="IU69" s="9"/>
      <c r="IV69" s="9"/>
    </row>
    <row r="70" spans="2:256">
      <c r="C70" s="9" t="str">
        <f>A44</f>
        <v>Cost per MWh Generated</v>
      </c>
      <c r="D70" s="14">
        <f>C44</f>
        <v>28</v>
      </c>
      <c r="E70" s="9"/>
      <c r="F70" s="17">
        <f>$D$70*F66</f>
        <v>735840</v>
      </c>
      <c r="G70" s="17">
        <f t="shared" ref="G70:T70" si="10">$D$70*G66</f>
        <v>735840</v>
      </c>
      <c r="H70" s="17">
        <f t="shared" si="10"/>
        <v>735840</v>
      </c>
      <c r="I70" s="17">
        <f t="shared" si="10"/>
        <v>735840</v>
      </c>
      <c r="J70" s="17">
        <f t="shared" si="10"/>
        <v>735840</v>
      </c>
      <c r="K70" s="17">
        <f t="shared" si="10"/>
        <v>735840</v>
      </c>
      <c r="L70" s="17">
        <f t="shared" si="10"/>
        <v>735840</v>
      </c>
      <c r="M70" s="17">
        <f t="shared" si="10"/>
        <v>723065.18458982557</v>
      </c>
      <c r="N70" s="17">
        <f t="shared" si="10"/>
        <v>652992.1487827372</v>
      </c>
      <c r="O70" s="17">
        <f t="shared" si="10"/>
        <v>591821.8129681783</v>
      </c>
      <c r="P70" s="17">
        <f t="shared" si="10"/>
        <v>538220.71127434925</v>
      </c>
      <c r="Q70" s="17">
        <f t="shared" si="10"/>
        <v>491070.48249513615</v>
      </c>
      <c r="R70" s="17">
        <f t="shared" si="10"/>
        <v>449432.15567010664</v>
      </c>
      <c r="S70" s="17">
        <f t="shared" si="10"/>
        <v>412516.42902091355</v>
      </c>
      <c r="T70" s="17">
        <f t="shared" si="10"/>
        <v>379658.93251550442</v>
      </c>
    </row>
    <row r="71" spans="2:256">
      <c r="C71" s="9" t="str">
        <f>A46</f>
        <v>Admin costs and insurances per year</v>
      </c>
      <c r="D71" s="36">
        <f>C46</f>
        <v>40000</v>
      </c>
      <c r="E71" s="9"/>
      <c r="F71" s="17">
        <f>$D$71</f>
        <v>40000</v>
      </c>
      <c r="G71" s="17">
        <f>$D$71</f>
        <v>40000</v>
      </c>
      <c r="H71" s="17">
        <f t="shared" ref="H71:T71" si="11">$D$71</f>
        <v>40000</v>
      </c>
      <c r="I71" s="17">
        <f t="shared" si="11"/>
        <v>40000</v>
      </c>
      <c r="J71" s="17">
        <f t="shared" si="11"/>
        <v>40000</v>
      </c>
      <c r="K71" s="17">
        <f t="shared" si="11"/>
        <v>40000</v>
      </c>
      <c r="L71" s="17">
        <f t="shared" si="11"/>
        <v>40000</v>
      </c>
      <c r="M71" s="17">
        <f t="shared" si="11"/>
        <v>40000</v>
      </c>
      <c r="N71" s="17">
        <f t="shared" si="11"/>
        <v>40000</v>
      </c>
      <c r="O71" s="17">
        <f t="shared" si="11"/>
        <v>40000</v>
      </c>
      <c r="P71" s="17">
        <f t="shared" si="11"/>
        <v>40000</v>
      </c>
      <c r="Q71" s="17">
        <f t="shared" si="11"/>
        <v>40000</v>
      </c>
      <c r="R71" s="17">
        <f t="shared" si="11"/>
        <v>40000</v>
      </c>
      <c r="S71" s="17">
        <f t="shared" si="11"/>
        <v>40000</v>
      </c>
      <c r="T71" s="17">
        <f t="shared" si="11"/>
        <v>40000</v>
      </c>
    </row>
    <row r="72" spans="2:256">
      <c r="C72" s="9"/>
      <c r="E72" s="9"/>
    </row>
    <row r="73" spans="2:256">
      <c r="C73" s="9" t="s">
        <v>28</v>
      </c>
      <c r="D73" s="10">
        <v>0.25</v>
      </c>
      <c r="F73" s="16">
        <f t="shared" ref="F73:T73" si="12">IF((F68-SUM(F70:F71)-$D$21)&gt;0,(F68-SUM(F70:F71)-$D$21)*$D$73,0)</f>
        <v>0</v>
      </c>
      <c r="G73" s="16">
        <f t="shared" si="12"/>
        <v>0</v>
      </c>
      <c r="H73" s="16">
        <f t="shared" si="12"/>
        <v>0</v>
      </c>
      <c r="I73" s="16">
        <f t="shared" si="12"/>
        <v>0</v>
      </c>
      <c r="J73" s="16">
        <f t="shared" si="12"/>
        <v>0</v>
      </c>
      <c r="K73" s="16">
        <f t="shared" si="12"/>
        <v>0</v>
      </c>
      <c r="L73" s="16">
        <f t="shared" si="12"/>
        <v>0</v>
      </c>
      <c r="M73" s="16">
        <f t="shared" si="12"/>
        <v>0</v>
      </c>
      <c r="N73" s="16">
        <f t="shared" si="12"/>
        <v>0</v>
      </c>
      <c r="O73" s="16">
        <f t="shared" si="12"/>
        <v>0</v>
      </c>
      <c r="P73" s="16">
        <f t="shared" si="12"/>
        <v>0</v>
      </c>
      <c r="Q73" s="16">
        <f t="shared" si="12"/>
        <v>0</v>
      </c>
      <c r="R73" s="16">
        <f t="shared" si="12"/>
        <v>0</v>
      </c>
      <c r="S73" s="16">
        <f t="shared" si="12"/>
        <v>0</v>
      </c>
      <c r="T73" s="16">
        <f t="shared" si="12"/>
        <v>0</v>
      </c>
    </row>
    <row r="75" spans="2:256">
      <c r="C75" s="2" t="s">
        <v>24</v>
      </c>
      <c r="F75" s="15">
        <f t="shared" ref="F75:T75" si="13">F68-SUM(F70:F73)</f>
        <v>437484.78143706429</v>
      </c>
      <c r="G75" s="15">
        <f t="shared" si="13"/>
        <v>437484.78143706429</v>
      </c>
      <c r="H75" s="15">
        <f t="shared" si="13"/>
        <v>437484.78143706429</v>
      </c>
      <c r="I75" s="15">
        <f t="shared" si="13"/>
        <v>437484.78143706429</v>
      </c>
      <c r="J75" s="15">
        <f t="shared" si="13"/>
        <v>437484.78143706429</v>
      </c>
      <c r="K75" s="15">
        <f t="shared" si="13"/>
        <v>437484.78143706429</v>
      </c>
      <c r="L75" s="15">
        <f t="shared" si="13"/>
        <v>437484.78143706429</v>
      </c>
      <c r="M75" s="15">
        <f t="shared" si="13"/>
        <v>429195.23487255839</v>
      </c>
      <c r="N75" s="15">
        <f t="shared" si="13"/>
        <v>383725.01283111039</v>
      </c>
      <c r="O75" s="15">
        <f t="shared" si="13"/>
        <v>344031.73110295413</v>
      </c>
      <c r="P75" s="15">
        <f t="shared" si="13"/>
        <v>309250.10693592892</v>
      </c>
      <c r="Q75" s="15">
        <f t="shared" si="13"/>
        <v>278654.43847084127</v>
      </c>
      <c r="R75" s="15">
        <f t="shared" si="13"/>
        <v>251635.42974142416</v>
      </c>
      <c r="S75" s="15">
        <f t="shared" si="13"/>
        <v>227680.90474865353</v>
      </c>
      <c r="T75" s="15">
        <f t="shared" si="13"/>
        <v>206359.75539899268</v>
      </c>
    </row>
    <row r="76" spans="2:256" ht="12" thickBot="1"/>
    <row r="77" spans="2:256" ht="12" thickBot="1">
      <c r="C77" s="9" t="s">
        <v>40</v>
      </c>
      <c r="E77" s="38">
        <f>-E16</f>
        <v>-7283237</v>
      </c>
    </row>
    <row r="78" spans="2:256">
      <c r="C78" s="9" t="s">
        <v>25</v>
      </c>
      <c r="F78" s="25">
        <f>F75</f>
        <v>437484.78143706429</v>
      </c>
      <c r="G78" s="25">
        <f>G75</f>
        <v>437484.78143706429</v>
      </c>
      <c r="H78" s="25">
        <f>H75</f>
        <v>437484.78143706429</v>
      </c>
      <c r="I78" s="25">
        <f>I75</f>
        <v>437484.78143706429</v>
      </c>
      <c r="J78" s="25">
        <f t="shared" ref="J78:T78" si="14">J75</f>
        <v>437484.78143706429</v>
      </c>
      <c r="K78" s="25">
        <f t="shared" si="14"/>
        <v>437484.78143706429</v>
      </c>
      <c r="L78" s="25">
        <f t="shared" si="14"/>
        <v>437484.78143706429</v>
      </c>
      <c r="M78" s="25">
        <f t="shared" si="14"/>
        <v>429195.23487255839</v>
      </c>
      <c r="N78" s="25">
        <f t="shared" si="14"/>
        <v>383725.01283111039</v>
      </c>
      <c r="O78" s="25">
        <f t="shared" si="14"/>
        <v>344031.73110295413</v>
      </c>
      <c r="P78" s="25">
        <f t="shared" si="14"/>
        <v>309250.10693592892</v>
      </c>
      <c r="Q78" s="25">
        <f t="shared" si="14"/>
        <v>278654.43847084127</v>
      </c>
      <c r="R78" s="25">
        <f t="shared" si="14"/>
        <v>251635.42974142416</v>
      </c>
      <c r="S78" s="25">
        <f t="shared" si="14"/>
        <v>227680.90474865353</v>
      </c>
      <c r="T78" s="25">
        <f t="shared" si="14"/>
        <v>206359.75539899268</v>
      </c>
    </row>
    <row r="79" spans="2:256" ht="12" thickBot="1">
      <c r="C79" s="9" t="s">
        <v>41</v>
      </c>
      <c r="E79" s="1"/>
      <c r="F79" s="1"/>
      <c r="G79" s="1"/>
      <c r="H79" s="1"/>
      <c r="I79" s="1"/>
      <c r="J79" s="1"/>
      <c r="K79" s="1"/>
      <c r="L79" s="1"/>
      <c r="M79" s="1"/>
      <c r="N79" s="1"/>
      <c r="O79" s="1"/>
      <c r="P79" s="1"/>
      <c r="Q79" s="1"/>
      <c r="R79" s="1"/>
      <c r="S79" s="1"/>
      <c r="T79" s="26">
        <f>E18</f>
        <v>900000</v>
      </c>
    </row>
    <row r="80" spans="2:256" ht="6.75" customHeight="1" thickTop="1"/>
    <row r="81" spans="1:20">
      <c r="C81" s="2" t="s">
        <v>25</v>
      </c>
      <c r="E81" s="15">
        <f>SUM(E77:E79)</f>
        <v>-7283237</v>
      </c>
      <c r="F81" s="15">
        <f>SUM(F77:F79)</f>
        <v>437484.78143706429</v>
      </c>
      <c r="G81" s="15">
        <f t="shared" ref="G81:T81" si="15">SUM(G77:G79)</f>
        <v>437484.78143706429</v>
      </c>
      <c r="H81" s="15">
        <f t="shared" si="15"/>
        <v>437484.78143706429</v>
      </c>
      <c r="I81" s="15">
        <f t="shared" si="15"/>
        <v>437484.78143706429</v>
      </c>
      <c r="J81" s="15">
        <f t="shared" si="15"/>
        <v>437484.78143706429</v>
      </c>
      <c r="K81" s="15">
        <f t="shared" si="15"/>
        <v>437484.78143706429</v>
      </c>
      <c r="L81" s="15">
        <f t="shared" si="15"/>
        <v>437484.78143706429</v>
      </c>
      <c r="M81" s="15">
        <f t="shared" si="15"/>
        <v>429195.23487255839</v>
      </c>
      <c r="N81" s="15">
        <f t="shared" si="15"/>
        <v>383725.01283111039</v>
      </c>
      <c r="O81" s="15">
        <f t="shared" si="15"/>
        <v>344031.73110295413</v>
      </c>
      <c r="P81" s="15">
        <f t="shared" si="15"/>
        <v>309250.10693592892</v>
      </c>
      <c r="Q81" s="15">
        <f t="shared" si="15"/>
        <v>278654.43847084127</v>
      </c>
      <c r="R81" s="15">
        <f t="shared" si="15"/>
        <v>251635.42974142416</v>
      </c>
      <c r="S81" s="15">
        <f t="shared" si="15"/>
        <v>227680.90474865353</v>
      </c>
      <c r="T81" s="15">
        <f t="shared" si="15"/>
        <v>1106359.7553989927</v>
      </c>
    </row>
    <row r="83" spans="1:20" ht="12" thickBot="1">
      <c r="B83" s="1" t="s">
        <v>35</v>
      </c>
      <c r="C83" s="1"/>
    </row>
    <row r="84" spans="1:20" ht="12.75" thickTop="1">
      <c r="C84" s="2" t="s">
        <v>33</v>
      </c>
      <c r="D84" s="27">
        <f>IRR(E81:T81)</f>
        <v>-1.5470697543177153E-2</v>
      </c>
    </row>
    <row r="85" spans="1:20">
      <c r="C85" s="2" t="s">
        <v>26</v>
      </c>
    </row>
    <row r="88" spans="1:20">
      <c r="C88" s="18"/>
    </row>
    <row r="92" spans="1:20">
      <c r="A92" s="86"/>
      <c r="B92" s="86"/>
      <c r="C92" s="86"/>
      <c r="D92" s="86"/>
      <c r="E92" s="86"/>
      <c r="F92" s="86"/>
      <c r="G92" s="86"/>
      <c r="H92" s="86"/>
      <c r="I92" s="86"/>
      <c r="J92" s="86"/>
      <c r="K92" s="86"/>
    </row>
    <row r="93" spans="1:20">
      <c r="A93" s="86"/>
      <c r="B93" s="86"/>
      <c r="C93" s="86"/>
      <c r="D93" s="35"/>
      <c r="E93" s="92"/>
      <c r="F93" s="92"/>
      <c r="G93" s="93"/>
      <c r="H93" s="92"/>
      <c r="I93" s="92"/>
      <c r="J93" s="92"/>
      <c r="K93" s="86"/>
    </row>
    <row r="94" spans="1:20">
      <c r="A94" s="86"/>
      <c r="B94" s="91"/>
      <c r="C94" s="86"/>
      <c r="D94" s="34"/>
      <c r="E94" s="32"/>
      <c r="F94" s="32"/>
      <c r="G94" s="32"/>
      <c r="H94" s="32"/>
      <c r="I94" s="32"/>
      <c r="J94" s="32"/>
      <c r="K94" s="86"/>
    </row>
    <row r="95" spans="1:20">
      <c r="A95" s="86"/>
      <c r="B95" s="91"/>
      <c r="C95" s="86"/>
      <c r="D95" s="34"/>
      <c r="E95" s="32"/>
      <c r="F95" s="32"/>
      <c r="G95" s="32"/>
      <c r="H95" s="32"/>
      <c r="I95" s="32"/>
      <c r="J95" s="32"/>
      <c r="K95" s="86"/>
    </row>
    <row r="96" spans="1:20">
      <c r="A96" s="86"/>
      <c r="B96" s="91"/>
      <c r="C96" s="87"/>
      <c r="D96" s="39"/>
      <c r="E96" s="32"/>
      <c r="F96" s="32"/>
      <c r="G96" s="32"/>
      <c r="H96" s="32"/>
      <c r="I96" s="32"/>
      <c r="J96" s="32"/>
      <c r="K96" s="86"/>
    </row>
    <row r="97" spans="1:11">
      <c r="A97" s="86"/>
      <c r="B97" s="91"/>
      <c r="C97" s="87"/>
      <c r="D97" s="39"/>
      <c r="E97" s="32"/>
      <c r="F97" s="32"/>
      <c r="G97" s="32"/>
      <c r="H97" s="32"/>
      <c r="I97" s="32"/>
      <c r="J97" s="32"/>
      <c r="K97" s="86"/>
    </row>
    <row r="98" spans="1:11">
      <c r="A98" s="86"/>
      <c r="B98" s="91"/>
      <c r="C98" s="86"/>
      <c r="D98" s="35"/>
      <c r="E98" s="86"/>
      <c r="F98" s="86"/>
      <c r="G98" s="86"/>
      <c r="H98" s="86"/>
      <c r="I98" s="86"/>
      <c r="J98" s="86"/>
      <c r="K98" s="86"/>
    </row>
    <row r="99" spans="1:11">
      <c r="A99" s="86"/>
      <c r="B99" s="91"/>
      <c r="C99" s="86"/>
      <c r="D99" s="35"/>
      <c r="E99" s="86"/>
      <c r="F99" s="86"/>
      <c r="G99" s="86"/>
      <c r="H99" s="86"/>
      <c r="I99" s="86"/>
      <c r="J99" s="86"/>
      <c r="K99" s="86"/>
    </row>
    <row r="100" spans="1:11">
      <c r="A100" s="86"/>
      <c r="B100" s="86"/>
      <c r="C100" s="86"/>
      <c r="D100" s="86"/>
      <c r="E100" s="86"/>
      <c r="F100" s="86"/>
      <c r="G100" s="86"/>
      <c r="H100" s="86"/>
      <c r="I100" s="86"/>
      <c r="J100" s="86"/>
      <c r="K100" s="86"/>
    </row>
    <row r="101" spans="1:11">
      <c r="A101" s="86"/>
      <c r="B101" s="86"/>
      <c r="C101" s="35"/>
      <c r="D101" s="94"/>
      <c r="E101" s="94"/>
      <c r="F101" s="88"/>
      <c r="G101" s="88"/>
      <c r="H101" s="88"/>
      <c r="I101" s="86"/>
      <c r="J101" s="86"/>
      <c r="K101" s="86"/>
    </row>
    <row r="102" spans="1:11">
      <c r="A102" s="86"/>
      <c r="B102" s="86"/>
      <c r="C102" s="86"/>
      <c r="D102" s="39"/>
      <c r="E102" s="34"/>
      <c r="F102" s="34"/>
      <c r="G102" s="34"/>
      <c r="H102" s="34"/>
      <c r="I102" s="86"/>
      <c r="J102" s="86"/>
      <c r="K102" s="86"/>
    </row>
    <row r="103" spans="1:11">
      <c r="A103" s="95"/>
      <c r="B103" s="86"/>
      <c r="C103" s="86"/>
      <c r="D103" s="34"/>
      <c r="E103" s="39"/>
      <c r="F103" s="34"/>
      <c r="G103" s="34"/>
      <c r="H103" s="34"/>
      <c r="I103" s="86"/>
      <c r="J103" s="86"/>
      <c r="K103" s="86"/>
    </row>
    <row r="104" spans="1:11">
      <c r="A104" s="95"/>
      <c r="B104" s="86"/>
      <c r="C104" s="87"/>
      <c r="D104" s="34"/>
      <c r="E104" s="34"/>
      <c r="F104" s="39"/>
      <c r="G104" s="34"/>
      <c r="H104" s="34"/>
      <c r="I104" s="86"/>
      <c r="J104" s="86"/>
      <c r="K104" s="86"/>
    </row>
    <row r="105" spans="1:11">
      <c r="A105" s="86"/>
      <c r="B105" s="86"/>
      <c r="C105" s="86"/>
      <c r="D105" s="34"/>
      <c r="E105" s="34"/>
      <c r="F105" s="34"/>
      <c r="G105" s="39"/>
      <c r="H105" s="34"/>
      <c r="I105" s="86"/>
      <c r="J105" s="86"/>
      <c r="K105" s="86"/>
    </row>
    <row r="106" spans="1:11">
      <c r="A106" s="86"/>
      <c r="B106" s="86"/>
      <c r="C106" s="86"/>
      <c r="D106" s="34"/>
      <c r="E106" s="34"/>
      <c r="F106" s="34"/>
      <c r="G106" s="34"/>
      <c r="H106" s="39"/>
      <c r="I106" s="86"/>
      <c r="J106" s="86"/>
      <c r="K106" s="86"/>
    </row>
    <row r="107" spans="1:11">
      <c r="A107" s="86"/>
      <c r="B107" s="86"/>
      <c r="C107" s="86"/>
      <c r="D107" s="86"/>
      <c r="E107" s="86"/>
      <c r="F107" s="86"/>
      <c r="G107" s="86"/>
      <c r="H107" s="86"/>
      <c r="I107" s="86"/>
      <c r="J107" s="86"/>
      <c r="K107" s="86"/>
    </row>
    <row r="108" spans="1:11">
      <c r="A108" s="86"/>
      <c r="B108" s="86"/>
      <c r="C108" s="86"/>
      <c r="D108" s="86"/>
      <c r="E108" s="86"/>
      <c r="F108" s="86"/>
      <c r="G108" s="86"/>
      <c r="H108" s="86"/>
      <c r="I108" s="86"/>
      <c r="J108" s="86"/>
      <c r="K108" s="86"/>
    </row>
  </sheetData>
  <sheetProtection password="E4EA" sheet="1" objects="1" scenarios="1"/>
  <phoneticPr fontId="1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dimension ref="B1:H25"/>
  <sheetViews>
    <sheetView workbookViewId="0">
      <selection activeCell="G15" sqref="G15"/>
    </sheetView>
  </sheetViews>
  <sheetFormatPr baseColWidth="10" defaultColWidth="9.140625" defaultRowHeight="15"/>
  <cols>
    <col min="1" max="1" width="6.42578125" style="50" customWidth="1"/>
    <col min="2" max="2" width="24.85546875" style="50" customWidth="1"/>
    <col min="3" max="3" width="20.42578125" style="50" customWidth="1"/>
    <col min="4" max="4" width="19.85546875" style="50" customWidth="1"/>
    <col min="5" max="5" width="12.85546875" style="50" customWidth="1"/>
    <col min="6" max="6" width="12.85546875" style="50" hidden="1" customWidth="1"/>
    <col min="7" max="7" width="15.42578125" style="50" customWidth="1"/>
    <col min="8" max="8" width="15.42578125" style="50" hidden="1" customWidth="1"/>
    <col min="9" max="16384" width="9.140625" style="50"/>
  </cols>
  <sheetData>
    <row r="1" spans="2:8">
      <c r="F1" s="50" t="s">
        <v>78</v>
      </c>
      <c r="G1" s="50">
        <v>1</v>
      </c>
    </row>
    <row r="2" spans="2:8">
      <c r="B2" s="72" t="s">
        <v>142</v>
      </c>
    </row>
    <row r="4" spans="2:8" s="43" customFormat="1" ht="45">
      <c r="B4" s="40" t="s">
        <v>69</v>
      </c>
      <c r="C4" s="41" t="s">
        <v>70</v>
      </c>
      <c r="D4" s="41" t="s">
        <v>79</v>
      </c>
      <c r="E4" s="41" t="s">
        <v>71</v>
      </c>
      <c r="F4" s="41" t="s">
        <v>72</v>
      </c>
      <c r="G4" s="42" t="s">
        <v>73</v>
      </c>
      <c r="H4" s="42" t="s">
        <v>74</v>
      </c>
    </row>
    <row r="5" spans="2:8">
      <c r="B5" s="44"/>
      <c r="C5" s="45">
        <v>39600</v>
      </c>
      <c r="D5" s="46">
        <v>232.55</v>
      </c>
      <c r="E5" s="47">
        <v>4.8520000000000003</v>
      </c>
      <c r="F5" s="48">
        <v>7.5453999999999999</v>
      </c>
      <c r="G5" s="119">
        <f t="shared" ref="G5:G12" si="0">D5*$G$1/E5</f>
        <v>47.928689200329757</v>
      </c>
      <c r="H5" s="49">
        <f t="shared" ref="H5:H12" si="1">D5*$G$1/F5</f>
        <v>30.820102313992635</v>
      </c>
    </row>
    <row r="6" spans="2:8">
      <c r="B6" s="51"/>
      <c r="C6" s="52">
        <v>39630</v>
      </c>
      <c r="D6" s="53">
        <v>245.49</v>
      </c>
      <c r="E6" s="54">
        <v>4.8489000000000004</v>
      </c>
      <c r="F6" s="55">
        <v>7.6360999999999999</v>
      </c>
      <c r="G6" s="120">
        <f t="shared" si="0"/>
        <v>50.627977479428324</v>
      </c>
      <c r="H6" s="57">
        <f t="shared" si="1"/>
        <v>32.148609892484387</v>
      </c>
    </row>
    <row r="7" spans="2:8">
      <c r="B7" s="58" t="s">
        <v>75</v>
      </c>
      <c r="C7" s="52">
        <v>39661</v>
      </c>
      <c r="D7" s="53">
        <v>226.19</v>
      </c>
      <c r="E7" s="54">
        <v>4.8451000000000004</v>
      </c>
      <c r="F7" s="55">
        <v>7.5636999999999999</v>
      </c>
      <c r="G7" s="120">
        <f t="shared" si="0"/>
        <v>46.684278962250517</v>
      </c>
      <c r="H7" s="57">
        <f t="shared" si="1"/>
        <v>29.904676282771661</v>
      </c>
    </row>
    <row r="8" spans="2:8">
      <c r="B8" s="51"/>
      <c r="C8" s="52">
        <v>39692</v>
      </c>
      <c r="D8" s="53">
        <v>246.84</v>
      </c>
      <c r="E8" s="54">
        <v>4.8461999999999996</v>
      </c>
      <c r="F8" s="55">
        <v>7.1409000000000002</v>
      </c>
      <c r="G8" s="120">
        <f t="shared" si="0"/>
        <v>50.934753002352366</v>
      </c>
      <c r="H8" s="57">
        <f t="shared" si="1"/>
        <v>34.567071377557447</v>
      </c>
    </row>
    <row r="9" spans="2:8">
      <c r="B9" s="51"/>
      <c r="C9" s="52">
        <v>39722</v>
      </c>
      <c r="D9" s="53">
        <v>249.38</v>
      </c>
      <c r="E9" s="54">
        <v>4.8613</v>
      </c>
      <c r="F9" s="55">
        <v>6.9531999999999998</v>
      </c>
      <c r="G9" s="120">
        <f t="shared" si="0"/>
        <v>51.299035237487914</v>
      </c>
      <c r="H9" s="57">
        <f t="shared" si="1"/>
        <v>35.865500776620834</v>
      </c>
    </row>
    <row r="10" spans="2:8">
      <c r="B10" s="58"/>
      <c r="C10" s="52">
        <v>39753</v>
      </c>
      <c r="D10" s="53">
        <v>250.05</v>
      </c>
      <c r="E10" s="54">
        <v>5.7603999999999997</v>
      </c>
      <c r="F10" s="55">
        <v>7.5087000000000002</v>
      </c>
      <c r="G10" s="120">
        <f t="shared" si="0"/>
        <v>43.408443858065418</v>
      </c>
      <c r="H10" s="57">
        <f t="shared" si="1"/>
        <v>33.301370410324026</v>
      </c>
    </row>
    <row r="11" spans="2:8">
      <c r="B11" s="58"/>
      <c r="C11" s="52">
        <v>39783</v>
      </c>
      <c r="D11" s="53">
        <v>258.77999999999997</v>
      </c>
      <c r="E11" s="54">
        <v>6.8776999999999999</v>
      </c>
      <c r="F11" s="55">
        <v>8.7532999999999994</v>
      </c>
      <c r="G11" s="120">
        <f t="shared" si="0"/>
        <v>37.625950535789578</v>
      </c>
      <c r="H11" s="57">
        <f t="shared" si="1"/>
        <v>29.563707401779897</v>
      </c>
    </row>
    <row r="12" spans="2:8">
      <c r="B12" s="59"/>
      <c r="C12" s="60">
        <v>39814</v>
      </c>
      <c r="D12" s="61">
        <v>243.8</v>
      </c>
      <c r="E12" s="62">
        <v>7.7</v>
      </c>
      <c r="F12" s="63">
        <v>10.855499999999999</v>
      </c>
      <c r="G12" s="121">
        <f t="shared" si="0"/>
        <v>31.662337662337663</v>
      </c>
      <c r="H12" s="64">
        <f t="shared" si="1"/>
        <v>22.458661507991344</v>
      </c>
    </row>
    <row r="13" spans="2:8" ht="15.75" thickBot="1">
      <c r="B13" s="70"/>
      <c r="C13" s="52"/>
      <c r="D13" s="53"/>
      <c r="E13" s="54"/>
      <c r="F13" s="55"/>
      <c r="G13" s="56"/>
      <c r="H13" s="71"/>
    </row>
    <row r="14" spans="2:8" ht="15.75" thickBot="1">
      <c r="B14" s="124" t="s">
        <v>140</v>
      </c>
      <c r="C14" s="125"/>
      <c r="D14" s="125"/>
      <c r="E14" s="125"/>
      <c r="F14" s="125"/>
      <c r="G14" s="65">
        <f>AVERAGE(G5:G12)</f>
        <v>45.021433242255192</v>
      </c>
    </row>
    <row r="15" spans="2:8" ht="15.75" thickBot="1">
      <c r="B15" s="124" t="s">
        <v>141</v>
      </c>
      <c r="C15" s="125"/>
      <c r="D15" s="125"/>
      <c r="E15" s="125"/>
      <c r="F15" s="125"/>
      <c r="G15" s="65">
        <f>MAX(G5:G12)</f>
        <v>51.299035237487914</v>
      </c>
    </row>
    <row r="16" spans="2:8">
      <c r="G16" s="69"/>
    </row>
    <row r="17" spans="2:2">
      <c r="B17" s="50" t="s">
        <v>82</v>
      </c>
    </row>
    <row r="18" spans="2:2">
      <c r="B18" s="50" t="s">
        <v>80</v>
      </c>
    </row>
    <row r="20" spans="2:2">
      <c r="B20" s="50" t="s">
        <v>76</v>
      </c>
    </row>
    <row r="21" spans="2:2">
      <c r="B21" s="50" t="s">
        <v>77</v>
      </c>
    </row>
    <row r="23" spans="2:2">
      <c r="B23" s="50" t="s">
        <v>81</v>
      </c>
    </row>
    <row r="25" spans="2:2">
      <c r="B25" s="68"/>
    </row>
  </sheetData>
  <sheetProtection password="E4EA" sheet="1" objects="1" scenarios="1"/>
  <mergeCells count="2">
    <mergeCell ref="B14:F14"/>
    <mergeCell ref="B15:F15"/>
  </mergeCells>
  <phoneticPr fontId="13"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Arbeitsblätter</vt:lpstr>
      </vt:variant>
      <vt:variant>
        <vt:i4>11</vt:i4>
      </vt:variant>
      <vt:variant>
        <vt:lpstr>Benannte Bereiche</vt:lpstr>
      </vt:variant>
      <vt:variant>
        <vt:i4>1</vt:i4>
      </vt:variant>
    </vt:vector>
  </HeadingPairs>
  <TitlesOfParts>
    <vt:vector size="12" baseType="lpstr">
      <vt:lpstr>Alternative1</vt:lpstr>
      <vt:lpstr>SCENARIOSUMMARY</vt:lpstr>
      <vt:lpstr>Plus10%CapEx</vt:lpstr>
      <vt:lpstr>Plus10%OpEx</vt:lpstr>
      <vt:lpstr>Plus10%Tariff</vt:lpstr>
      <vt:lpstr>Minus10%CapEx</vt:lpstr>
      <vt:lpstr>Minus10%OpEx</vt:lpstr>
      <vt:lpstr>Minus10%Tariff</vt:lpstr>
      <vt:lpstr>WEM-tariffs</vt:lpstr>
      <vt:lpstr>NBURates</vt:lpstr>
      <vt:lpstr>PriceEngine</vt:lpstr>
      <vt:lpstr>WEM</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Maite Pina</dc:creator>
  <cp:lastModifiedBy>esud</cp:lastModifiedBy>
  <cp:lastPrinted>2009-07-28T07:24:25Z</cp:lastPrinted>
  <dcterms:created xsi:type="dcterms:W3CDTF">2009-05-06T18:12:30Z</dcterms:created>
  <dcterms:modified xsi:type="dcterms:W3CDTF">2009-09-01T14:29:55Z</dcterms:modified>
</cp:coreProperties>
</file>