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9120" activeTab="0"/>
  </bookViews>
  <sheets>
    <sheet name="Input Parameters" sheetId="1" r:id="rId1"/>
    <sheet name="Cashflow1" sheetId="2" r:id="rId2"/>
    <sheet name="Financing" sheetId="3" r:id="rId3"/>
    <sheet name="Taxes" sheetId="4" r:id="rId4"/>
    <sheet name="Sensitivity_data" sheetId="5" r:id="rId5"/>
    <sheet name="Sensitivity_Diagram1" sheetId="6" r:id="rId6"/>
  </sheets>
  <externalReferences>
    <externalReference r:id="rId9"/>
  </externalReferences>
  <definedNames>
    <definedName name="_xlnm.Print_Area" localSheetId="0">'Input Parameters'!$A$1:$E$53</definedName>
  </definedNames>
  <calcPr fullCalcOnLoad="1"/>
</workbook>
</file>

<file path=xl/sharedStrings.xml><?xml version="1.0" encoding="utf-8"?>
<sst xmlns="http://schemas.openxmlformats.org/spreadsheetml/2006/main" count="161" uniqueCount="98">
  <si>
    <t>Investment</t>
  </si>
  <si>
    <t>Cashflow</t>
  </si>
  <si>
    <t>Revenues:</t>
  </si>
  <si>
    <t>Rev. Power</t>
  </si>
  <si>
    <t>Rev. Heat</t>
  </si>
  <si>
    <t>Project</t>
  </si>
  <si>
    <t>Year</t>
  </si>
  <si>
    <t xml:space="preserve">Investment </t>
  </si>
  <si>
    <t>Production Start</t>
  </si>
  <si>
    <t>Production End</t>
  </si>
  <si>
    <t>EUR</t>
  </si>
  <si>
    <t>Total cost per year</t>
  </si>
  <si>
    <t>Rev/year</t>
  </si>
  <si>
    <t>Total Capex</t>
  </si>
  <si>
    <t>Interest</t>
  </si>
  <si>
    <t>Cash</t>
  </si>
  <si>
    <t>Out</t>
  </si>
  <si>
    <t>In</t>
  </si>
  <si>
    <t>NPV (10 %)</t>
  </si>
  <si>
    <t>%</t>
  </si>
  <si>
    <t>Income Tax</t>
  </si>
  <si>
    <t>Loan Repayment</t>
  </si>
  <si>
    <t>Depreciation</t>
  </si>
  <si>
    <t>Taxable</t>
  </si>
  <si>
    <t>Income</t>
  </si>
  <si>
    <t>Tax</t>
  </si>
  <si>
    <t>Tax Rate</t>
  </si>
  <si>
    <t>Loss carry</t>
  </si>
  <si>
    <t>forward</t>
  </si>
  <si>
    <t>Cash in Prod.</t>
  </si>
  <si>
    <t>Opex</t>
  </si>
  <si>
    <t>Income bf. cf</t>
  </si>
  <si>
    <t>Taxable Inc.</t>
  </si>
  <si>
    <t>aft. cf</t>
  </si>
  <si>
    <t>NPV (0 %)</t>
  </si>
  <si>
    <t>FreeCash</t>
  </si>
  <si>
    <t>aft. Amort.</t>
  </si>
  <si>
    <t>Efficiency
[%]</t>
  </si>
  <si>
    <t>Volume CH4 
[m3]</t>
  </si>
  <si>
    <t>incl. Financing</t>
  </si>
  <si>
    <t>Loan</t>
  </si>
  <si>
    <t>Percentage of Debt Fin.</t>
  </si>
  <si>
    <t>Repayment Time Loan years</t>
  </si>
  <si>
    <t>Inflation rate OPEX</t>
  </si>
  <si>
    <t>Capex</t>
  </si>
  <si>
    <t>Production</t>
  </si>
  <si>
    <t>Capex ERU</t>
  </si>
  <si>
    <t>Opex ERU</t>
  </si>
  <si>
    <t>Production ERU</t>
  </si>
  <si>
    <t xml:space="preserve"> Repayment</t>
  </si>
  <si>
    <t>IRR</t>
  </si>
  <si>
    <t>Depreciation Time</t>
  </si>
  <si>
    <t>Sensitivity Production</t>
  </si>
  <si>
    <t>Sensitivity Capex</t>
  </si>
  <si>
    <t>Sensitivity Opex</t>
  </si>
  <si>
    <t>Delta Cap</t>
  </si>
  <si>
    <t>Delta Opex</t>
  </si>
  <si>
    <t>Delta Prod.</t>
  </si>
  <si>
    <t>↑</t>
  </si>
  <si>
    <t>cumulated</t>
  </si>
  <si>
    <t>Revenues from ERUs</t>
  </si>
  <si>
    <t>ERU Price [EUR/t]</t>
  </si>
  <si>
    <t>Rev. ERU</t>
  </si>
  <si>
    <t>Surplus ERU</t>
  </si>
  <si>
    <t>Capex flaring</t>
  </si>
  <si>
    <t>Opex flaring</t>
  </si>
  <si>
    <t>Opex total</t>
  </si>
  <si>
    <t>Capex heat production</t>
  </si>
  <si>
    <t>firing capacity [MWh]</t>
  </si>
  <si>
    <t>Opex heat production (EUR/kWh)</t>
  </si>
  <si>
    <t>ERU Volume</t>
  </si>
  <si>
    <t>ERU revenue</t>
  </si>
  <si>
    <t>produced heat [MWh]</t>
  </si>
  <si>
    <t>gained environmental effect in t CO2</t>
  </si>
  <si>
    <t>Heat. EUR/kWh</t>
  </si>
  <si>
    <t>own consumption</t>
  </si>
  <si>
    <t>Weight CH4 
[t]</t>
  </si>
  <si>
    <t>Cost per Unit</t>
  </si>
  <si>
    <t>power produced [MWh]</t>
  </si>
  <si>
    <t>power</t>
  </si>
  <si>
    <t>spec. emissions
[tCO2 / MWh]</t>
  </si>
  <si>
    <t>spec. Emissons
[t CO2 / MWh]</t>
  </si>
  <si>
    <t>efficiency of coal boilers</t>
  </si>
  <si>
    <t>t CO2 eq</t>
  </si>
  <si>
    <t>CO2-equivalent by own consumption (power for CHP operation)</t>
  </si>
  <si>
    <t>CO2-equivalent by heat generation  (Avoided emissions in heat plants)</t>
  </si>
  <si>
    <t>CO2-equivalent by power production (Avoided emissions in power plants)</t>
  </si>
  <si>
    <t>Avoided CO2-emissions by using Coal Mine Methane</t>
  </si>
  <si>
    <t>Total cost</t>
  </si>
  <si>
    <t>Capex power production</t>
  </si>
  <si>
    <t>Capex pipelines</t>
  </si>
  <si>
    <t>Opex power production (EUR/MWh)</t>
  </si>
  <si>
    <t>Opex pipelines</t>
  </si>
  <si>
    <t>Power EUR/MWh</t>
  </si>
  <si>
    <r>
      <t>Capex = CAP</t>
    </r>
    <r>
      <rPr>
        <sz val="10"/>
        <rFont val="Arial"/>
        <family val="0"/>
      </rPr>
      <t xml:space="preserve">ital </t>
    </r>
    <r>
      <rPr>
        <i/>
        <sz val="10"/>
        <rFont val="Arial"/>
        <family val="0"/>
      </rPr>
      <t>EX</t>
    </r>
    <r>
      <rPr>
        <sz val="10"/>
        <rFont val="Arial"/>
        <family val="0"/>
      </rPr>
      <t>penditure"</t>
    </r>
  </si>
  <si>
    <t>Opex = "OPErational eXpenditure"</t>
  </si>
  <si>
    <t>run macro using Ctrl+Shift+G</t>
  </si>
  <si>
    <t>Economic Parameters - Krasnoarmeyskaya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</si>
</sst>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#,##0.000"/>
    <numFmt numFmtId="187" formatCode="0.0000000000"/>
    <numFmt numFmtId="188" formatCode="0.000000000"/>
    <numFmt numFmtId="189" formatCode="0.00000000"/>
    <numFmt numFmtId="190" formatCode="0.000000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</numFmts>
  <fonts count="19">
    <font>
      <sz val="10"/>
      <name val="Arial"/>
      <family val="0"/>
    </font>
    <font>
      <sz val="12"/>
      <name val="Frutiger 45 Light"/>
      <family val="2"/>
    </font>
    <font>
      <b/>
      <sz val="12"/>
      <name val="Frutiger 45 Light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Frutiger 45 Light"/>
      <family val="2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2" fontId="5" fillId="2" borderId="0" xfId="0" applyNumberFormat="1" applyFont="1" applyFill="1" applyAlignment="1">
      <alignment/>
    </xf>
    <xf numFmtId="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2" fontId="0" fillId="4" borderId="7" xfId="0" applyNumberFormat="1" applyFill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2" borderId="1" xfId="0" applyNumberFormat="1" applyFill="1" applyBorder="1" applyAlignment="1">
      <alignment horizontal="center"/>
    </xf>
    <xf numFmtId="9" fontId="0" fillId="0" borderId="0" xfId="19" applyAlignment="1">
      <alignment/>
    </xf>
    <xf numFmtId="0" fontId="5" fillId="0" borderId="0" xfId="0" applyFont="1" applyFill="1" applyAlignment="1">
      <alignment/>
    </xf>
    <xf numFmtId="3" fontId="2" fillId="0" borderId="1" xfId="0" applyNumberFormat="1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0" fillId="0" borderId="16" xfId="0" applyBorder="1" applyAlignment="1">
      <alignment/>
    </xf>
    <xf numFmtId="3" fontId="3" fillId="0" borderId="0" xfId="0" applyNumberFormat="1" applyFont="1" applyAlignment="1">
      <alignment/>
    </xf>
    <xf numFmtId="18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9" fontId="0" fillId="2" borderId="0" xfId="19" applyFont="1" applyFill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3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8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9" xfId="0" applyFill="1" applyBorder="1" applyAlignment="1">
      <alignment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6" fillId="3" borderId="1" xfId="0" applyFont="1" applyFill="1" applyBorder="1" applyAlignment="1">
      <alignment/>
    </xf>
    <xf numFmtId="1" fontId="17" fillId="10" borderId="1" xfId="0" applyNumberFormat="1" applyFont="1" applyFill="1" applyBorder="1" applyAlignment="1">
      <alignment horizontal="center"/>
    </xf>
    <xf numFmtId="2" fontId="17" fillId="10" borderId="1" xfId="0" applyNumberFormat="1" applyFont="1" applyFill="1" applyBorder="1" applyAlignment="1">
      <alignment horizontal="center"/>
    </xf>
    <xf numFmtId="3" fontId="17" fillId="1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38" fontId="18" fillId="0" borderId="0" xfId="0" applyNumberFormat="1" applyFont="1" applyAlignment="1">
      <alignment/>
    </xf>
    <xf numFmtId="3" fontId="0" fillId="2" borderId="6" xfId="0" applyNumberFormat="1" applyFill="1" applyBorder="1" applyAlignment="1">
      <alignment/>
    </xf>
    <xf numFmtId="3" fontId="0" fillId="7" borderId="0" xfId="0" applyNumberFormat="1" applyFill="1" applyAlignment="1">
      <alignment/>
    </xf>
    <xf numFmtId="0" fontId="2" fillId="0" borderId="5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2" fillId="0" borderId="2" xfId="0" applyFont="1" applyBorder="1" applyAlignment="1">
      <alignment horizontal="left" wrapText="1"/>
    </xf>
    <xf numFmtId="0" fontId="0" fillId="0" borderId="0" xfId="0" applyFill="1" applyAlignment="1">
      <alignment horizontal="right"/>
    </xf>
    <xf numFmtId="0" fontId="2" fillId="0" borderId="4" xfId="0" applyFont="1" applyBorder="1" applyAlignment="1">
      <alignment/>
    </xf>
    <xf numFmtId="0" fontId="1" fillId="0" borderId="17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6" xfId="0" applyBorder="1" applyAlignment="1">
      <alignment horizontal="right"/>
    </xf>
    <xf numFmtId="186" fontId="0" fillId="2" borderId="0" xfId="0" applyNumberFormat="1" applyFill="1" applyBorder="1" applyAlignment="1">
      <alignment/>
    </xf>
    <xf numFmtId="2" fontId="0" fillId="2" borderId="0" xfId="0" applyNumberFormat="1" applyFont="1" applyFill="1" applyAlignment="1">
      <alignment/>
    </xf>
    <xf numFmtId="0" fontId="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Sensitivity
Utilisation of CMM: Krasnoarmeyskaya-Zapadnaya Nr.1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775"/>
          <c:w val="0.953"/>
          <c:h val="0.717"/>
        </c:manualLayout>
      </c:layout>
      <c:scatterChart>
        <c:scatterStyle val="line"/>
        <c:varyColors val="0"/>
        <c:ser>
          <c:idx val="3"/>
          <c:order val="0"/>
          <c:tx>
            <c:strRef>
              <c:f>Sensitivity_data!$E$14</c:f>
              <c:strCache>
                <c:ptCount val="1"/>
                <c:pt idx="0">
                  <c:v>Capex ERU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Sensitivity_data!$E$15:$E$23</c:f>
              <c:numCache>
                <c:ptCount val="9"/>
                <c:pt idx="0">
                  <c:v>25.43024258588894</c:v>
                </c:pt>
                <c:pt idx="1">
                  <c:v>23.50136734811316</c:v>
                </c:pt>
                <c:pt idx="2">
                  <c:v>21.745538337547615</c:v>
                </c:pt>
                <c:pt idx="3">
                  <c:v>20.138746835761463</c:v>
                </c:pt>
                <c:pt idx="4">
                  <c:v>18.66136055806743</c:v>
                </c:pt>
                <c:pt idx="5">
                  <c:v>17.297155752676137</c:v>
                </c:pt>
                <c:pt idx="6">
                  <c:v>16.03259725373826</c:v>
                </c:pt>
                <c:pt idx="7">
                  <c:v>14.856295092404151</c:v>
                </c:pt>
                <c:pt idx="8">
                  <c:v>13.755538689816294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Sensitivity_data!$F$14</c:f>
              <c:strCache>
                <c:ptCount val="1"/>
                <c:pt idx="0">
                  <c:v>Opex ERU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Sensitivity_data!$F$15:$F$23</c:f>
              <c:numCache>
                <c:ptCount val="9"/>
                <c:pt idx="0">
                  <c:v>27.476224243559493</c:v>
                </c:pt>
                <c:pt idx="1">
                  <c:v>25.58137340397672</c:v>
                </c:pt>
                <c:pt idx="2">
                  <c:v>23.42309312961189</c:v>
                </c:pt>
                <c:pt idx="3">
                  <c:v>21.13049272363561</c:v>
                </c:pt>
                <c:pt idx="4">
                  <c:v>18.66136055806743</c:v>
                </c:pt>
                <c:pt idx="5">
                  <c:v>15.950374305778906</c:v>
                </c:pt>
                <c:pt idx="6">
                  <c:v>12.886726270093776</c:v>
                </c:pt>
                <c:pt idx="7">
                  <c:v>9.242893970002623</c:v>
                </c:pt>
                <c:pt idx="8">
                  <c:v>4.468625198695406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Sensitivity_data!$G$14</c:f>
              <c:strCache>
                <c:ptCount val="1"/>
                <c:pt idx="0">
                  <c:v>Production ERU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Sensitivity_data!$A$16:$A$23</c:f>
              <c:numCache>
                <c:ptCount val="8"/>
                <c:pt idx="0">
                  <c:v>-15</c:v>
                </c:pt>
                <c:pt idx="1">
                  <c:v>-10</c:v>
                </c:pt>
                <c:pt idx="2">
                  <c:v>-5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Sensitivity_data!$G$16:$G$23</c:f>
              <c:numCache>
                <c:ptCount val="8"/>
                <c:pt idx="0">
                  <c:v>13.731347535855088</c:v>
                </c:pt>
                <c:pt idx="1">
                  <c:v>15.421259085940015</c:v>
                </c:pt>
                <c:pt idx="2">
                  <c:v>17.06266360281581</c:v>
                </c:pt>
                <c:pt idx="3">
                  <c:v>18.66136055806743</c:v>
                </c:pt>
                <c:pt idx="4">
                  <c:v>20.221696633450314</c:v>
                </c:pt>
                <c:pt idx="5">
                  <c:v>21.747351900354065</c:v>
                </c:pt>
                <c:pt idx="6">
                  <c:v>23.2414727018828</c:v>
                </c:pt>
                <c:pt idx="7">
                  <c:v>24.706772503478643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Sensitivity_data!$B$2</c:f>
              <c:strCache>
                <c:ptCount val="1"/>
                <c:pt idx="0">
                  <c:v>Capex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Sensitivity_data!$B$15:$B$23</c:f>
              <c:numCache>
                <c:ptCount val="9"/>
                <c:pt idx="0">
                  <c:v>-9.859457593219183</c:v>
                </c:pt>
                <c:pt idx="1">
                  <c:v>-10.757716841383843</c:v>
                </c:pt>
                <c:pt idx="2">
                  <c:v>-11.591273496601168</c:v>
                </c:pt>
                <c:pt idx="3">
                  <c:v>-12.36812485587228</c:v>
                </c:pt>
                <c:pt idx="4">
                  <c:v>-13.094916340446202</c:v>
                </c:pt>
                <c:pt idx="5">
                  <c:v>-13.777224945231477</c:v>
                </c:pt>
                <c:pt idx="6">
                  <c:v>-14.419772869331876</c:v>
                </c:pt>
                <c:pt idx="7">
                  <c:v>-15.026590848434262</c:v>
                </c:pt>
                <c:pt idx="8">
                  <c:v>-15.601144659115304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Sensitivity_data!$C$2</c:f>
              <c:strCache>
                <c:ptCount val="1"/>
                <c:pt idx="0">
                  <c:v>Opex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Sensitivity_data!$C$15:$C$20</c:f>
              <c:numCache>
                <c:ptCount val="6"/>
                <c:pt idx="0">
                  <c:v>4.453928136192229</c:v>
                </c:pt>
                <c:pt idx="1">
                  <c:v>1.0815597841676623</c:v>
                </c:pt>
                <c:pt idx="2">
                  <c:v>-2.737736431906216</c:v>
                </c:pt>
                <c:pt idx="3">
                  <c:v>-7.263586570329987</c:v>
                </c:pt>
                <c:pt idx="4">
                  <c:v>-13.094916340446202</c:v>
                </c:pt>
                <c:pt idx="5">
                  <c:v>-22.43988587087136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Sensitivity_data!$D$2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Sensitivity_data!$A$16:$A$23</c:f>
              <c:numCache>
                <c:ptCount val="8"/>
                <c:pt idx="0">
                  <c:v>-15</c:v>
                </c:pt>
                <c:pt idx="1">
                  <c:v>-10</c:v>
                </c:pt>
                <c:pt idx="2">
                  <c:v>-5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Sensitivity_data!$D$16:$D$23</c:f>
              <c:numCache>
                <c:ptCount val="8"/>
                <c:pt idx="0">
                  <c:v>-16.722036270591964</c:v>
                </c:pt>
                <c:pt idx="1">
                  <c:v>-15.426567468414342</c:v>
                </c:pt>
                <c:pt idx="2">
                  <c:v>-14.222457353980863</c:v>
                </c:pt>
                <c:pt idx="3">
                  <c:v>-13.094916340446202</c:v>
                </c:pt>
                <c:pt idx="4">
                  <c:v>-12.032594359859807</c:v>
                </c:pt>
                <c:pt idx="5">
                  <c:v>-11.02657417385216</c:v>
                </c:pt>
                <c:pt idx="6">
                  <c:v>-10.069711294390755</c:v>
                </c:pt>
                <c:pt idx="7">
                  <c:v>-9.156185661358764</c:v>
                </c:pt>
              </c:numCache>
            </c:numRef>
          </c:yVal>
          <c:smooth val="0"/>
        </c:ser>
        <c:axId val="60900603"/>
        <c:axId val="11234516"/>
      </c:scatterChart>
      <c:val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</c:val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0525"/>
          <c:w val="0.8095"/>
          <c:h val="0.078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28575</xdr:rowOff>
    </xdr:from>
    <xdr:to>
      <xdr:col>2</xdr:col>
      <xdr:colOff>1057275</xdr:colOff>
      <xdr:row>59</xdr:row>
      <xdr:rowOff>0</xdr:rowOff>
    </xdr:to>
    <xdr:sp macro="[0]!Sensitivity">
      <xdr:nvSpPr>
        <xdr:cNvPr id="1" name="AutoShape 2"/>
        <xdr:cNvSpPr>
          <a:spLocks/>
        </xdr:cNvSpPr>
      </xdr:nvSpPr>
      <xdr:spPr>
        <a:xfrm>
          <a:off x="3067050" y="10877550"/>
          <a:ext cx="9429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raine\Projekte\Shchegklovskaya\Econ%20Shcheglovskaya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arameters"/>
      <sheetName val="Production"/>
      <sheetName val="Cashflow1"/>
      <sheetName val="Financing"/>
      <sheetName val="Taxes"/>
      <sheetName val="Sensitivity_data"/>
      <sheetName val="Sensitivity_Diagram1"/>
    </sheetNames>
    <sheetDataSet>
      <sheetData sheetId="0">
        <row r="43">
          <cell r="B4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77"/>
  <sheetViews>
    <sheetView tabSelected="1" workbookViewId="0" topLeftCell="A1">
      <selection activeCell="D46" sqref="D46"/>
    </sheetView>
  </sheetViews>
  <sheetFormatPr defaultColWidth="11.421875" defaultRowHeight="12.75"/>
  <cols>
    <col min="1" max="1" width="28.8515625" style="0" customWidth="1"/>
    <col min="2" max="2" width="15.421875" style="0" customWidth="1"/>
    <col min="3" max="3" width="16.421875" style="0" customWidth="1"/>
    <col min="4" max="4" width="22.00390625" style="0" customWidth="1"/>
    <col min="5" max="5" width="15.28125" style="0" customWidth="1"/>
  </cols>
  <sheetData>
    <row r="1" spans="1:5" ht="15.75">
      <c r="A1" s="114" t="s">
        <v>87</v>
      </c>
      <c r="B1" s="115"/>
      <c r="C1" s="115"/>
      <c r="D1" s="115"/>
      <c r="E1" s="116"/>
    </row>
    <row r="2" spans="1:5" ht="30.75">
      <c r="A2" s="51" t="s">
        <v>68</v>
      </c>
      <c r="B2" s="56" t="s">
        <v>37</v>
      </c>
      <c r="C2" s="1" t="s">
        <v>38</v>
      </c>
      <c r="D2" s="1" t="s">
        <v>76</v>
      </c>
      <c r="E2" s="1" t="s">
        <v>83</v>
      </c>
    </row>
    <row r="3" spans="1:7" ht="15.75">
      <c r="A3" s="57">
        <f>C3*9.979/1000</f>
        <v>1133869.7626099999</v>
      </c>
      <c r="B3" s="13">
        <v>100</v>
      </c>
      <c r="C3" s="2">
        <f>113625590*E42</f>
        <v>113625590</v>
      </c>
      <c r="D3" s="2">
        <f>C3*0.717/1000</f>
        <v>81469.54803</v>
      </c>
      <c r="E3" s="44">
        <f>D3*18.25</f>
        <v>1486819.2515475</v>
      </c>
      <c r="G3" s="5"/>
    </row>
    <row r="4" spans="1:5" ht="15.75">
      <c r="A4" s="120" t="s">
        <v>86</v>
      </c>
      <c r="B4" s="121"/>
      <c r="C4" s="121"/>
      <c r="D4" s="121"/>
      <c r="E4" s="122"/>
    </row>
    <row r="5" spans="1:5" ht="45.75">
      <c r="A5" s="99" t="s">
        <v>78</v>
      </c>
      <c r="B5" s="1" t="s">
        <v>81</v>
      </c>
      <c r="C5" s="3"/>
      <c r="D5" s="110"/>
      <c r="E5" s="105"/>
    </row>
    <row r="6" spans="1:5" ht="15.75">
      <c r="A6" s="57">
        <f>353808*E42</f>
        <v>353808</v>
      </c>
      <c r="B6" s="13">
        <v>0.896</v>
      </c>
      <c r="C6" s="2"/>
      <c r="D6" s="99"/>
      <c r="E6" s="44">
        <f>A6*B6</f>
        <v>317011.968</v>
      </c>
    </row>
    <row r="7" spans="1:5" ht="15.75">
      <c r="A7" s="120" t="s">
        <v>85</v>
      </c>
      <c r="B7" s="121"/>
      <c r="C7" s="121"/>
      <c r="D7" s="121"/>
      <c r="E7" s="122"/>
    </row>
    <row r="8" spans="1:7" ht="45.75">
      <c r="A8" s="52" t="s">
        <v>72</v>
      </c>
      <c r="B8" s="1" t="s">
        <v>80</v>
      </c>
      <c r="C8" s="1" t="s">
        <v>82</v>
      </c>
      <c r="D8" s="3"/>
      <c r="E8" s="1"/>
      <c r="F8" s="103"/>
      <c r="G8" s="42"/>
    </row>
    <row r="9" spans="1:5" ht="15" customHeight="1">
      <c r="A9" s="2">
        <f>130629*E42</f>
        <v>130629</v>
      </c>
      <c r="B9" s="13">
        <v>0.3406</v>
      </c>
      <c r="C9" s="3">
        <v>73.5</v>
      </c>
      <c r="D9" s="3"/>
      <c r="E9" s="49">
        <f>A9/(C9/100)*B9</f>
        <v>60533.65632653062</v>
      </c>
    </row>
    <row r="10" spans="1:5" ht="15.75">
      <c r="A10" s="117" t="s">
        <v>84</v>
      </c>
      <c r="B10" s="118"/>
      <c r="C10" s="118"/>
      <c r="D10" s="118"/>
      <c r="E10" s="119"/>
    </row>
    <row r="11" spans="1:5" ht="45.75">
      <c r="A11" s="44" t="s">
        <v>75</v>
      </c>
      <c r="B11" s="1" t="s">
        <v>80</v>
      </c>
      <c r="C11" s="4" t="s">
        <v>79</v>
      </c>
      <c r="D11" s="3"/>
      <c r="E11" s="44"/>
    </row>
    <row r="12" spans="1:7" ht="16.5" thickBot="1">
      <c r="A12" s="2">
        <f>12383*E42</f>
        <v>12383</v>
      </c>
      <c r="B12" s="4">
        <v>0.807</v>
      </c>
      <c r="C12" s="50"/>
      <c r="D12" s="50"/>
      <c r="E12" s="53">
        <f>A12*B12</f>
        <v>9993.081</v>
      </c>
      <c r="F12" s="103"/>
      <c r="G12" s="42"/>
    </row>
    <row r="13" spans="1:5" ht="15" customHeight="1" thickBot="1">
      <c r="A13" s="107" t="s">
        <v>73</v>
      </c>
      <c r="B13" s="108"/>
      <c r="C13" s="108"/>
      <c r="D13" s="108"/>
      <c r="E13" s="109">
        <f>E3+E6+E9-E12</f>
        <v>1854371.7948740304</v>
      </c>
    </row>
    <row r="14" ht="15" customHeight="1">
      <c r="E14" s="42"/>
    </row>
    <row r="15" spans="1:6" ht="15" customHeight="1">
      <c r="A15" s="54"/>
      <c r="B15" s="55"/>
      <c r="C15" s="55"/>
      <c r="D15" s="55"/>
      <c r="E15" s="55"/>
      <c r="F15" s="104"/>
    </row>
    <row r="16" ht="15" customHeight="1"/>
    <row r="17" ht="8.25" customHeight="1"/>
    <row r="18" ht="6" customHeight="1"/>
    <row r="19" spans="1:2" ht="15">
      <c r="A19" s="7" t="s">
        <v>2</v>
      </c>
      <c r="B19" s="6"/>
    </row>
    <row r="20" spans="2:3" ht="12.75">
      <c r="B20" s="6"/>
      <c r="C20" t="s">
        <v>12</v>
      </c>
    </row>
    <row r="21" spans="1:3" ht="12.75">
      <c r="A21" t="s">
        <v>74</v>
      </c>
      <c r="B21" s="113">
        <v>8</v>
      </c>
      <c r="C21" s="5">
        <f>$A$9*B21</f>
        <v>1045032</v>
      </c>
    </row>
    <row r="22" spans="1:3" ht="12.75">
      <c r="A22" t="s">
        <v>93</v>
      </c>
      <c r="B22" s="113">
        <v>30</v>
      </c>
      <c r="C22" s="5">
        <f>$A$6*B22</f>
        <v>10614240</v>
      </c>
    </row>
    <row r="23" spans="2:3" ht="12.75">
      <c r="B23" s="45"/>
      <c r="C23" s="5"/>
    </row>
    <row r="24" spans="1:2" ht="12.75">
      <c r="A24" s="6" t="s">
        <v>5</v>
      </c>
      <c r="B24" s="71" t="s">
        <v>6</v>
      </c>
    </row>
    <row r="25" ht="12.75">
      <c r="B25" s="71"/>
    </row>
    <row r="26" spans="1:3" ht="12.75">
      <c r="A26" t="s">
        <v>7</v>
      </c>
      <c r="B26" s="69">
        <v>2007</v>
      </c>
      <c r="C26" s="8"/>
    </row>
    <row r="27" spans="1:2" ht="12.75">
      <c r="A27" t="s">
        <v>8</v>
      </c>
      <c r="B27" s="69">
        <v>2008</v>
      </c>
    </row>
    <row r="28" spans="1:2" ht="12.75">
      <c r="A28" t="s">
        <v>9</v>
      </c>
      <c r="B28" s="69">
        <v>2017</v>
      </c>
    </row>
    <row r="29" ht="16.5" customHeight="1">
      <c r="B29" s="48"/>
    </row>
    <row r="30" spans="1:5" ht="14.25" customHeight="1" thickBot="1">
      <c r="A30" s="60"/>
      <c r="B30" s="111" t="s">
        <v>77</v>
      </c>
      <c r="C30" s="111" t="s">
        <v>88</v>
      </c>
      <c r="D30" s="60"/>
      <c r="E30" s="60"/>
    </row>
    <row r="31" spans="1:5" ht="12.75">
      <c r="A31" t="s">
        <v>64</v>
      </c>
      <c r="B31" s="59">
        <f>300000</f>
        <v>300000</v>
      </c>
      <c r="C31" s="5">
        <f>B31*7</f>
        <v>2100000</v>
      </c>
      <c r="D31" t="s">
        <v>10</v>
      </c>
      <c r="E31" s="42"/>
    </row>
    <row r="32" spans="1:7" ht="12.75">
      <c r="A32" t="s">
        <v>67</v>
      </c>
      <c r="B32" s="59">
        <v>50000</v>
      </c>
      <c r="C32" s="5">
        <f>B32</f>
        <v>50000</v>
      </c>
      <c r="D32" t="s">
        <v>10</v>
      </c>
      <c r="E32" s="66" t="s">
        <v>53</v>
      </c>
      <c r="G32" s="77" t="s">
        <v>94</v>
      </c>
    </row>
    <row r="33" spans="1:5" ht="12.75">
      <c r="A33" s="42" t="s">
        <v>89</v>
      </c>
      <c r="B33" s="101">
        <v>1000000</v>
      </c>
      <c r="C33" s="100">
        <f>B33*39</f>
        <v>39000000</v>
      </c>
      <c r="D33" s="42" t="s">
        <v>10</v>
      </c>
      <c r="E33" s="67">
        <v>1</v>
      </c>
    </row>
    <row r="34" spans="1:4" ht="12.75">
      <c r="A34" s="72" t="s">
        <v>90</v>
      </c>
      <c r="B34" s="72"/>
      <c r="C34" s="73">
        <v>650000</v>
      </c>
      <c r="D34" s="42" t="s">
        <v>10</v>
      </c>
    </row>
    <row r="35" spans="1:4" ht="12.75">
      <c r="A35" s="6" t="s">
        <v>13</v>
      </c>
      <c r="B35" s="6"/>
      <c r="C35" s="61">
        <f>SUM(C31:C34)*$E$33</f>
        <v>41800000</v>
      </c>
      <c r="D35" t="s">
        <v>10</v>
      </c>
    </row>
    <row r="36" spans="1:5" ht="13.5" thickBot="1">
      <c r="A36" s="60"/>
      <c r="B36" s="111" t="s">
        <v>77</v>
      </c>
      <c r="C36" s="60" t="s">
        <v>11</v>
      </c>
      <c r="D36" s="60"/>
      <c r="E36" s="60"/>
    </row>
    <row r="37" spans="1:7" ht="12.75">
      <c r="A37" t="s">
        <v>65</v>
      </c>
      <c r="B37" s="58">
        <v>60000</v>
      </c>
      <c r="C37" s="5">
        <f>7*B37</f>
        <v>420000</v>
      </c>
      <c r="D37" t="s">
        <v>10</v>
      </c>
      <c r="E37" s="66" t="s">
        <v>54</v>
      </c>
      <c r="G37" t="s">
        <v>95</v>
      </c>
    </row>
    <row r="38" spans="1:5" ht="12.75">
      <c r="A38" t="s">
        <v>69</v>
      </c>
      <c r="B38" s="95">
        <v>50000</v>
      </c>
      <c r="C38" s="5">
        <f>B38</f>
        <v>50000</v>
      </c>
      <c r="D38" t="s">
        <v>10</v>
      </c>
      <c r="E38" s="67">
        <v>1</v>
      </c>
    </row>
    <row r="39" spans="1:4" ht="12.75">
      <c r="A39" s="42" t="s">
        <v>91</v>
      </c>
      <c r="B39" s="112">
        <v>25</v>
      </c>
      <c r="C39" s="100">
        <f>B39*A6</f>
        <v>8845200</v>
      </c>
      <c r="D39" t="s">
        <v>10</v>
      </c>
    </row>
    <row r="40" spans="1:4" ht="12.75">
      <c r="A40" s="102" t="s">
        <v>92</v>
      </c>
      <c r="B40" s="97">
        <v>50000</v>
      </c>
      <c r="C40" s="73">
        <f>B40</f>
        <v>50000</v>
      </c>
      <c r="D40" t="s">
        <v>10</v>
      </c>
    </row>
    <row r="41" spans="1:5" ht="12.75">
      <c r="A41" s="6" t="s">
        <v>66</v>
      </c>
      <c r="B41" s="62"/>
      <c r="C41" s="61">
        <f>SUM(C37:C40)*E38</f>
        <v>9365200</v>
      </c>
      <c r="E41" s="106" t="s">
        <v>52</v>
      </c>
    </row>
    <row r="42" ht="12.75">
      <c r="E42" s="67">
        <v>1</v>
      </c>
    </row>
    <row r="43" spans="1:2" ht="12.75">
      <c r="A43" t="s">
        <v>51</v>
      </c>
      <c r="B43" s="69">
        <v>10</v>
      </c>
    </row>
    <row r="44" spans="1:2" ht="12.75">
      <c r="A44" t="s">
        <v>14</v>
      </c>
      <c r="B44" s="70">
        <v>0.15</v>
      </c>
    </row>
    <row r="45" spans="1:2" ht="12.75">
      <c r="A45" t="s">
        <v>41</v>
      </c>
      <c r="B45" s="70">
        <v>1</v>
      </c>
    </row>
    <row r="46" spans="1:2" ht="12.75">
      <c r="A46" t="s">
        <v>42</v>
      </c>
      <c r="B46" s="69">
        <v>10</v>
      </c>
    </row>
    <row r="47" spans="1:2" ht="12.75">
      <c r="A47" t="s">
        <v>26</v>
      </c>
      <c r="B47" s="70">
        <v>0.33</v>
      </c>
    </row>
    <row r="48" spans="1:2" ht="12.75">
      <c r="A48" t="s">
        <v>43</v>
      </c>
      <c r="B48" s="70">
        <v>0.11</v>
      </c>
    </row>
    <row r="50" spans="1:3" ht="14.25">
      <c r="A50" s="91" t="s">
        <v>97</v>
      </c>
      <c r="B50" s="91"/>
      <c r="C50" s="91"/>
    </row>
    <row r="51" spans="1:5" ht="14.25">
      <c r="A51" s="92" t="str">
        <f>Cashflow1!M26</f>
        <v>IRR</v>
      </c>
      <c r="B51" s="93">
        <f>Cashflow1!N26*100</f>
        <v>18.66136055806743</v>
      </c>
      <c r="C51" s="92" t="s">
        <v>19</v>
      </c>
      <c r="D51" s="6" t="s">
        <v>60</v>
      </c>
      <c r="E51" s="5">
        <f>E60</f>
        <v>14834974.358992243</v>
      </c>
    </row>
    <row r="52" spans="1:5" ht="14.25">
      <c r="A52" s="92" t="str">
        <f>Cashflow1!M27</f>
        <v>NPV (0 %)</v>
      </c>
      <c r="B52" s="94">
        <f>Cashflow1!N27</f>
        <v>33829231.81473883</v>
      </c>
      <c r="C52" s="92" t="s">
        <v>10</v>
      </c>
      <c r="D52" s="6" t="s">
        <v>70</v>
      </c>
      <c r="E52" s="68">
        <f>E13</f>
        <v>1854371.7948740304</v>
      </c>
    </row>
    <row r="53" spans="1:5" ht="14.25">
      <c r="A53" s="92" t="str">
        <f>Cashflow1!M28</f>
        <v>NPV (10 %)</v>
      </c>
      <c r="B53" s="94">
        <f>Cashflow1!N28</f>
        <v>9946735.967398303</v>
      </c>
      <c r="C53" s="92" t="s">
        <v>10</v>
      </c>
      <c r="D53" s="6" t="s">
        <v>61</v>
      </c>
      <c r="E53" s="14">
        <v>8</v>
      </c>
    </row>
    <row r="54" ht="12.75">
      <c r="D54" s="48"/>
    </row>
    <row r="56" spans="4:6" ht="12.75">
      <c r="D56" s="74" t="s">
        <v>6</v>
      </c>
      <c r="E56" s="75" t="s">
        <v>71</v>
      </c>
      <c r="F56" s="6"/>
    </row>
    <row r="57" spans="4:5" ht="13.5" thickBot="1">
      <c r="D57">
        <f>B26</f>
        <v>2007</v>
      </c>
      <c r="E57" s="76">
        <v>0</v>
      </c>
    </row>
    <row r="58" spans="1:5" ht="13.5" thickBot="1">
      <c r="A58" s="23" t="s">
        <v>96</v>
      </c>
      <c r="B58" s="22"/>
      <c r="D58">
        <f>IF(D57=0,0,IF(D57&lt;=$B$28,D57+1,0))</f>
        <v>2008</v>
      </c>
      <c r="E58" s="76">
        <f aca="true" t="shared" si="0" ref="E58:E69">IF(D58&lt;=2008,0,$E$52*$E$53)</f>
        <v>0</v>
      </c>
    </row>
    <row r="59" spans="4:5" ht="12.75">
      <c r="D59">
        <f aca="true" t="shared" si="1" ref="D59:D69">IF(D58=0,0,IF(D58&lt;=$B$28,D58+1,0))</f>
        <v>2009</v>
      </c>
      <c r="E59" s="76">
        <f t="shared" si="0"/>
        <v>14834974.358992243</v>
      </c>
    </row>
    <row r="60" spans="1:5" ht="12.75">
      <c r="A60" s="42"/>
      <c r="B60" s="42"/>
      <c r="D60">
        <f t="shared" si="1"/>
        <v>2010</v>
      </c>
      <c r="E60" s="76">
        <f t="shared" si="0"/>
        <v>14834974.358992243</v>
      </c>
    </row>
    <row r="61" spans="1:5" ht="12.75">
      <c r="A61" s="42"/>
      <c r="B61" s="43"/>
      <c r="D61">
        <f t="shared" si="1"/>
        <v>2011</v>
      </c>
      <c r="E61" s="76">
        <f t="shared" si="0"/>
        <v>14834974.358992243</v>
      </c>
    </row>
    <row r="62" spans="4:6" ht="12.75">
      <c r="D62">
        <f t="shared" si="1"/>
        <v>2012</v>
      </c>
      <c r="E62" s="76">
        <f t="shared" si="0"/>
        <v>14834974.358992243</v>
      </c>
      <c r="F62" s="12"/>
    </row>
    <row r="63" spans="4:6" ht="12.75">
      <c r="D63">
        <f t="shared" si="1"/>
        <v>2013</v>
      </c>
      <c r="E63" s="76">
        <f t="shared" si="0"/>
        <v>14834974.358992243</v>
      </c>
      <c r="F63" s="12"/>
    </row>
    <row r="64" spans="4:6" ht="12.75">
      <c r="D64">
        <f t="shared" si="1"/>
        <v>2014</v>
      </c>
      <c r="E64" s="76">
        <v>0</v>
      </c>
      <c r="F64" s="12"/>
    </row>
    <row r="65" spans="1:6" ht="12.75">
      <c r="A65" s="42"/>
      <c r="B65" s="43"/>
      <c r="C65" s="42"/>
      <c r="D65">
        <f t="shared" si="1"/>
        <v>2015</v>
      </c>
      <c r="E65" s="76">
        <v>0</v>
      </c>
      <c r="F65" s="12"/>
    </row>
    <row r="66" spans="1:6" ht="12.75">
      <c r="A66" s="42"/>
      <c r="B66" s="42"/>
      <c r="C66" s="42"/>
      <c r="D66">
        <f t="shared" si="1"/>
        <v>2016</v>
      </c>
      <c r="E66" s="76">
        <v>0</v>
      </c>
      <c r="F66" s="12"/>
    </row>
    <row r="67" spans="1:6" ht="12.75">
      <c r="A67" s="42"/>
      <c r="B67" s="42"/>
      <c r="C67" s="42"/>
      <c r="D67">
        <f t="shared" si="1"/>
        <v>2017</v>
      </c>
      <c r="E67" s="76">
        <v>0</v>
      </c>
      <c r="F67" s="12"/>
    </row>
    <row r="68" spans="4:6" ht="12.75">
      <c r="D68">
        <f t="shared" si="1"/>
        <v>2018</v>
      </c>
      <c r="E68" s="76">
        <v>0</v>
      </c>
      <c r="F68" s="12"/>
    </row>
    <row r="69" spans="4:6" ht="12.75">
      <c r="D69">
        <f t="shared" si="1"/>
        <v>0</v>
      </c>
      <c r="E69" s="76">
        <f t="shared" si="0"/>
        <v>0</v>
      </c>
      <c r="F69" s="12"/>
    </row>
    <row r="70" spans="4:6" ht="12.75">
      <c r="D70" s="63"/>
      <c r="E70" s="64"/>
      <c r="F70" s="65"/>
    </row>
    <row r="71" spans="4:6" ht="12.75">
      <c r="D71" s="63"/>
      <c r="E71" s="64"/>
      <c r="F71" s="65"/>
    </row>
    <row r="72" spans="4:6" ht="12.75">
      <c r="D72" s="63"/>
      <c r="E72" s="64"/>
      <c r="F72" s="65"/>
    </row>
    <row r="73" spans="4:6" ht="12.75">
      <c r="D73" s="63"/>
      <c r="E73" s="64"/>
      <c r="F73" s="65"/>
    </row>
    <row r="74" ht="12.75">
      <c r="F74" s="12"/>
    </row>
    <row r="75" ht="12.75">
      <c r="F75" s="12"/>
    </row>
    <row r="76" ht="12.75">
      <c r="F76" s="12"/>
    </row>
    <row r="77" ht="12.75">
      <c r="F77" s="12"/>
    </row>
  </sheetData>
  <mergeCells count="4">
    <mergeCell ref="A1:E1"/>
    <mergeCell ref="A10:E10"/>
    <mergeCell ref="A7:E7"/>
    <mergeCell ref="A4:E4"/>
  </mergeCells>
  <printOptions/>
  <pageMargins left="0.75" right="0.75" top="1" bottom="1" header="0.4921259845" footer="0.4921259845"/>
  <pageSetup horizontalDpi="355" verticalDpi="355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T28"/>
  <sheetViews>
    <sheetView workbookViewId="0" topLeftCell="A1">
      <selection activeCell="K2" sqref="K2:P16"/>
    </sheetView>
  </sheetViews>
  <sheetFormatPr defaultColWidth="11.421875" defaultRowHeight="12.75"/>
  <cols>
    <col min="1" max="1" width="8.28125" style="0" customWidth="1"/>
    <col min="2" max="2" width="10.28125" style="0" customWidth="1"/>
    <col min="3" max="3" width="10.140625" style="0" customWidth="1"/>
    <col min="4" max="4" width="11.00390625" style="0" customWidth="1"/>
    <col min="5" max="5" width="10.8515625" style="0" customWidth="1"/>
    <col min="6" max="6" width="10.7109375" style="0" customWidth="1"/>
    <col min="7" max="7" width="11.140625" style="0" customWidth="1"/>
    <col min="8" max="8" width="9.8515625" style="0" customWidth="1"/>
    <col min="14" max="14" width="15.140625" style="0" bestFit="1" customWidth="1"/>
  </cols>
  <sheetData>
    <row r="2" spans="1:16" ht="12.75">
      <c r="A2" s="80"/>
      <c r="B2" s="81"/>
      <c r="C2" s="81"/>
      <c r="D2" s="81"/>
      <c r="E2" s="82" t="s">
        <v>40</v>
      </c>
      <c r="F2" s="81"/>
      <c r="G2" s="81"/>
      <c r="H2" s="81"/>
      <c r="I2" s="83"/>
      <c r="J2" s="83"/>
      <c r="K2" s="80"/>
      <c r="L2" s="82" t="s">
        <v>15</v>
      </c>
      <c r="M2" s="82" t="s">
        <v>15</v>
      </c>
      <c r="N2" s="82" t="s">
        <v>1</v>
      </c>
      <c r="O2" s="82" t="s">
        <v>1</v>
      </c>
      <c r="P2" s="84" t="s">
        <v>35</v>
      </c>
    </row>
    <row r="3" spans="1:16" ht="12.75">
      <c r="A3" s="85" t="s">
        <v>6</v>
      </c>
      <c r="B3" s="86" t="s">
        <v>0</v>
      </c>
      <c r="C3" s="86" t="s">
        <v>30</v>
      </c>
      <c r="D3" s="86" t="s">
        <v>14</v>
      </c>
      <c r="E3" s="86" t="s">
        <v>49</v>
      </c>
      <c r="F3" s="86" t="s">
        <v>20</v>
      </c>
      <c r="G3" s="86" t="s">
        <v>3</v>
      </c>
      <c r="H3" s="86" t="s">
        <v>4</v>
      </c>
      <c r="I3" s="87" t="s">
        <v>62</v>
      </c>
      <c r="J3" s="87" t="s">
        <v>63</v>
      </c>
      <c r="K3" s="85" t="s">
        <v>6</v>
      </c>
      <c r="L3" s="86" t="s">
        <v>16</v>
      </c>
      <c r="M3" s="86" t="s">
        <v>17</v>
      </c>
      <c r="N3" s="86" t="s">
        <v>39</v>
      </c>
      <c r="O3" s="86" t="s">
        <v>59</v>
      </c>
      <c r="P3" s="87" t="s">
        <v>36</v>
      </c>
    </row>
    <row r="4" spans="1:16" ht="12.75">
      <c r="A4" s="88"/>
      <c r="B4" s="89" t="s">
        <v>10</v>
      </c>
      <c r="C4" s="89" t="s">
        <v>10</v>
      </c>
      <c r="D4" s="89" t="s">
        <v>10</v>
      </c>
      <c r="E4" s="89" t="s">
        <v>10</v>
      </c>
      <c r="F4" s="89" t="s">
        <v>10</v>
      </c>
      <c r="G4" s="89" t="s">
        <v>10</v>
      </c>
      <c r="H4" s="89" t="s">
        <v>10</v>
      </c>
      <c r="I4" s="90" t="s">
        <v>10</v>
      </c>
      <c r="J4" s="90" t="s">
        <v>10</v>
      </c>
      <c r="K4" s="88"/>
      <c r="L4" s="89" t="s">
        <v>10</v>
      </c>
      <c r="M4" s="89" t="s">
        <v>10</v>
      </c>
      <c r="N4" s="89" t="s">
        <v>10</v>
      </c>
      <c r="O4" s="89" t="s">
        <v>10</v>
      </c>
      <c r="P4" s="90" t="s">
        <v>10</v>
      </c>
    </row>
    <row r="5" spans="1:16" ht="12.75">
      <c r="A5" s="79">
        <f>'Input Parameters'!$B$26</f>
        <v>2007</v>
      </c>
      <c r="B5" s="46">
        <f>Financing!B8</f>
        <v>2150000</v>
      </c>
      <c r="C5" s="46">
        <f>'Input Parameters'!C37</f>
        <v>420000</v>
      </c>
      <c r="D5" s="46">
        <f>Financing!H8</f>
        <v>0</v>
      </c>
      <c r="E5" s="46">
        <f>Financing!F8</f>
        <v>0</v>
      </c>
      <c r="F5" s="46">
        <f>Taxes!J8</f>
        <v>0</v>
      </c>
      <c r="G5" s="15">
        <v>0</v>
      </c>
      <c r="H5" s="15">
        <v>0</v>
      </c>
      <c r="I5" s="15">
        <f>'Input Parameters'!E57</f>
        <v>0</v>
      </c>
      <c r="J5" s="15">
        <f>'Input Parameters'!F57</f>
        <v>0</v>
      </c>
      <c r="K5" s="79">
        <f>'Input Parameters'!$B$26</f>
        <v>2007</v>
      </c>
      <c r="L5" s="78">
        <f>B5+C5+F5</f>
        <v>2570000</v>
      </c>
      <c r="M5" s="15">
        <f>SUM(G5:J5)</f>
        <v>0</v>
      </c>
      <c r="N5" s="46">
        <f>M5-L5</f>
        <v>-2570000</v>
      </c>
      <c r="O5" s="46">
        <f>N5</f>
        <v>-2570000</v>
      </c>
      <c r="P5" s="46"/>
    </row>
    <row r="6" spans="1:16" ht="12.75">
      <c r="A6" s="79">
        <f>IF(A5&lt;100,0,IF('Input Parameters'!$B$28=A5,0,A5+1))</f>
        <v>2008</v>
      </c>
      <c r="B6" s="46">
        <f>Financing!C9</f>
        <v>39000000</v>
      </c>
      <c r="C6" s="46">
        <f>IF(A6&gt;='Input Parameters'!$B$27,'Input Parameters'!$C$41,0)*(1+'Input Parameters'!$B$48)^(A6-'Input Parameters'!$B$26)/2</f>
        <v>5197686</v>
      </c>
      <c r="D6" s="46">
        <f>Financing!H9</f>
        <v>322500</v>
      </c>
      <c r="E6" s="46">
        <f>Financing!F9</f>
        <v>215000</v>
      </c>
      <c r="F6" s="46">
        <f>Taxes!J9</f>
        <v>0</v>
      </c>
      <c r="G6" s="15">
        <f>IF(A6&gt;='Input Parameters'!$B$27,'Input Parameters'!$C$22/3,0)*(1+'Input Parameters'!$B$48)^(A6-'Input Parameters'!$B$26)</f>
        <v>3927268.8000000003</v>
      </c>
      <c r="H6" s="15">
        <f>(IF(A6&gt;='Input Parameters'!$B$27,'Input Parameters'!$C$21/2,0))*(1+'Input Parameters'!$B$48)^(A6-'Input Parameters'!$B$26)</f>
        <v>579992.76</v>
      </c>
      <c r="I6" s="15">
        <f>'Input Parameters'!E58/3</f>
        <v>0</v>
      </c>
      <c r="J6" s="15">
        <f>'Input Parameters'!F58</f>
        <v>0</v>
      </c>
      <c r="K6" s="79">
        <f>IF(K5&lt;100,0,IF('Input Parameters'!$B$28=K5,0,K5+1))</f>
        <v>2008</v>
      </c>
      <c r="L6" s="78">
        <f>B6+C6+F6</f>
        <v>44197686</v>
      </c>
      <c r="M6" s="15">
        <f aca="true" t="shared" si="0" ref="M6:M19">SUM(G6:J6)</f>
        <v>4507261.5600000005</v>
      </c>
      <c r="N6" s="46">
        <f aca="true" t="shared" si="1" ref="N6:N19">M6-L6</f>
        <v>-39690424.44</v>
      </c>
      <c r="O6" s="46">
        <f>IF(A5=0,0,O5+N6)</f>
        <v>-42260424.44</v>
      </c>
      <c r="P6" s="46">
        <f>+N6-E6</f>
        <v>-39905424.44</v>
      </c>
    </row>
    <row r="7" spans="1:16" ht="12.75">
      <c r="A7" s="79">
        <f>IF(A6&lt;100,0,IF('Input Parameters'!$B$28=A6,0,A6+1))</f>
        <v>2009</v>
      </c>
      <c r="B7" s="46">
        <f>IF(A7='Input Parameters'!$B$26,'Input Parameters'!$C$35,0)</f>
        <v>0</v>
      </c>
      <c r="C7" s="46">
        <f>IF(A7&gt;='Input Parameters'!$B$27,'Input Parameters'!$C$41,0)*(1+'Input Parameters'!$B$48)^(A7-'Input Parameters'!$B$26)</f>
        <v>11538862.920000002</v>
      </c>
      <c r="D7" s="46">
        <f>Financing!H10</f>
        <v>6140250</v>
      </c>
      <c r="E7" s="46">
        <f>Financing!F10</f>
        <v>4115000</v>
      </c>
      <c r="F7" s="46">
        <f>Taxes!J10</f>
        <v>0</v>
      </c>
      <c r="G7" s="15">
        <f>IF(A7&gt;='Input Parameters'!$B$27,'Input Parameters'!$C$22,0)*(1+'Input Parameters'!$B$48)^(A6-'Input Parameters'!$B$26)</f>
        <v>11781806.4</v>
      </c>
      <c r="H7" s="15">
        <f>(IF(A7&gt;='Input Parameters'!$B$27,'Input Parameters'!$C$21,0))*(1+'Input Parameters'!$B$48)^(A7-'Input Parameters'!$B$26)</f>
        <v>1287583.9272000003</v>
      </c>
      <c r="I7" s="15">
        <f>'Input Parameters'!E59/2</f>
        <v>7417487.179496122</v>
      </c>
      <c r="J7" s="15">
        <f>'Input Parameters'!F59</f>
        <v>0</v>
      </c>
      <c r="K7" s="79">
        <f>IF(K6&lt;100,0,IF('Input Parameters'!$B$28=K6,0,K6+1))</f>
        <v>2009</v>
      </c>
      <c r="L7" s="78">
        <f aca="true" t="shared" si="2" ref="L7:L24">B7+C7+F7</f>
        <v>11538862.920000002</v>
      </c>
      <c r="M7" s="15">
        <f t="shared" si="0"/>
        <v>20486877.506696124</v>
      </c>
      <c r="N7" s="46">
        <f t="shared" si="1"/>
        <v>8948014.586696122</v>
      </c>
      <c r="O7" s="46">
        <f aca="true" t="shared" si="3" ref="O7:O24">IF(A6=0,0,O6+N7)</f>
        <v>-33312409.853303876</v>
      </c>
      <c r="P7" s="46">
        <f aca="true" t="shared" si="4" ref="P7:P19">+N7-E7</f>
        <v>4833014.586696122</v>
      </c>
    </row>
    <row r="8" spans="1:16" ht="12.75">
      <c r="A8" s="79">
        <f>IF(A7&lt;100,0,IF('Input Parameters'!$B$28=A7,0,A7+1))</f>
        <v>2010</v>
      </c>
      <c r="B8" s="46">
        <f>IF(A8='Input Parameters'!$B$26,'Input Parameters'!$C$35,0)</f>
        <v>0</v>
      </c>
      <c r="C8" s="46">
        <f>IF(A8&gt;='Input Parameters'!$B$27,'Input Parameters'!$C$41,0)*(1+'Input Parameters'!$B$48)^(A8-'Input Parameters'!$B$26)</f>
        <v>12808137.841200002</v>
      </c>
      <c r="D8" s="46">
        <f>Financing!H11</f>
        <v>5523000</v>
      </c>
      <c r="E8" s="46">
        <f>Financing!F11</f>
        <v>4115000</v>
      </c>
      <c r="F8" s="46">
        <f>Taxes!J11</f>
        <v>1300430.9761345214</v>
      </c>
      <c r="G8" s="15">
        <f>IF(A8&gt;='Input Parameters'!$B$27,'Input Parameters'!$C$22,0)*(1+'Input Parameters'!$B$48)^(A7-'Input Parameters'!$B$26)</f>
        <v>13077805.104000002</v>
      </c>
      <c r="H8" s="15">
        <f>(IF(A8&gt;='Input Parameters'!$B$27,'Input Parameters'!$C$21,0))*(1+'Input Parameters'!$B$48)^(A8-'Input Parameters'!$B$26)</f>
        <v>1429218.1591920003</v>
      </c>
      <c r="I8" s="15">
        <f>'Input Parameters'!E60</f>
        <v>14834974.358992243</v>
      </c>
      <c r="J8" s="15">
        <f>'Input Parameters'!F60</f>
        <v>0</v>
      </c>
      <c r="K8" s="79">
        <f>IF(K7&lt;100,0,IF('Input Parameters'!$B$28=K7,0,K7+1))</f>
        <v>2010</v>
      </c>
      <c r="L8" s="78">
        <f t="shared" si="2"/>
        <v>14108568.817334523</v>
      </c>
      <c r="M8" s="15">
        <f t="shared" si="0"/>
        <v>29341997.622184247</v>
      </c>
      <c r="N8" s="46">
        <f t="shared" si="1"/>
        <v>15233428.804849723</v>
      </c>
      <c r="O8" s="46">
        <f t="shared" si="3"/>
        <v>-18078981.04845415</v>
      </c>
      <c r="P8" s="46">
        <f t="shared" si="4"/>
        <v>11118428.804849723</v>
      </c>
    </row>
    <row r="9" spans="1:16" ht="12.75">
      <c r="A9" s="79">
        <f>IF(A8&lt;100,0,IF('Input Parameters'!$B$28=A8,0,A8+1))</f>
        <v>2011</v>
      </c>
      <c r="B9" s="46">
        <f>IF(A9='Input Parameters'!$B$26,'Input Parameters'!$C$35,0)</f>
        <v>0</v>
      </c>
      <c r="C9" s="46">
        <f>IF(A9&gt;='Input Parameters'!$B$27,'Input Parameters'!$C$41,0)*(1+'Input Parameters'!$B$48)^(A9-'Input Parameters'!$B$26)</f>
        <v>14217033.003732003</v>
      </c>
      <c r="D9" s="46">
        <f>Financing!H12</f>
        <v>4905750</v>
      </c>
      <c r="E9" s="46">
        <f>Financing!F12</f>
        <v>4115000</v>
      </c>
      <c r="F9" s="46">
        <f>Taxes!J12</f>
        <v>2540995.7685431093</v>
      </c>
      <c r="G9" s="15">
        <f>IF(A9&gt;='Input Parameters'!$B$27,'Input Parameters'!$C$22,0)*(1+'Input Parameters'!$B$48)^(A8-'Input Parameters'!$B$26)</f>
        <v>14516363.665440002</v>
      </c>
      <c r="H9" s="15">
        <f>(IF(A9&gt;='Input Parameters'!$B$27,'Input Parameters'!$C$21,0))*(1+'Input Parameters'!$B$48)^(A9-'Input Parameters'!$B$26)</f>
        <v>1586432.1567031203</v>
      </c>
      <c r="I9" s="15">
        <f>'Input Parameters'!E61</f>
        <v>14834974.358992243</v>
      </c>
      <c r="J9" s="15">
        <f>'Input Parameters'!F61</f>
        <v>0</v>
      </c>
      <c r="K9" s="79">
        <f>IF(K8&lt;100,0,IF('Input Parameters'!$B$28=K8,0,K8+1))</f>
        <v>2011</v>
      </c>
      <c r="L9" s="78">
        <f t="shared" si="2"/>
        <v>16758028.772275113</v>
      </c>
      <c r="M9" s="15">
        <f t="shared" si="0"/>
        <v>30937770.181135364</v>
      </c>
      <c r="N9" s="46">
        <f t="shared" si="1"/>
        <v>14179741.408860251</v>
      </c>
      <c r="O9" s="46">
        <f t="shared" si="3"/>
        <v>-3899239.6395938993</v>
      </c>
      <c r="P9" s="46">
        <f t="shared" si="4"/>
        <v>10064741.408860251</v>
      </c>
    </row>
    <row r="10" spans="1:16" ht="12.75">
      <c r="A10" s="79">
        <f>IF(A9&lt;100,0,IF('Input Parameters'!$B$28=A9,0,A9+1))</f>
        <v>2012</v>
      </c>
      <c r="B10" s="46">
        <f>IF(A10='Input Parameters'!$B$26,'Input Parameters'!$C$35,0)</f>
        <v>0</v>
      </c>
      <c r="C10" s="46">
        <f>IF(A10&gt;='Input Parameters'!$B$27,'Input Parameters'!$C$41,0)*(1+'Input Parameters'!$B$48)^(A10-'Input Parameters'!$B$26)</f>
        <v>15780906.634142525</v>
      </c>
      <c r="D10" s="46">
        <f>Financing!H13</f>
        <v>4288500</v>
      </c>
      <c r="E10" s="46">
        <f>Financing!F13</f>
        <v>4115000</v>
      </c>
      <c r="F10" s="46">
        <f>Taxes!J13</f>
        <v>2813141.458851433</v>
      </c>
      <c r="G10" s="15">
        <f>IF(A10&gt;='Input Parameters'!$B$27,'Input Parameters'!$C$22,0)*(1+'Input Parameters'!$B$48)^(A9-'Input Parameters'!$B$26)</f>
        <v>16113163.668638404</v>
      </c>
      <c r="H10" s="15">
        <f>(IF(A10&gt;='Input Parameters'!$B$27,'Input Parameters'!$C$21,0))*(1+'Input Parameters'!$B$48)^(A10-'Input Parameters'!$B$26)</f>
        <v>1760939.6939404637</v>
      </c>
      <c r="I10" s="15">
        <f>'Input Parameters'!E62</f>
        <v>14834974.358992243</v>
      </c>
      <c r="J10" s="15">
        <f>'Input Parameters'!F62</f>
        <v>0</v>
      </c>
      <c r="K10" s="79">
        <f>IF(K9&lt;100,0,IF('Input Parameters'!$B$28=K9,0,K9+1))</f>
        <v>2012</v>
      </c>
      <c r="L10" s="78">
        <f t="shared" si="2"/>
        <v>18594048.09299396</v>
      </c>
      <c r="M10" s="15">
        <f t="shared" si="0"/>
        <v>32709077.72157111</v>
      </c>
      <c r="N10" s="46">
        <f t="shared" si="1"/>
        <v>14115029.62857715</v>
      </c>
      <c r="O10" s="46">
        <f t="shared" si="3"/>
        <v>10215789.988983251</v>
      </c>
      <c r="P10" s="46">
        <f t="shared" si="4"/>
        <v>10000029.62857715</v>
      </c>
    </row>
    <row r="11" spans="1:16" ht="12.75">
      <c r="A11" s="79">
        <f>IF(A10&lt;100,0,IF('Input Parameters'!$B$28=A10,0,A10+1))</f>
        <v>2013</v>
      </c>
      <c r="B11" s="46">
        <f>IF(A11='Input Parameters'!$B$26,'Input Parameters'!$C$35,0)</f>
        <v>0</v>
      </c>
      <c r="C11" s="46">
        <f>IF(A11&gt;='Input Parameters'!$B$27,'Input Parameters'!$C$41,0)*(1+'Input Parameters'!$B$48)^(A11-'Input Parameters'!$B$26)</f>
        <v>17516806.363898203</v>
      </c>
      <c r="D11" s="46">
        <f>Financing!H14</f>
        <v>3671250</v>
      </c>
      <c r="E11" s="46">
        <f>Financing!F14</f>
        <v>4115000</v>
      </c>
      <c r="F11" s="46">
        <f>Taxes!J14</f>
        <v>3092817.000093674</v>
      </c>
      <c r="G11" s="15">
        <f>IF(A11&gt;='Input Parameters'!$B$27,'Input Parameters'!$C$22,0)*(1+'Input Parameters'!$B$48)^(A10-'Input Parameters'!$B$26)</f>
        <v>17885611.67218863</v>
      </c>
      <c r="H11" s="15">
        <f>(IF(A11&gt;='Input Parameters'!$B$27,'Input Parameters'!$C$21,0))*(1+'Input Parameters'!$B$48)^(A11-'Input Parameters'!$B$26)</f>
        <v>1954643.0602739148</v>
      </c>
      <c r="I11" s="15">
        <f>'Input Parameters'!E63</f>
        <v>14834974.358992243</v>
      </c>
      <c r="J11" s="15">
        <f>'Input Parameters'!F63</f>
        <v>0</v>
      </c>
      <c r="K11" s="79">
        <f>IF(K10&lt;100,0,IF('Input Parameters'!$B$28=K10,0,K10+1))</f>
        <v>2013</v>
      </c>
      <c r="L11" s="78">
        <f t="shared" si="2"/>
        <v>20609623.363991875</v>
      </c>
      <c r="M11" s="15">
        <f t="shared" si="0"/>
        <v>34675229.09145479</v>
      </c>
      <c r="N11" s="46">
        <f t="shared" si="1"/>
        <v>14065605.727462914</v>
      </c>
      <c r="O11" s="46">
        <f t="shared" si="3"/>
        <v>24281395.716446165</v>
      </c>
      <c r="P11" s="46">
        <f t="shared" si="4"/>
        <v>9950605.727462914</v>
      </c>
    </row>
    <row r="12" spans="1:16" ht="12.75">
      <c r="A12" s="79">
        <f>IF(A11&lt;100,0,IF('Input Parameters'!$B$28=A11,0,A11+1))</f>
        <v>2014</v>
      </c>
      <c r="B12" s="46">
        <f>IF(A12='Input Parameters'!$B$26,'Input Parameters'!$C$35,0)</f>
        <v>0</v>
      </c>
      <c r="C12" s="46">
        <f>IF(A12&gt;='Input Parameters'!$B$27,'Input Parameters'!$C$41,0)*(1+'Input Parameters'!$B$48)^(A12-'Input Parameters'!$B$26)</f>
        <v>19443655.063927006</v>
      </c>
      <c r="D12" s="46">
        <f>Financing!H15</f>
        <v>3054000</v>
      </c>
      <c r="E12" s="46">
        <f>Financing!F15</f>
        <v>4115000</v>
      </c>
      <c r="F12" s="46">
        <f>Taxes!J15</f>
        <v>0</v>
      </c>
      <c r="G12" s="15">
        <f>IF(A12&gt;='Input Parameters'!$B$27,'Input Parameters'!$C$22,0)*(1+'Input Parameters'!$B$48)^(A11-'Input Parameters'!$B$26)</f>
        <v>19853028.95612938</v>
      </c>
      <c r="H12" s="15">
        <f>(IF(A12&gt;='Input Parameters'!$B$27,'Input Parameters'!$C$21,0))*(1+'Input Parameters'!$B$48)^(A12-'Input Parameters'!$B$26)</f>
        <v>2169653.7969040456</v>
      </c>
      <c r="I12" s="15">
        <f>'Input Parameters'!E64</f>
        <v>0</v>
      </c>
      <c r="J12" s="15">
        <f>'Input Parameters'!F64</f>
        <v>0</v>
      </c>
      <c r="K12" s="79">
        <f>IF(K11&lt;100,0,IF('Input Parameters'!$B$28=K11,0,K11+1))</f>
        <v>2014</v>
      </c>
      <c r="L12" s="78">
        <f t="shared" si="2"/>
        <v>19443655.063927006</v>
      </c>
      <c r="M12" s="15">
        <f t="shared" si="0"/>
        <v>22022682.753033426</v>
      </c>
      <c r="N12" s="46">
        <f t="shared" si="1"/>
        <v>2579027.6891064197</v>
      </c>
      <c r="O12" s="46">
        <f t="shared" si="3"/>
        <v>26860423.405552585</v>
      </c>
      <c r="P12" s="46">
        <f t="shared" si="4"/>
        <v>-1535972.3108935803</v>
      </c>
    </row>
    <row r="13" spans="1:16" ht="12.75">
      <c r="A13" s="79">
        <f>IF(A12&lt;100,0,IF('Input Parameters'!$B$28=A12,0,A12+1))</f>
        <v>2015</v>
      </c>
      <c r="B13" s="46">
        <f>IF(A13='Input Parameters'!$B$26,'Input Parameters'!$C$35,0)</f>
        <v>0</v>
      </c>
      <c r="C13" s="46">
        <f>IF(A13&gt;='Input Parameters'!$B$27,'Input Parameters'!$C$41,0)*(1+'Input Parameters'!$B$48)^(A13-'Input Parameters'!$B$26)</f>
        <v>21582457.120958984</v>
      </c>
      <c r="D13" s="46">
        <f>Financing!H16</f>
        <v>2436750</v>
      </c>
      <c r="E13" s="46">
        <f>Financing!F16</f>
        <v>4115000</v>
      </c>
      <c r="F13" s="46">
        <f>Taxes!J16</f>
        <v>0</v>
      </c>
      <c r="G13" s="15">
        <f>IF(A13&gt;='Input Parameters'!$B$27,'Input Parameters'!$C$22,0)*(1+'Input Parameters'!$B$48)^(A12-'Input Parameters'!$B$26)</f>
        <v>22036862.141303614</v>
      </c>
      <c r="H13" s="15">
        <f>(IF(A13&gt;='Input Parameters'!$B$27,'Input Parameters'!$C$21,0))*(1+'Input Parameters'!$B$48)^(A13-'Input Parameters'!$B$26)</f>
        <v>2408315.7145634913</v>
      </c>
      <c r="I13" s="15">
        <f>'Input Parameters'!E65</f>
        <v>0</v>
      </c>
      <c r="J13" s="15">
        <f>'Input Parameters'!F65</f>
        <v>0</v>
      </c>
      <c r="K13" s="79">
        <f>IF(K12&lt;100,0,IF('Input Parameters'!$B$28=K12,0,K12+1))</f>
        <v>2015</v>
      </c>
      <c r="L13" s="78">
        <f t="shared" si="2"/>
        <v>21582457.120958984</v>
      </c>
      <c r="M13" s="15">
        <f t="shared" si="0"/>
        <v>24445177.855867106</v>
      </c>
      <c r="N13" s="46">
        <f t="shared" si="1"/>
        <v>2862720.7349081226</v>
      </c>
      <c r="O13" s="46">
        <f t="shared" si="3"/>
        <v>29723144.140460707</v>
      </c>
      <c r="P13" s="46">
        <f t="shared" si="4"/>
        <v>-1252279.2650918774</v>
      </c>
    </row>
    <row r="14" spans="1:16" ht="12.75">
      <c r="A14" s="79">
        <f>IF(A13&lt;100,0,IF('Input Parameters'!$B$28=A13,0,A13+1))</f>
        <v>2016</v>
      </c>
      <c r="B14" s="46">
        <f>IF(A14='Input Parameters'!$B$26,'Input Parameters'!$C$35,0)</f>
        <v>0</v>
      </c>
      <c r="C14" s="46">
        <f>IF(A14&gt;='Input Parameters'!$B$27,'Input Parameters'!$C$41,0)*(1+'Input Parameters'!$B$48)^(A14-'Input Parameters'!$B$26)</f>
        <v>23956527.404264472</v>
      </c>
      <c r="D14" s="46">
        <f>Financing!H17</f>
        <v>1819500</v>
      </c>
      <c r="E14" s="46">
        <f>Financing!F17</f>
        <v>4115000</v>
      </c>
      <c r="F14" s="46">
        <f>Taxes!J17</f>
        <v>0</v>
      </c>
      <c r="G14" s="15">
        <f>IF(A14&gt;='Input Parameters'!$B$27,'Input Parameters'!$C$22,0)*(1+'Input Parameters'!$B$48)^(A13-'Input Parameters'!$B$26)</f>
        <v>24460916.976847015</v>
      </c>
      <c r="H14" s="15">
        <f>(IF(A14&gt;='Input Parameters'!$B$27,'Input Parameters'!$C$21,0))*(1+'Input Parameters'!$B$48)^(A14-'Input Parameters'!$B$26)</f>
        <v>2673230.4431654755</v>
      </c>
      <c r="I14" s="15">
        <f>'Input Parameters'!E66</f>
        <v>0</v>
      </c>
      <c r="J14" s="15">
        <f>'Input Parameters'!F66</f>
        <v>0</v>
      </c>
      <c r="K14" s="79">
        <f>IF(K13&lt;100,0,IF('Input Parameters'!$B$28=K13,0,K13+1))</f>
        <v>2016</v>
      </c>
      <c r="L14" s="78">
        <f t="shared" si="2"/>
        <v>23956527.404264472</v>
      </c>
      <c r="M14" s="15">
        <f t="shared" si="0"/>
        <v>27134147.42001249</v>
      </c>
      <c r="N14" s="46">
        <f t="shared" si="1"/>
        <v>3177620.0157480165</v>
      </c>
      <c r="O14" s="46">
        <f t="shared" si="3"/>
        <v>32900764.156208724</v>
      </c>
      <c r="P14" s="46">
        <f t="shared" si="4"/>
        <v>-937379.9842519835</v>
      </c>
    </row>
    <row r="15" spans="1:16" ht="12.75">
      <c r="A15" s="79">
        <v>2018</v>
      </c>
      <c r="B15" s="46">
        <f>IF(A15='Input Parameters'!$B$26,'Input Parameters'!$C$35,0)</f>
        <v>0</v>
      </c>
      <c r="C15" s="46">
        <f>IF(A15&gt;='Input Parameters'!$B$27,'Input Parameters'!$C$41,0)*(1+'Input Parameters'!$B$48)^(A15-'Input Parameters'!$B$26)</f>
        <v>29516837.414794262</v>
      </c>
      <c r="D15" s="46">
        <f>Financing!H18</f>
        <v>1202250</v>
      </c>
      <c r="E15" s="46">
        <f>Financing!F18</f>
        <v>4115000</v>
      </c>
      <c r="F15" s="46">
        <f>Taxes!J18</f>
        <v>0</v>
      </c>
      <c r="G15" s="15">
        <f>IF(A15&gt;='Input Parameters'!$B$27,'Input Parameters'!$C$22,0)*(1+'Input Parameters'!$B$48)^(A14-'Input Parameters'!$B$26)</f>
        <v>27151617.844300188</v>
      </c>
      <c r="H15" s="15">
        <f>(IF(A15&gt;='Input Parameters'!$B$27,'Input Parameters'!$C$21,0))*(1+'Input Parameters'!$B$48)^(A15-'Input Parameters'!$B$26)</f>
        <v>3293687.2290241825</v>
      </c>
      <c r="I15" s="15">
        <f>'Input Parameters'!E67</f>
        <v>0</v>
      </c>
      <c r="J15" s="15">
        <f>'Input Parameters'!F67</f>
        <v>0</v>
      </c>
      <c r="K15" s="79">
        <v>2018</v>
      </c>
      <c r="L15" s="78">
        <f t="shared" si="2"/>
        <v>29516837.414794262</v>
      </c>
      <c r="M15" s="15">
        <f t="shared" si="0"/>
        <v>30445305.07332437</v>
      </c>
      <c r="N15" s="46">
        <f t="shared" si="1"/>
        <v>928467.6585301086</v>
      </c>
      <c r="O15" s="46">
        <f t="shared" si="3"/>
        <v>33829231.81473883</v>
      </c>
      <c r="P15" s="46">
        <f t="shared" si="4"/>
        <v>-3186532.3414698914</v>
      </c>
    </row>
    <row r="16" spans="1:16" ht="12.75">
      <c r="A16" s="79">
        <v>2019</v>
      </c>
      <c r="B16" s="46">
        <f>IF(A16='Input Parameters'!$B$26,'Input Parameters'!$C$35,0)</f>
        <v>0</v>
      </c>
      <c r="C16" s="46">
        <v>0</v>
      </c>
      <c r="D16" s="46">
        <f>Financing!H19</f>
        <v>585000</v>
      </c>
      <c r="E16" s="46">
        <f>Financing!F19</f>
        <v>3900000</v>
      </c>
      <c r="F16" s="46">
        <f>Taxes!J19</f>
        <v>0</v>
      </c>
      <c r="G16" s="15">
        <v>0</v>
      </c>
      <c r="H16" s="15">
        <v>0</v>
      </c>
      <c r="I16" s="15">
        <f>'Input Parameters'!E68</f>
        <v>0</v>
      </c>
      <c r="J16" s="15">
        <f>'Input Parameters'!F68</f>
        <v>0</v>
      </c>
      <c r="K16" s="79">
        <v>2019</v>
      </c>
      <c r="L16" s="78">
        <f t="shared" si="2"/>
        <v>0</v>
      </c>
      <c r="M16" s="15">
        <f>SUM(G16:J16)</f>
        <v>0</v>
      </c>
      <c r="N16" s="46">
        <f>M16-L16</f>
        <v>0</v>
      </c>
      <c r="O16" s="46">
        <f t="shared" si="3"/>
        <v>33829231.81473883</v>
      </c>
      <c r="P16" s="46">
        <f>+N16-E16</f>
        <v>-3900000</v>
      </c>
    </row>
    <row r="17" spans="1:16" ht="12.75">
      <c r="A17" s="79">
        <v>0</v>
      </c>
      <c r="B17" s="46">
        <f>IF(A17='Input Parameters'!$B$26,'Input Parameters'!$C$35,0)</f>
        <v>0</v>
      </c>
      <c r="C17" s="46">
        <v>0</v>
      </c>
      <c r="D17" s="46">
        <f>Financing!H20</f>
        <v>0</v>
      </c>
      <c r="E17" s="46">
        <f>Financing!F20</f>
        <v>0</v>
      </c>
      <c r="F17" s="46">
        <f>Taxes!J20</f>
        <v>0</v>
      </c>
      <c r="G17" s="15">
        <v>0</v>
      </c>
      <c r="H17" s="15">
        <f>IF(A17&gt;='Input Parameters'!$B$27,'Input Parameters'!$C$23,0)</f>
        <v>0</v>
      </c>
      <c r="I17" s="15">
        <f>'Input Parameters'!E69</f>
        <v>0</v>
      </c>
      <c r="J17" s="15">
        <f>'Input Parameters'!F69</f>
        <v>0</v>
      </c>
      <c r="K17" s="79">
        <v>0</v>
      </c>
      <c r="L17" s="78">
        <f t="shared" si="2"/>
        <v>0</v>
      </c>
      <c r="M17" s="15">
        <f>SUM(G17:J17)</f>
        <v>0</v>
      </c>
      <c r="N17" s="46">
        <f>M17-L17</f>
        <v>0</v>
      </c>
      <c r="O17" s="46">
        <v>0</v>
      </c>
      <c r="P17" s="46">
        <f>+N17-E17</f>
        <v>0</v>
      </c>
    </row>
    <row r="18" spans="1:16" ht="12.75">
      <c r="A18" s="79">
        <v>0</v>
      </c>
      <c r="B18" s="46">
        <f>IF(A18='Input Parameters'!$B$26,'Input Parameters'!$C$35,0)</f>
        <v>0</v>
      </c>
      <c r="C18" s="46">
        <f>IF(A18&gt;='Input Parameters'!$B$27,'Input Parameters'!$C$41,0)*(1+'Input Parameters'!$B$48)^(A18-'Input Parameters'!$B$26)</f>
        <v>0</v>
      </c>
      <c r="D18" s="46">
        <f>Financing!H21</f>
        <v>0</v>
      </c>
      <c r="E18" s="46">
        <f>Financing!F21</f>
        <v>0</v>
      </c>
      <c r="F18" s="46">
        <f>Taxes!J21</f>
        <v>0</v>
      </c>
      <c r="G18" s="15">
        <f>IF(A18&gt;='Input Parameters'!$B$27,'Input Parameters'!$C$22,0)</f>
        <v>0</v>
      </c>
      <c r="H18" s="15">
        <f>IF(A18&gt;='Input Parameters'!$B$27,'Input Parameters'!$C$23,0)</f>
        <v>0</v>
      </c>
      <c r="I18" s="15">
        <f>'Input Parameters'!E70</f>
        <v>0</v>
      </c>
      <c r="J18" s="15">
        <f>'Input Parameters'!F70</f>
        <v>0</v>
      </c>
      <c r="K18" s="79">
        <v>0</v>
      </c>
      <c r="L18" s="78">
        <f t="shared" si="2"/>
        <v>0</v>
      </c>
      <c r="M18" s="15">
        <f>SUM(G18:J18)</f>
        <v>0</v>
      </c>
      <c r="N18" s="46">
        <f>M18-L18</f>
        <v>0</v>
      </c>
      <c r="O18" s="46">
        <v>0</v>
      </c>
      <c r="P18" s="46">
        <f>+N18-E18</f>
        <v>0</v>
      </c>
    </row>
    <row r="19" spans="1:16" ht="12.75">
      <c r="A19" s="79">
        <f>IF(A18&lt;100,0,IF('Input Parameters'!$B$28=A18,0,A18+1))</f>
        <v>0</v>
      </c>
      <c r="B19" s="46">
        <f>IF(A19='Input Parameters'!$B$26,'Input Parameters'!$C$35,0)</f>
        <v>0</v>
      </c>
      <c r="C19" s="46">
        <f>IF(A19&gt;='Input Parameters'!$B$27,'Input Parameters'!$C$41,0)*(1+'Input Parameters'!$B$48)^(A19-'Input Parameters'!$B$26)</f>
        <v>0</v>
      </c>
      <c r="D19" s="46">
        <f>Financing!H22</f>
        <v>0</v>
      </c>
      <c r="E19" s="46">
        <f>Financing!F22</f>
        <v>0</v>
      </c>
      <c r="F19" s="46">
        <f>Taxes!J22</f>
        <v>0</v>
      </c>
      <c r="G19" s="15">
        <f>IF(A19&gt;='Input Parameters'!$B$27,'Input Parameters'!$C$22,0)</f>
        <v>0</v>
      </c>
      <c r="H19" s="15">
        <f>IF(A19&gt;='Input Parameters'!$B$27,'Input Parameters'!$C$23,0)</f>
        <v>0</v>
      </c>
      <c r="I19" s="15">
        <f>'Input Parameters'!E71</f>
        <v>0</v>
      </c>
      <c r="J19" s="15">
        <f>'Input Parameters'!F68</f>
        <v>0</v>
      </c>
      <c r="K19" s="79">
        <f>IF(K18&lt;100,0,IF('Input Parameters'!$B$28=K18,0,K18+1))</f>
        <v>0</v>
      </c>
      <c r="L19" s="78">
        <f t="shared" si="2"/>
        <v>0</v>
      </c>
      <c r="M19" s="16">
        <f t="shared" si="0"/>
        <v>0</v>
      </c>
      <c r="N19" s="17">
        <f t="shared" si="1"/>
        <v>0</v>
      </c>
      <c r="O19" s="17">
        <f t="shared" si="3"/>
        <v>0</v>
      </c>
      <c r="P19" s="17">
        <f t="shared" si="4"/>
        <v>0</v>
      </c>
    </row>
    <row r="20" spans="1:16" ht="12.75">
      <c r="A20" s="79">
        <f>IF(A19&lt;100,0,IF('Input Parameters'!$B$28=A19,0,A19+1))</f>
        <v>0</v>
      </c>
      <c r="B20" s="46">
        <f>IF(A20='Input Parameters'!$B$26,'Input Parameters'!$C$35,0)</f>
        <v>0</v>
      </c>
      <c r="C20" s="46">
        <f>IF(A20&gt;='Input Parameters'!$B$27,'Input Parameters'!$C$41,0)*(1+'Input Parameters'!$B$48)^(A20-'Input Parameters'!$B$26)</f>
        <v>0</v>
      </c>
      <c r="D20" s="46">
        <f>Financing!H23</f>
        <v>0</v>
      </c>
      <c r="E20" s="46">
        <f>Financing!F23</f>
        <v>0</v>
      </c>
      <c r="F20" s="46">
        <f>Taxes!J23</f>
        <v>0</v>
      </c>
      <c r="G20" s="15">
        <f>IF(A20&gt;='Input Parameters'!$B$27,'Input Parameters'!$C$22,0)</f>
        <v>0</v>
      </c>
      <c r="H20" s="15">
        <f>IF(A20&gt;='Input Parameters'!$B$27,'Input Parameters'!$C$23,0)</f>
        <v>0</v>
      </c>
      <c r="I20" s="15">
        <f>'Input Parameters'!E72</f>
        <v>0</v>
      </c>
      <c r="J20" s="15">
        <f>'Input Parameters'!F69</f>
        <v>0</v>
      </c>
      <c r="K20" s="79">
        <f>IF(K19&lt;100,0,IF('Input Parameters'!$B$28=K19,0,K19+1))</f>
        <v>0</v>
      </c>
      <c r="L20" s="78">
        <f t="shared" si="2"/>
        <v>0</v>
      </c>
      <c r="M20" s="16">
        <f>SUM(G20:J20)</f>
        <v>0</v>
      </c>
      <c r="N20" s="17">
        <f>M20-L20</f>
        <v>0</v>
      </c>
      <c r="O20" s="17">
        <f t="shared" si="3"/>
        <v>0</v>
      </c>
      <c r="P20" s="17">
        <f>+N20-E20</f>
        <v>0</v>
      </c>
    </row>
    <row r="21" spans="1:16" ht="12.75">
      <c r="A21" s="79">
        <f>IF(A20&lt;100,0,IF('Input Parameters'!$B$28=A20,0,A20+1))</f>
        <v>0</v>
      </c>
      <c r="B21" s="46">
        <f>IF(A21='Input Parameters'!$B$26,'Input Parameters'!$C$35,0)</f>
        <v>0</v>
      </c>
      <c r="C21" s="46">
        <f>IF(A21&gt;='Input Parameters'!$B$27,'Input Parameters'!$C$41,0)*(1+'Input Parameters'!$B$48)^(A21-'Input Parameters'!$B$26)</f>
        <v>0</v>
      </c>
      <c r="D21" s="46">
        <f>Financing!H24</f>
        <v>0</v>
      </c>
      <c r="E21" s="46">
        <f>Financing!F24</f>
        <v>0</v>
      </c>
      <c r="F21" s="46">
        <f>Taxes!J24</f>
        <v>0</v>
      </c>
      <c r="G21" s="15">
        <f>IF(A21&gt;='Input Parameters'!$B$27,'Input Parameters'!$C$22,0)</f>
        <v>0</v>
      </c>
      <c r="H21" s="15">
        <f>IF(A21&gt;='Input Parameters'!$B$27,'Input Parameters'!$C$23,0)</f>
        <v>0</v>
      </c>
      <c r="I21" s="15">
        <f>'Input Parameters'!E73</f>
        <v>0</v>
      </c>
      <c r="J21" s="15">
        <f>'Input Parameters'!F70</f>
        <v>0</v>
      </c>
      <c r="K21" s="79">
        <f>IF(K20&lt;100,0,IF('Input Parameters'!$B$28=K20,0,K20+1))</f>
        <v>0</v>
      </c>
      <c r="L21" s="78">
        <f t="shared" si="2"/>
        <v>0</v>
      </c>
      <c r="M21" s="16">
        <f>SUM(G21:J21)</f>
        <v>0</v>
      </c>
      <c r="N21" s="17">
        <f>M21-L21</f>
        <v>0</v>
      </c>
      <c r="O21" s="17">
        <f t="shared" si="3"/>
        <v>0</v>
      </c>
      <c r="P21" s="17">
        <f>+N21-E21</f>
        <v>0</v>
      </c>
    </row>
    <row r="22" spans="1:16" ht="12.75">
      <c r="A22" s="79">
        <f>IF(A21&lt;100,0,IF('Input Parameters'!$B$28=A21,0,A21+1))</f>
        <v>0</v>
      </c>
      <c r="B22" s="46">
        <f>IF(A22='Input Parameters'!$B$26,'Input Parameters'!$C$35,0)</f>
        <v>0</v>
      </c>
      <c r="C22" s="46">
        <f>IF(A22&gt;='Input Parameters'!$B$27,'Input Parameters'!$C$41,0)*(1+'Input Parameters'!$B$48)^(A22-'Input Parameters'!$B$26)</f>
        <v>0</v>
      </c>
      <c r="D22" s="46">
        <f>Financing!H25</f>
        <v>0</v>
      </c>
      <c r="E22" s="46">
        <f>Financing!F25</f>
        <v>0</v>
      </c>
      <c r="F22" s="46">
        <f>Taxes!J25</f>
        <v>0</v>
      </c>
      <c r="G22" s="15">
        <f>IF(A22&gt;='Input Parameters'!$B$27,'Input Parameters'!$C$22,0)</f>
        <v>0</v>
      </c>
      <c r="H22" s="15">
        <f>IF(A22&gt;='Input Parameters'!$B$27,'Input Parameters'!$C$23,0)</f>
        <v>0</v>
      </c>
      <c r="I22" s="15">
        <f>'Input Parameters'!E74</f>
        <v>0</v>
      </c>
      <c r="J22" s="15">
        <f>'Input Parameters'!F71</f>
        <v>0</v>
      </c>
      <c r="K22" s="79">
        <f>IF(K21&lt;100,0,IF('Input Parameters'!$B$28=K21,0,K21+1))</f>
        <v>0</v>
      </c>
      <c r="L22" s="78">
        <f t="shared" si="2"/>
        <v>0</v>
      </c>
      <c r="M22" s="16">
        <f>SUM(G22:J22)</f>
        <v>0</v>
      </c>
      <c r="N22" s="17">
        <f>M22-L22</f>
        <v>0</v>
      </c>
      <c r="O22" s="17">
        <f t="shared" si="3"/>
        <v>0</v>
      </c>
      <c r="P22" s="17">
        <f>+N22-E22</f>
        <v>0</v>
      </c>
    </row>
    <row r="23" spans="1:16" ht="12.75">
      <c r="A23" s="79">
        <f>IF(A22&lt;100,0,IF('Input Parameters'!$B$28=A22,0,A22+1))</f>
        <v>0</v>
      </c>
      <c r="B23" s="46">
        <f>IF(A23='Input Parameters'!$B$26,'Input Parameters'!$C$35,0)</f>
        <v>0</v>
      </c>
      <c r="C23" s="46">
        <f>IF(A23&gt;='Input Parameters'!$B$27,'Input Parameters'!$C$41,0)*(1+'Input Parameters'!$B$48)^(A23-'Input Parameters'!$B$26)</f>
        <v>0</v>
      </c>
      <c r="D23" s="46">
        <f>Financing!H26</f>
        <v>0</v>
      </c>
      <c r="E23" s="46">
        <f>Financing!F26</f>
        <v>0</v>
      </c>
      <c r="F23" s="46">
        <f>Taxes!J26</f>
        <v>0</v>
      </c>
      <c r="G23" s="15">
        <f>IF(A23&gt;='Input Parameters'!$B$27,'Input Parameters'!$C$22,0)</f>
        <v>0</v>
      </c>
      <c r="H23" s="15">
        <f>IF(A23&gt;='Input Parameters'!$B$27,'Input Parameters'!$C$23,0)</f>
        <v>0</v>
      </c>
      <c r="I23" s="15">
        <f>'Input Parameters'!E75</f>
        <v>0</v>
      </c>
      <c r="J23" s="15">
        <f>'Input Parameters'!F72</f>
        <v>0</v>
      </c>
      <c r="K23" s="79">
        <f>IF(K22&lt;100,0,IF('Input Parameters'!$B$28=K22,0,K22+1))</f>
        <v>0</v>
      </c>
      <c r="L23" s="78">
        <f t="shared" si="2"/>
        <v>0</v>
      </c>
      <c r="M23" s="16">
        <f>SUM(G23:J23)</f>
        <v>0</v>
      </c>
      <c r="N23" s="17">
        <f>M23-L23</f>
        <v>0</v>
      </c>
      <c r="O23" s="17">
        <f t="shared" si="3"/>
        <v>0</v>
      </c>
      <c r="P23" s="17">
        <f>+N23-E23</f>
        <v>0</v>
      </c>
    </row>
    <row r="24" spans="1:16" ht="12.75">
      <c r="A24" s="79">
        <f>IF(A23&lt;100,0,IF('Input Parameters'!$B$28=A23,0,A23+1))</f>
        <v>0</v>
      </c>
      <c r="B24" s="46">
        <f>IF(A24='Input Parameters'!$B$26,'Input Parameters'!$C$35,0)</f>
        <v>0</v>
      </c>
      <c r="C24" s="46">
        <f>IF(A24&gt;='Input Parameters'!$B$27,'Input Parameters'!$C$41,0)*(1+'Input Parameters'!$B$48)^(A24-'Input Parameters'!$B$26)</f>
        <v>0</v>
      </c>
      <c r="D24" s="46">
        <f>Financing!H27</f>
        <v>0</v>
      </c>
      <c r="E24" s="46">
        <f>Financing!F27</f>
        <v>0</v>
      </c>
      <c r="F24" s="46">
        <f>Taxes!J27</f>
        <v>0</v>
      </c>
      <c r="G24" s="15">
        <f>IF(A24&gt;='Input Parameters'!$B$27,'Input Parameters'!$C$22,0)</f>
        <v>0</v>
      </c>
      <c r="H24" s="15">
        <f>IF(A24&gt;='Input Parameters'!$B$27,'Input Parameters'!$C$23,0)</f>
        <v>0</v>
      </c>
      <c r="I24" s="15">
        <f>'Input Parameters'!E76</f>
        <v>0</v>
      </c>
      <c r="J24" s="15">
        <f>'Input Parameters'!F73</f>
        <v>0</v>
      </c>
      <c r="K24" s="79">
        <f>IF(K23&lt;100,0,IF('Input Parameters'!$B$28=K23,0,K23+1))</f>
        <v>0</v>
      </c>
      <c r="L24" s="78">
        <f t="shared" si="2"/>
        <v>0</v>
      </c>
      <c r="M24" s="16">
        <f>SUM(G24:J24)</f>
        <v>0</v>
      </c>
      <c r="N24" s="17">
        <f>M24-L24</f>
        <v>0</v>
      </c>
      <c r="O24" s="17">
        <f t="shared" si="3"/>
        <v>0</v>
      </c>
      <c r="P24" s="17">
        <f>+N24-E24</f>
        <v>0</v>
      </c>
    </row>
    <row r="26" spans="10:14" ht="12.75">
      <c r="J26" s="47"/>
      <c r="M26" s="9" t="s">
        <v>50</v>
      </c>
      <c r="N26" s="11">
        <f>IRR(N5:N16,-0.11)</f>
        <v>0.1866136055806743</v>
      </c>
    </row>
    <row r="27" spans="13:14" ht="12.75">
      <c r="M27" s="9" t="s">
        <v>34</v>
      </c>
      <c r="N27" s="96">
        <f>NPV(0%,N5:N16)</f>
        <v>33829231.81473883</v>
      </c>
    </row>
    <row r="28" spans="13:20" ht="12.75">
      <c r="M28" s="9" t="s">
        <v>18</v>
      </c>
      <c r="N28" s="10">
        <f>NPV(10%,N5:N16)</f>
        <v>9946735.967398303</v>
      </c>
      <c r="T28">
        <v>1</v>
      </c>
    </row>
  </sheetData>
  <printOptions/>
  <pageMargins left="0.34" right="0.32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L29"/>
  <sheetViews>
    <sheetView workbookViewId="0" topLeftCell="A1">
      <selection activeCell="C24" sqref="C24"/>
    </sheetView>
  </sheetViews>
  <sheetFormatPr defaultColWidth="11.421875" defaultRowHeight="12.75"/>
  <cols>
    <col min="6" max="6" width="13.421875" style="0" customWidth="1"/>
    <col min="12" max="12" width="0" style="0" hidden="1" customWidth="1"/>
  </cols>
  <sheetData>
    <row r="3" spans="1:9" ht="12.75">
      <c r="A3" t="s">
        <v>6</v>
      </c>
      <c r="E3" t="s">
        <v>0</v>
      </c>
      <c r="F3" t="s">
        <v>21</v>
      </c>
      <c r="G3" t="s">
        <v>40</v>
      </c>
      <c r="H3" t="s">
        <v>14</v>
      </c>
      <c r="I3" t="s">
        <v>22</v>
      </c>
    </row>
    <row r="7" spans="2:5" ht="12.75">
      <c r="B7">
        <v>2008</v>
      </c>
      <c r="C7">
        <v>2009</v>
      </c>
      <c r="D7">
        <v>2007</v>
      </c>
      <c r="E7">
        <v>2008</v>
      </c>
    </row>
    <row r="8" spans="1:9" ht="12.75">
      <c r="A8">
        <f>'Input Parameters'!$B$26</f>
        <v>2007</v>
      </c>
      <c r="B8" s="95">
        <f>('Input Parameters'!C31+'Input Parameters'!C32)*'Input Parameters'!E33</f>
        <v>2150000</v>
      </c>
      <c r="C8" s="5"/>
      <c r="D8" s="5"/>
      <c r="E8" s="5"/>
      <c r="F8" s="5"/>
      <c r="G8" s="5">
        <f>B8</f>
        <v>2150000</v>
      </c>
      <c r="H8" s="5"/>
      <c r="I8" s="5"/>
    </row>
    <row r="9" spans="1:12" ht="12.75">
      <c r="A9">
        <f>IF(A8&lt;100,0,IF('Input Parameters'!$B$28=A8,0,A8+1))</f>
        <v>2008</v>
      </c>
      <c r="B9" s="5"/>
      <c r="C9" s="98">
        <f>'Input Parameters'!C33*'Input Parameters'!E33</f>
        <v>39000000</v>
      </c>
      <c r="D9" s="95">
        <f>$B$8/'[1]Input Parameters'!$B$43</f>
        <v>215000</v>
      </c>
      <c r="E9" s="5"/>
      <c r="F9" s="5">
        <f aca="true" t="shared" si="0" ref="F9:F19">D9+E9</f>
        <v>215000</v>
      </c>
      <c r="G9" s="5">
        <f>G8+C9-D9</f>
        <v>40935000</v>
      </c>
      <c r="H9" s="5">
        <f>G8*'Input Parameters'!$B$44</f>
        <v>322500</v>
      </c>
      <c r="I9" s="5">
        <f>F9</f>
        <v>215000</v>
      </c>
      <c r="L9">
        <v>0</v>
      </c>
    </row>
    <row r="10" spans="1:12" ht="12.75">
      <c r="A10">
        <f>IF(A9&lt;100,0,IF('Input Parameters'!$B$28=A9,0,A9+1))</f>
        <v>2009</v>
      </c>
      <c r="B10" s="5"/>
      <c r="C10" s="5"/>
      <c r="D10" s="95">
        <f>$B$8/'[1]Input Parameters'!$B$43</f>
        <v>215000</v>
      </c>
      <c r="E10" s="98">
        <f>$C$9/'[1]Input Parameters'!$B$43</f>
        <v>3900000</v>
      </c>
      <c r="F10" s="5">
        <f t="shared" si="0"/>
        <v>4115000</v>
      </c>
      <c r="G10" s="5">
        <f aca="true" t="shared" si="1" ref="G10:G21">G9-F10</f>
        <v>36820000</v>
      </c>
      <c r="H10" s="5">
        <f>G9*'Input Parameters'!$B$44</f>
        <v>6140250</v>
      </c>
      <c r="I10" s="5">
        <f aca="true" t="shared" si="2" ref="I10:I19">F10</f>
        <v>4115000</v>
      </c>
      <c r="L10">
        <f aca="true" t="shared" si="3" ref="L10:L21">L9+I9</f>
        <v>215000</v>
      </c>
    </row>
    <row r="11" spans="1:12" ht="12.75">
      <c r="A11">
        <f>IF(A10&lt;100,0,IF('Input Parameters'!$B$28=A10,0,A10+1))</f>
        <v>2010</v>
      </c>
      <c r="B11" s="5"/>
      <c r="C11" s="5"/>
      <c r="D11" s="95">
        <f>$B$8/'[1]Input Parameters'!$B$43</f>
        <v>215000</v>
      </c>
      <c r="E11" s="98">
        <f>$C$9/'[1]Input Parameters'!$B$43</f>
        <v>3900000</v>
      </c>
      <c r="F11" s="5">
        <f t="shared" si="0"/>
        <v>4115000</v>
      </c>
      <c r="G11" s="5">
        <f t="shared" si="1"/>
        <v>32705000</v>
      </c>
      <c r="H11" s="5">
        <f>G10*'Input Parameters'!$B$44</f>
        <v>5523000</v>
      </c>
      <c r="I11" s="5">
        <f t="shared" si="2"/>
        <v>4115000</v>
      </c>
      <c r="L11">
        <f t="shared" si="3"/>
        <v>4330000</v>
      </c>
    </row>
    <row r="12" spans="1:12" ht="12.75">
      <c r="A12">
        <f>IF(A11&lt;100,0,IF('Input Parameters'!$B$28=A11,0,A11+1))</f>
        <v>2011</v>
      </c>
      <c r="B12" s="5"/>
      <c r="C12" s="5"/>
      <c r="D12" s="95">
        <f>$B$8/'[1]Input Parameters'!$B$43</f>
        <v>215000</v>
      </c>
      <c r="E12" s="98">
        <f>$C$9/'[1]Input Parameters'!$B$43</f>
        <v>3900000</v>
      </c>
      <c r="F12" s="5">
        <f t="shared" si="0"/>
        <v>4115000</v>
      </c>
      <c r="G12" s="5">
        <f t="shared" si="1"/>
        <v>28590000</v>
      </c>
      <c r="H12" s="5">
        <f>G11*'Input Parameters'!$B$44</f>
        <v>4905750</v>
      </c>
      <c r="I12" s="5">
        <f t="shared" si="2"/>
        <v>4115000</v>
      </c>
      <c r="L12">
        <f t="shared" si="3"/>
        <v>8445000</v>
      </c>
    </row>
    <row r="13" spans="1:12" ht="12.75">
      <c r="A13">
        <f>IF(A12&lt;100,0,IF('Input Parameters'!$B$28=A12,0,A12+1))</f>
        <v>2012</v>
      </c>
      <c r="B13" s="5"/>
      <c r="C13" s="5"/>
      <c r="D13" s="95">
        <f>$B$8/'[1]Input Parameters'!$B$43</f>
        <v>215000</v>
      </c>
      <c r="E13" s="98">
        <f>$C$9/'[1]Input Parameters'!$B$43</f>
        <v>3900000</v>
      </c>
      <c r="F13" s="5">
        <f t="shared" si="0"/>
        <v>4115000</v>
      </c>
      <c r="G13" s="5">
        <f t="shared" si="1"/>
        <v>24475000</v>
      </c>
      <c r="H13" s="5">
        <f>G12*'Input Parameters'!$B$44</f>
        <v>4288500</v>
      </c>
      <c r="I13" s="5">
        <f t="shared" si="2"/>
        <v>4115000</v>
      </c>
      <c r="L13">
        <f t="shared" si="3"/>
        <v>12560000</v>
      </c>
    </row>
    <row r="14" spans="1:12" ht="12.75">
      <c r="A14">
        <f>IF(A13&lt;100,0,IF('Input Parameters'!$B$28=A13,0,A13+1))</f>
        <v>2013</v>
      </c>
      <c r="B14" s="5"/>
      <c r="C14" s="5"/>
      <c r="D14" s="95">
        <f>$B$8/'[1]Input Parameters'!$B$43</f>
        <v>215000</v>
      </c>
      <c r="E14" s="98">
        <f>$C$9/'[1]Input Parameters'!$B$43</f>
        <v>3900000</v>
      </c>
      <c r="F14" s="5">
        <f t="shared" si="0"/>
        <v>4115000</v>
      </c>
      <c r="G14" s="5">
        <f t="shared" si="1"/>
        <v>20360000</v>
      </c>
      <c r="H14" s="5">
        <f>G13*'Input Parameters'!$B$44</f>
        <v>3671250</v>
      </c>
      <c r="I14" s="5">
        <f t="shared" si="2"/>
        <v>4115000</v>
      </c>
      <c r="L14">
        <f t="shared" si="3"/>
        <v>16675000</v>
      </c>
    </row>
    <row r="15" spans="1:12" ht="12.75">
      <c r="A15">
        <f>IF(A14&lt;100,0,IF('Input Parameters'!$B$28=A14,0,A14+1))</f>
        <v>2014</v>
      </c>
      <c r="B15" s="5"/>
      <c r="C15" s="5"/>
      <c r="D15" s="95">
        <f>$B$8/'[1]Input Parameters'!$B$43</f>
        <v>215000</v>
      </c>
      <c r="E15" s="98">
        <f>$C$9/'[1]Input Parameters'!$B$43</f>
        <v>3900000</v>
      </c>
      <c r="F15" s="5">
        <f t="shared" si="0"/>
        <v>4115000</v>
      </c>
      <c r="G15" s="5">
        <f t="shared" si="1"/>
        <v>16245000</v>
      </c>
      <c r="H15" s="5">
        <f>G14*'Input Parameters'!$B$44</f>
        <v>3054000</v>
      </c>
      <c r="I15" s="5">
        <f t="shared" si="2"/>
        <v>4115000</v>
      </c>
      <c r="L15">
        <f t="shared" si="3"/>
        <v>20790000</v>
      </c>
    </row>
    <row r="16" spans="1:12" ht="12.75">
      <c r="A16">
        <f>IF(A15&lt;100,0,IF('Input Parameters'!$B$28=A15,0,A15+1))</f>
        <v>2015</v>
      </c>
      <c r="B16" s="5"/>
      <c r="C16" s="5"/>
      <c r="D16" s="95">
        <f>$B$8/'[1]Input Parameters'!$B$43</f>
        <v>215000</v>
      </c>
      <c r="E16" s="98">
        <f>$C$9/'[1]Input Parameters'!$B$43</f>
        <v>3900000</v>
      </c>
      <c r="F16" s="5">
        <f t="shared" si="0"/>
        <v>4115000</v>
      </c>
      <c r="G16" s="5">
        <f t="shared" si="1"/>
        <v>12130000</v>
      </c>
      <c r="H16" s="5">
        <f>G15*'Input Parameters'!$B$44</f>
        <v>2436750</v>
      </c>
      <c r="I16" s="5">
        <f t="shared" si="2"/>
        <v>4115000</v>
      </c>
      <c r="L16">
        <f t="shared" si="3"/>
        <v>24905000</v>
      </c>
    </row>
    <row r="17" spans="1:12" ht="12.75">
      <c r="A17">
        <f>IF(A16&lt;100,0,IF('Input Parameters'!$B$28=A16,0,A16+1))</f>
        <v>2016</v>
      </c>
      <c r="B17" s="5"/>
      <c r="C17" s="5"/>
      <c r="D17" s="95">
        <f>$B$8/'[1]Input Parameters'!$B$43</f>
        <v>215000</v>
      </c>
      <c r="E17" s="98">
        <f>$C$9/'[1]Input Parameters'!$B$43</f>
        <v>3900000</v>
      </c>
      <c r="F17" s="5">
        <f t="shared" si="0"/>
        <v>4115000</v>
      </c>
      <c r="G17" s="5">
        <f t="shared" si="1"/>
        <v>8015000</v>
      </c>
      <c r="H17" s="5">
        <f>G16*'Input Parameters'!$B$44</f>
        <v>1819500</v>
      </c>
      <c r="I17" s="5">
        <f t="shared" si="2"/>
        <v>4115000</v>
      </c>
      <c r="L17">
        <f t="shared" si="3"/>
        <v>29020000</v>
      </c>
    </row>
    <row r="18" spans="1:12" ht="12.75">
      <c r="A18">
        <v>2018</v>
      </c>
      <c r="B18" s="5"/>
      <c r="C18" s="5"/>
      <c r="D18" s="95">
        <f>$B$8/'[1]Input Parameters'!$B$43</f>
        <v>215000</v>
      </c>
      <c r="E18" s="98">
        <f>$C$9/'[1]Input Parameters'!$B$43</f>
        <v>3900000</v>
      </c>
      <c r="F18" s="5">
        <f t="shared" si="0"/>
        <v>4115000</v>
      </c>
      <c r="G18" s="5">
        <f t="shared" si="1"/>
        <v>3900000</v>
      </c>
      <c r="H18" s="5">
        <f>G17*'Input Parameters'!$B$44</f>
        <v>1202250</v>
      </c>
      <c r="I18" s="5">
        <f t="shared" si="2"/>
        <v>4115000</v>
      </c>
      <c r="L18">
        <f t="shared" si="3"/>
        <v>33135000</v>
      </c>
    </row>
    <row r="19" spans="1:12" ht="12.75">
      <c r="A19">
        <v>2019</v>
      </c>
      <c r="B19" s="5"/>
      <c r="C19" s="5"/>
      <c r="D19" s="5"/>
      <c r="E19" s="98">
        <f>$C$9/'[1]Input Parameters'!$B$43</f>
        <v>3900000</v>
      </c>
      <c r="F19" s="5">
        <f t="shared" si="0"/>
        <v>3900000</v>
      </c>
      <c r="G19" s="5">
        <f t="shared" si="1"/>
        <v>0</v>
      </c>
      <c r="H19" s="5">
        <f>G18*'Input Parameters'!$B$44</f>
        <v>585000</v>
      </c>
      <c r="I19" s="5">
        <f t="shared" si="2"/>
        <v>3900000</v>
      </c>
      <c r="L19">
        <f t="shared" si="3"/>
        <v>37250000</v>
      </c>
    </row>
    <row r="20" spans="1:12" ht="12.75">
      <c r="A20">
        <v>0</v>
      </c>
      <c r="F20" s="5">
        <f>IF(G19=0,0,$G$8/'Input Parameters'!$B$46)</f>
        <v>0</v>
      </c>
      <c r="G20" s="5">
        <f t="shared" si="1"/>
        <v>0</v>
      </c>
      <c r="H20" s="5">
        <f>G19*'Input Parameters'!$B$44</f>
        <v>0</v>
      </c>
      <c r="I20" s="5">
        <f>IF(L19+I19=$E$8,0,$E$8/'Input Parameters'!$B$43)</f>
        <v>0</v>
      </c>
      <c r="L20">
        <f t="shared" si="3"/>
        <v>41150000</v>
      </c>
    </row>
    <row r="21" spans="1:12" ht="12.75">
      <c r="A21">
        <f>IF(A20&lt;100,0,IF('Input Parameters'!$B$28=A20,0,A20+1))</f>
        <v>0</v>
      </c>
      <c r="E21" s="5"/>
      <c r="F21" s="5">
        <f>IF(G20=0,0,$G$8/'Input Parameters'!$B$46)</f>
        <v>0</v>
      </c>
      <c r="G21" s="5">
        <f t="shared" si="1"/>
        <v>0</v>
      </c>
      <c r="H21" s="5">
        <f>G20*'Input Parameters'!$B$44</f>
        <v>0</v>
      </c>
      <c r="I21" s="5">
        <f>IF(L20+I20=$E$8,0,$E$8/'Input Parameters'!$B$43)</f>
        <v>0</v>
      </c>
      <c r="L21">
        <f t="shared" si="3"/>
        <v>41150000</v>
      </c>
    </row>
    <row r="22" spans="1:12" ht="12.75">
      <c r="A22">
        <f>IF(A21&lt;100,0,IF('Input Parameters'!$B$28=A21,0,A21+1))</f>
        <v>0</v>
      </c>
      <c r="E22" s="5"/>
      <c r="F22" s="5">
        <f>IF(G21=0,0,$G$8/'Input Parameters'!$B$46)</f>
        <v>0</v>
      </c>
      <c r="G22" s="5">
        <f aca="true" t="shared" si="4" ref="G22:G27">G21-F22</f>
        <v>0</v>
      </c>
      <c r="H22" s="5">
        <f>G21*'Input Parameters'!$B$44</f>
        <v>0</v>
      </c>
      <c r="I22" s="5">
        <f>IF(L21+I21=$E$8,0,$E$8/'Input Parameters'!$B$43)</f>
        <v>0</v>
      </c>
      <c r="L22">
        <f aca="true" t="shared" si="5" ref="L22:L27">L21+I21</f>
        <v>41150000</v>
      </c>
    </row>
    <row r="23" spans="1:12" ht="12.75">
      <c r="A23">
        <f>IF(A22&lt;100,0,IF('Input Parameters'!$B$28=A22,0,A22+1))</f>
        <v>0</v>
      </c>
      <c r="E23" s="5"/>
      <c r="F23" s="5">
        <f>IF(G22=0,0,$G$8/'Input Parameters'!$B$46)</f>
        <v>0</v>
      </c>
      <c r="G23" s="5">
        <f t="shared" si="4"/>
        <v>0</v>
      </c>
      <c r="H23" s="5">
        <f>G22*'Input Parameters'!$B$44</f>
        <v>0</v>
      </c>
      <c r="I23" s="5">
        <f>IF(L22+I22=$E$8,0,$E$8/'Input Parameters'!$B$43)</f>
        <v>0</v>
      </c>
      <c r="L23">
        <f t="shared" si="5"/>
        <v>41150000</v>
      </c>
    </row>
    <row r="24" spans="1:12" ht="12.75">
      <c r="A24">
        <f>IF(A23&lt;100,0,IF('Input Parameters'!$B$28=A23,0,A23+1))</f>
        <v>0</v>
      </c>
      <c r="E24" s="5"/>
      <c r="F24" s="5">
        <f>IF(G23=0,0,$G$8/'Input Parameters'!$B$46)</f>
        <v>0</v>
      </c>
      <c r="G24" s="5">
        <f t="shared" si="4"/>
        <v>0</v>
      </c>
      <c r="H24" s="5">
        <f>G23*'Input Parameters'!$B$44</f>
        <v>0</v>
      </c>
      <c r="I24" s="5">
        <f>IF(L23+I23=$E$8,0,$E$8/'Input Parameters'!$B$43)</f>
        <v>0</v>
      </c>
      <c r="L24">
        <f t="shared" si="5"/>
        <v>41150000</v>
      </c>
    </row>
    <row r="25" spans="1:12" ht="12.75">
      <c r="A25">
        <f>IF(A24&lt;100,0,IF('Input Parameters'!$B$28=A24,0,A24+1))</f>
        <v>0</v>
      </c>
      <c r="E25" s="5"/>
      <c r="F25" s="5">
        <f>IF(G24=0,0,$G$8/'Input Parameters'!$B$46)</f>
        <v>0</v>
      </c>
      <c r="G25" s="5">
        <f t="shared" si="4"/>
        <v>0</v>
      </c>
      <c r="H25" s="5">
        <f>G24*'Input Parameters'!$B$44</f>
        <v>0</v>
      </c>
      <c r="I25" s="5">
        <f>IF(L24+I24=$E$8,0,$E$8/'Input Parameters'!$B$43)</f>
        <v>0</v>
      </c>
      <c r="L25">
        <f t="shared" si="5"/>
        <v>41150000</v>
      </c>
    </row>
    <row r="26" spans="1:12" ht="12.75">
      <c r="A26">
        <f>IF(A25&lt;100,0,IF('Input Parameters'!$B$28=A25,0,A25+1))</f>
        <v>0</v>
      </c>
      <c r="E26" s="5"/>
      <c r="F26" s="5">
        <f>IF(G25=0,0,$G$8/'Input Parameters'!$B$46)</f>
        <v>0</v>
      </c>
      <c r="G26" s="5">
        <f t="shared" si="4"/>
        <v>0</v>
      </c>
      <c r="H26" s="5">
        <f>G25*'Input Parameters'!$B$44</f>
        <v>0</v>
      </c>
      <c r="I26" s="5">
        <f>IF(L25+I25=$E$8,0,$E$8/'Input Parameters'!$B$43)</f>
        <v>0</v>
      </c>
      <c r="L26">
        <f t="shared" si="5"/>
        <v>41150000</v>
      </c>
    </row>
    <row r="27" spans="1:12" ht="12.75">
      <c r="A27">
        <f>IF(A26&lt;100,0,IF('Input Parameters'!$B$28=A26,0,A26+1))</f>
        <v>0</v>
      </c>
      <c r="E27" s="5"/>
      <c r="F27" s="5">
        <f>IF(G26=0,0,$G$8/'Input Parameters'!$B$46)</f>
        <v>0</v>
      </c>
      <c r="G27" s="5">
        <f t="shared" si="4"/>
        <v>0</v>
      </c>
      <c r="H27" s="5">
        <f>G26*'Input Parameters'!$B$44</f>
        <v>0</v>
      </c>
      <c r="I27" s="5">
        <f>IF(L26+I26=$E$8,0,$E$8/'Input Parameters'!$B$43)</f>
        <v>0</v>
      </c>
      <c r="L27">
        <f t="shared" si="5"/>
        <v>41150000</v>
      </c>
    </row>
    <row r="29" spans="6:8" ht="12.75">
      <c r="F29" s="5">
        <f>SUM(F9:F28)</f>
        <v>41150000</v>
      </c>
      <c r="G29" s="5"/>
      <c r="H29" s="5">
        <f>SUM(H9:H28)</f>
        <v>33948750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J29"/>
  <sheetViews>
    <sheetView workbookViewId="0" topLeftCell="A1">
      <selection activeCell="D78" sqref="D78"/>
    </sheetView>
  </sheetViews>
  <sheetFormatPr defaultColWidth="11.421875" defaultRowHeight="12.75"/>
  <cols>
    <col min="2" max="2" width="13.140625" style="0" bestFit="1" customWidth="1"/>
    <col min="3" max="3" width="10.140625" style="0" bestFit="1" customWidth="1"/>
    <col min="5" max="5" width="12.57421875" style="0" bestFit="1" customWidth="1"/>
    <col min="7" max="7" width="12.7109375" style="0" bestFit="1" customWidth="1"/>
    <col min="9" max="9" width="12.28125" style="0" bestFit="1" customWidth="1"/>
  </cols>
  <sheetData>
    <row r="3" spans="1:10" ht="12.75">
      <c r="A3" s="6" t="s">
        <v>6</v>
      </c>
      <c r="B3" s="36" t="s">
        <v>29</v>
      </c>
      <c r="C3" s="36" t="s">
        <v>30</v>
      </c>
      <c r="D3" s="36" t="s">
        <v>0</v>
      </c>
      <c r="E3" s="37" t="s">
        <v>22</v>
      </c>
      <c r="F3" s="36" t="s">
        <v>14</v>
      </c>
      <c r="G3" s="6" t="s">
        <v>23</v>
      </c>
      <c r="H3" s="6" t="s">
        <v>27</v>
      </c>
      <c r="I3" s="6" t="s">
        <v>32</v>
      </c>
      <c r="J3" s="6" t="s">
        <v>24</v>
      </c>
    </row>
    <row r="4" spans="1:10" ht="12.75">
      <c r="A4" s="6"/>
      <c r="B4" s="36"/>
      <c r="C4" s="36"/>
      <c r="D4" s="36"/>
      <c r="E4" s="37"/>
      <c r="F4" s="36"/>
      <c r="G4" s="6" t="s">
        <v>31</v>
      </c>
      <c r="H4" s="6" t="s">
        <v>28</v>
      </c>
      <c r="I4" s="6" t="s">
        <v>33</v>
      </c>
      <c r="J4" s="6" t="s">
        <v>25</v>
      </c>
    </row>
    <row r="5" spans="2:6" ht="12.75">
      <c r="B5" s="32"/>
      <c r="C5" s="32"/>
      <c r="D5" s="32"/>
      <c r="E5" s="34"/>
      <c r="F5" s="32"/>
    </row>
    <row r="6" spans="2:6" ht="12.75">
      <c r="B6" s="32"/>
      <c r="C6" s="32"/>
      <c r="D6" s="32"/>
      <c r="E6" s="34"/>
      <c r="F6" s="32"/>
    </row>
    <row r="7" spans="2:6" ht="12.75">
      <c r="B7" s="32"/>
      <c r="C7" s="32"/>
      <c r="D7" s="32"/>
      <c r="E7" s="34"/>
      <c r="F7" s="32"/>
    </row>
    <row r="8" spans="1:10" ht="12.75">
      <c r="A8">
        <f>'Input Parameters'!$B$26</f>
        <v>2007</v>
      </c>
      <c r="B8" s="33">
        <f>Cashflow1!G5+Cashflow1!H5+Cashflow1!I5+Cashflow1!J5</f>
        <v>0</v>
      </c>
      <c r="C8" s="33">
        <f>Cashflow1!C5</f>
        <v>420000</v>
      </c>
      <c r="D8" s="33">
        <f>Cashflow1!B5</f>
        <v>2150000</v>
      </c>
      <c r="E8" s="35">
        <f>Financing!I8</f>
        <v>0</v>
      </c>
      <c r="F8" s="33">
        <f>Cashflow1!D5</f>
        <v>0</v>
      </c>
      <c r="G8" s="5">
        <f>B8-C8-E8-F8</f>
        <v>-420000</v>
      </c>
      <c r="H8" s="5">
        <f>IF(G8&lt;0,G8,0)</f>
        <v>-420000</v>
      </c>
      <c r="I8" s="5">
        <f aca="true" t="shared" si="0" ref="I8:I18">IF(G8&gt;0,IF(G8+H7&gt;0,G8+H7,0),G8)</f>
        <v>-420000</v>
      </c>
      <c r="J8" s="5">
        <f>IF(I8&gt;0,I8*'Input Parameters'!$B$47,0)</f>
        <v>0</v>
      </c>
    </row>
    <row r="9" spans="1:10" ht="12.75">
      <c r="A9">
        <f>IF(A8&lt;100,0,IF('Input Parameters'!$B$28=A8,0,A8+1))</f>
        <v>2008</v>
      </c>
      <c r="B9" s="33">
        <f>Cashflow1!G6+Cashflow1!H6+Cashflow1!I6+Cashflow1!J6</f>
        <v>4507261.5600000005</v>
      </c>
      <c r="C9" s="33">
        <f>Cashflow1!C6</f>
        <v>5197686</v>
      </c>
      <c r="D9" s="33">
        <f>Cashflow1!B6</f>
        <v>39000000</v>
      </c>
      <c r="E9" s="35">
        <f>Financing!I9</f>
        <v>215000</v>
      </c>
      <c r="F9" s="33">
        <f>Cashflow1!D6</f>
        <v>322500</v>
      </c>
      <c r="G9" s="5">
        <f>B9-C9-E9-F9</f>
        <v>-1227924.4399999995</v>
      </c>
      <c r="H9" s="5">
        <f>IF(H8&lt;=0,IF(G9+H8&lt;0,G9+H8,0),0)</f>
        <v>-1647924.4399999995</v>
      </c>
      <c r="I9" s="5">
        <f t="shared" si="0"/>
        <v>-1227924.4399999995</v>
      </c>
      <c r="J9" s="5">
        <f>IF(I9&gt;0,I9*'Input Parameters'!$B$47,0)</f>
        <v>0</v>
      </c>
    </row>
    <row r="10" spans="1:10" ht="12.75">
      <c r="A10">
        <f>IF(A9&lt;100,0,IF('Input Parameters'!$B$28=A9,0,A9+1))</f>
        <v>2009</v>
      </c>
      <c r="B10" s="33">
        <f>Cashflow1!G7+Cashflow1!H7+Cashflow1!I7+Cashflow1!J7</f>
        <v>20486877.506696124</v>
      </c>
      <c r="C10" s="33">
        <f>Cashflow1!C7</f>
        <v>11538862.920000002</v>
      </c>
      <c r="D10" s="33">
        <f>Cashflow1!B7</f>
        <v>0</v>
      </c>
      <c r="E10" s="35">
        <f>Financing!I10</f>
        <v>4115000</v>
      </c>
      <c r="F10" s="33">
        <f>Cashflow1!D7</f>
        <v>6140250</v>
      </c>
      <c r="G10" s="5">
        <f aca="true" t="shared" si="1" ref="G10:G18">B10-C10-E10-F10</f>
        <v>-1307235.4133038782</v>
      </c>
      <c r="H10" s="5">
        <f aca="true" t="shared" si="2" ref="H10:H18">IF(H9&lt;=0,IF(G10+H9&lt;0,G10+H9,0),0)</f>
        <v>-2955159.8533038776</v>
      </c>
      <c r="I10" s="5">
        <f t="shared" si="0"/>
        <v>-1307235.4133038782</v>
      </c>
      <c r="J10" s="5">
        <f>IF(I10&gt;0,I10*'Input Parameters'!$B$47,0)</f>
        <v>0</v>
      </c>
    </row>
    <row r="11" spans="1:10" ht="12.75">
      <c r="A11">
        <f>IF(A10&lt;100,0,IF('Input Parameters'!$B$28=A10,0,A10+1))</f>
        <v>2010</v>
      </c>
      <c r="B11" s="33">
        <f>Cashflow1!G8+Cashflow1!H8+Cashflow1!I8+Cashflow1!J8</f>
        <v>29341997.622184247</v>
      </c>
      <c r="C11" s="33">
        <f>Cashflow1!C8</f>
        <v>12808137.841200002</v>
      </c>
      <c r="D11" s="33">
        <f>Cashflow1!B8</f>
        <v>0</v>
      </c>
      <c r="E11" s="35">
        <f>Financing!I11</f>
        <v>4115000</v>
      </c>
      <c r="F11" s="33">
        <f>Cashflow1!D8</f>
        <v>5523000</v>
      </c>
      <c r="G11" s="5">
        <f t="shared" si="1"/>
        <v>6895859.780984245</v>
      </c>
      <c r="H11" s="5">
        <f t="shared" si="2"/>
        <v>0</v>
      </c>
      <c r="I11" s="5">
        <f t="shared" si="0"/>
        <v>3940699.9276803676</v>
      </c>
      <c r="J11" s="5">
        <f>IF(I11&gt;0,I11*'Input Parameters'!$B$47,0)</f>
        <v>1300430.9761345214</v>
      </c>
    </row>
    <row r="12" spans="1:10" ht="12.75">
      <c r="A12">
        <f>IF(A11&lt;100,0,IF('Input Parameters'!$B$28=A11,0,A11+1))</f>
        <v>2011</v>
      </c>
      <c r="B12" s="33">
        <f>Cashflow1!G9+Cashflow1!H9+Cashflow1!I9+Cashflow1!J9</f>
        <v>30937770.181135364</v>
      </c>
      <c r="C12" s="33">
        <f>Cashflow1!C9</f>
        <v>14217033.003732003</v>
      </c>
      <c r="D12" s="33">
        <f>Cashflow1!B9</f>
        <v>0</v>
      </c>
      <c r="E12" s="35">
        <f>Financing!I12</f>
        <v>4115000</v>
      </c>
      <c r="F12" s="33">
        <f>Cashflow1!D9</f>
        <v>4905750</v>
      </c>
      <c r="G12" s="5">
        <f t="shared" si="1"/>
        <v>7699987.177403361</v>
      </c>
      <c r="H12" s="5">
        <f t="shared" si="2"/>
        <v>0</v>
      </c>
      <c r="I12" s="5">
        <f t="shared" si="0"/>
        <v>7699987.177403361</v>
      </c>
      <c r="J12" s="5">
        <f>IF(I12&gt;0,I12*'Input Parameters'!$B$47,0)</f>
        <v>2540995.7685431093</v>
      </c>
    </row>
    <row r="13" spans="1:10" ht="12.75">
      <c r="A13">
        <f>IF(A12&lt;100,0,IF('Input Parameters'!$B$28=A12,0,A12+1))</f>
        <v>2012</v>
      </c>
      <c r="B13" s="33">
        <f>Cashflow1!G10+Cashflow1!H10+Cashflow1!I10+Cashflow1!J10</f>
        <v>32709077.72157111</v>
      </c>
      <c r="C13" s="33">
        <f>Cashflow1!C10</f>
        <v>15780906.634142525</v>
      </c>
      <c r="D13" s="33">
        <f>Cashflow1!B10</f>
        <v>0</v>
      </c>
      <c r="E13" s="35">
        <f>Financing!I13</f>
        <v>4115000</v>
      </c>
      <c r="F13" s="33">
        <f>Cashflow1!D10</f>
        <v>4288500</v>
      </c>
      <c r="G13" s="5">
        <f t="shared" si="1"/>
        <v>8524671.087428585</v>
      </c>
      <c r="H13" s="5">
        <f t="shared" si="2"/>
        <v>0</v>
      </c>
      <c r="I13" s="5">
        <f t="shared" si="0"/>
        <v>8524671.087428585</v>
      </c>
      <c r="J13" s="5">
        <f>IF(I13&gt;0,I13*'Input Parameters'!$B$47,0)</f>
        <v>2813141.458851433</v>
      </c>
    </row>
    <row r="14" spans="1:10" ht="12.75">
      <c r="A14">
        <f>IF(A13&lt;100,0,IF('Input Parameters'!$B$28=A13,0,A13+1))</f>
        <v>2013</v>
      </c>
      <c r="B14" s="33">
        <f>Cashflow1!G11+Cashflow1!H11+Cashflow1!I11+Cashflow1!J11</f>
        <v>34675229.09145479</v>
      </c>
      <c r="C14" s="33">
        <f>Cashflow1!C11</f>
        <v>17516806.363898203</v>
      </c>
      <c r="D14" s="33">
        <f>Cashflow1!B11</f>
        <v>0</v>
      </c>
      <c r="E14" s="35">
        <f>Financing!I14</f>
        <v>4115000</v>
      </c>
      <c r="F14" s="33">
        <f>Cashflow1!D11</f>
        <v>3671250</v>
      </c>
      <c r="G14" s="5">
        <f t="shared" si="1"/>
        <v>9372172.727556586</v>
      </c>
      <c r="H14" s="5">
        <f t="shared" si="2"/>
        <v>0</v>
      </c>
      <c r="I14" s="5">
        <f t="shared" si="0"/>
        <v>9372172.727556586</v>
      </c>
      <c r="J14" s="5">
        <f>IF(I14&gt;0,I14*'Input Parameters'!$B$47,0)</f>
        <v>3092817.000093674</v>
      </c>
    </row>
    <row r="15" spans="1:10" ht="12.75">
      <c r="A15">
        <f>IF(A14&lt;100,0,IF('Input Parameters'!$B$28=A14,0,A14+1))</f>
        <v>2014</v>
      </c>
      <c r="B15" s="33">
        <f>Cashflow1!G12+Cashflow1!H12+Cashflow1!I12+Cashflow1!J12</f>
        <v>22022682.753033426</v>
      </c>
      <c r="C15" s="33">
        <f>Cashflow1!C12</f>
        <v>19443655.063927006</v>
      </c>
      <c r="D15" s="33">
        <f>Cashflow1!B12</f>
        <v>0</v>
      </c>
      <c r="E15" s="35">
        <f>Financing!I15</f>
        <v>4115000</v>
      </c>
      <c r="F15" s="33">
        <f>Cashflow1!D12</f>
        <v>3054000</v>
      </c>
      <c r="G15" s="5">
        <f t="shared" si="1"/>
        <v>-4589972.31089358</v>
      </c>
      <c r="H15" s="5">
        <f t="shared" si="2"/>
        <v>-4589972.31089358</v>
      </c>
      <c r="I15" s="5">
        <f t="shared" si="0"/>
        <v>-4589972.31089358</v>
      </c>
      <c r="J15" s="5">
        <f>IF(I15&gt;0,I15*'Input Parameters'!$B$47,0)</f>
        <v>0</v>
      </c>
    </row>
    <row r="16" spans="1:10" ht="12.75">
      <c r="A16">
        <f>IF(A15&lt;100,0,IF('Input Parameters'!$B$28=A15,0,A15+1))</f>
        <v>2015</v>
      </c>
      <c r="B16" s="33">
        <f>Cashflow1!G13+Cashflow1!H13+Cashflow1!I13+Cashflow1!J13</f>
        <v>24445177.855867106</v>
      </c>
      <c r="C16" s="33">
        <f>Cashflow1!C13</f>
        <v>21582457.120958984</v>
      </c>
      <c r="D16" s="33">
        <f>Cashflow1!B13</f>
        <v>0</v>
      </c>
      <c r="E16" s="35">
        <f>Financing!I16</f>
        <v>4115000</v>
      </c>
      <c r="F16" s="33">
        <f>Cashflow1!D13</f>
        <v>2436750</v>
      </c>
      <c r="G16" s="5">
        <f t="shared" si="1"/>
        <v>-3689029.2650918774</v>
      </c>
      <c r="H16" s="5">
        <f t="shared" si="2"/>
        <v>-8279001.575985458</v>
      </c>
      <c r="I16" s="5">
        <f t="shared" si="0"/>
        <v>-3689029.2650918774</v>
      </c>
      <c r="J16" s="5">
        <f>IF(I16&gt;0,I16*'Input Parameters'!$B$47,0)</f>
        <v>0</v>
      </c>
    </row>
    <row r="17" spans="1:10" ht="12.75">
      <c r="A17">
        <f>IF(A16&lt;100,0,IF('Input Parameters'!$B$28=A16,0,A16+1))</f>
        <v>2016</v>
      </c>
      <c r="B17" s="33">
        <f>Cashflow1!G14+Cashflow1!H14+Cashflow1!I14+Cashflow1!J14</f>
        <v>27134147.42001249</v>
      </c>
      <c r="C17" s="33">
        <f>Cashflow1!C14</f>
        <v>23956527.404264472</v>
      </c>
      <c r="D17" s="33">
        <f>Cashflow1!B14</f>
        <v>0</v>
      </c>
      <c r="E17" s="35">
        <f>Financing!I17</f>
        <v>4115000</v>
      </c>
      <c r="F17" s="33">
        <f>Cashflow1!D14</f>
        <v>1819500</v>
      </c>
      <c r="G17" s="5">
        <f t="shared" si="1"/>
        <v>-2756879.9842519835</v>
      </c>
      <c r="H17" s="5">
        <f t="shared" si="2"/>
        <v>-11035881.560237441</v>
      </c>
      <c r="I17" s="5">
        <f t="shared" si="0"/>
        <v>-2756879.9842519835</v>
      </c>
      <c r="J17" s="5">
        <f>IF(I17&gt;0,I17*'Input Parameters'!$B$47,0)</f>
        <v>0</v>
      </c>
    </row>
    <row r="18" spans="1:10" ht="12.75">
      <c r="A18">
        <f>IF(A17&lt;100,0,IF('Input Parameters'!$B$28=A17,0,A17+1))</f>
        <v>2017</v>
      </c>
      <c r="B18" s="33">
        <f>Cashflow1!G15+Cashflow1!H15+Cashflow1!I15+Cashflow1!J15</f>
        <v>30445305.07332437</v>
      </c>
      <c r="C18" s="33">
        <f>Cashflow1!C15</f>
        <v>29516837.414794262</v>
      </c>
      <c r="D18" s="33">
        <f>Cashflow1!B15</f>
        <v>0</v>
      </c>
      <c r="E18" s="35">
        <f>Financing!I18</f>
        <v>4115000</v>
      </c>
      <c r="F18" s="33">
        <f>Cashflow1!D15</f>
        <v>1202250</v>
      </c>
      <c r="G18" s="5">
        <f t="shared" si="1"/>
        <v>-4388782.341469891</v>
      </c>
      <c r="H18" s="5">
        <f t="shared" si="2"/>
        <v>-15424663.901707333</v>
      </c>
      <c r="I18" s="5">
        <f t="shared" si="0"/>
        <v>-4388782.341469891</v>
      </c>
      <c r="J18" s="5">
        <f>IF(I18&gt;0,I18*'Input Parameters'!$B$47,0)</f>
        <v>0</v>
      </c>
    </row>
    <row r="19" spans="1:10" ht="12.75">
      <c r="A19">
        <f>IF(A18&lt;100,0,IF('Input Parameters'!$B$28=A18,0,A18+1))</f>
        <v>0</v>
      </c>
      <c r="B19" s="33">
        <f>Cashflow1!G16+Cashflow1!H16+Cashflow1!I16+Cashflow1!J16</f>
        <v>0</v>
      </c>
      <c r="C19" s="33">
        <f>Cashflow1!C16</f>
        <v>0</v>
      </c>
      <c r="D19" s="33">
        <f>Cashflow1!B16</f>
        <v>0</v>
      </c>
      <c r="E19" s="35">
        <f>Financing!I19</f>
        <v>3900000</v>
      </c>
      <c r="F19" s="33">
        <f>Cashflow1!D16</f>
        <v>585000</v>
      </c>
      <c r="G19" s="5">
        <f aca="true" t="shared" si="3" ref="G19:G27">B19-C19-E19-F19</f>
        <v>-4485000</v>
      </c>
      <c r="H19" s="5">
        <f aca="true" t="shared" si="4" ref="H19:H27">IF(H18&lt;=0,IF(G19+H18&lt;0,G19+H18,0),0)</f>
        <v>-19909663.901707333</v>
      </c>
      <c r="I19" s="5">
        <f aca="true" t="shared" si="5" ref="I19:I27">IF(G19&gt;0,IF(G19+H18&gt;0,G19+H18,0),G19)</f>
        <v>-4485000</v>
      </c>
      <c r="J19" s="5">
        <f>IF(I19&gt;0,I19*'Input Parameters'!$B$47,0)</f>
        <v>0</v>
      </c>
    </row>
    <row r="20" spans="1:10" ht="12.75">
      <c r="A20">
        <f>IF(A19&lt;100,0,IF('Input Parameters'!$B$28=A19,0,A19+1))</f>
        <v>0</v>
      </c>
      <c r="B20" s="33">
        <f>Cashflow1!G17+Cashflow1!H17+Cashflow1!I17+Cashflow1!J17</f>
        <v>0</v>
      </c>
      <c r="C20" s="33">
        <f>Cashflow1!C17</f>
        <v>0</v>
      </c>
      <c r="D20" s="33">
        <f>Cashflow1!B17</f>
        <v>0</v>
      </c>
      <c r="E20" s="35">
        <f>Financing!I20</f>
        <v>0</v>
      </c>
      <c r="F20" s="33">
        <f>Cashflow1!D17</f>
        <v>0</v>
      </c>
      <c r="G20" s="5">
        <f t="shared" si="3"/>
        <v>0</v>
      </c>
      <c r="H20" s="5">
        <f t="shared" si="4"/>
        <v>-19909663.901707333</v>
      </c>
      <c r="I20" s="5">
        <f t="shared" si="5"/>
        <v>0</v>
      </c>
      <c r="J20" s="5">
        <f>IF(I20&gt;0,I20*'Input Parameters'!$B$47,0)</f>
        <v>0</v>
      </c>
    </row>
    <row r="21" spans="1:10" ht="12.75">
      <c r="A21">
        <f>IF(A20&lt;100,0,IF('Input Parameters'!$B$28=A20,0,A20+1))</f>
        <v>0</v>
      </c>
      <c r="B21" s="33">
        <f>Cashflow1!G18+Cashflow1!H18+Cashflow1!I18+Cashflow1!J18</f>
        <v>0</v>
      </c>
      <c r="C21" s="33">
        <f>Cashflow1!C18</f>
        <v>0</v>
      </c>
      <c r="D21" s="33">
        <f>Cashflow1!B18</f>
        <v>0</v>
      </c>
      <c r="E21" s="35">
        <f>Financing!I21</f>
        <v>0</v>
      </c>
      <c r="F21" s="33">
        <f>Cashflow1!D18</f>
        <v>0</v>
      </c>
      <c r="G21" s="5">
        <f t="shared" si="3"/>
        <v>0</v>
      </c>
      <c r="H21" s="5">
        <f t="shared" si="4"/>
        <v>-19909663.901707333</v>
      </c>
      <c r="I21" s="5">
        <f t="shared" si="5"/>
        <v>0</v>
      </c>
      <c r="J21" s="5">
        <f>IF(I21&gt;0,I21*'Input Parameters'!$B$47,0)</f>
        <v>0</v>
      </c>
    </row>
    <row r="22" spans="1:10" ht="12.75">
      <c r="A22">
        <f>IF(A21&lt;100,0,IF('Input Parameters'!$B$28=A21,0,A21+1))</f>
        <v>0</v>
      </c>
      <c r="B22" s="33">
        <f>Cashflow1!G19+Cashflow1!H19+Cashflow1!I19+Cashflow1!J19</f>
        <v>0</v>
      </c>
      <c r="C22" s="33">
        <f>Cashflow1!C19</f>
        <v>0</v>
      </c>
      <c r="D22" s="33">
        <f>Cashflow1!B19</f>
        <v>0</v>
      </c>
      <c r="E22" s="35">
        <f>Financing!I22</f>
        <v>0</v>
      </c>
      <c r="F22" s="33">
        <f>Cashflow1!D19</f>
        <v>0</v>
      </c>
      <c r="G22" s="5">
        <f t="shared" si="3"/>
        <v>0</v>
      </c>
      <c r="H22" s="5">
        <f t="shared" si="4"/>
        <v>-19909663.901707333</v>
      </c>
      <c r="I22" s="5">
        <f t="shared" si="5"/>
        <v>0</v>
      </c>
      <c r="J22" s="5">
        <f>IF(I22&gt;0,I22*'Input Parameters'!$B$47,0)</f>
        <v>0</v>
      </c>
    </row>
    <row r="23" spans="1:10" ht="12.75">
      <c r="A23">
        <f>IF(A22&lt;100,0,IF('Input Parameters'!$B$28=A22,0,A22+1))</f>
        <v>0</v>
      </c>
      <c r="B23" s="33">
        <f>Cashflow1!G20+Cashflow1!H20+Cashflow1!I20+Cashflow1!J20</f>
        <v>0</v>
      </c>
      <c r="C23" s="33">
        <f>Cashflow1!C20</f>
        <v>0</v>
      </c>
      <c r="D23" s="33">
        <f>Cashflow1!B20</f>
        <v>0</v>
      </c>
      <c r="E23" s="35">
        <f>Financing!I23</f>
        <v>0</v>
      </c>
      <c r="F23" s="33">
        <f>Cashflow1!D20</f>
        <v>0</v>
      </c>
      <c r="G23" s="5">
        <f t="shared" si="3"/>
        <v>0</v>
      </c>
      <c r="H23" s="5">
        <f t="shared" si="4"/>
        <v>-19909663.901707333</v>
      </c>
      <c r="I23" s="5">
        <f t="shared" si="5"/>
        <v>0</v>
      </c>
      <c r="J23" s="5">
        <f>IF(I23&gt;0,I23*'Input Parameters'!$B$47,0)</f>
        <v>0</v>
      </c>
    </row>
    <row r="24" spans="1:10" ht="12.75">
      <c r="A24">
        <f>IF(A23&lt;100,0,IF('Input Parameters'!$B$28=A23,0,A23+1))</f>
        <v>0</v>
      </c>
      <c r="B24" s="33">
        <f>Cashflow1!G21+Cashflow1!H21+Cashflow1!I21+Cashflow1!J21</f>
        <v>0</v>
      </c>
      <c r="C24" s="33">
        <f>Cashflow1!C21</f>
        <v>0</v>
      </c>
      <c r="D24" s="33">
        <f>Cashflow1!B21</f>
        <v>0</v>
      </c>
      <c r="E24" s="35">
        <f>Financing!I24</f>
        <v>0</v>
      </c>
      <c r="F24" s="33">
        <f>Cashflow1!D21</f>
        <v>0</v>
      </c>
      <c r="G24" s="5">
        <f t="shared" si="3"/>
        <v>0</v>
      </c>
      <c r="H24" s="5">
        <f t="shared" si="4"/>
        <v>-19909663.901707333</v>
      </c>
      <c r="I24" s="5">
        <f t="shared" si="5"/>
        <v>0</v>
      </c>
      <c r="J24" s="5">
        <f>IF(I24&gt;0,I24*'Input Parameters'!$B$47,0)</f>
        <v>0</v>
      </c>
    </row>
    <row r="25" spans="1:10" ht="12.75">
      <c r="A25">
        <f>IF(A24&lt;100,0,IF('Input Parameters'!$B$28=A24,0,A24+1))</f>
        <v>0</v>
      </c>
      <c r="B25" s="33">
        <f>Cashflow1!G22+Cashflow1!H22+Cashflow1!I22+Cashflow1!J22</f>
        <v>0</v>
      </c>
      <c r="C25" s="33">
        <f>Cashflow1!C22</f>
        <v>0</v>
      </c>
      <c r="D25" s="33">
        <f>Cashflow1!B22</f>
        <v>0</v>
      </c>
      <c r="E25" s="35">
        <f>Financing!I25</f>
        <v>0</v>
      </c>
      <c r="F25" s="33">
        <f>Cashflow1!D22</f>
        <v>0</v>
      </c>
      <c r="G25" s="5">
        <f t="shared" si="3"/>
        <v>0</v>
      </c>
      <c r="H25" s="5">
        <f t="shared" si="4"/>
        <v>-19909663.901707333</v>
      </c>
      <c r="I25" s="5">
        <f t="shared" si="5"/>
        <v>0</v>
      </c>
      <c r="J25" s="5">
        <f>IF(I25&gt;0,I25*'Input Parameters'!$B$47,0)</f>
        <v>0</v>
      </c>
    </row>
    <row r="26" spans="1:10" ht="12.75">
      <c r="A26">
        <f>IF(A25&lt;100,0,IF('Input Parameters'!$B$28=A25,0,A25+1))</f>
        <v>0</v>
      </c>
      <c r="B26" s="33">
        <f>Cashflow1!G23+Cashflow1!H23+Cashflow1!I23+Cashflow1!J23</f>
        <v>0</v>
      </c>
      <c r="C26" s="33">
        <f>Cashflow1!C23</f>
        <v>0</v>
      </c>
      <c r="D26" s="33">
        <f>Cashflow1!B23</f>
        <v>0</v>
      </c>
      <c r="E26" s="35">
        <f>Financing!I26</f>
        <v>0</v>
      </c>
      <c r="F26" s="33">
        <f>Cashflow1!D23</f>
        <v>0</v>
      </c>
      <c r="G26" s="5">
        <f t="shared" si="3"/>
        <v>0</v>
      </c>
      <c r="H26" s="5">
        <f t="shared" si="4"/>
        <v>-19909663.901707333</v>
      </c>
      <c r="I26" s="5">
        <f t="shared" si="5"/>
        <v>0</v>
      </c>
      <c r="J26" s="5">
        <f>IF(I26&gt;0,I26*'Input Parameters'!$B$47,0)</f>
        <v>0</v>
      </c>
    </row>
    <row r="27" spans="1:10" ht="12.75">
      <c r="A27">
        <f>IF(A26&lt;100,0,IF('Input Parameters'!$B$28=A26,0,A26+1))</f>
        <v>0</v>
      </c>
      <c r="B27" s="33">
        <f>Cashflow1!G24+Cashflow1!H24+Cashflow1!I24+Cashflow1!J24</f>
        <v>0</v>
      </c>
      <c r="C27" s="33">
        <f>Cashflow1!C24</f>
        <v>0</v>
      </c>
      <c r="D27" s="33">
        <f>Cashflow1!B24</f>
        <v>0</v>
      </c>
      <c r="E27" s="35">
        <f>Financing!I27</f>
        <v>0</v>
      </c>
      <c r="F27" s="33">
        <f>Cashflow1!D24</f>
        <v>0</v>
      </c>
      <c r="G27" s="5">
        <f t="shared" si="3"/>
        <v>0</v>
      </c>
      <c r="H27" s="5">
        <f t="shared" si="4"/>
        <v>-19909663.901707333</v>
      </c>
      <c r="I27" s="5">
        <f t="shared" si="5"/>
        <v>0</v>
      </c>
      <c r="J27" s="5">
        <f>IF(I27&gt;0,I27*'Input Parameters'!$B$47,0)</f>
        <v>0</v>
      </c>
    </row>
    <row r="29" ht="12.75">
      <c r="J29" s="12">
        <f>SUM(J8:J27)</f>
        <v>9747385.203622738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M303"/>
  <sheetViews>
    <sheetView workbookViewId="0" topLeftCell="A1">
      <selection activeCell="B15" sqref="B15:D23"/>
    </sheetView>
  </sheetViews>
  <sheetFormatPr defaultColWidth="11.421875" defaultRowHeight="12.75"/>
  <sheetData>
    <row r="2" spans="2:13" ht="12.75">
      <c r="B2" t="s">
        <v>44</v>
      </c>
      <c r="C2" t="s">
        <v>30</v>
      </c>
      <c r="D2" t="s">
        <v>45</v>
      </c>
      <c r="E2" t="s">
        <v>44</v>
      </c>
      <c r="F2" t="s">
        <v>30</v>
      </c>
      <c r="G2" t="s">
        <v>45</v>
      </c>
      <c r="K2" t="s">
        <v>55</v>
      </c>
      <c r="L2" t="s">
        <v>56</v>
      </c>
      <c r="M2" t="s">
        <v>57</v>
      </c>
    </row>
    <row r="3" spans="1:13" ht="12.75">
      <c r="A3">
        <v>-20</v>
      </c>
      <c r="B3">
        <v>12.43</v>
      </c>
      <c r="C3">
        <v>10.42</v>
      </c>
      <c r="D3">
        <v>3.18</v>
      </c>
      <c r="E3">
        <v>21.65</v>
      </c>
      <c r="F3">
        <v>18.06</v>
      </c>
      <c r="G3">
        <v>10.62</v>
      </c>
      <c r="J3">
        <v>-20</v>
      </c>
      <c r="K3">
        <f aca="true" t="shared" si="0" ref="K3:K11">E3-B3</f>
        <v>9.219999999999999</v>
      </c>
      <c r="L3">
        <f aca="true" t="shared" si="1" ref="L3:L11">F3-C3</f>
        <v>7.639999999999999</v>
      </c>
      <c r="M3">
        <f aca="true" t="shared" si="2" ref="M3:M11">G3-D3</f>
        <v>7.4399999999999995</v>
      </c>
    </row>
    <row r="4" spans="1:13" ht="12.75">
      <c r="A4">
        <v>-15</v>
      </c>
      <c r="B4">
        <v>11.01</v>
      </c>
      <c r="C4">
        <v>9.7</v>
      </c>
      <c r="D4">
        <v>4.29</v>
      </c>
      <c r="E4">
        <v>19.88</v>
      </c>
      <c r="F4">
        <v>17.44</v>
      </c>
      <c r="G4">
        <v>11.9</v>
      </c>
      <c r="J4">
        <v>-15</v>
      </c>
      <c r="K4">
        <f t="shared" si="0"/>
        <v>8.87</v>
      </c>
      <c r="L4">
        <f t="shared" si="1"/>
        <v>7.740000000000002</v>
      </c>
      <c r="M4">
        <f t="shared" si="2"/>
        <v>7.61</v>
      </c>
    </row>
    <row r="5" spans="1:13" ht="12.75">
      <c r="A5">
        <v>-10</v>
      </c>
      <c r="B5">
        <v>9.72</v>
      </c>
      <c r="C5">
        <v>8.97</v>
      </c>
      <c r="D5">
        <v>5.37</v>
      </c>
      <c r="E5">
        <v>18.29</v>
      </c>
      <c r="F5">
        <v>16.81</v>
      </c>
      <c r="G5">
        <v>13.15</v>
      </c>
      <c r="J5">
        <v>-10</v>
      </c>
      <c r="K5">
        <f t="shared" si="0"/>
        <v>8.569999999999999</v>
      </c>
      <c r="L5">
        <f t="shared" si="1"/>
        <v>7.839999999999998</v>
      </c>
      <c r="M5">
        <f t="shared" si="2"/>
        <v>7.78</v>
      </c>
    </row>
    <row r="6" spans="1:13" ht="12.75">
      <c r="A6">
        <v>-5</v>
      </c>
      <c r="B6">
        <v>8.54</v>
      </c>
      <c r="C6">
        <v>8.22</v>
      </c>
      <c r="D6">
        <v>6.43</v>
      </c>
      <c r="E6">
        <v>16.85</v>
      </c>
      <c r="F6">
        <v>16.17</v>
      </c>
      <c r="G6">
        <v>14.36</v>
      </c>
      <c r="J6">
        <v>-5</v>
      </c>
      <c r="K6">
        <f t="shared" si="0"/>
        <v>8.310000000000002</v>
      </c>
      <c r="L6">
        <f t="shared" si="1"/>
        <v>7.950000000000001</v>
      </c>
      <c r="M6">
        <f t="shared" si="2"/>
        <v>7.93</v>
      </c>
    </row>
    <row r="7" spans="1:13" ht="12.75">
      <c r="A7">
        <v>0</v>
      </c>
      <c r="B7">
        <v>7.47</v>
      </c>
      <c r="C7">
        <v>7.47</v>
      </c>
      <c r="D7">
        <v>7.47</v>
      </c>
      <c r="E7">
        <v>15.54</v>
      </c>
      <c r="F7">
        <v>15.54</v>
      </c>
      <c r="G7">
        <v>15.54</v>
      </c>
      <c r="J7">
        <v>0</v>
      </c>
      <c r="K7">
        <f t="shared" si="0"/>
        <v>8.07</v>
      </c>
      <c r="L7">
        <f t="shared" si="1"/>
        <v>8.07</v>
      </c>
      <c r="M7">
        <f t="shared" si="2"/>
        <v>8.07</v>
      </c>
    </row>
    <row r="8" spans="1:13" ht="12.75">
      <c r="A8">
        <v>5</v>
      </c>
      <c r="B8">
        <v>6.48</v>
      </c>
      <c r="C8">
        <v>6.7</v>
      </c>
      <c r="D8">
        <v>8.49</v>
      </c>
      <c r="E8">
        <v>14.34</v>
      </c>
      <c r="F8">
        <v>14.89</v>
      </c>
      <c r="G8">
        <v>16.69</v>
      </c>
      <c r="J8">
        <v>5</v>
      </c>
      <c r="K8">
        <f t="shared" si="0"/>
        <v>7.859999999999999</v>
      </c>
      <c r="L8">
        <f t="shared" si="1"/>
        <v>8.190000000000001</v>
      </c>
      <c r="M8">
        <f t="shared" si="2"/>
        <v>8.200000000000001</v>
      </c>
    </row>
    <row r="9" spans="1:13" ht="12.75">
      <c r="A9">
        <v>10</v>
      </c>
      <c r="B9">
        <v>5.56</v>
      </c>
      <c r="C9">
        <v>5.91</v>
      </c>
      <c r="D9">
        <v>9.49</v>
      </c>
      <c r="E9">
        <v>13.23</v>
      </c>
      <c r="F9">
        <v>14.24</v>
      </c>
      <c r="G9">
        <v>17.82</v>
      </c>
      <c r="J9">
        <v>10</v>
      </c>
      <c r="K9">
        <f t="shared" si="0"/>
        <v>7.670000000000001</v>
      </c>
      <c r="L9">
        <f t="shared" si="1"/>
        <v>8.33</v>
      </c>
      <c r="M9">
        <f t="shared" si="2"/>
        <v>8.33</v>
      </c>
    </row>
    <row r="10" spans="1:13" ht="12.75">
      <c r="A10">
        <v>15</v>
      </c>
      <c r="B10">
        <v>4.71</v>
      </c>
      <c r="C10">
        <v>5.11</v>
      </c>
      <c r="D10">
        <v>10.49</v>
      </c>
      <c r="E10">
        <v>12.21</v>
      </c>
      <c r="F10">
        <v>13.59</v>
      </c>
      <c r="G10">
        <v>18.92</v>
      </c>
      <c r="J10">
        <v>15</v>
      </c>
      <c r="K10">
        <f t="shared" si="0"/>
        <v>7.500000000000001</v>
      </c>
      <c r="L10">
        <f t="shared" si="1"/>
        <v>8.48</v>
      </c>
      <c r="M10">
        <f t="shared" si="2"/>
        <v>8.430000000000001</v>
      </c>
    </row>
    <row r="11" spans="1:13" ht="12.75">
      <c r="A11">
        <v>20</v>
      </c>
      <c r="B11">
        <v>3.92</v>
      </c>
      <c r="C11">
        <v>4.29</v>
      </c>
      <c r="D11">
        <v>11.46</v>
      </c>
      <c r="E11">
        <v>11.26</v>
      </c>
      <c r="F11">
        <v>12.93</v>
      </c>
      <c r="G11">
        <v>20.01</v>
      </c>
      <c r="J11">
        <v>20</v>
      </c>
      <c r="K11">
        <f t="shared" si="0"/>
        <v>7.34</v>
      </c>
      <c r="L11">
        <f t="shared" si="1"/>
        <v>8.64</v>
      </c>
      <c r="M11">
        <f t="shared" si="2"/>
        <v>8.55</v>
      </c>
    </row>
    <row r="14" spans="2:13" ht="12.75">
      <c r="B14" s="21" t="s">
        <v>44</v>
      </c>
      <c r="C14" s="21" t="s">
        <v>30</v>
      </c>
      <c r="D14" s="21" t="s">
        <v>45</v>
      </c>
      <c r="E14" s="21" t="s">
        <v>46</v>
      </c>
      <c r="F14" s="21" t="s">
        <v>47</v>
      </c>
      <c r="G14" s="21" t="s">
        <v>48</v>
      </c>
      <c r="K14" t="s">
        <v>55</v>
      </c>
      <c r="L14" t="s">
        <v>56</v>
      </c>
      <c r="M14" t="s">
        <v>57</v>
      </c>
    </row>
    <row r="15" spans="1:13" ht="12.75">
      <c r="A15">
        <v>-20</v>
      </c>
      <c r="B15" s="38">
        <v>-9.859457593219183</v>
      </c>
      <c r="C15" s="38">
        <v>4.453928136192229</v>
      </c>
      <c r="D15" s="38">
        <v>-18.128694819434767</v>
      </c>
      <c r="E15" s="18">
        <v>25.43024258588894</v>
      </c>
      <c r="F15" s="18">
        <v>27.476224243559493</v>
      </c>
      <c r="G15" s="18">
        <v>11.958156909831303</v>
      </c>
      <c r="J15">
        <v>-20</v>
      </c>
      <c r="K15">
        <f aca="true" t="shared" si="3" ref="K15:K23">E15-B15</f>
        <v>35.289700179108124</v>
      </c>
      <c r="L15" t="e">
        <f aca="true" t="shared" si="4" ref="L15:L23">F25-C15</f>
        <v>#VALUE!</v>
      </c>
      <c r="M15">
        <f aca="true" t="shared" si="5" ref="M15:M23">G15-D15</f>
        <v>30.08685172926607</v>
      </c>
    </row>
    <row r="16" spans="1:13" ht="12.75">
      <c r="A16">
        <v>-15</v>
      </c>
      <c r="B16" s="38">
        <v>-10.757716841383843</v>
      </c>
      <c r="C16" s="38">
        <v>1.0815597841676623</v>
      </c>
      <c r="D16" s="38">
        <v>-16.722036270591964</v>
      </c>
      <c r="E16" s="18">
        <v>23.50136734811316</v>
      </c>
      <c r="F16" s="18">
        <v>25.58137340397672</v>
      </c>
      <c r="G16" s="18">
        <v>13.731347535855088</v>
      </c>
      <c r="J16">
        <v>-15</v>
      </c>
      <c r="K16">
        <f t="shared" si="3"/>
        <v>34.259084189497</v>
      </c>
      <c r="L16">
        <f t="shared" si="4"/>
        <v>-1.0815597841676623</v>
      </c>
      <c r="M16">
        <f t="shared" si="5"/>
        <v>30.45338380644705</v>
      </c>
    </row>
    <row r="17" spans="1:13" ht="12.75">
      <c r="A17">
        <v>-10</v>
      </c>
      <c r="B17" s="38">
        <v>-11.591273496601168</v>
      </c>
      <c r="C17" s="38">
        <v>-2.737736431906216</v>
      </c>
      <c r="D17" s="38">
        <v>-15.426567468414342</v>
      </c>
      <c r="E17" s="18">
        <v>21.745538337547615</v>
      </c>
      <c r="F17" s="18">
        <v>23.42309312961189</v>
      </c>
      <c r="G17" s="18">
        <v>15.421259085940015</v>
      </c>
      <c r="J17">
        <v>-10</v>
      </c>
      <c r="K17">
        <f t="shared" si="3"/>
        <v>33.33681183414878</v>
      </c>
      <c r="L17">
        <f t="shared" si="4"/>
        <v>2.737736431906216</v>
      </c>
      <c r="M17">
        <f t="shared" si="5"/>
        <v>30.847826554354356</v>
      </c>
    </row>
    <row r="18" spans="1:13" ht="12.75">
      <c r="A18">
        <v>-5</v>
      </c>
      <c r="B18" s="38">
        <v>-12.36812485587228</v>
      </c>
      <c r="C18" s="38">
        <v>-7.263586570329987</v>
      </c>
      <c r="D18" s="38">
        <v>-14.222457353980863</v>
      </c>
      <c r="E18" s="18">
        <v>20.138746835761463</v>
      </c>
      <c r="F18" s="18">
        <v>21.13049272363561</v>
      </c>
      <c r="G18" s="18">
        <v>17.06266360281581</v>
      </c>
      <c r="J18">
        <v>-5</v>
      </c>
      <c r="K18">
        <f t="shared" si="3"/>
        <v>32.50687169163374</v>
      </c>
      <c r="L18">
        <f t="shared" si="4"/>
        <v>7.263586570329987</v>
      </c>
      <c r="M18">
        <f t="shared" si="5"/>
        <v>31.285120956796675</v>
      </c>
    </row>
    <row r="19" spans="1:13" ht="12.75">
      <c r="A19">
        <v>0</v>
      </c>
      <c r="B19" s="38">
        <v>-13.094916340446202</v>
      </c>
      <c r="C19" s="38">
        <v>-13.094916340446202</v>
      </c>
      <c r="D19" s="38">
        <v>-13.094916340446202</v>
      </c>
      <c r="E19" s="18">
        <v>18.66136055806743</v>
      </c>
      <c r="F19" s="18">
        <v>18.66136055806743</v>
      </c>
      <c r="G19" s="18">
        <v>18.66136055806743</v>
      </c>
      <c r="J19">
        <v>0</v>
      </c>
      <c r="K19">
        <f t="shared" si="3"/>
        <v>31.756276898513633</v>
      </c>
      <c r="L19">
        <f t="shared" si="4"/>
        <v>13.094916340446202</v>
      </c>
      <c r="M19">
        <f t="shared" si="5"/>
        <v>31.756276898513633</v>
      </c>
    </row>
    <row r="20" spans="1:13" ht="12.75">
      <c r="A20">
        <v>5</v>
      </c>
      <c r="B20" s="38">
        <v>-13.777224945231477</v>
      </c>
      <c r="C20" s="38">
        <v>-22.43988587087136</v>
      </c>
      <c r="D20" s="38">
        <v>-12.032594359859807</v>
      </c>
      <c r="E20" s="18">
        <v>17.297155752676137</v>
      </c>
      <c r="F20" s="18">
        <v>15.950374305778906</v>
      </c>
      <c r="G20" s="18">
        <v>20.221696633450314</v>
      </c>
      <c r="J20">
        <v>5</v>
      </c>
      <c r="K20">
        <f t="shared" si="3"/>
        <v>31.074380697907614</v>
      </c>
      <c r="L20">
        <f t="shared" si="4"/>
        <v>22.43988587087136</v>
      </c>
      <c r="M20">
        <f t="shared" si="5"/>
        <v>32.25429099331012</v>
      </c>
    </row>
    <row r="21" spans="1:13" ht="12.75">
      <c r="A21">
        <v>10</v>
      </c>
      <c r="B21" s="38">
        <v>-14.419772869331876</v>
      </c>
      <c r="C21" s="38" t="e">
        <v>#DIV/0!</v>
      </c>
      <c r="D21" s="38">
        <v>-11.02657417385216</v>
      </c>
      <c r="E21" s="18">
        <v>16.03259725373826</v>
      </c>
      <c r="F21" s="18">
        <v>12.886726270093776</v>
      </c>
      <c r="G21" s="18">
        <v>21.747351900354065</v>
      </c>
      <c r="J21">
        <v>10</v>
      </c>
      <c r="K21">
        <f t="shared" si="3"/>
        <v>30.452370123070136</v>
      </c>
      <c r="L21" t="e">
        <f t="shared" si="4"/>
        <v>#DIV/0!</v>
      </c>
      <c r="M21">
        <f t="shared" si="5"/>
        <v>32.77392607420622</v>
      </c>
    </row>
    <row r="22" spans="1:13" ht="12.75">
      <c r="A22">
        <v>15</v>
      </c>
      <c r="B22" s="38">
        <v>-15.026590848434262</v>
      </c>
      <c r="C22" s="38" t="e">
        <v>#DIV/0!</v>
      </c>
      <c r="D22" s="38">
        <v>-10.069711294390755</v>
      </c>
      <c r="E22" s="18">
        <v>14.856295092404151</v>
      </c>
      <c r="F22" s="18">
        <v>9.242893970002623</v>
      </c>
      <c r="G22" s="18">
        <v>23.2414727018828</v>
      </c>
      <c r="J22">
        <v>15</v>
      </c>
      <c r="K22">
        <f t="shared" si="3"/>
        <v>29.882885940838413</v>
      </c>
      <c r="L22" t="e">
        <f t="shared" si="4"/>
        <v>#DIV/0!</v>
      </c>
      <c r="M22">
        <f t="shared" si="5"/>
        <v>33.311183996273556</v>
      </c>
    </row>
    <row r="23" spans="1:13" ht="12.75">
      <c r="A23">
        <v>20</v>
      </c>
      <c r="B23" s="38">
        <v>-15.601144659115304</v>
      </c>
      <c r="C23" s="38" t="e">
        <v>#DIV/0!</v>
      </c>
      <c r="D23" s="38">
        <v>-9.156185661358764</v>
      </c>
      <c r="E23" s="18">
        <v>13.755538689816294</v>
      </c>
      <c r="F23" s="39">
        <v>4.468625198695406</v>
      </c>
      <c r="G23" s="18">
        <v>24.706772503478643</v>
      </c>
      <c r="J23">
        <v>20</v>
      </c>
      <c r="K23">
        <f t="shared" si="3"/>
        <v>29.356683348931597</v>
      </c>
      <c r="L23" t="e">
        <f t="shared" si="4"/>
        <v>#DIV/0!</v>
      </c>
      <c r="M23">
        <f t="shared" si="5"/>
        <v>33.86295816483741</v>
      </c>
    </row>
    <row r="24" spans="2:7" ht="12.75">
      <c r="B24" s="27" t="s">
        <v>58</v>
      </c>
      <c r="C24" s="40" t="s">
        <v>58</v>
      </c>
      <c r="D24" s="40" t="s">
        <v>58</v>
      </c>
      <c r="E24" s="40" t="s">
        <v>58</v>
      </c>
      <c r="F24" s="40" t="s">
        <v>58</v>
      </c>
      <c r="G24" s="29" t="s">
        <v>58</v>
      </c>
    </row>
    <row r="25" spans="2:7" ht="12.75">
      <c r="B25" s="30" t="s">
        <v>58</v>
      </c>
      <c r="C25" s="28" t="s">
        <v>58</v>
      </c>
      <c r="D25" s="28" t="s">
        <v>58</v>
      </c>
      <c r="E25" s="28" t="s">
        <v>58</v>
      </c>
      <c r="F25" s="28" t="s">
        <v>58</v>
      </c>
      <c r="G25" s="31" t="s">
        <v>58</v>
      </c>
    </row>
    <row r="26" spans="1:7" ht="12.75">
      <c r="A26" s="24" t="s">
        <v>96</v>
      </c>
      <c r="B26" s="41"/>
      <c r="C26" s="25"/>
      <c r="D26" s="25"/>
      <c r="E26" s="25"/>
      <c r="F26" s="25"/>
      <c r="G26" s="26"/>
    </row>
    <row r="27" ht="12.75">
      <c r="G27" s="18"/>
    </row>
    <row r="28" ht="12.75">
      <c r="G28" s="18"/>
    </row>
    <row r="29" ht="12.75">
      <c r="G29" s="18"/>
    </row>
    <row r="30" ht="12.75">
      <c r="G30" s="18"/>
    </row>
    <row r="31" ht="12.75">
      <c r="G31" s="18"/>
    </row>
    <row r="32" ht="12.75">
      <c r="G32" s="18"/>
    </row>
    <row r="33" ht="12.75">
      <c r="G33" s="18"/>
    </row>
    <row r="46" ht="12.75">
      <c r="G46" s="19"/>
    </row>
    <row r="47" ht="12.75">
      <c r="G47" s="20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20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20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20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20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20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20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20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20"/>
    </row>
    <row r="204" ht="12.75">
      <c r="G204" s="19"/>
    </row>
    <row r="205" ht="12.75">
      <c r="G205" s="19"/>
    </row>
    <row r="206" ht="12.75">
      <c r="G206" s="19"/>
    </row>
    <row r="207" ht="12.75">
      <c r="G207" s="19"/>
    </row>
    <row r="208" ht="12.75">
      <c r="G208" s="19"/>
    </row>
    <row r="209" ht="12.75">
      <c r="G209" s="19"/>
    </row>
    <row r="210" ht="12.75">
      <c r="G210" s="19"/>
    </row>
    <row r="211" ht="12.75">
      <c r="G211" s="19"/>
    </row>
    <row r="212" ht="12.75">
      <c r="G212" s="19"/>
    </row>
    <row r="213" ht="12.75">
      <c r="G213" s="19"/>
    </row>
    <row r="214" ht="12.75">
      <c r="G214" s="19"/>
    </row>
    <row r="215" ht="12.75">
      <c r="G215" s="19"/>
    </row>
    <row r="216" ht="12.75">
      <c r="G216" s="19"/>
    </row>
    <row r="217" ht="12.75">
      <c r="G217" s="19"/>
    </row>
    <row r="218" ht="12.75">
      <c r="G218" s="19"/>
    </row>
    <row r="219" ht="12.75">
      <c r="G219" s="19"/>
    </row>
    <row r="220" ht="12.75">
      <c r="G220" s="19"/>
    </row>
    <row r="221" ht="12.75">
      <c r="G221" s="19"/>
    </row>
    <row r="222" ht="12.75">
      <c r="G222" s="19"/>
    </row>
    <row r="223" ht="12.75">
      <c r="G223" s="19"/>
    </row>
    <row r="224" ht="12.75">
      <c r="G224" s="19"/>
    </row>
    <row r="225" ht="12.75">
      <c r="G225" s="19"/>
    </row>
    <row r="226" ht="12.75">
      <c r="G226" s="19"/>
    </row>
    <row r="227" ht="12.75">
      <c r="G227" s="19"/>
    </row>
    <row r="228" ht="12.75">
      <c r="G228" s="19"/>
    </row>
    <row r="229" ht="12.75">
      <c r="G229" s="19"/>
    </row>
    <row r="230" ht="12.75">
      <c r="G230" s="19"/>
    </row>
    <row r="231" ht="12.75">
      <c r="G231" s="19"/>
    </row>
    <row r="232" ht="12.75">
      <c r="G232" s="19"/>
    </row>
    <row r="233" ht="12.75">
      <c r="G233" s="19"/>
    </row>
    <row r="234" ht="12.75">
      <c r="G234" s="19"/>
    </row>
    <row r="235" ht="12.75">
      <c r="G235" s="19"/>
    </row>
    <row r="236" ht="12.75">
      <c r="G236" s="19"/>
    </row>
    <row r="237" ht="12.75">
      <c r="G237" s="19"/>
    </row>
    <row r="238" ht="12.75">
      <c r="G238" s="19"/>
    </row>
    <row r="239" ht="12.75">
      <c r="G239" s="19"/>
    </row>
    <row r="240" ht="12.75">
      <c r="G240" s="19"/>
    </row>
    <row r="241" ht="12.75">
      <c r="G241" s="19"/>
    </row>
    <row r="242" ht="12.75">
      <c r="G242" s="19"/>
    </row>
    <row r="243" ht="12.75">
      <c r="G243" s="19"/>
    </row>
    <row r="244" ht="12.75">
      <c r="G244" s="19"/>
    </row>
    <row r="245" ht="12.75">
      <c r="G245" s="19"/>
    </row>
    <row r="246" ht="12.75">
      <c r="G246" s="19"/>
    </row>
    <row r="247" ht="12.75">
      <c r="G247" s="19"/>
    </row>
    <row r="248" ht="12.75">
      <c r="G248" s="19"/>
    </row>
    <row r="249" ht="12.75">
      <c r="G249" s="19"/>
    </row>
    <row r="250" ht="12.75">
      <c r="G250" s="19"/>
    </row>
    <row r="251" ht="12.75">
      <c r="G251" s="19"/>
    </row>
    <row r="252" ht="12.75">
      <c r="G252" s="19"/>
    </row>
    <row r="253" ht="12.75">
      <c r="G253" s="19"/>
    </row>
    <row r="254" ht="12.75">
      <c r="G254" s="19"/>
    </row>
    <row r="255" ht="12.75">
      <c r="G255" s="19"/>
    </row>
    <row r="256" ht="12.75">
      <c r="G256" s="19"/>
    </row>
    <row r="257" ht="12.75">
      <c r="G257" s="19"/>
    </row>
    <row r="258" ht="12.75">
      <c r="G258" s="19"/>
    </row>
    <row r="259" ht="12.75">
      <c r="G259" s="19"/>
    </row>
    <row r="260" ht="12.75">
      <c r="G260" s="19"/>
    </row>
    <row r="261" ht="12.75">
      <c r="G261" s="19"/>
    </row>
    <row r="262" ht="12.75">
      <c r="G262" s="19"/>
    </row>
    <row r="263" ht="12.75">
      <c r="G263" s="19"/>
    </row>
    <row r="264" ht="12.75">
      <c r="G264" s="19"/>
    </row>
    <row r="265" ht="12.75">
      <c r="G265" s="19"/>
    </row>
    <row r="266" ht="12.75">
      <c r="G266" s="19"/>
    </row>
    <row r="267" ht="12.75">
      <c r="G267" s="19"/>
    </row>
    <row r="268" ht="12.75">
      <c r="G268" s="19"/>
    </row>
    <row r="269" ht="12.75">
      <c r="G269" s="19"/>
    </row>
    <row r="270" ht="12.75">
      <c r="G270" s="19"/>
    </row>
    <row r="271" ht="12.75">
      <c r="G271" s="19"/>
    </row>
    <row r="272" ht="12.75">
      <c r="G272" s="19"/>
    </row>
    <row r="273" ht="12.75">
      <c r="G273" s="19"/>
    </row>
    <row r="274" ht="12.75">
      <c r="G274" s="19"/>
    </row>
    <row r="275" ht="12.75">
      <c r="G275" s="19"/>
    </row>
    <row r="276" ht="12.75">
      <c r="G276" s="19"/>
    </row>
    <row r="277" ht="12.75">
      <c r="G277" s="19"/>
    </row>
    <row r="278" ht="12.75">
      <c r="G278" s="19"/>
    </row>
    <row r="279" ht="12.75">
      <c r="G279" s="19"/>
    </row>
    <row r="280" ht="12.75">
      <c r="G280" s="19"/>
    </row>
    <row r="281" ht="12.75">
      <c r="G281" s="19"/>
    </row>
    <row r="282" ht="12.75">
      <c r="G282" s="19"/>
    </row>
    <row r="283" ht="12.75">
      <c r="G283" s="19"/>
    </row>
    <row r="284" ht="12.75">
      <c r="G284" s="19"/>
    </row>
    <row r="285" ht="12.75">
      <c r="G285" s="19"/>
    </row>
    <row r="286" ht="12.75">
      <c r="G286" s="19"/>
    </row>
    <row r="287" ht="12.75">
      <c r="G287" s="19"/>
    </row>
    <row r="288" ht="12.75">
      <c r="G288" s="19"/>
    </row>
    <row r="289" ht="12.75">
      <c r="G289" s="19"/>
    </row>
    <row r="290" ht="12.75">
      <c r="G290" s="19"/>
    </row>
    <row r="291" ht="12.75">
      <c r="G291" s="19"/>
    </row>
    <row r="292" ht="12.75">
      <c r="G292" s="19"/>
    </row>
    <row r="293" ht="12.75">
      <c r="G293" s="19"/>
    </row>
    <row r="294" ht="12.75">
      <c r="G294" s="19"/>
    </row>
    <row r="295" ht="12.75">
      <c r="G295" s="19"/>
    </row>
    <row r="296" ht="12.75">
      <c r="G296" s="19"/>
    </row>
    <row r="297" ht="12.75">
      <c r="G297" s="19"/>
    </row>
    <row r="298" ht="12.75">
      <c r="G298" s="19"/>
    </row>
    <row r="299" ht="12.75">
      <c r="G299" s="19"/>
    </row>
    <row r="300" ht="12.75">
      <c r="G300" s="19"/>
    </row>
    <row r="301" ht="12.75">
      <c r="G301" s="19"/>
    </row>
    <row r="302" ht="12.75">
      <c r="G302" s="19"/>
    </row>
    <row r="303" ht="12.75">
      <c r="G303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Carbon-TF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Meyer-Version + Hadulla Makro</dc:title>
  <dc:subject>Utilisation of CMM in Donbasskaja</dc:subject>
  <dc:creator>Adam Hadulla</dc:creator>
  <cp:keywords/>
  <dc:description>Formeln überarbeitet am 3.7.2005
</dc:description>
  <cp:lastModifiedBy>Mitarbeiter</cp:lastModifiedBy>
  <cp:lastPrinted>2007-09-12T09:20:07Z</cp:lastPrinted>
  <dcterms:created xsi:type="dcterms:W3CDTF">2001-03-19T15:23:51Z</dcterms:created>
  <dcterms:modified xsi:type="dcterms:W3CDTF">2008-09-10T12:54:12Z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