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2" windowHeight="9720" activeTab="5"/>
  </bookViews>
  <sheets>
    <sheet name="ER" sheetId="1" r:id="rId1"/>
    <sheet name="calcination" sheetId="2" r:id="rId2"/>
    <sheet name="BKE" sheetId="3" r:id="rId3"/>
    <sheet name="raw material" sheetId="4" r:id="rId4"/>
    <sheet name="leakage from slag transport" sheetId="5" r:id="rId5"/>
    <sheet name="coal" sheetId="6" r:id="rId6"/>
  </sheets>
  <externalReferences>
    <externalReference r:id="rId9"/>
  </externalReferences>
  <definedNames>
    <definedName name="_xlnm.Print_Area" localSheetId="0">'ER'!$O$53:$S$62</definedName>
  </definedNames>
  <calcPr fullCalcOnLoad="1"/>
</workbook>
</file>

<file path=xl/sharedStrings.xml><?xml version="1.0" encoding="utf-8"?>
<sst xmlns="http://schemas.openxmlformats.org/spreadsheetml/2006/main" count="321" uniqueCount="200">
  <si>
    <t>Baseline emissions</t>
  </si>
  <si>
    <t>Project emissions</t>
  </si>
  <si>
    <t>er</t>
  </si>
  <si>
    <t>Kiln fuel</t>
  </si>
  <si>
    <t>[tCO2/yr]</t>
  </si>
  <si>
    <t>Calcination emissions</t>
  </si>
  <si>
    <t>Raw mill and kiln</t>
  </si>
  <si>
    <t>Coal mill</t>
  </si>
  <si>
    <t xml:space="preserve">Slag preparation </t>
  </si>
  <si>
    <t>Slag preparation</t>
  </si>
  <si>
    <t>Clinker grinding</t>
  </si>
  <si>
    <t>Incremental</t>
  </si>
  <si>
    <t>Dust from kiln</t>
  </si>
  <si>
    <t>Total</t>
  </si>
  <si>
    <t>Total 2008 - 2012</t>
  </si>
  <si>
    <t>[tCO2]</t>
  </si>
  <si>
    <t>tCO2</t>
  </si>
  <si>
    <t>BASELINE</t>
  </si>
  <si>
    <t>wet capacity</t>
  </si>
  <si>
    <t>t clinker/year</t>
  </si>
  <si>
    <t>capacity incremental</t>
  </si>
  <si>
    <t>clinker total</t>
  </si>
  <si>
    <t>t</t>
  </si>
  <si>
    <t>kJ/kg</t>
  </si>
  <si>
    <t>BKE wet</t>
  </si>
  <si>
    <t>GJ/t clnk</t>
  </si>
  <si>
    <t>EF fuel</t>
  </si>
  <si>
    <t>tCO2/GJ</t>
  </si>
  <si>
    <t>BE kiln wet</t>
  </si>
  <si>
    <t>GJ/ton coal</t>
  </si>
  <si>
    <t>kWh/t clnk</t>
  </si>
  <si>
    <t>BE calc</t>
  </si>
  <si>
    <t>EF el</t>
  </si>
  <si>
    <t>tCO2/MWh</t>
  </si>
  <si>
    <t>BE rm</t>
  </si>
  <si>
    <t>ELSP coalmill</t>
  </si>
  <si>
    <t>kWh/t coal</t>
  </si>
  <si>
    <t>coal NCV</t>
  </si>
  <si>
    <t>GJ/t coal</t>
  </si>
  <si>
    <t>FC coal wet</t>
  </si>
  <si>
    <t>BE coal el wet</t>
  </si>
  <si>
    <t>FSP coalmill</t>
  </si>
  <si>
    <t>BE coalfuel wet</t>
  </si>
  <si>
    <t>BE coalmil</t>
  </si>
  <si>
    <t>5_1</t>
  </si>
  <si>
    <t>Spec EL incr_slag</t>
  </si>
  <si>
    <t>kWh/t slag</t>
  </si>
  <si>
    <t>5_2</t>
  </si>
  <si>
    <t>Spec FC incr_slag</t>
  </si>
  <si>
    <t>GJ/t slag</t>
  </si>
  <si>
    <t>BE slag</t>
  </si>
  <si>
    <t>kWh/t cem</t>
  </si>
  <si>
    <t>BE clnk grind</t>
  </si>
  <si>
    <t>clinker factor</t>
  </si>
  <si>
    <t>cement incremental</t>
  </si>
  <si>
    <t>t cement</t>
  </si>
  <si>
    <t>BEF incr</t>
  </si>
  <si>
    <t>tCO2/t cem</t>
  </si>
  <si>
    <t>BE incr</t>
  </si>
  <si>
    <t>Total BE</t>
  </si>
  <si>
    <t>PROJECT</t>
  </si>
  <si>
    <t>capacity semi-dry</t>
  </si>
  <si>
    <t>PKE wet</t>
  </si>
  <si>
    <t>PKE s-dry</t>
  </si>
  <si>
    <t>PE kiln wet</t>
  </si>
  <si>
    <t>PE kiln s-dry</t>
  </si>
  <si>
    <t>PE calc</t>
  </si>
  <si>
    <t>PELrm&amp;kiln</t>
  </si>
  <si>
    <t>PErm&amp;kiln</t>
  </si>
  <si>
    <t>FC coal</t>
  </si>
  <si>
    <t>PE coal mill el</t>
  </si>
  <si>
    <t>PE coalmill fuel</t>
  </si>
  <si>
    <t>PE coalmil</t>
  </si>
  <si>
    <t>Spec EL slag</t>
  </si>
  <si>
    <t>Spec FC slag drying</t>
  </si>
  <si>
    <t xml:space="preserve">raw material </t>
  </si>
  <si>
    <t>PE slag</t>
  </si>
  <si>
    <t>ELSP clink grind</t>
  </si>
  <si>
    <t>kWh/t cement</t>
  </si>
  <si>
    <t>PE clnk grind</t>
  </si>
  <si>
    <t>PEdust</t>
  </si>
  <si>
    <t>5 years</t>
  </si>
  <si>
    <t>Total PE</t>
  </si>
  <si>
    <t>tCO2/t clink</t>
  </si>
  <si>
    <t>4% clinker</t>
  </si>
  <si>
    <t>15% clinker</t>
  </si>
  <si>
    <t>BELwet rm&amp;kiln</t>
  </si>
  <si>
    <t xml:space="preserve"> kcal/kg</t>
  </si>
  <si>
    <t>Raw Coal Net CV (LCV)</t>
  </si>
  <si>
    <t>Latent heat water</t>
  </si>
  <si>
    <t>kg water/ton of coal</t>
  </si>
  <si>
    <t>%</t>
  </si>
  <si>
    <t>Water content in coal</t>
  </si>
  <si>
    <t>Moisture of coal</t>
  </si>
  <si>
    <t>Heat required to dry coal</t>
  </si>
  <si>
    <t>average 2004-2006</t>
  </si>
  <si>
    <t>GJ/t clinker</t>
  </si>
  <si>
    <t>year</t>
  </si>
  <si>
    <t>Baseline Kiln Efficiency for wet kilns (BKEwet)</t>
  </si>
  <si>
    <t>Project leakage</t>
  </si>
  <si>
    <t>Leakage from slag transportation</t>
  </si>
  <si>
    <t>Leakage from transportation of slag</t>
  </si>
  <si>
    <t>tonnes</t>
  </si>
  <si>
    <t>Avarage slag tranportation distance</t>
  </si>
  <si>
    <t>km</t>
  </si>
  <si>
    <t>Specific consumption of electricity at Ukrainian railroad system</t>
  </si>
  <si>
    <t>kWh*10000 t*km</t>
  </si>
  <si>
    <t>EF of Ukrainian grid</t>
  </si>
  <si>
    <t>Leakage emissions due transportation of slag</t>
  </si>
  <si>
    <t>raw material</t>
  </si>
  <si>
    <t>slag ammount</t>
  </si>
  <si>
    <t>Raw material to clinker ratio</t>
  </si>
  <si>
    <t>slag ammount increase</t>
  </si>
  <si>
    <t>Additional annual volume of slag to be transported to site (increase from4% to 15% of slag)</t>
  </si>
  <si>
    <t>ER no leakage</t>
  </si>
  <si>
    <t>The sum of PE and leakage</t>
  </si>
  <si>
    <t>Leakage</t>
  </si>
  <si>
    <t>Emission reductions</t>
  </si>
  <si>
    <t>See SD 7 for BKE data</t>
  </si>
  <si>
    <t>tCO2/y</t>
  </si>
  <si>
    <t>Values will be monitored each year during crediting period</t>
  </si>
  <si>
    <t>Specific heat to dry coal</t>
  </si>
  <si>
    <t>Year</t>
  </si>
  <si>
    <r>
      <t xml:space="preserve">Estimated </t>
    </r>
    <r>
      <rPr>
        <u val="single"/>
        <sz val="10"/>
        <rFont val="Times New Roman"/>
        <family val="1"/>
      </rPr>
      <t>project</t>
    </r>
    <r>
      <rPr>
        <sz val="10"/>
        <rFont val="Times New Roman"/>
        <family val="1"/>
      </rPr>
      <t xml:space="preserve"> emissions</t>
    </r>
  </si>
  <si>
    <t>(tonnes of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</si>
  <si>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equ.)</t>
    </r>
  </si>
  <si>
    <r>
      <t xml:space="preserve">Estimated </t>
    </r>
    <r>
      <rPr>
        <u val="single"/>
        <sz val="10"/>
        <rFont val="Times New Roman"/>
        <family val="1"/>
      </rPr>
      <t>leakage</t>
    </r>
  </si>
  <si>
    <r>
      <t xml:space="preserve">Estimated </t>
    </r>
    <r>
      <rPr>
        <u val="single"/>
        <sz val="10"/>
        <rFont val="Times New Roman"/>
        <family val="1"/>
      </rPr>
      <t>baseline</t>
    </r>
    <r>
      <rPr>
        <sz val="10"/>
        <rFont val="Times New Roman"/>
        <family val="1"/>
      </rPr>
      <t xml:space="preserve"> emissions</t>
    </r>
  </si>
  <si>
    <t>Estimated emission reductions</t>
  </si>
  <si>
    <t>Year 2008</t>
  </si>
  <si>
    <t>Year 2009</t>
  </si>
  <si>
    <t>Year 2010</t>
  </si>
  <si>
    <t>Year 2011</t>
  </si>
  <si>
    <t>Year 2012</t>
  </si>
  <si>
    <r>
      <t>(tonnes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equ.)</t>
    </r>
  </si>
  <si>
    <t>Estimated emission reductions (tonnes of CO2 equ.) during 2013</t>
  </si>
  <si>
    <t>Estimated emission reductions (tonnes of CO2 equ.) during 2014</t>
  </si>
  <si>
    <t>Estimated emission reductions (tonnes of CO2 equ.) during 2015</t>
  </si>
  <si>
    <t>Estimated emission reductions (tonnes of CO2 equ.) during 2016</t>
  </si>
  <si>
    <t>Estimated emission reductions (tonnes of CO2 equ.) during 2017</t>
  </si>
  <si>
    <t>Estimated emission reductions (tonnes of CO2 equ.) during 2018</t>
  </si>
  <si>
    <t>Estimated emission reductions (tonnes of CO2 equ.) during 2019</t>
  </si>
  <si>
    <t>Estimated emission reductions (tonnes of CO2 equ.) during 2020</t>
  </si>
  <si>
    <t>Total emission reductions (tonnes of CO2 equ.) during 2013-2020</t>
  </si>
  <si>
    <t>PE kiln fuel</t>
  </si>
  <si>
    <t>wet CAP</t>
  </si>
  <si>
    <t>s-dry</t>
  </si>
  <si>
    <t>clinker production</t>
  </si>
  <si>
    <t>t clnk</t>
  </si>
  <si>
    <t>RM consumption</t>
  </si>
  <si>
    <t>slag addition</t>
  </si>
  <si>
    <t>non-carbonated CaO content in clinker</t>
  </si>
  <si>
    <t>non-carbonated MgO content in clinker</t>
  </si>
  <si>
    <t>non-carbonated CaO content in raw mill*</t>
  </si>
  <si>
    <t>non-carbonated MgO content in raw mill*</t>
  </si>
  <si>
    <t>calcination emission</t>
  </si>
  <si>
    <t>CaO</t>
  </si>
  <si>
    <t>MgO</t>
  </si>
  <si>
    <t>clinker %</t>
  </si>
  <si>
    <t>raw meal %</t>
  </si>
  <si>
    <t>t CaO/t clnk</t>
  </si>
  <si>
    <t>t MgO/t clnk</t>
  </si>
  <si>
    <t>t CaO/t RM</t>
  </si>
  <si>
    <t>t MgO/t RM</t>
  </si>
  <si>
    <t>CaO clnk Bsl</t>
  </si>
  <si>
    <t>MgO clnk Bsl</t>
  </si>
  <si>
    <t>average CaO % in clinker</t>
  </si>
  <si>
    <t>average MgO % in clinker</t>
  </si>
  <si>
    <t>Calcination emission in baseline</t>
  </si>
  <si>
    <t>tCO2 per t clnk</t>
  </si>
  <si>
    <t>Where:</t>
  </si>
  <si>
    <t>is the stoichiometric emission factor for CaO (tCO2/tCaO)</t>
  </si>
  <si>
    <t>is the stoichiometric emission factor for MgO(tCO2/tMgO)</t>
  </si>
  <si>
    <r>
      <t xml:space="preserve">CaO </t>
    </r>
    <r>
      <rPr>
        <vertAlign val="subscript"/>
        <sz val="11"/>
        <rFont val="Times New Roman"/>
        <family val="1"/>
      </rPr>
      <t>CLNK_PR_wet,y</t>
    </r>
  </si>
  <si>
    <r>
      <t xml:space="preserve">CaO </t>
    </r>
    <r>
      <rPr>
        <vertAlign val="subscript"/>
        <sz val="11"/>
        <rFont val="Times New Roman"/>
        <family val="1"/>
      </rPr>
      <t>RM_PR_wet,y</t>
    </r>
  </si>
  <si>
    <t>is the non-carbonate CaO content in raw meal  in year y (tonnes of CaO/ton of raw meal)</t>
  </si>
  <si>
    <r>
      <t>MgO</t>
    </r>
    <r>
      <rPr>
        <vertAlign val="subscript"/>
        <sz val="11"/>
        <rFont val="Times New Roman"/>
        <family val="1"/>
      </rPr>
      <t>CLNK_PR_wet,y</t>
    </r>
  </si>
  <si>
    <t>is the MgO content in clinker  in year y (tonnes of MgO/ton of clinker)</t>
  </si>
  <si>
    <r>
      <t xml:space="preserve">MgO </t>
    </r>
    <r>
      <rPr>
        <vertAlign val="subscript"/>
        <sz val="11"/>
        <rFont val="Times New Roman"/>
        <family val="1"/>
      </rPr>
      <t>RM_PR_wet,y</t>
    </r>
  </si>
  <si>
    <t>is the non-carbonate MgO content in raw meal  in year y (tonnes of MgO/ton of raw meal)</t>
  </si>
  <si>
    <r>
      <t>CLNK</t>
    </r>
    <r>
      <rPr>
        <vertAlign val="subscript"/>
        <sz val="11"/>
        <rFont val="Times New Roman"/>
        <family val="1"/>
      </rPr>
      <t>BLwet,y</t>
    </r>
  </si>
  <si>
    <t>is the clinker production on wet kilns in baseline scenario in year y (tonnes)</t>
  </si>
  <si>
    <r>
      <t>RM</t>
    </r>
    <r>
      <rPr>
        <vertAlign val="subscript"/>
        <sz val="11"/>
        <rFont val="Times New Roman"/>
        <family val="1"/>
      </rPr>
      <t>wet,y</t>
    </r>
  </si>
  <si>
    <t>is the consumption of raw meal by wet kilns in baseline scenario in year y (tonnes). It is calculated the following way:</t>
  </si>
  <si>
    <r>
      <t>RATIO</t>
    </r>
    <r>
      <rPr>
        <vertAlign val="subscript"/>
        <sz val="11"/>
        <rFont val="Times New Roman"/>
        <family val="1"/>
      </rPr>
      <t>RM/CLNK_wet,y</t>
    </r>
  </si>
  <si>
    <t>is the ratio between raw meal consumed to clinker produced by wet kilns measured in project scenario in year y</t>
  </si>
  <si>
    <t>is the CaO content in clinker produced by wet kilns in year y (tonnes of CaO/ton of clinker)</t>
  </si>
  <si>
    <t>no slag addition</t>
  </si>
  <si>
    <t xml:space="preserve">Calcination emission resulting table </t>
  </si>
  <si>
    <t>estimated ex-ante</t>
  </si>
  <si>
    <t>baseline</t>
  </si>
  <si>
    <t>default IPCC factor</t>
  </si>
  <si>
    <t>n/a</t>
  </si>
  <si>
    <t>Baseline non carbonated CaO and MgO content in clinker and raw meal</t>
  </si>
  <si>
    <t>average n/carb CaO % in RM</t>
  </si>
  <si>
    <t>average n/carb MgO % in RM</t>
  </si>
  <si>
    <t>n/carb CaO RM Bsl</t>
  </si>
  <si>
    <t>n/carb MgO RM Bsl</t>
  </si>
  <si>
    <t>annual average</t>
  </si>
  <si>
    <t>ER Volyncement for PDD rev4.0 dated 18.02.2010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</si>
</sst>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0"/>
    <numFmt numFmtId="165" formatCode="0.0"/>
    <numFmt numFmtId="166" formatCode="0.000"/>
    <numFmt numFmtId="167" formatCode="0.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justify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29" xfId="0" applyNumberFormat="1" applyFont="1" applyBorder="1" applyAlignment="1">
      <alignment/>
    </xf>
    <xf numFmtId="9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5" fillId="0" borderId="26" xfId="0" applyNumberFormat="1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20" borderId="30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right"/>
    </xf>
    <xf numFmtId="0" fontId="3" fillId="20" borderId="31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3" fontId="2" fillId="4" borderId="36" xfId="0" applyNumberFormat="1" applyFont="1" applyFill="1" applyBorder="1" applyAlignment="1">
      <alignment horizontal="center"/>
    </xf>
    <xf numFmtId="3" fontId="2" fillId="4" borderId="3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justify"/>
    </xf>
    <xf numFmtId="0" fontId="7" fillId="0" borderId="39" xfId="0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0" fontId="8" fillId="20" borderId="40" xfId="0" applyFont="1" applyFill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7" fillId="20" borderId="41" xfId="0" applyFont="1" applyFill="1" applyBorder="1" applyAlignment="1">
      <alignment horizontal="center" wrapText="1"/>
    </xf>
    <xf numFmtId="0" fontId="7" fillId="20" borderId="42" xfId="0" applyFont="1" applyFill="1" applyBorder="1" applyAlignment="1">
      <alignment horizontal="center" wrapText="1"/>
    </xf>
    <xf numFmtId="0" fontId="7" fillId="20" borderId="43" xfId="0" applyFont="1" applyFill="1" applyBorder="1" applyAlignment="1">
      <alignment horizontal="center" wrapText="1"/>
    </xf>
    <xf numFmtId="0" fontId="7" fillId="20" borderId="44" xfId="0" applyFont="1" applyFill="1" applyBorder="1" applyAlignment="1">
      <alignment horizontal="center" wrapText="1"/>
    </xf>
    <xf numFmtId="0" fontId="7" fillId="20" borderId="45" xfId="0" applyFont="1" applyFill="1" applyBorder="1" applyAlignment="1">
      <alignment horizontal="center" wrapText="1"/>
    </xf>
    <xf numFmtId="0" fontId="7" fillId="20" borderId="46" xfId="0" applyFont="1" applyFill="1" applyBorder="1" applyAlignment="1">
      <alignment horizontal="center" wrapText="1"/>
    </xf>
    <xf numFmtId="0" fontId="7" fillId="20" borderId="43" xfId="0" applyFont="1" applyFill="1" applyBorder="1" applyAlignment="1">
      <alignment horizontal="justify" vertical="top" wrapText="1"/>
    </xf>
    <xf numFmtId="3" fontId="7" fillId="20" borderId="43" xfId="0" applyNumberFormat="1" applyFont="1" applyFill="1" applyBorder="1" applyAlignment="1">
      <alignment horizontal="center" wrapText="1"/>
    </xf>
    <xf numFmtId="3" fontId="7" fillId="20" borderId="46" xfId="0" applyNumberFormat="1" applyFont="1" applyFill="1" applyBorder="1" applyAlignment="1">
      <alignment horizontal="center" wrapText="1"/>
    </xf>
    <xf numFmtId="3" fontId="7" fillId="20" borderId="43" xfId="0" applyNumberFormat="1" applyFont="1" applyFill="1" applyBorder="1" applyAlignment="1">
      <alignment horizontal="center" vertical="top" wrapText="1"/>
    </xf>
    <xf numFmtId="0" fontId="7" fillId="20" borderId="42" xfId="0" applyFont="1" applyFill="1" applyBorder="1" applyAlignment="1">
      <alignment horizontal="justify" vertical="top" wrapText="1"/>
    </xf>
    <xf numFmtId="3" fontId="2" fillId="20" borderId="47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3" fontId="2" fillId="4" borderId="20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4" fontId="0" fillId="0" borderId="51" xfId="0" applyNumberFormat="1" applyBorder="1" applyAlignment="1">
      <alignment/>
    </xf>
    <xf numFmtId="10" fontId="0" fillId="0" borderId="51" xfId="0" applyNumberForma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0" fillId="0" borderId="0" xfId="0" applyNumberFormat="1" applyAlignment="1">
      <alignment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167" fontId="0" fillId="0" borderId="51" xfId="0" applyNumberFormat="1" applyBorder="1" applyAlignment="1">
      <alignment/>
    </xf>
    <xf numFmtId="164" fontId="0" fillId="0" borderId="51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3" fillId="0" borderId="0" xfId="0" applyFont="1" applyFill="1" applyBorder="1" applyAlignment="1">
      <alignment horizontal="right"/>
    </xf>
    <xf numFmtId="3" fontId="7" fillId="20" borderId="45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7" fillId="20" borderId="44" xfId="0" applyFont="1" applyFill="1" applyBorder="1" applyAlignment="1">
      <alignment horizontal="center" wrapText="1"/>
    </xf>
    <xf numFmtId="0" fontId="7" fillId="20" borderId="45" xfId="0" applyFont="1" applyFill="1" applyBorder="1" applyAlignment="1">
      <alignment horizontal="center" wrapText="1"/>
    </xf>
    <xf numFmtId="0" fontId="7" fillId="20" borderId="46" xfId="0" applyFont="1" applyFill="1" applyBorder="1" applyAlignment="1">
      <alignment horizontal="center" wrapText="1"/>
    </xf>
    <xf numFmtId="3" fontId="7" fillId="20" borderId="44" xfId="0" applyNumberFormat="1" applyFont="1" applyFill="1" applyBorder="1" applyAlignment="1">
      <alignment horizontal="center" wrapText="1"/>
    </xf>
    <xf numFmtId="3" fontId="7" fillId="20" borderId="46" xfId="0" applyNumberFormat="1" applyFont="1" applyFill="1" applyBorder="1" applyAlignment="1">
      <alignment horizontal="center" wrapText="1"/>
    </xf>
    <xf numFmtId="3" fontId="7" fillId="20" borderId="41" xfId="0" applyNumberFormat="1" applyFont="1" applyFill="1" applyBorder="1" applyAlignment="1">
      <alignment horizontal="center" wrapText="1"/>
    </xf>
    <xf numFmtId="3" fontId="7" fillId="20" borderId="43" xfId="0" applyNumberFormat="1" applyFont="1" applyFill="1" applyBorder="1" applyAlignment="1">
      <alignment horizontal="center" wrapText="1"/>
    </xf>
    <xf numFmtId="0" fontId="3" fillId="20" borderId="54" xfId="0" applyFont="1" applyFill="1" applyBorder="1" applyAlignment="1">
      <alignment horizontal="justify"/>
    </xf>
    <xf numFmtId="0" fontId="3" fillId="20" borderId="30" xfId="0" applyFont="1" applyFill="1" applyBorder="1" applyAlignment="1">
      <alignment horizontal="justify"/>
    </xf>
    <xf numFmtId="3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0" fontId="8" fillId="20" borderId="56" xfId="0" applyFont="1" applyFill="1" applyBorder="1" applyAlignment="1">
      <alignment horizontal="justify"/>
    </xf>
    <xf numFmtId="0" fontId="0" fillId="20" borderId="40" xfId="0" applyFill="1" applyBorder="1" applyAlignment="1">
      <alignment/>
    </xf>
    <xf numFmtId="3" fontId="7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2" fillId="20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20" borderId="6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20" borderId="54" xfId="0" applyFont="1" applyFill="1" applyBorder="1" applyAlignment="1">
      <alignment/>
    </xf>
    <xf numFmtId="0" fontId="0" fillId="0" borderId="64" xfId="0" applyBorder="1" applyAlignment="1">
      <alignment/>
    </xf>
    <xf numFmtId="3" fontId="7" fillId="20" borderId="65" xfId="0" applyNumberFormat="1" applyFont="1" applyFill="1" applyBorder="1" applyAlignment="1">
      <alignment horizontal="center" wrapText="1"/>
    </xf>
    <xf numFmtId="3" fontId="7" fillId="20" borderId="3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yckerhoff\Dyckerhoff%20Volyn%20calc%20111207re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yckerhoff figures"/>
      <sheetName val="Summary"/>
      <sheetName val="Volyn fuel saving"/>
      <sheetName val="Volyn"/>
      <sheetName val="ER Volyn"/>
      <sheetName val="Yug"/>
    </sheetNames>
    <sheetDataSet>
      <sheetData sheetId="0">
        <row r="19">
          <cell r="C19">
            <v>3.6493892000000003</v>
          </cell>
        </row>
        <row r="20">
          <cell r="C20">
            <v>3.4835840000000005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A2" sqref="A2:B2"/>
    </sheetView>
  </sheetViews>
  <sheetFormatPr defaultColWidth="9.125" defaultRowHeight="12.75"/>
  <cols>
    <col min="1" max="1" width="4.125" style="1" customWidth="1"/>
    <col min="2" max="2" width="19.00390625" style="1" customWidth="1"/>
    <col min="3" max="10" width="9.125" style="1" customWidth="1"/>
    <col min="11" max="11" width="13.00390625" style="1" customWidth="1"/>
    <col min="12" max="12" width="6.375" style="1" customWidth="1"/>
    <col min="13" max="13" width="15.00390625" style="1" customWidth="1"/>
    <col min="14" max="18" width="9.125" style="1" customWidth="1"/>
    <col min="19" max="19" width="10.125" style="1" customWidth="1"/>
    <col min="20" max="16384" width="9.125" style="1" customWidth="1"/>
  </cols>
  <sheetData>
    <row r="1" ht="10.5" thickBot="1">
      <c r="A1" s="1" t="s">
        <v>199</v>
      </c>
    </row>
    <row r="2" spans="1:21" ht="9.75">
      <c r="A2" s="174" t="s">
        <v>0</v>
      </c>
      <c r="B2" s="175"/>
      <c r="C2" s="64"/>
      <c r="D2" s="65">
        <v>2008</v>
      </c>
      <c r="E2" s="65">
        <v>2009</v>
      </c>
      <c r="F2" s="65">
        <v>2010</v>
      </c>
      <c r="G2" s="65">
        <v>2011</v>
      </c>
      <c r="H2" s="66">
        <v>2012</v>
      </c>
      <c r="I2" s="159"/>
      <c r="J2" s="159"/>
      <c r="L2" s="174" t="s">
        <v>1</v>
      </c>
      <c r="M2" s="175"/>
      <c r="N2" s="64"/>
      <c r="O2" s="65">
        <v>2008</v>
      </c>
      <c r="P2" s="65">
        <v>2009</v>
      </c>
      <c r="Q2" s="65">
        <v>2010</v>
      </c>
      <c r="R2" s="65">
        <v>2011</v>
      </c>
      <c r="S2" s="66">
        <v>2012</v>
      </c>
      <c r="U2" s="1" t="s">
        <v>2</v>
      </c>
    </row>
    <row r="3" spans="1:21" ht="9.75">
      <c r="A3" s="2">
        <v>1</v>
      </c>
      <c r="B3" s="3" t="s">
        <v>3</v>
      </c>
      <c r="C3" s="4" t="s">
        <v>4</v>
      </c>
      <c r="D3" s="5">
        <f>D22</f>
        <v>420193.3633333334</v>
      </c>
      <c r="E3" s="5">
        <f>E22</f>
        <v>544570.5988800001</v>
      </c>
      <c r="F3" s="5">
        <f>F22</f>
        <v>415832.9567744001</v>
      </c>
      <c r="G3" s="5">
        <f>G22</f>
        <v>415832.9567744001</v>
      </c>
      <c r="H3" s="6">
        <f>H22</f>
        <v>919603.9806272001</v>
      </c>
      <c r="I3" s="120"/>
      <c r="J3" s="120"/>
      <c r="K3" s="7">
        <f>D10</f>
        <v>1166255.6029215686</v>
      </c>
      <c r="L3" s="2">
        <v>1</v>
      </c>
      <c r="M3" s="3" t="s">
        <v>3</v>
      </c>
      <c r="N3" s="4" t="s">
        <v>4</v>
      </c>
      <c r="O3" s="5">
        <f>D56</f>
        <v>420193.3633333334</v>
      </c>
      <c r="P3" s="5">
        <f aca="true" t="shared" si="0" ref="O3:S4">E56</f>
        <v>544570.5988800001</v>
      </c>
      <c r="Q3" s="5">
        <f t="shared" si="0"/>
        <v>415832.9567744001</v>
      </c>
      <c r="R3" s="5">
        <f t="shared" si="0"/>
        <v>415832.9567744001</v>
      </c>
      <c r="S3" s="8">
        <f t="shared" si="0"/>
        <v>708186.4735232001</v>
      </c>
      <c r="T3" s="7">
        <f>O10</f>
        <v>1166255.6029215686</v>
      </c>
      <c r="U3" s="7">
        <f aca="true" t="shared" si="1" ref="U3:U8">K3-T3</f>
        <v>0</v>
      </c>
    </row>
    <row r="4" spans="1:21" ht="12.75" customHeight="1">
      <c r="A4" s="9">
        <v>2</v>
      </c>
      <c r="B4" s="10" t="s">
        <v>5</v>
      </c>
      <c r="C4" s="11" t="s">
        <v>4</v>
      </c>
      <c r="D4" s="12">
        <f>D24</f>
        <v>626796.569</v>
      </c>
      <c r="E4" s="12">
        <f>E24</f>
        <v>812328.3534240001</v>
      </c>
      <c r="F4" s="12">
        <f>F24</f>
        <v>361837.12335232005</v>
      </c>
      <c r="G4" s="12">
        <f>G24</f>
        <v>361837.12335232005</v>
      </c>
      <c r="H4" s="6">
        <f>H24</f>
        <v>800193.5718481601</v>
      </c>
      <c r="I4" s="120"/>
      <c r="J4" s="120"/>
      <c r="K4" s="7">
        <f>E10</f>
        <v>1511467.261386353</v>
      </c>
      <c r="L4" s="9">
        <v>2</v>
      </c>
      <c r="M4" s="57" t="s">
        <v>5</v>
      </c>
      <c r="N4" s="11" t="s">
        <v>4</v>
      </c>
      <c r="O4" s="12">
        <f t="shared" si="0"/>
        <v>626796.569</v>
      </c>
      <c r="P4" s="12">
        <f t="shared" si="0"/>
        <v>812328.3534240001</v>
      </c>
      <c r="Q4" s="12">
        <f t="shared" si="0"/>
        <v>322014</v>
      </c>
      <c r="R4" s="12">
        <f t="shared" si="0"/>
        <v>322014</v>
      </c>
      <c r="S4" s="13">
        <f t="shared" si="0"/>
        <v>712125.75</v>
      </c>
      <c r="T4" s="7">
        <f>P10</f>
        <v>1511467.261386353</v>
      </c>
      <c r="U4" s="7">
        <f t="shared" si="1"/>
        <v>0</v>
      </c>
    </row>
    <row r="5" spans="1:21" ht="14.25" customHeight="1">
      <c r="A5" s="9">
        <v>3</v>
      </c>
      <c r="B5" s="10" t="s">
        <v>6</v>
      </c>
      <c r="C5" s="11" t="s">
        <v>4</v>
      </c>
      <c r="D5" s="12">
        <f>D26</f>
        <v>57848</v>
      </c>
      <c r="E5" s="12">
        <f>E26</f>
        <v>74971.008</v>
      </c>
      <c r="F5" s="12">
        <f>F26</f>
        <v>33394.49344</v>
      </c>
      <c r="G5" s="12">
        <f>G26</f>
        <v>33394.49344</v>
      </c>
      <c r="H5" s="6">
        <f>H26</f>
        <v>73851.07072</v>
      </c>
      <c r="I5" s="120"/>
      <c r="J5" s="120"/>
      <c r="K5" s="7">
        <f>F10</f>
        <v>852976.3886003032</v>
      </c>
      <c r="L5" s="9">
        <v>3</v>
      </c>
      <c r="M5" s="10" t="s">
        <v>6</v>
      </c>
      <c r="N5" s="11" t="s">
        <v>4</v>
      </c>
      <c r="O5" s="12">
        <f>D59</f>
        <v>57848</v>
      </c>
      <c r="P5" s="12">
        <f>E59</f>
        <v>74971.008</v>
      </c>
      <c r="Q5" s="12">
        <f>F59</f>
        <v>33394.49344</v>
      </c>
      <c r="R5" s="12">
        <f>G59</f>
        <v>33394.49344</v>
      </c>
      <c r="S5" s="13">
        <f>H59</f>
        <v>73851.07072</v>
      </c>
      <c r="T5" s="7">
        <f>Q10</f>
        <v>806410.3023276728</v>
      </c>
      <c r="U5" s="7">
        <f t="shared" si="1"/>
        <v>46566.086272630375</v>
      </c>
    </row>
    <row r="6" spans="1:21" ht="9.75">
      <c r="A6" s="9">
        <v>4</v>
      </c>
      <c r="B6" s="10" t="s">
        <v>7</v>
      </c>
      <c r="C6" s="11" t="s">
        <v>4</v>
      </c>
      <c r="D6" s="12">
        <f>D33</f>
        <v>0</v>
      </c>
      <c r="E6" s="12">
        <f>E33</f>
        <v>0</v>
      </c>
      <c r="F6" s="12">
        <f>F33</f>
        <v>5868.951116406562</v>
      </c>
      <c r="G6" s="12">
        <f>G33</f>
        <v>5868.951116406562</v>
      </c>
      <c r="H6" s="6">
        <f>H33</f>
        <v>12979.035742186239</v>
      </c>
      <c r="I6" s="120"/>
      <c r="J6" s="120"/>
      <c r="K6" s="7">
        <f>G10</f>
        <v>852976.3886003032</v>
      </c>
      <c r="L6" s="9">
        <v>4</v>
      </c>
      <c r="M6" s="10" t="s">
        <v>7</v>
      </c>
      <c r="N6" s="11" t="s">
        <v>4</v>
      </c>
      <c r="O6" s="12">
        <f>D67</f>
        <v>0</v>
      </c>
      <c r="P6" s="12">
        <f>E67</f>
        <v>0</v>
      </c>
      <c r="Q6" s="12">
        <f>F67</f>
        <v>2790.829901508015</v>
      </c>
      <c r="R6" s="12">
        <f>G67</f>
        <v>2790.829901508015</v>
      </c>
      <c r="S6" s="13">
        <f>H67</f>
        <v>4752.93733686511</v>
      </c>
      <c r="T6" s="7">
        <f>R10</f>
        <v>806410.3023276728</v>
      </c>
      <c r="U6" s="7">
        <f t="shared" si="1"/>
        <v>46566.086272630375</v>
      </c>
    </row>
    <row r="7" spans="1:21" ht="14.25" customHeight="1">
      <c r="A7" s="9">
        <v>5</v>
      </c>
      <c r="B7" s="10" t="s">
        <v>8</v>
      </c>
      <c r="C7" s="11" t="s">
        <v>4</v>
      </c>
      <c r="D7" s="12">
        <f>D38</f>
        <v>3441.2</v>
      </c>
      <c r="E7" s="12">
        <f>E38</f>
        <v>4459.7952000000005</v>
      </c>
      <c r="F7" s="12">
        <f>F38</f>
        <v>2574.2069760000004</v>
      </c>
      <c r="G7" s="12">
        <f>G38</f>
        <v>2574.2069760000004</v>
      </c>
      <c r="H7" s="6">
        <f>H38</f>
        <v>5692.793088</v>
      </c>
      <c r="I7" s="120"/>
      <c r="J7" s="120"/>
      <c r="K7" s="7">
        <f>H10</f>
        <v>1886335.5334373112</v>
      </c>
      <c r="L7" s="9">
        <v>5</v>
      </c>
      <c r="M7" s="10" t="s">
        <v>9</v>
      </c>
      <c r="N7" s="11" t="s">
        <v>4</v>
      </c>
      <c r="O7" s="12">
        <f>D72</f>
        <v>3441.2</v>
      </c>
      <c r="P7" s="12">
        <f>E72</f>
        <v>4459.7952000000005</v>
      </c>
      <c r="Q7" s="12">
        <f>F72</f>
        <v>8037.1808</v>
      </c>
      <c r="R7" s="12">
        <f>G72</f>
        <v>8037.1808</v>
      </c>
      <c r="S7" s="13">
        <f>H72</f>
        <v>17774.0204</v>
      </c>
      <c r="T7" s="7">
        <f>S10</f>
        <v>1570519.4020977123</v>
      </c>
      <c r="U7" s="7">
        <f t="shared" si="1"/>
        <v>315816.1313395989</v>
      </c>
    </row>
    <row r="8" spans="1:21" ht="14.25" customHeight="1">
      <c r="A8" s="9">
        <v>6</v>
      </c>
      <c r="B8" s="10" t="s">
        <v>10</v>
      </c>
      <c r="C8" s="11" t="s">
        <v>4</v>
      </c>
      <c r="D8" s="12">
        <f>D40</f>
        <v>57976.47058823529</v>
      </c>
      <c r="E8" s="12">
        <f>E40</f>
        <v>75137.50588235295</v>
      </c>
      <c r="F8" s="12">
        <f>F40</f>
        <v>33468.65694117648</v>
      </c>
      <c r="G8" s="12">
        <f>G40</f>
        <v>33468.65694117648</v>
      </c>
      <c r="H8" s="6">
        <f>H40</f>
        <v>74015.08141176471</v>
      </c>
      <c r="I8" s="120"/>
      <c r="J8" s="120"/>
      <c r="K8" s="7">
        <f>D11</f>
        <v>6270011.174945839</v>
      </c>
      <c r="L8" s="9">
        <v>6</v>
      </c>
      <c r="M8" s="10" t="s">
        <v>10</v>
      </c>
      <c r="N8" s="11" t="s">
        <v>4</v>
      </c>
      <c r="O8" s="12">
        <f>D74</f>
        <v>57976.47058823529</v>
      </c>
      <c r="P8" s="12">
        <f>E74</f>
        <v>75137.50588235295</v>
      </c>
      <c r="Q8" s="12">
        <f>F74</f>
        <v>24340.841411764708</v>
      </c>
      <c r="R8" s="12">
        <f>G74</f>
        <v>24340.841411764708</v>
      </c>
      <c r="S8" s="13">
        <f>H74</f>
        <v>53829.15011764706</v>
      </c>
      <c r="T8" s="7">
        <f>O11</f>
        <v>5861062.87106098</v>
      </c>
      <c r="U8" s="7">
        <f t="shared" si="1"/>
        <v>408948.3038848592</v>
      </c>
    </row>
    <row r="9" spans="1:19" ht="14.25" customHeight="1">
      <c r="A9" s="9">
        <v>7</v>
      </c>
      <c r="B9" s="10" t="s">
        <v>11</v>
      </c>
      <c r="C9" s="11" t="s">
        <v>4</v>
      </c>
      <c r="D9" s="12">
        <f>D44</f>
        <v>0</v>
      </c>
      <c r="E9" s="12">
        <f>E44</f>
        <v>0</v>
      </c>
      <c r="F9" s="12">
        <f>F44</f>
        <v>0</v>
      </c>
      <c r="G9" s="12">
        <f>G44</f>
        <v>0</v>
      </c>
      <c r="H9" s="6">
        <f>H44</f>
        <v>0</v>
      </c>
      <c r="I9" s="120"/>
      <c r="J9" s="120"/>
      <c r="L9" s="9">
        <v>7</v>
      </c>
      <c r="M9" s="10" t="s">
        <v>12</v>
      </c>
      <c r="N9" s="11" t="s">
        <v>4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</row>
    <row r="10" spans="1:19" ht="9.75">
      <c r="A10" s="9">
        <v>8</v>
      </c>
      <c r="B10" s="10" t="s">
        <v>13</v>
      </c>
      <c r="C10" s="11" t="s">
        <v>4</v>
      </c>
      <c r="D10" s="14">
        <f>SUM(D3:D9)</f>
        <v>1166255.6029215686</v>
      </c>
      <c r="E10" s="14">
        <f>SUM(E3:E9)</f>
        <v>1511467.261386353</v>
      </c>
      <c r="F10" s="14">
        <f>SUM(F3:F9)</f>
        <v>852976.3886003032</v>
      </c>
      <c r="G10" s="14">
        <f>SUM(G3:G9)</f>
        <v>852976.3886003032</v>
      </c>
      <c r="H10" s="15">
        <f>SUM(H3:H9)</f>
        <v>1886335.5334373112</v>
      </c>
      <c r="I10" s="120"/>
      <c r="J10" s="120"/>
      <c r="L10" s="9">
        <v>8</v>
      </c>
      <c r="M10" s="10" t="s">
        <v>13</v>
      </c>
      <c r="N10" s="11" t="s">
        <v>4</v>
      </c>
      <c r="O10" s="14">
        <f>SUM(O3:O9)</f>
        <v>1166255.6029215686</v>
      </c>
      <c r="P10" s="14">
        <f>SUM(P3:P9)</f>
        <v>1511467.261386353</v>
      </c>
      <c r="Q10" s="14">
        <f>SUM(Q3:Q9)</f>
        <v>806410.3023276728</v>
      </c>
      <c r="R10" s="14">
        <f>SUM(R3:R9)</f>
        <v>806410.3023276728</v>
      </c>
      <c r="S10" s="16">
        <f>SUM(S3:S9)</f>
        <v>1570519.4020977123</v>
      </c>
    </row>
    <row r="11" spans="1:21" ht="14.25" customHeight="1" thickBot="1">
      <c r="A11" s="17">
        <v>9</v>
      </c>
      <c r="B11" s="18" t="s">
        <v>14</v>
      </c>
      <c r="C11" s="19" t="s">
        <v>15</v>
      </c>
      <c r="D11" s="176">
        <f>SUM(D10:H10)</f>
        <v>6270011.174945839</v>
      </c>
      <c r="E11" s="177"/>
      <c r="F11" s="177"/>
      <c r="G11" s="177"/>
      <c r="H11" s="178"/>
      <c r="I11" s="20"/>
      <c r="J11" s="20"/>
      <c r="L11" s="17">
        <v>9</v>
      </c>
      <c r="M11" s="18" t="s">
        <v>14</v>
      </c>
      <c r="N11" s="19" t="s">
        <v>15</v>
      </c>
      <c r="O11" s="176">
        <f>SUM(O10:S10)</f>
        <v>5861062.87106098</v>
      </c>
      <c r="P11" s="176"/>
      <c r="Q11" s="176"/>
      <c r="R11" s="176"/>
      <c r="S11" s="179"/>
      <c r="U11" s="7"/>
    </row>
    <row r="12" ht="9.75">
      <c r="U12" s="7"/>
    </row>
    <row r="13" spans="13:21" ht="9.75">
      <c r="M13" s="7"/>
      <c r="N13" s="20"/>
      <c r="O13" s="7"/>
      <c r="P13" s="7"/>
      <c r="Q13" s="7"/>
      <c r="R13" s="7"/>
      <c r="S13" s="7"/>
      <c r="T13" s="21"/>
      <c r="U13" s="7"/>
    </row>
    <row r="15" spans="2:10" ht="10.5" thickBot="1">
      <c r="B15" s="22" t="s">
        <v>17</v>
      </c>
      <c r="D15" s="22">
        <v>2008</v>
      </c>
      <c r="E15" s="22">
        <v>2009</v>
      </c>
      <c r="F15" s="22">
        <v>2010</v>
      </c>
      <c r="G15" s="22">
        <v>2011</v>
      </c>
      <c r="H15" s="22">
        <v>2012</v>
      </c>
      <c r="I15" s="22">
        <v>2013</v>
      </c>
      <c r="J15" s="22">
        <v>2014</v>
      </c>
    </row>
    <row r="16" spans="2:10" ht="10.5" thickBot="1">
      <c r="B16" s="22" t="s">
        <v>18</v>
      </c>
      <c r="D16" s="74">
        <f>1250000</f>
        <v>1250000</v>
      </c>
      <c r="E16" s="74">
        <f aca="true" t="shared" si="2" ref="E16:J16">1620000</f>
        <v>1620000</v>
      </c>
      <c r="F16" s="74">
        <f t="shared" si="2"/>
        <v>1620000</v>
      </c>
      <c r="G16" s="74">
        <f t="shared" si="2"/>
        <v>1620000</v>
      </c>
      <c r="H16" s="74">
        <f t="shared" si="2"/>
        <v>1620000</v>
      </c>
      <c r="I16" s="74">
        <f t="shared" si="2"/>
        <v>1620000</v>
      </c>
      <c r="J16" s="74">
        <f t="shared" si="2"/>
        <v>1620000</v>
      </c>
    </row>
    <row r="17" spans="2:19" ht="10.5" thickBot="1">
      <c r="B17" s="72" t="s">
        <v>18</v>
      </c>
      <c r="C17" s="73" t="s">
        <v>19</v>
      </c>
      <c r="D17" s="74">
        <f>IF(D16&gt;=D19,D19,1620000)</f>
        <v>1250000</v>
      </c>
      <c r="E17" s="74">
        <f aca="true" t="shared" si="3" ref="E17:J17">IF(E16&gt;=E19,E19,1620000)</f>
        <v>1620000</v>
      </c>
      <c r="F17" s="74">
        <f t="shared" si="3"/>
        <v>721600</v>
      </c>
      <c r="G17" s="74">
        <f t="shared" si="3"/>
        <v>721600</v>
      </c>
      <c r="H17" s="74">
        <f t="shared" si="3"/>
        <v>1595800</v>
      </c>
      <c r="I17" s="74">
        <f t="shared" si="3"/>
        <v>1620000</v>
      </c>
      <c r="J17" s="74">
        <f t="shared" si="3"/>
        <v>1620000</v>
      </c>
      <c r="R17" s="23"/>
      <c r="S17" s="24"/>
    </row>
    <row r="18" spans="2:19" ht="9.75">
      <c r="B18" s="87" t="s">
        <v>20</v>
      </c>
      <c r="C18" s="88" t="s">
        <v>19</v>
      </c>
      <c r="D18" s="89">
        <f aca="true" t="shared" si="4" ref="D18:J18">IF(D19-$K46&gt;0,D19-$K46,0)</f>
        <v>0</v>
      </c>
      <c r="E18" s="89">
        <f t="shared" si="4"/>
        <v>0</v>
      </c>
      <c r="F18" s="89">
        <f t="shared" si="4"/>
        <v>0</v>
      </c>
      <c r="G18" s="89">
        <f t="shared" si="4"/>
        <v>0</v>
      </c>
      <c r="H18" s="89">
        <f t="shared" si="4"/>
        <v>0</v>
      </c>
      <c r="I18" s="89">
        <f t="shared" si="4"/>
        <v>850000</v>
      </c>
      <c r="J18" s="89">
        <f t="shared" si="4"/>
        <v>850000</v>
      </c>
      <c r="L18" s="174" t="s">
        <v>99</v>
      </c>
      <c r="M18" s="175"/>
      <c r="N18" s="64"/>
      <c r="O18" s="65">
        <v>2008</v>
      </c>
      <c r="P18" s="65">
        <v>2009</v>
      </c>
      <c r="Q18" s="65">
        <v>2010</v>
      </c>
      <c r="R18" s="65">
        <v>2011</v>
      </c>
      <c r="S18" s="66">
        <v>2012</v>
      </c>
    </row>
    <row r="19" spans="2:19" ht="20.25">
      <c r="B19" s="76" t="s">
        <v>21</v>
      </c>
      <c r="C19" s="67" t="s">
        <v>22</v>
      </c>
      <c r="D19" s="68">
        <f aca="true" t="shared" si="5" ref="D19:J19">D50</f>
        <v>1250000</v>
      </c>
      <c r="E19" s="68">
        <f t="shared" si="5"/>
        <v>1620000</v>
      </c>
      <c r="F19" s="68">
        <f t="shared" si="5"/>
        <v>721600</v>
      </c>
      <c r="G19" s="68">
        <f t="shared" si="5"/>
        <v>721600</v>
      </c>
      <c r="H19" s="77">
        <f t="shared" si="5"/>
        <v>1595800</v>
      </c>
      <c r="I19" s="77">
        <f t="shared" si="5"/>
        <v>2470000</v>
      </c>
      <c r="J19" s="77">
        <f t="shared" si="5"/>
        <v>2470000</v>
      </c>
      <c r="L19" s="2">
        <v>1</v>
      </c>
      <c r="M19" s="3" t="s">
        <v>100</v>
      </c>
      <c r="N19" s="4" t="s">
        <v>4</v>
      </c>
      <c r="O19" s="5">
        <f>D71</f>
        <v>0</v>
      </c>
      <c r="P19" s="5">
        <f>E71</f>
        <v>0</v>
      </c>
      <c r="Q19" s="5">
        <f>'leakage from slag transport'!C8</f>
        <v>471.53154048000005</v>
      </c>
      <c r="R19" s="5">
        <f>'leakage from slag transport'!D8</f>
        <v>471.53154048000005</v>
      </c>
      <c r="S19" s="8">
        <f>'leakage from slag transport'!E8</f>
        <v>1042.77997824</v>
      </c>
    </row>
    <row r="20" spans="2:21" ht="9.75">
      <c r="B20" s="87" t="s">
        <v>24</v>
      </c>
      <c r="C20" s="88" t="s">
        <v>25</v>
      </c>
      <c r="D20" s="91">
        <f>BKE!$D6</f>
        <v>6.002762333333334</v>
      </c>
      <c r="E20" s="91">
        <f>BKE!$D6</f>
        <v>6.002762333333334</v>
      </c>
      <c r="F20" s="91">
        <f>BKE!$D6</f>
        <v>6.002762333333334</v>
      </c>
      <c r="G20" s="91">
        <f>BKE!$D6</f>
        <v>6.002762333333334</v>
      </c>
      <c r="H20" s="92">
        <f>BKE!$D6</f>
        <v>6.002762333333334</v>
      </c>
      <c r="I20" s="92">
        <f>BKE!$D6</f>
        <v>6.002762333333334</v>
      </c>
      <c r="J20" s="92">
        <f>BKE!$D6</f>
        <v>6.002762333333334</v>
      </c>
      <c r="L20" s="9">
        <v>2</v>
      </c>
      <c r="M20" s="10" t="s">
        <v>13</v>
      </c>
      <c r="N20" s="11" t="s">
        <v>4</v>
      </c>
      <c r="O20" s="14">
        <f>SUM(O19:O19)</f>
        <v>0</v>
      </c>
      <c r="P20" s="14">
        <f>SUM(P19:P19)</f>
        <v>0</v>
      </c>
      <c r="Q20" s="14">
        <f>SUM(Q19:Q19)</f>
        <v>471.53154048000005</v>
      </c>
      <c r="R20" s="14">
        <f>SUM(R19:R19)</f>
        <v>471.53154048000005</v>
      </c>
      <c r="S20" s="16">
        <f>SUM(S19:S19)</f>
        <v>1042.77997824</v>
      </c>
      <c r="U20" s="26"/>
    </row>
    <row r="21" spans="2:21" ht="10.5" thickBot="1">
      <c r="B21" s="76" t="s">
        <v>26</v>
      </c>
      <c r="C21" s="67" t="s">
        <v>27</v>
      </c>
      <c r="D21" s="69">
        <v>0.056</v>
      </c>
      <c r="E21" s="69">
        <f>D21</f>
        <v>0.056</v>
      </c>
      <c r="F21" s="69">
        <v>0.096</v>
      </c>
      <c r="G21" s="69">
        <v>0.096</v>
      </c>
      <c r="H21" s="78">
        <v>0.096</v>
      </c>
      <c r="I21" s="78">
        <f>H21</f>
        <v>0.096</v>
      </c>
      <c r="J21" s="78">
        <f>H21</f>
        <v>0.096</v>
      </c>
      <c r="L21" s="17">
        <v>3</v>
      </c>
      <c r="M21" s="18" t="s">
        <v>14</v>
      </c>
      <c r="N21" s="19" t="s">
        <v>15</v>
      </c>
      <c r="O21" s="176">
        <f>SUM(O20:S20)</f>
        <v>1985.8430592</v>
      </c>
      <c r="P21" s="176"/>
      <c r="Q21" s="176"/>
      <c r="R21" s="176"/>
      <c r="S21" s="179"/>
      <c r="U21" s="27"/>
    </row>
    <row r="22" spans="1:10" ht="9.75">
      <c r="A22" s="1">
        <v>1</v>
      </c>
      <c r="B22" s="79" t="s">
        <v>28</v>
      </c>
      <c r="C22" s="88" t="s">
        <v>16</v>
      </c>
      <c r="D22" s="89">
        <f aca="true" t="shared" si="6" ref="D22:J22">D17*D20*D21</f>
        <v>420193.3633333334</v>
      </c>
      <c r="E22" s="89">
        <f t="shared" si="6"/>
        <v>544570.5988800001</v>
      </c>
      <c r="F22" s="89">
        <f t="shared" si="6"/>
        <v>415832.9567744001</v>
      </c>
      <c r="G22" s="89">
        <f t="shared" si="6"/>
        <v>415832.9567744001</v>
      </c>
      <c r="H22" s="89">
        <f t="shared" si="6"/>
        <v>919603.9806272001</v>
      </c>
      <c r="I22" s="89">
        <f t="shared" si="6"/>
        <v>933549.59808</v>
      </c>
      <c r="J22" s="89">
        <f t="shared" si="6"/>
        <v>933549.59808</v>
      </c>
    </row>
    <row r="23" spans="2:10" ht="10.5" thickBot="1">
      <c r="B23" s="76" t="s">
        <v>86</v>
      </c>
      <c r="C23" s="67" t="s">
        <v>30</v>
      </c>
      <c r="D23" s="67">
        <v>51.65</v>
      </c>
      <c r="E23" s="67">
        <v>51.65</v>
      </c>
      <c r="F23" s="67">
        <v>51.65</v>
      </c>
      <c r="G23" s="67">
        <v>51.65</v>
      </c>
      <c r="H23" s="80">
        <v>51.65</v>
      </c>
      <c r="I23" s="80">
        <v>51.65</v>
      </c>
      <c r="J23" s="80">
        <v>51.65</v>
      </c>
    </row>
    <row r="24" spans="1:19" ht="12.75" customHeight="1">
      <c r="A24" s="1">
        <v>2</v>
      </c>
      <c r="B24" s="79" t="s">
        <v>31</v>
      </c>
      <c r="C24" s="88" t="s">
        <v>16</v>
      </c>
      <c r="D24" s="89">
        <f>D17*calcination!$B4</f>
        <v>626796.569</v>
      </c>
      <c r="E24" s="89">
        <f>E17*calcination!$B4</f>
        <v>812328.3534240001</v>
      </c>
      <c r="F24" s="89">
        <f>F17*calcination!$B4</f>
        <v>361837.12335232005</v>
      </c>
      <c r="G24" s="89">
        <f>G17*calcination!$B4</f>
        <v>361837.12335232005</v>
      </c>
      <c r="H24" s="90">
        <f>H17*calcination!$B4</f>
        <v>800193.5718481601</v>
      </c>
      <c r="I24" s="90">
        <f>I17*calcination!$B4</f>
        <v>812328.3534240001</v>
      </c>
      <c r="J24" s="90">
        <f>J17*calcination!$B4</f>
        <v>812328.3534240001</v>
      </c>
      <c r="L24" s="174" t="s">
        <v>115</v>
      </c>
      <c r="M24" s="175"/>
      <c r="N24" s="185"/>
      <c r="O24" s="65">
        <v>2008</v>
      </c>
      <c r="P24" s="65">
        <v>2009</v>
      </c>
      <c r="Q24" s="65">
        <v>2010</v>
      </c>
      <c r="R24" s="65">
        <v>2011</v>
      </c>
      <c r="S24" s="66">
        <v>2012</v>
      </c>
    </row>
    <row r="25" spans="2:19" ht="9.75">
      <c r="B25" s="76" t="s">
        <v>32</v>
      </c>
      <c r="C25" s="67" t="s">
        <v>33</v>
      </c>
      <c r="D25" s="67">
        <v>0.896</v>
      </c>
      <c r="E25" s="67">
        <v>0.896</v>
      </c>
      <c r="F25" s="67">
        <v>0.896</v>
      </c>
      <c r="G25" s="67">
        <v>0.896</v>
      </c>
      <c r="H25" s="80">
        <v>0.896</v>
      </c>
      <c r="I25" s="80">
        <v>0.896</v>
      </c>
      <c r="J25" s="80">
        <v>0.896</v>
      </c>
      <c r="L25" s="2">
        <v>1</v>
      </c>
      <c r="M25" s="3" t="s">
        <v>3</v>
      </c>
      <c r="N25" s="101" t="s">
        <v>4</v>
      </c>
      <c r="O25" s="5">
        <f>O3</f>
        <v>420193.3633333334</v>
      </c>
      <c r="P25" s="5">
        <f>P3</f>
        <v>544570.5988800001</v>
      </c>
      <c r="Q25" s="5">
        <f>Q3</f>
        <v>415832.9567744001</v>
      </c>
      <c r="R25" s="5">
        <f>R3</f>
        <v>415832.9567744001</v>
      </c>
      <c r="S25" s="8">
        <f>S3</f>
        <v>708186.4735232001</v>
      </c>
    </row>
    <row r="26" spans="1:19" ht="9.75">
      <c r="A26" s="1">
        <v>3</v>
      </c>
      <c r="B26" s="79" t="s">
        <v>34</v>
      </c>
      <c r="C26" s="88" t="s">
        <v>16</v>
      </c>
      <c r="D26" s="89">
        <f aca="true" t="shared" si="7" ref="D26:J26">D17*D23*D25/1000</f>
        <v>57848</v>
      </c>
      <c r="E26" s="89">
        <f t="shared" si="7"/>
        <v>74971.008</v>
      </c>
      <c r="F26" s="89">
        <f t="shared" si="7"/>
        <v>33394.49344</v>
      </c>
      <c r="G26" s="89">
        <f t="shared" si="7"/>
        <v>33394.49344</v>
      </c>
      <c r="H26" s="90">
        <f t="shared" si="7"/>
        <v>73851.07072</v>
      </c>
      <c r="I26" s="90">
        <f t="shared" si="7"/>
        <v>74971.008</v>
      </c>
      <c r="J26" s="90">
        <f t="shared" si="7"/>
        <v>74971.008</v>
      </c>
      <c r="L26" s="9">
        <v>2</v>
      </c>
      <c r="M26" s="57" t="s">
        <v>5</v>
      </c>
      <c r="N26" s="100" t="s">
        <v>4</v>
      </c>
      <c r="O26" s="12">
        <f aca="true" t="shared" si="8" ref="O26:S31">O4</f>
        <v>626796.569</v>
      </c>
      <c r="P26" s="102">
        <f t="shared" si="8"/>
        <v>812328.3534240001</v>
      </c>
      <c r="Q26" s="12">
        <f t="shared" si="8"/>
        <v>322014</v>
      </c>
      <c r="R26" s="12">
        <f t="shared" si="8"/>
        <v>322014</v>
      </c>
      <c r="S26" s="13">
        <f t="shared" si="8"/>
        <v>712125.75</v>
      </c>
    </row>
    <row r="27" spans="2:19" ht="9.75">
      <c r="B27" s="76" t="s">
        <v>35</v>
      </c>
      <c r="C27" s="67" t="s">
        <v>36</v>
      </c>
      <c r="D27" s="67">
        <v>0</v>
      </c>
      <c r="E27" s="67">
        <v>0</v>
      </c>
      <c r="F27" s="67">
        <v>17</v>
      </c>
      <c r="G27" s="67">
        <v>17</v>
      </c>
      <c r="H27" s="80">
        <v>17</v>
      </c>
      <c r="I27" s="80">
        <v>17</v>
      </c>
      <c r="J27" s="80">
        <v>17</v>
      </c>
      <c r="L27" s="9">
        <v>3</v>
      </c>
      <c r="M27" s="10" t="s">
        <v>6</v>
      </c>
      <c r="N27" s="100" t="s">
        <v>4</v>
      </c>
      <c r="O27" s="12">
        <f t="shared" si="8"/>
        <v>57848</v>
      </c>
      <c r="P27" s="102">
        <f t="shared" si="8"/>
        <v>74971.008</v>
      </c>
      <c r="Q27" s="12">
        <f t="shared" si="8"/>
        <v>33394.49344</v>
      </c>
      <c r="R27" s="12">
        <f t="shared" si="8"/>
        <v>33394.49344</v>
      </c>
      <c r="S27" s="13">
        <f t="shared" si="8"/>
        <v>73851.07072</v>
      </c>
    </row>
    <row r="28" spans="2:19" ht="9.75">
      <c r="B28" s="87" t="s">
        <v>37</v>
      </c>
      <c r="C28" s="88" t="s">
        <v>38</v>
      </c>
      <c r="D28" s="93">
        <f>coal!C4</f>
        <v>23.641293618750005</v>
      </c>
      <c r="E28" s="93">
        <f aca="true" t="shared" si="9" ref="E28:J28">D28</f>
        <v>23.641293618750005</v>
      </c>
      <c r="F28" s="93">
        <f t="shared" si="9"/>
        <v>23.641293618750005</v>
      </c>
      <c r="G28" s="93">
        <f t="shared" si="9"/>
        <v>23.641293618750005</v>
      </c>
      <c r="H28" s="94">
        <f t="shared" si="9"/>
        <v>23.641293618750005</v>
      </c>
      <c r="I28" s="94">
        <f t="shared" si="9"/>
        <v>23.641293618750005</v>
      </c>
      <c r="J28" s="94">
        <f t="shared" si="9"/>
        <v>23.641293618750005</v>
      </c>
      <c r="L28" s="9">
        <v>4</v>
      </c>
      <c r="M28" s="10" t="s">
        <v>7</v>
      </c>
      <c r="N28" s="100" t="s">
        <v>4</v>
      </c>
      <c r="O28" s="12">
        <f t="shared" si="8"/>
        <v>0</v>
      </c>
      <c r="P28" s="102">
        <f t="shared" si="8"/>
        <v>0</v>
      </c>
      <c r="Q28" s="12">
        <f t="shared" si="8"/>
        <v>2790.829901508015</v>
      </c>
      <c r="R28" s="12">
        <f t="shared" si="8"/>
        <v>2790.829901508015</v>
      </c>
      <c r="S28" s="13">
        <f t="shared" si="8"/>
        <v>4752.93733686511</v>
      </c>
    </row>
    <row r="29" spans="2:19" ht="9.75">
      <c r="B29" s="76" t="s">
        <v>39</v>
      </c>
      <c r="C29" s="67" t="s">
        <v>22</v>
      </c>
      <c r="D29" s="68">
        <v>0</v>
      </c>
      <c r="E29" s="68">
        <v>0</v>
      </c>
      <c r="F29" s="68">
        <f>F17*F20/F28</f>
        <v>183221.50088681822</v>
      </c>
      <c r="G29" s="68">
        <f>G17*G20/G28</f>
        <v>183221.50088681822</v>
      </c>
      <c r="H29" s="77">
        <f>H17*H20/H28</f>
        <v>405189.6772660539</v>
      </c>
      <c r="I29" s="77">
        <f>I17*I20/I28</f>
        <v>411334.3007714045</v>
      </c>
      <c r="J29" s="77">
        <f>J17*J20/J28</f>
        <v>411334.3007714045</v>
      </c>
      <c r="L29" s="9">
        <v>5</v>
      </c>
      <c r="M29" s="10" t="s">
        <v>9</v>
      </c>
      <c r="N29" s="100" t="s">
        <v>4</v>
      </c>
      <c r="O29" s="12">
        <f t="shared" si="8"/>
        <v>3441.2</v>
      </c>
      <c r="P29" s="102">
        <f t="shared" si="8"/>
        <v>4459.7952000000005</v>
      </c>
      <c r="Q29" s="12">
        <f t="shared" si="8"/>
        <v>8037.1808</v>
      </c>
      <c r="R29" s="12">
        <f t="shared" si="8"/>
        <v>8037.1808</v>
      </c>
      <c r="S29" s="13">
        <f t="shared" si="8"/>
        <v>17774.0204</v>
      </c>
    </row>
    <row r="30" spans="2:19" ht="9.75">
      <c r="B30" s="87" t="s">
        <v>40</v>
      </c>
      <c r="C30" s="88" t="s">
        <v>16</v>
      </c>
      <c r="D30" s="89">
        <f aca="true" t="shared" si="10" ref="D30:J30">D27*D29*D25/1000</f>
        <v>0</v>
      </c>
      <c r="E30" s="89">
        <f>E27*E29*E25/1000</f>
        <v>0</v>
      </c>
      <c r="F30" s="89">
        <f t="shared" si="10"/>
        <v>2790.829901508015</v>
      </c>
      <c r="G30" s="89">
        <f t="shared" si="10"/>
        <v>2790.829901508015</v>
      </c>
      <c r="H30" s="90">
        <f t="shared" si="10"/>
        <v>6171.849164116534</v>
      </c>
      <c r="I30" s="90">
        <f t="shared" si="10"/>
        <v>6265.444069350033</v>
      </c>
      <c r="J30" s="90">
        <f t="shared" si="10"/>
        <v>6265.444069350033</v>
      </c>
      <c r="L30" s="9">
        <v>6</v>
      </c>
      <c r="M30" s="10" t="s">
        <v>10</v>
      </c>
      <c r="N30" s="100" t="s">
        <v>4</v>
      </c>
      <c r="O30" s="12">
        <f t="shared" si="8"/>
        <v>57976.47058823529</v>
      </c>
      <c r="P30" s="102">
        <f t="shared" si="8"/>
        <v>75137.50588235295</v>
      </c>
      <c r="Q30" s="12">
        <f t="shared" si="8"/>
        <v>24340.841411764708</v>
      </c>
      <c r="R30" s="12">
        <f t="shared" si="8"/>
        <v>24340.841411764708</v>
      </c>
      <c r="S30" s="13">
        <f t="shared" si="8"/>
        <v>53829.15011764706</v>
      </c>
    </row>
    <row r="31" spans="2:19" ht="9.75">
      <c r="B31" s="76" t="s">
        <v>41</v>
      </c>
      <c r="C31" s="67" t="s">
        <v>38</v>
      </c>
      <c r="D31" s="67">
        <f>coal!$C10</f>
        <v>0.3</v>
      </c>
      <c r="E31" s="67">
        <f>coal!$C10</f>
        <v>0.3</v>
      </c>
      <c r="F31" s="67">
        <f>coal!$C10</f>
        <v>0.3</v>
      </c>
      <c r="G31" s="67">
        <f>coal!$C10</f>
        <v>0.3</v>
      </c>
      <c r="H31" s="80">
        <f>coal!$C10</f>
        <v>0.3</v>
      </c>
      <c r="I31" s="80">
        <f>coal!$C10</f>
        <v>0.3</v>
      </c>
      <c r="J31" s="80">
        <f>coal!$C10</f>
        <v>0.3</v>
      </c>
      <c r="L31" s="9">
        <v>7</v>
      </c>
      <c r="M31" s="10" t="s">
        <v>12</v>
      </c>
      <c r="N31" s="100" t="s">
        <v>4</v>
      </c>
      <c r="O31" s="12">
        <f t="shared" si="8"/>
        <v>0</v>
      </c>
      <c r="P31" s="102">
        <f t="shared" si="8"/>
        <v>0</v>
      </c>
      <c r="Q31" s="12">
        <f t="shared" si="8"/>
        <v>0</v>
      </c>
      <c r="R31" s="12">
        <f t="shared" si="8"/>
        <v>0</v>
      </c>
      <c r="S31" s="13">
        <f t="shared" si="8"/>
        <v>0</v>
      </c>
    </row>
    <row r="32" spans="2:19" ht="9.75">
      <c r="B32" s="87" t="s">
        <v>42</v>
      </c>
      <c r="C32" s="88" t="s">
        <v>16</v>
      </c>
      <c r="D32" s="89">
        <f>D29*D31*D21</f>
        <v>0</v>
      </c>
      <c r="E32" s="89">
        <f aca="true" t="shared" si="11" ref="E32:J32">E29*E31*$D21</f>
        <v>0</v>
      </c>
      <c r="F32" s="89">
        <f t="shared" si="11"/>
        <v>3078.1212148985464</v>
      </c>
      <c r="G32" s="89">
        <f t="shared" si="11"/>
        <v>3078.1212148985464</v>
      </c>
      <c r="H32" s="90">
        <f t="shared" si="11"/>
        <v>6807.186578069706</v>
      </c>
      <c r="I32" s="90">
        <f t="shared" si="11"/>
        <v>6910.416252959596</v>
      </c>
      <c r="J32" s="90">
        <f t="shared" si="11"/>
        <v>6910.416252959596</v>
      </c>
      <c r="L32" s="9">
        <v>8</v>
      </c>
      <c r="M32" s="10" t="s">
        <v>116</v>
      </c>
      <c r="N32" s="100" t="s">
        <v>4</v>
      </c>
      <c r="O32" s="12">
        <f>O20</f>
        <v>0</v>
      </c>
      <c r="P32" s="102">
        <f>P20</f>
        <v>0</v>
      </c>
      <c r="Q32" s="12">
        <f>Q20</f>
        <v>471.53154048000005</v>
      </c>
      <c r="R32" s="12">
        <f>R20</f>
        <v>471.53154048000005</v>
      </c>
      <c r="S32" s="13">
        <f>S20</f>
        <v>1042.77997824</v>
      </c>
    </row>
    <row r="33" spans="1:19" ht="9.75">
      <c r="A33" s="1">
        <v>4</v>
      </c>
      <c r="B33" s="79" t="s">
        <v>43</v>
      </c>
      <c r="C33" s="67" t="s">
        <v>16</v>
      </c>
      <c r="D33" s="68">
        <f>(D30+D32)</f>
        <v>0</v>
      </c>
      <c r="E33" s="68">
        <f aca="true" t="shared" si="12" ref="E33:J33">E30+E32</f>
        <v>0</v>
      </c>
      <c r="F33" s="68">
        <f t="shared" si="12"/>
        <v>5868.951116406562</v>
      </c>
      <c r="G33" s="68">
        <f t="shared" si="12"/>
        <v>5868.951116406562</v>
      </c>
      <c r="H33" s="77">
        <f t="shared" si="12"/>
        <v>12979.035742186239</v>
      </c>
      <c r="I33" s="77">
        <f t="shared" si="12"/>
        <v>13175.860322309629</v>
      </c>
      <c r="J33" s="77">
        <f t="shared" si="12"/>
        <v>13175.860322309629</v>
      </c>
      <c r="L33" s="9">
        <v>9</v>
      </c>
      <c r="M33" s="10" t="s">
        <v>13</v>
      </c>
      <c r="N33" s="100" t="s">
        <v>4</v>
      </c>
      <c r="O33" s="14">
        <f>SUM(O25:O32)</f>
        <v>1166255.6029215686</v>
      </c>
      <c r="P33" s="103">
        <f>SUM(P25:P32)</f>
        <v>1511467.261386353</v>
      </c>
      <c r="Q33" s="14">
        <f>SUM(Q25:Q32)</f>
        <v>806881.8338681528</v>
      </c>
      <c r="R33" s="14">
        <f>SUM(R25:R32)</f>
        <v>806881.8338681528</v>
      </c>
      <c r="S33" s="16">
        <f>SUM(S25:S32)</f>
        <v>1571562.1820759522</v>
      </c>
    </row>
    <row r="34" spans="1:19" ht="10.5" thickBot="1">
      <c r="A34" s="1" t="s">
        <v>44</v>
      </c>
      <c r="B34" s="87" t="s">
        <v>45</v>
      </c>
      <c r="C34" s="88" t="s">
        <v>46</v>
      </c>
      <c r="D34" s="88">
        <v>45</v>
      </c>
      <c r="E34" s="88">
        <v>45</v>
      </c>
      <c r="F34" s="88">
        <v>45</v>
      </c>
      <c r="G34" s="88">
        <v>45</v>
      </c>
      <c r="H34" s="95">
        <v>45</v>
      </c>
      <c r="I34" s="95">
        <v>45</v>
      </c>
      <c r="J34" s="95">
        <v>45</v>
      </c>
      <c r="L34" s="17">
        <v>10</v>
      </c>
      <c r="M34" s="18" t="s">
        <v>14</v>
      </c>
      <c r="N34" s="19" t="s">
        <v>15</v>
      </c>
      <c r="O34" s="176">
        <f>SUM(O33:S33)</f>
        <v>5863048.714120179</v>
      </c>
      <c r="P34" s="176"/>
      <c r="Q34" s="176"/>
      <c r="R34" s="176"/>
      <c r="S34" s="179"/>
    </row>
    <row r="35" spans="2:10" ht="10.5" thickBot="1">
      <c r="B35" s="76" t="s">
        <v>109</v>
      </c>
      <c r="C35" s="67" t="s">
        <v>22</v>
      </c>
      <c r="D35" s="68">
        <f>D19*'raw material'!$D2</f>
        <v>2000000</v>
      </c>
      <c r="E35" s="68">
        <f>E19*'raw material'!$D2</f>
        <v>2592000</v>
      </c>
      <c r="F35" s="68">
        <f>F19*'raw material'!$D2</f>
        <v>1154560</v>
      </c>
      <c r="G35" s="68">
        <f>G19*'raw material'!$D2</f>
        <v>1154560</v>
      </c>
      <c r="H35" s="77">
        <f>H19*'raw material'!$D2</f>
        <v>2553280</v>
      </c>
      <c r="I35" s="77">
        <f>I19*'raw material'!$D2</f>
        <v>3952000</v>
      </c>
      <c r="J35" s="77">
        <f>J19*'raw material'!$D2</f>
        <v>3952000</v>
      </c>
    </row>
    <row r="36" spans="2:20" ht="13.5" customHeight="1" thickBot="1">
      <c r="B36" s="87" t="s">
        <v>110</v>
      </c>
      <c r="C36" s="88" t="s">
        <v>22</v>
      </c>
      <c r="D36" s="88">
        <f aca="true" t="shared" si="13" ref="D36:J36">D19*0.04</f>
        <v>50000</v>
      </c>
      <c r="E36" s="88">
        <f t="shared" si="13"/>
        <v>64800</v>
      </c>
      <c r="F36" s="88">
        <f t="shared" si="13"/>
        <v>28864</v>
      </c>
      <c r="G36" s="88">
        <f t="shared" si="13"/>
        <v>28864</v>
      </c>
      <c r="H36" s="88">
        <f t="shared" si="13"/>
        <v>63832</v>
      </c>
      <c r="I36" s="88">
        <f t="shared" si="13"/>
        <v>98800</v>
      </c>
      <c r="J36" s="88">
        <f t="shared" si="13"/>
        <v>98800</v>
      </c>
      <c r="M36" s="180" t="s">
        <v>117</v>
      </c>
      <c r="N36" s="181"/>
      <c r="O36" s="107">
        <v>2008</v>
      </c>
      <c r="P36" s="107">
        <v>2009</v>
      </c>
      <c r="Q36" s="107">
        <v>2010</v>
      </c>
      <c r="R36" s="107">
        <v>2011</v>
      </c>
      <c r="S36" s="107">
        <v>2012</v>
      </c>
      <c r="T36" s="7">
        <f>O37</f>
        <v>0</v>
      </c>
    </row>
    <row r="37" spans="1:20" ht="13.5" thickBot="1">
      <c r="A37" s="1" t="s">
        <v>47</v>
      </c>
      <c r="B37" s="76" t="s">
        <v>48</v>
      </c>
      <c r="C37" s="11" t="s">
        <v>49</v>
      </c>
      <c r="D37" s="67">
        <v>0.509</v>
      </c>
      <c r="E37" s="67">
        <v>0.509</v>
      </c>
      <c r="F37" s="67">
        <v>0.509</v>
      </c>
      <c r="G37" s="67">
        <v>0.509</v>
      </c>
      <c r="H37" s="80">
        <v>0.509</v>
      </c>
      <c r="I37" s="80">
        <v>0.509</v>
      </c>
      <c r="J37" s="80">
        <v>0.509</v>
      </c>
      <c r="M37" s="104" t="s">
        <v>13</v>
      </c>
      <c r="N37" s="105" t="s">
        <v>4</v>
      </c>
      <c r="O37" s="106">
        <f>D10-O33</f>
        <v>0</v>
      </c>
      <c r="P37" s="106">
        <f>E10-P33</f>
        <v>0</v>
      </c>
      <c r="Q37" s="106">
        <f>F10-Q33</f>
        <v>46094.5547321504</v>
      </c>
      <c r="R37" s="106">
        <f>G10-R33</f>
        <v>46094.5547321504</v>
      </c>
      <c r="S37" s="106">
        <f>H10-S33</f>
        <v>314773.351361359</v>
      </c>
      <c r="T37" s="7">
        <f>P37</f>
        <v>0</v>
      </c>
    </row>
    <row r="38" spans="1:20" ht="13.5" thickBot="1">
      <c r="A38" s="1">
        <v>5</v>
      </c>
      <c r="B38" s="79" t="s">
        <v>50</v>
      </c>
      <c r="C38" s="88" t="s">
        <v>16</v>
      </c>
      <c r="D38" s="89">
        <f>D34*D36*D25/1000+D21*D37*D36</f>
        <v>3441.2</v>
      </c>
      <c r="E38" s="89">
        <f aca="true" t="shared" si="14" ref="E38:J38">E34*E36*E25/1000+E21*E37*E36</f>
        <v>4459.7952000000005</v>
      </c>
      <c r="F38" s="89">
        <f t="shared" si="14"/>
        <v>2574.2069760000004</v>
      </c>
      <c r="G38" s="89">
        <f t="shared" si="14"/>
        <v>2574.2069760000004</v>
      </c>
      <c r="H38" s="90">
        <f t="shared" si="14"/>
        <v>5692.793088</v>
      </c>
      <c r="I38" s="90">
        <f t="shared" si="14"/>
        <v>8811.3792</v>
      </c>
      <c r="J38" s="90">
        <f t="shared" si="14"/>
        <v>8811.3792</v>
      </c>
      <c r="M38" s="104" t="s">
        <v>14</v>
      </c>
      <c r="N38" s="105" t="s">
        <v>15</v>
      </c>
      <c r="O38" s="182">
        <f>O37+P37+Q37+R37+S37</f>
        <v>406962.4608256598</v>
      </c>
      <c r="P38" s="183"/>
      <c r="Q38" s="183"/>
      <c r="R38" s="183"/>
      <c r="S38" s="184"/>
      <c r="T38" s="7">
        <f>Q37</f>
        <v>46094.5547321504</v>
      </c>
    </row>
    <row r="39" spans="2:20" ht="9.75">
      <c r="B39" s="9" t="s">
        <v>77</v>
      </c>
      <c r="C39" s="67" t="s">
        <v>51</v>
      </c>
      <c r="D39" s="68">
        <v>44</v>
      </c>
      <c r="E39" s="68">
        <v>44</v>
      </c>
      <c r="F39" s="68">
        <v>44</v>
      </c>
      <c r="G39" s="68">
        <v>44</v>
      </c>
      <c r="H39" s="77">
        <v>44</v>
      </c>
      <c r="I39" s="77">
        <v>44</v>
      </c>
      <c r="J39" s="77">
        <v>44</v>
      </c>
      <c r="T39" s="7">
        <f>R37</f>
        <v>46094.5547321504</v>
      </c>
    </row>
    <row r="40" spans="1:20" ht="9.75">
      <c r="A40" s="1">
        <v>6</v>
      </c>
      <c r="B40" s="79" t="s">
        <v>52</v>
      </c>
      <c r="C40" s="88" t="s">
        <v>16</v>
      </c>
      <c r="D40" s="89">
        <f aca="true" t="shared" si="15" ref="D40:J40">D17/D41*D39*D25/1000</f>
        <v>57976.47058823529</v>
      </c>
      <c r="E40" s="89">
        <f t="shared" si="15"/>
        <v>75137.50588235295</v>
      </c>
      <c r="F40" s="89">
        <f t="shared" si="15"/>
        <v>33468.65694117648</v>
      </c>
      <c r="G40" s="89">
        <f t="shared" si="15"/>
        <v>33468.65694117648</v>
      </c>
      <c r="H40" s="90">
        <f t="shared" si="15"/>
        <v>74015.08141176471</v>
      </c>
      <c r="I40" s="90">
        <f t="shared" si="15"/>
        <v>75137.50588235295</v>
      </c>
      <c r="J40" s="90">
        <f t="shared" si="15"/>
        <v>75137.50588235295</v>
      </c>
      <c r="T40" s="7">
        <f>S37</f>
        <v>314773.351361359</v>
      </c>
    </row>
    <row r="41" spans="2:20" ht="9.75">
      <c r="B41" s="76" t="s">
        <v>53</v>
      </c>
      <c r="C41" s="67"/>
      <c r="D41" s="67">
        <v>0.85</v>
      </c>
      <c r="E41" s="67">
        <v>0.85</v>
      </c>
      <c r="F41" s="67">
        <v>0.85</v>
      </c>
      <c r="G41" s="67">
        <v>0.85</v>
      </c>
      <c r="H41" s="80">
        <v>0.85</v>
      </c>
      <c r="I41" s="80">
        <v>0.85</v>
      </c>
      <c r="J41" s="80">
        <v>0.85</v>
      </c>
      <c r="T41" s="7">
        <f>O38</f>
        <v>406962.4608256598</v>
      </c>
    </row>
    <row r="42" spans="2:10" ht="9.75">
      <c r="B42" s="87" t="s">
        <v>54</v>
      </c>
      <c r="C42" s="88" t="s">
        <v>55</v>
      </c>
      <c r="D42" s="89">
        <f aca="true" t="shared" si="16" ref="D42:J42">D18/D41</f>
        <v>0</v>
      </c>
      <c r="E42" s="89">
        <f t="shared" si="16"/>
        <v>0</v>
      </c>
      <c r="F42" s="89">
        <f t="shared" si="16"/>
        <v>0</v>
      </c>
      <c r="G42" s="89">
        <f t="shared" si="16"/>
        <v>0</v>
      </c>
      <c r="H42" s="90">
        <f t="shared" si="16"/>
        <v>0</v>
      </c>
      <c r="I42" s="90">
        <f t="shared" si="16"/>
        <v>1000000</v>
      </c>
      <c r="J42" s="90">
        <f t="shared" si="16"/>
        <v>1000000</v>
      </c>
    </row>
    <row r="43" spans="2:10" ht="9.75">
      <c r="B43" s="76" t="s">
        <v>56</v>
      </c>
      <c r="C43" s="67" t="s">
        <v>57</v>
      </c>
      <c r="D43" s="71">
        <v>0.743</v>
      </c>
      <c r="E43" s="71">
        <v>0.743</v>
      </c>
      <c r="F43" s="71">
        <v>0.743</v>
      </c>
      <c r="G43" s="71">
        <v>0.743</v>
      </c>
      <c r="H43" s="82">
        <v>0.743</v>
      </c>
      <c r="I43" s="82">
        <v>0.743</v>
      </c>
      <c r="J43" s="82">
        <v>0.743</v>
      </c>
    </row>
    <row r="44" spans="1:10" ht="9.75">
      <c r="A44" s="1">
        <v>7</v>
      </c>
      <c r="B44" s="79" t="s">
        <v>58</v>
      </c>
      <c r="C44" s="88" t="s">
        <v>16</v>
      </c>
      <c r="D44" s="89">
        <f aca="true" t="shared" si="17" ref="D44:J44">D42*D43</f>
        <v>0</v>
      </c>
      <c r="E44" s="89">
        <f t="shared" si="17"/>
        <v>0</v>
      </c>
      <c r="F44" s="89">
        <f t="shared" si="17"/>
        <v>0</v>
      </c>
      <c r="G44" s="89">
        <f t="shared" si="17"/>
        <v>0</v>
      </c>
      <c r="H44" s="90">
        <f t="shared" si="17"/>
        <v>0</v>
      </c>
      <c r="I44" s="90">
        <f t="shared" si="17"/>
        <v>743000</v>
      </c>
      <c r="J44" s="90">
        <f t="shared" si="17"/>
        <v>743000</v>
      </c>
    </row>
    <row r="45" spans="1:11" ht="10.5" thickBot="1">
      <c r="A45" s="1">
        <v>8</v>
      </c>
      <c r="B45" s="83" t="s">
        <v>59</v>
      </c>
      <c r="C45" s="84" t="s">
        <v>16</v>
      </c>
      <c r="D45" s="85">
        <f aca="true" t="shared" si="18" ref="D45:J45">D22+D24+D26+D33+D38+D40+D44</f>
        <v>1166255.6029215686</v>
      </c>
      <c r="E45" s="85">
        <f t="shared" si="18"/>
        <v>1511467.261386353</v>
      </c>
      <c r="F45" s="85">
        <f t="shared" si="18"/>
        <v>852976.3886003032</v>
      </c>
      <c r="G45" s="85">
        <f t="shared" si="18"/>
        <v>852976.3886003032</v>
      </c>
      <c r="H45" s="86">
        <f t="shared" si="18"/>
        <v>1886335.5334373112</v>
      </c>
      <c r="I45" s="86">
        <f t="shared" si="18"/>
        <v>2660973.7049086625</v>
      </c>
      <c r="J45" s="86">
        <f t="shared" si="18"/>
        <v>2660973.7049086625</v>
      </c>
      <c r="K45" s="7">
        <f>SUM(D45:H45)</f>
        <v>6270011.174945839</v>
      </c>
    </row>
    <row r="46" spans="2:12" ht="9.75">
      <c r="B46" s="58"/>
      <c r="C46" s="25"/>
      <c r="D46" s="23"/>
      <c r="E46" s="23"/>
      <c r="F46" s="23"/>
      <c r="G46" s="23"/>
      <c r="H46" s="23"/>
      <c r="I46" s="23"/>
      <c r="J46" s="23"/>
      <c r="K46" s="135">
        <f>J16</f>
        <v>1620000</v>
      </c>
      <c r="L46" s="136" t="s">
        <v>145</v>
      </c>
    </row>
    <row r="47" spans="2:12" ht="10.5" thickBot="1">
      <c r="B47" s="59" t="s">
        <v>60</v>
      </c>
      <c r="C47" s="59"/>
      <c r="D47" s="59">
        <v>2008</v>
      </c>
      <c r="E47" s="59">
        <v>2009</v>
      </c>
      <c r="F47" s="59">
        <v>2010</v>
      </c>
      <c r="G47" s="59">
        <v>2011</v>
      </c>
      <c r="H47" s="59">
        <v>2012</v>
      </c>
      <c r="I47" s="59">
        <v>2013</v>
      </c>
      <c r="J47" s="59">
        <v>2014</v>
      </c>
      <c r="K47" s="137">
        <v>1748400</v>
      </c>
      <c r="L47" s="138" t="s">
        <v>146</v>
      </c>
    </row>
    <row r="48" spans="2:13" ht="9.75">
      <c r="B48" s="72" t="s">
        <v>18</v>
      </c>
      <c r="C48" s="73" t="s">
        <v>19</v>
      </c>
      <c r="D48" s="74">
        <f>1250000</f>
        <v>1250000</v>
      </c>
      <c r="E48" s="74">
        <v>1620000</v>
      </c>
      <c r="F48" s="74">
        <v>721600</v>
      </c>
      <c r="G48" s="74">
        <v>721600</v>
      </c>
      <c r="H48" s="75">
        <v>721600</v>
      </c>
      <c r="I48" s="75">
        <v>721600</v>
      </c>
      <c r="J48" s="75">
        <v>721600</v>
      </c>
      <c r="M48" s="1">
        <f>D48*D73/D75/1000</f>
        <v>64705.882352941175</v>
      </c>
    </row>
    <row r="49" spans="2:10" ht="9.75">
      <c r="B49" s="87" t="s">
        <v>61</v>
      </c>
      <c r="C49" s="88" t="s">
        <v>19</v>
      </c>
      <c r="D49" s="89">
        <v>0</v>
      </c>
      <c r="E49" s="89">
        <v>0</v>
      </c>
      <c r="F49" s="89">
        <v>0</v>
      </c>
      <c r="G49" s="89">
        <v>0</v>
      </c>
      <c r="H49" s="90">
        <f>K47/2</f>
        <v>874200</v>
      </c>
      <c r="I49" s="90">
        <f>K47</f>
        <v>1748400</v>
      </c>
      <c r="J49" s="90">
        <f>K47</f>
        <v>1748400</v>
      </c>
    </row>
    <row r="50" spans="2:10" ht="9.75">
      <c r="B50" s="76" t="s">
        <v>21</v>
      </c>
      <c r="C50" s="67" t="s">
        <v>22</v>
      </c>
      <c r="D50" s="68">
        <f aca="true" t="shared" si="19" ref="D50:J50">D48+D49</f>
        <v>1250000</v>
      </c>
      <c r="E50" s="68">
        <f t="shared" si="19"/>
        <v>1620000</v>
      </c>
      <c r="F50" s="68">
        <f t="shared" si="19"/>
        <v>721600</v>
      </c>
      <c r="G50" s="68">
        <f t="shared" si="19"/>
        <v>721600</v>
      </c>
      <c r="H50" s="77">
        <f t="shared" si="19"/>
        <v>1595800</v>
      </c>
      <c r="I50" s="77">
        <f t="shared" si="19"/>
        <v>2470000</v>
      </c>
      <c r="J50" s="77">
        <f t="shared" si="19"/>
        <v>2470000</v>
      </c>
    </row>
    <row r="51" spans="2:10" ht="9.75">
      <c r="B51" s="87" t="s">
        <v>62</v>
      </c>
      <c r="C51" s="88" t="s">
        <v>25</v>
      </c>
      <c r="D51" s="91">
        <f>D20</f>
        <v>6.002762333333334</v>
      </c>
      <c r="E51" s="91">
        <f aca="true" t="shared" si="20" ref="E51:J51">D51</f>
        <v>6.002762333333334</v>
      </c>
      <c r="F51" s="91">
        <f t="shared" si="20"/>
        <v>6.002762333333334</v>
      </c>
      <c r="G51" s="91">
        <f t="shared" si="20"/>
        <v>6.002762333333334</v>
      </c>
      <c r="H51" s="92">
        <f t="shared" si="20"/>
        <v>6.002762333333334</v>
      </c>
      <c r="I51" s="92">
        <f t="shared" si="20"/>
        <v>6.002762333333334</v>
      </c>
      <c r="J51" s="92">
        <f t="shared" si="20"/>
        <v>6.002762333333334</v>
      </c>
    </row>
    <row r="52" spans="2:10" ht="10.5" thickBot="1">
      <c r="B52" s="76" t="s">
        <v>63</v>
      </c>
      <c r="C52" s="67"/>
      <c r="D52" s="69">
        <f>'[1]Dyckerhoff figures'!C19</f>
        <v>3.6493892000000003</v>
      </c>
      <c r="E52" s="69">
        <f>'[1]Dyckerhoff figures'!C19</f>
        <v>3.6493892000000003</v>
      </c>
      <c r="F52" s="69">
        <f>'[1]Dyckerhoff figures'!$C20</f>
        <v>3.4835840000000005</v>
      </c>
      <c r="G52" s="69">
        <f>'[1]Dyckerhoff figures'!$C20</f>
        <v>3.4835840000000005</v>
      </c>
      <c r="H52" s="78">
        <f>'[1]Dyckerhoff figures'!$C20</f>
        <v>3.4835840000000005</v>
      </c>
      <c r="I52" s="78">
        <f>'[1]Dyckerhoff figures'!$C20</f>
        <v>3.4835840000000005</v>
      </c>
      <c r="J52" s="78">
        <f>'[1]Dyckerhoff figures'!$C20</f>
        <v>3.4835840000000005</v>
      </c>
    </row>
    <row r="53" spans="2:19" ht="39">
      <c r="B53" s="87" t="s">
        <v>26</v>
      </c>
      <c r="C53" s="88" t="s">
        <v>27</v>
      </c>
      <c r="D53" s="91">
        <v>0.056</v>
      </c>
      <c r="E53" s="91">
        <f>D53</f>
        <v>0.056</v>
      </c>
      <c r="F53" s="91">
        <v>0.096</v>
      </c>
      <c r="G53" s="91">
        <v>0.096</v>
      </c>
      <c r="H53" s="92">
        <v>0.096</v>
      </c>
      <c r="I53" s="92">
        <f>H53</f>
        <v>0.096</v>
      </c>
      <c r="J53" s="92">
        <f>I53</f>
        <v>0.096</v>
      </c>
      <c r="O53" s="167" t="s">
        <v>122</v>
      </c>
      <c r="P53" s="121" t="s">
        <v>123</v>
      </c>
      <c r="Q53" s="121" t="s">
        <v>126</v>
      </c>
      <c r="R53" s="121" t="s">
        <v>127</v>
      </c>
      <c r="S53" s="124" t="s">
        <v>128</v>
      </c>
    </row>
    <row r="54" spans="2:19" ht="12.75">
      <c r="B54" s="76" t="s">
        <v>64</v>
      </c>
      <c r="C54" s="67" t="s">
        <v>16</v>
      </c>
      <c r="D54" s="68">
        <f aca="true" t="shared" si="21" ref="D54:J54">D48*D51*D53</f>
        <v>420193.3633333334</v>
      </c>
      <c r="E54" s="68">
        <f t="shared" si="21"/>
        <v>544570.5988800001</v>
      </c>
      <c r="F54" s="68">
        <f t="shared" si="21"/>
        <v>415832.9567744001</v>
      </c>
      <c r="G54" s="68">
        <f t="shared" si="21"/>
        <v>415832.9567744001</v>
      </c>
      <c r="H54" s="77">
        <f t="shared" si="21"/>
        <v>415832.9567744001</v>
      </c>
      <c r="I54" s="77">
        <f t="shared" si="21"/>
        <v>415832.9567744001</v>
      </c>
      <c r="J54" s="77">
        <f t="shared" si="21"/>
        <v>415832.9567744001</v>
      </c>
      <c r="O54" s="168"/>
      <c r="P54" s="122" t="s">
        <v>124</v>
      </c>
      <c r="Q54" s="122" t="s">
        <v>124</v>
      </c>
      <c r="R54" s="122" t="s">
        <v>124</v>
      </c>
      <c r="S54" s="125" t="s">
        <v>124</v>
      </c>
    </row>
    <row r="55" spans="2:19" ht="15.75" thickBot="1">
      <c r="B55" s="87" t="s">
        <v>65</v>
      </c>
      <c r="C55" s="88" t="s">
        <v>16</v>
      </c>
      <c r="D55" s="89">
        <f aca="true" t="shared" si="22" ref="D55:J55">D49*D52*D53</f>
        <v>0</v>
      </c>
      <c r="E55" s="89">
        <f t="shared" si="22"/>
        <v>0</v>
      </c>
      <c r="F55" s="89">
        <f t="shared" si="22"/>
        <v>0</v>
      </c>
      <c r="G55" s="89">
        <f t="shared" si="22"/>
        <v>0</v>
      </c>
      <c r="H55" s="90">
        <f t="shared" si="22"/>
        <v>292353.51674880006</v>
      </c>
      <c r="I55" s="90">
        <f t="shared" si="22"/>
        <v>584707.0334976001</v>
      </c>
      <c r="J55" s="90">
        <f t="shared" si="22"/>
        <v>584707.0334976001</v>
      </c>
      <c r="O55" s="169"/>
      <c r="P55" s="123" t="s">
        <v>125</v>
      </c>
      <c r="Q55" s="123" t="s">
        <v>125</v>
      </c>
      <c r="R55" s="123" t="s">
        <v>125</v>
      </c>
      <c r="S55" s="126" t="s">
        <v>125</v>
      </c>
    </row>
    <row r="56" spans="1:19" ht="13.5" thickBot="1">
      <c r="A56" s="1">
        <v>1</v>
      </c>
      <c r="B56" s="79" t="s">
        <v>144</v>
      </c>
      <c r="C56" s="67" t="s">
        <v>16</v>
      </c>
      <c r="D56" s="68">
        <f aca="true" t="shared" si="23" ref="D56:J56">D54+D55</f>
        <v>420193.3633333334</v>
      </c>
      <c r="E56" s="68">
        <f t="shared" si="23"/>
        <v>544570.5988800001</v>
      </c>
      <c r="F56" s="68">
        <f t="shared" si="23"/>
        <v>415832.9567744001</v>
      </c>
      <c r="G56" s="68">
        <f t="shared" si="23"/>
        <v>415832.9567744001</v>
      </c>
      <c r="H56" s="77">
        <f t="shared" si="23"/>
        <v>708186.4735232001</v>
      </c>
      <c r="I56" s="77">
        <f t="shared" si="23"/>
        <v>1000539.9902720002</v>
      </c>
      <c r="J56" s="77">
        <f t="shared" si="23"/>
        <v>1000539.9902720002</v>
      </c>
      <c r="O56" s="127" t="s">
        <v>129</v>
      </c>
      <c r="P56" s="128">
        <f>O10</f>
        <v>1166255.6029215686</v>
      </c>
      <c r="Q56" s="130">
        <f>O20</f>
        <v>0</v>
      </c>
      <c r="R56" s="128">
        <f>D10</f>
        <v>1166255.6029215686</v>
      </c>
      <c r="S56" s="129">
        <f>R56-P56-Q56</f>
        <v>0</v>
      </c>
    </row>
    <row r="57" spans="1:19" ht="13.5" thickBot="1">
      <c r="A57" s="1">
        <v>2</v>
      </c>
      <c r="B57" s="79" t="s">
        <v>66</v>
      </c>
      <c r="C57" s="88" t="s">
        <v>16</v>
      </c>
      <c r="D57" s="89">
        <f>D50*calcination!$B4</f>
        <v>626796.569</v>
      </c>
      <c r="E57" s="89">
        <f>E50*calcination!$B4</f>
        <v>812328.3534240001</v>
      </c>
      <c r="F57" s="89">
        <f>F50*calcination!$B5</f>
        <v>322014</v>
      </c>
      <c r="G57" s="89">
        <f>G50*calcination!$B5</f>
        <v>322014</v>
      </c>
      <c r="H57" s="90">
        <f>H50*calcination!$B5</f>
        <v>712125.75</v>
      </c>
      <c r="I57" s="90">
        <f>I50*calcination!$B5</f>
        <v>1102237.5</v>
      </c>
      <c r="J57" s="90">
        <f>J50*calcination!$B5</f>
        <v>1102237.5</v>
      </c>
      <c r="O57" s="127" t="s">
        <v>130</v>
      </c>
      <c r="P57" s="128">
        <f>P10</f>
        <v>1511467.261386353</v>
      </c>
      <c r="Q57" s="130">
        <f>P20</f>
        <v>0</v>
      </c>
      <c r="R57" s="128">
        <f>E10</f>
        <v>1511467.261386353</v>
      </c>
      <c r="S57" s="129">
        <f>R57-P57-Q57</f>
        <v>0</v>
      </c>
    </row>
    <row r="58" spans="2:19" ht="13.5" thickBot="1">
      <c r="B58" s="76" t="s">
        <v>67</v>
      </c>
      <c r="C58" s="67" t="s">
        <v>30</v>
      </c>
      <c r="D58" s="67">
        <v>51.65</v>
      </c>
      <c r="E58" s="67">
        <v>51.65</v>
      </c>
      <c r="F58" s="67">
        <v>51.65</v>
      </c>
      <c r="G58" s="67">
        <v>51.65</v>
      </c>
      <c r="H58" s="80">
        <v>51.65</v>
      </c>
      <c r="I58" s="80">
        <v>51.65</v>
      </c>
      <c r="J58" s="80">
        <v>51.65</v>
      </c>
      <c r="O58" s="127" t="s">
        <v>131</v>
      </c>
      <c r="P58" s="128">
        <f>Q10</f>
        <v>806410.3023276728</v>
      </c>
      <c r="Q58" s="130">
        <f>Q20</f>
        <v>471.53154048000005</v>
      </c>
      <c r="R58" s="128">
        <f>F10</f>
        <v>852976.3886003032</v>
      </c>
      <c r="S58" s="129">
        <f>R58-P58-Q58</f>
        <v>46094.55473215038</v>
      </c>
    </row>
    <row r="59" spans="1:19" ht="13.5" thickBot="1">
      <c r="A59" s="1">
        <v>3</v>
      </c>
      <c r="B59" s="79" t="s">
        <v>68</v>
      </c>
      <c r="C59" s="88" t="s">
        <v>16</v>
      </c>
      <c r="D59" s="89">
        <f aca="true" t="shared" si="24" ref="D59:J59">D50*D58*D60/1000</f>
        <v>57848</v>
      </c>
      <c r="E59" s="89">
        <f t="shared" si="24"/>
        <v>74971.008</v>
      </c>
      <c r="F59" s="89">
        <f t="shared" si="24"/>
        <v>33394.49344</v>
      </c>
      <c r="G59" s="89">
        <f t="shared" si="24"/>
        <v>33394.49344</v>
      </c>
      <c r="H59" s="90">
        <f t="shared" si="24"/>
        <v>73851.07072</v>
      </c>
      <c r="I59" s="90">
        <f t="shared" si="24"/>
        <v>114307.648</v>
      </c>
      <c r="J59" s="90">
        <f t="shared" si="24"/>
        <v>114307.648</v>
      </c>
      <c r="O59" s="127" t="s">
        <v>132</v>
      </c>
      <c r="P59" s="128">
        <f>R10</f>
        <v>806410.3023276728</v>
      </c>
      <c r="Q59" s="130">
        <f>R20</f>
        <v>471.53154048000005</v>
      </c>
      <c r="R59" s="128">
        <f>G10</f>
        <v>852976.3886003032</v>
      </c>
      <c r="S59" s="129">
        <f>R59-P59-Q59</f>
        <v>46094.55473215038</v>
      </c>
    </row>
    <row r="60" spans="2:19" ht="13.5" thickBot="1">
      <c r="B60" s="76" t="s">
        <v>32</v>
      </c>
      <c r="C60" s="67" t="s">
        <v>33</v>
      </c>
      <c r="D60" s="67">
        <v>0.896</v>
      </c>
      <c r="E60" s="67">
        <v>0.896</v>
      </c>
      <c r="F60" s="67">
        <v>0.896</v>
      </c>
      <c r="G60" s="67">
        <v>0.896</v>
      </c>
      <c r="H60" s="80">
        <v>0.896</v>
      </c>
      <c r="I60" s="80">
        <v>0.896</v>
      </c>
      <c r="J60" s="80">
        <v>0.896</v>
      </c>
      <c r="O60" s="127" t="s">
        <v>133</v>
      </c>
      <c r="P60" s="128">
        <f>S10</f>
        <v>1570519.4020977123</v>
      </c>
      <c r="Q60" s="130">
        <f>S20</f>
        <v>1042.77997824</v>
      </c>
      <c r="R60" s="128">
        <f>H10</f>
        <v>1886335.5334373112</v>
      </c>
      <c r="S60" s="160">
        <f>R60-P60-Q60</f>
        <v>314773.3513613589</v>
      </c>
    </row>
    <row r="61" spans="2:19" ht="12.75">
      <c r="B61" s="87" t="s">
        <v>35</v>
      </c>
      <c r="C61" s="88" t="s">
        <v>36</v>
      </c>
      <c r="D61" s="88">
        <v>0</v>
      </c>
      <c r="E61" s="88">
        <v>0</v>
      </c>
      <c r="F61" s="88">
        <v>17</v>
      </c>
      <c r="G61" s="88">
        <v>17</v>
      </c>
      <c r="H61" s="95">
        <v>17</v>
      </c>
      <c r="I61" s="95">
        <v>17</v>
      </c>
      <c r="J61" s="95">
        <v>17</v>
      </c>
      <c r="O61" s="131" t="s">
        <v>13</v>
      </c>
      <c r="P61" s="170">
        <f>SUM(P56:P60)</f>
        <v>5861062.87106098</v>
      </c>
      <c r="Q61" s="170">
        <f>SUM(Q56:Q60)</f>
        <v>1985.8430592</v>
      </c>
      <c r="R61" s="172">
        <f>SUM(R56:R60)</f>
        <v>6270011.174945839</v>
      </c>
      <c r="S61" s="195">
        <f>SUM(S56:S60)</f>
        <v>406962.4608256596</v>
      </c>
    </row>
    <row r="62" spans="2:20" ht="29.25" thickBot="1">
      <c r="B62" s="76" t="s">
        <v>37</v>
      </c>
      <c r="C62" s="67" t="s">
        <v>38</v>
      </c>
      <c r="D62" s="70">
        <f aca="true" t="shared" si="25" ref="D62:J62">D28</f>
        <v>23.641293618750005</v>
      </c>
      <c r="E62" s="70">
        <f t="shared" si="25"/>
        <v>23.641293618750005</v>
      </c>
      <c r="F62" s="70">
        <f t="shared" si="25"/>
        <v>23.641293618750005</v>
      </c>
      <c r="G62" s="70">
        <f t="shared" si="25"/>
        <v>23.641293618750005</v>
      </c>
      <c r="H62" s="81">
        <f t="shared" si="25"/>
        <v>23.641293618750005</v>
      </c>
      <c r="I62" s="81">
        <f t="shared" si="25"/>
        <v>23.641293618750005</v>
      </c>
      <c r="J62" s="81">
        <f t="shared" si="25"/>
        <v>23.641293618750005</v>
      </c>
      <c r="O62" s="127" t="s">
        <v>134</v>
      </c>
      <c r="P62" s="171"/>
      <c r="Q62" s="171"/>
      <c r="R62" s="173"/>
      <c r="S62" s="196"/>
      <c r="T62" s="186">
        <f>S61/3</f>
        <v>135654.1536085532</v>
      </c>
    </row>
    <row r="63" spans="2:20" ht="9.75">
      <c r="B63" s="87" t="s">
        <v>69</v>
      </c>
      <c r="C63" s="88" t="s">
        <v>22</v>
      </c>
      <c r="D63" s="89">
        <v>0</v>
      </c>
      <c r="E63" s="89">
        <f>(E48*E51+E49*E52)/E62/2</f>
        <v>205667.15038570226</v>
      </c>
      <c r="F63" s="89">
        <f>(F48*F51+F49*F52)/F62</f>
        <v>183221.50088681822</v>
      </c>
      <c r="G63" s="89">
        <f>(G48*G51+G49*G52)/G62</f>
        <v>183221.50088681822</v>
      </c>
      <c r="H63" s="90">
        <f>(H48*H51+H49*H52)/H62</f>
        <v>312036.3272626779</v>
      </c>
      <c r="I63" s="90">
        <f>(I48*I51+I49*I52)/I62</f>
        <v>440851.1536385375</v>
      </c>
      <c r="J63" s="90">
        <f>(J48*J51+J49*J52)/J62</f>
        <v>440851.1536385375</v>
      </c>
      <c r="R63" s="1" t="s">
        <v>198</v>
      </c>
      <c r="T63" s="186"/>
    </row>
    <row r="64" spans="2:10" ht="9.75">
      <c r="B64" s="76" t="s">
        <v>70</v>
      </c>
      <c r="C64" s="67" t="s">
        <v>16</v>
      </c>
      <c r="D64" s="68">
        <f aca="true" t="shared" si="26" ref="D64:J64">D61*D63*D60/1000</f>
        <v>0</v>
      </c>
      <c r="E64" s="68">
        <f t="shared" si="26"/>
        <v>0</v>
      </c>
      <c r="F64" s="68">
        <f t="shared" si="26"/>
        <v>2790.829901508015</v>
      </c>
      <c r="G64" s="68">
        <f t="shared" si="26"/>
        <v>2790.829901508015</v>
      </c>
      <c r="H64" s="77">
        <f t="shared" si="26"/>
        <v>4752.93733686511</v>
      </c>
      <c r="I64" s="77">
        <f t="shared" si="26"/>
        <v>6715.044772222204</v>
      </c>
      <c r="J64" s="77">
        <f t="shared" si="26"/>
        <v>6715.044772222204</v>
      </c>
    </row>
    <row r="65" spans="2:10" ht="10.5" thickBot="1">
      <c r="B65" s="87" t="s">
        <v>41</v>
      </c>
      <c r="C65" s="88" t="s">
        <v>38</v>
      </c>
      <c r="D65" s="88">
        <f aca="true" t="shared" si="27" ref="D65:J65">$U22</f>
        <v>0</v>
      </c>
      <c r="E65" s="88">
        <f t="shared" si="27"/>
        <v>0</v>
      </c>
      <c r="F65" s="88">
        <f t="shared" si="27"/>
        <v>0</v>
      </c>
      <c r="G65" s="88">
        <f t="shared" si="27"/>
        <v>0</v>
      </c>
      <c r="H65" s="95">
        <f t="shared" si="27"/>
        <v>0</v>
      </c>
      <c r="I65" s="95">
        <f t="shared" si="27"/>
        <v>0</v>
      </c>
      <c r="J65" s="95">
        <f t="shared" si="27"/>
        <v>0</v>
      </c>
    </row>
    <row r="66" spans="2:20" ht="11.25" customHeight="1">
      <c r="B66" s="76" t="s">
        <v>71</v>
      </c>
      <c r="C66" s="67" t="s">
        <v>16</v>
      </c>
      <c r="D66" s="68">
        <v>0</v>
      </c>
      <c r="E66" s="68">
        <f aca="true" t="shared" si="28" ref="E66:J66">E63*E65*$D53</f>
        <v>0</v>
      </c>
      <c r="F66" s="68">
        <f t="shared" si="28"/>
        <v>0</v>
      </c>
      <c r="G66" s="68">
        <f t="shared" si="28"/>
        <v>0</v>
      </c>
      <c r="H66" s="77">
        <f t="shared" si="28"/>
        <v>0</v>
      </c>
      <c r="I66" s="77">
        <f t="shared" si="28"/>
        <v>0</v>
      </c>
      <c r="J66" s="77">
        <f t="shared" si="28"/>
        <v>0</v>
      </c>
      <c r="O66" s="193" t="s">
        <v>135</v>
      </c>
      <c r="P66" s="185"/>
      <c r="Q66" s="185"/>
      <c r="R66" s="185"/>
      <c r="S66" s="194"/>
      <c r="T66" s="132">
        <f>I79</f>
        <v>326345.2030409104</v>
      </c>
    </row>
    <row r="67" spans="1:20" ht="12" customHeight="1">
      <c r="A67" s="1">
        <v>4</v>
      </c>
      <c r="B67" s="79" t="s">
        <v>72</v>
      </c>
      <c r="C67" s="88" t="s">
        <v>16</v>
      </c>
      <c r="D67" s="89">
        <f aca="true" t="shared" si="29" ref="D67:J67">D64+D66</f>
        <v>0</v>
      </c>
      <c r="E67" s="89">
        <f t="shared" si="29"/>
        <v>0</v>
      </c>
      <c r="F67" s="89">
        <f t="shared" si="29"/>
        <v>2790.829901508015</v>
      </c>
      <c r="G67" s="89">
        <f t="shared" si="29"/>
        <v>2790.829901508015</v>
      </c>
      <c r="H67" s="90">
        <f t="shared" si="29"/>
        <v>4752.93733686511</v>
      </c>
      <c r="I67" s="90">
        <f t="shared" si="29"/>
        <v>6715.044772222204</v>
      </c>
      <c r="J67" s="90">
        <f t="shared" si="29"/>
        <v>6715.044772222204</v>
      </c>
      <c r="O67" s="187" t="s">
        <v>136</v>
      </c>
      <c r="P67" s="188"/>
      <c r="Q67" s="188"/>
      <c r="R67" s="188"/>
      <c r="S67" s="189"/>
      <c r="T67" s="133">
        <f>T66</f>
        <v>326345.2030409104</v>
      </c>
    </row>
    <row r="68" spans="2:20" ht="11.25" customHeight="1">
      <c r="B68" s="76" t="s">
        <v>73</v>
      </c>
      <c r="C68" s="67" t="s">
        <v>46</v>
      </c>
      <c r="D68" s="67">
        <v>45</v>
      </c>
      <c r="E68" s="67">
        <v>45</v>
      </c>
      <c r="F68" s="67">
        <v>45</v>
      </c>
      <c r="G68" s="67">
        <v>45</v>
      </c>
      <c r="H68" s="80">
        <v>45</v>
      </c>
      <c r="I68" s="80">
        <v>45</v>
      </c>
      <c r="J68" s="80">
        <v>45</v>
      </c>
      <c r="O68" s="187" t="s">
        <v>137</v>
      </c>
      <c r="P68" s="188"/>
      <c r="Q68" s="188"/>
      <c r="R68" s="188"/>
      <c r="S68" s="189"/>
      <c r="T68" s="133">
        <f aca="true" t="shared" si="30" ref="T68:T73">T67</f>
        <v>326345.2030409104</v>
      </c>
    </row>
    <row r="69" spans="2:20" ht="12" customHeight="1">
      <c r="B69" s="87" t="s">
        <v>74</v>
      </c>
      <c r="C69" s="88" t="s">
        <v>49</v>
      </c>
      <c r="D69" s="88">
        <v>0.509</v>
      </c>
      <c r="E69" s="88">
        <v>0.509</v>
      </c>
      <c r="F69" s="88">
        <v>0.509</v>
      </c>
      <c r="G69" s="88">
        <v>0.509</v>
      </c>
      <c r="H69" s="95">
        <v>0.509</v>
      </c>
      <c r="I69" s="95">
        <v>0.509</v>
      </c>
      <c r="J69" s="95">
        <v>0.509</v>
      </c>
      <c r="O69" s="187" t="s">
        <v>138</v>
      </c>
      <c r="P69" s="188"/>
      <c r="Q69" s="188"/>
      <c r="R69" s="188"/>
      <c r="S69" s="189"/>
      <c r="T69" s="133">
        <f t="shared" si="30"/>
        <v>326345.2030409104</v>
      </c>
    </row>
    <row r="70" spans="2:20" ht="12.75">
      <c r="B70" s="76" t="s">
        <v>75</v>
      </c>
      <c r="C70" s="67" t="s">
        <v>22</v>
      </c>
      <c r="D70" s="68">
        <f>D50*'raw material'!$D2</f>
        <v>2000000</v>
      </c>
      <c r="E70" s="68">
        <f>E50*'raw material'!$D2</f>
        <v>2592000</v>
      </c>
      <c r="F70" s="68">
        <f>F50*'raw material'!$D2</f>
        <v>1154560</v>
      </c>
      <c r="G70" s="68">
        <f>G50*'raw material'!$D2</f>
        <v>1154560</v>
      </c>
      <c r="H70" s="77">
        <f>H50*'raw material'!$D2</f>
        <v>2553280</v>
      </c>
      <c r="I70" s="77">
        <f>I50*'raw material'!$D2</f>
        <v>3952000</v>
      </c>
      <c r="J70" s="77">
        <f>J50*'raw material'!$D2</f>
        <v>3952000</v>
      </c>
      <c r="O70" s="187" t="s">
        <v>139</v>
      </c>
      <c r="P70" s="188"/>
      <c r="Q70" s="188"/>
      <c r="R70" s="188"/>
      <c r="S70" s="189"/>
      <c r="T70" s="133">
        <f t="shared" si="30"/>
        <v>326345.2030409104</v>
      </c>
    </row>
    <row r="71" spans="2:20" ht="12.75">
      <c r="B71" s="87" t="s">
        <v>112</v>
      </c>
      <c r="C71" s="88" t="s">
        <v>22</v>
      </c>
      <c r="D71" s="89">
        <f>D50*0.04-D36</f>
        <v>0</v>
      </c>
      <c r="E71" s="89">
        <f>E50*0.04-E36</f>
        <v>0</v>
      </c>
      <c r="F71" s="89">
        <f>F50*0.15-F36</f>
        <v>79376</v>
      </c>
      <c r="G71" s="89">
        <f>G50*0.15-G36</f>
        <v>79376</v>
      </c>
      <c r="H71" s="89">
        <f>H50*0.15-H36</f>
        <v>175538</v>
      </c>
      <c r="I71" s="89">
        <f>I50*0.15-I36</f>
        <v>271700</v>
      </c>
      <c r="J71" s="89">
        <f>J50*0.15-J36</f>
        <v>271700</v>
      </c>
      <c r="O71" s="187" t="s">
        <v>140</v>
      </c>
      <c r="P71" s="188"/>
      <c r="Q71" s="188"/>
      <c r="R71" s="188"/>
      <c r="S71" s="189"/>
      <c r="T71" s="133">
        <f t="shared" si="30"/>
        <v>326345.2030409104</v>
      </c>
    </row>
    <row r="72" spans="1:20" ht="12.75">
      <c r="A72" s="1">
        <v>5</v>
      </c>
      <c r="B72" s="79" t="s">
        <v>76</v>
      </c>
      <c r="C72" s="67" t="s">
        <v>16</v>
      </c>
      <c r="D72" s="68">
        <f aca="true" t="shared" si="31" ref="D72:J72">D71*(D68*D60/1000+D69*$D53)+D38</f>
        <v>3441.2</v>
      </c>
      <c r="E72" s="68">
        <f t="shared" si="31"/>
        <v>4459.7952000000005</v>
      </c>
      <c r="F72" s="68">
        <f t="shared" si="31"/>
        <v>8037.1808</v>
      </c>
      <c r="G72" s="68">
        <f t="shared" si="31"/>
        <v>8037.1808</v>
      </c>
      <c r="H72" s="68">
        <f t="shared" si="31"/>
        <v>17774.0204</v>
      </c>
      <c r="I72" s="68">
        <f t="shared" si="31"/>
        <v>27510.859999999997</v>
      </c>
      <c r="J72" s="68">
        <f t="shared" si="31"/>
        <v>27510.859999999997</v>
      </c>
      <c r="O72" s="187" t="s">
        <v>141</v>
      </c>
      <c r="P72" s="188"/>
      <c r="Q72" s="188"/>
      <c r="R72" s="188"/>
      <c r="S72" s="189"/>
      <c r="T72" s="133">
        <f t="shared" si="30"/>
        <v>326345.2030409104</v>
      </c>
    </row>
    <row r="73" spans="2:20" ht="12.75">
      <c r="B73" s="87" t="s">
        <v>77</v>
      </c>
      <c r="C73" s="88" t="s">
        <v>78</v>
      </c>
      <c r="D73" s="89">
        <v>44</v>
      </c>
      <c r="E73" s="89">
        <v>44</v>
      </c>
      <c r="F73" s="89">
        <v>32</v>
      </c>
      <c r="G73" s="89">
        <v>32</v>
      </c>
      <c r="H73" s="90">
        <v>32</v>
      </c>
      <c r="I73" s="90">
        <v>32</v>
      </c>
      <c r="J73" s="90">
        <v>32</v>
      </c>
      <c r="O73" s="187" t="s">
        <v>142</v>
      </c>
      <c r="P73" s="188"/>
      <c r="Q73" s="188"/>
      <c r="R73" s="188"/>
      <c r="S73" s="189"/>
      <c r="T73" s="133">
        <f t="shared" si="30"/>
        <v>326345.2030409104</v>
      </c>
    </row>
    <row r="74" spans="1:20" ht="13.5" thickBot="1">
      <c r="A74" s="1">
        <v>6</v>
      </c>
      <c r="B74" s="79" t="s">
        <v>79</v>
      </c>
      <c r="C74" s="67" t="s">
        <v>16</v>
      </c>
      <c r="D74" s="68">
        <f aca="true" t="shared" si="32" ref="D74:J74">D50/D75*D73/1000*D60</f>
        <v>57976.47058823529</v>
      </c>
      <c r="E74" s="68">
        <f t="shared" si="32"/>
        <v>75137.50588235295</v>
      </c>
      <c r="F74" s="68">
        <f t="shared" si="32"/>
        <v>24340.841411764708</v>
      </c>
      <c r="G74" s="68">
        <f t="shared" si="32"/>
        <v>24340.841411764708</v>
      </c>
      <c r="H74" s="77">
        <f t="shared" si="32"/>
        <v>53829.15011764706</v>
      </c>
      <c r="I74" s="77">
        <f t="shared" si="32"/>
        <v>83317.45882352942</v>
      </c>
      <c r="J74" s="77">
        <f t="shared" si="32"/>
        <v>83317.45882352942</v>
      </c>
      <c r="O74" s="190" t="s">
        <v>143</v>
      </c>
      <c r="P74" s="191"/>
      <c r="Q74" s="191"/>
      <c r="R74" s="191"/>
      <c r="S74" s="192"/>
      <c r="T74" s="134">
        <f>SUM(T66:T73)</f>
        <v>2610761.6243272834</v>
      </c>
    </row>
    <row r="75" spans="2:20" ht="9.75">
      <c r="B75" s="87" t="s">
        <v>53</v>
      </c>
      <c r="C75" s="88"/>
      <c r="D75" s="88">
        <v>0.85</v>
      </c>
      <c r="E75" s="88">
        <v>0.85</v>
      </c>
      <c r="F75" s="88">
        <v>0.85</v>
      </c>
      <c r="G75" s="88">
        <v>0.85</v>
      </c>
      <c r="H75" s="95">
        <v>0.85</v>
      </c>
      <c r="I75" s="95">
        <v>0.85</v>
      </c>
      <c r="J75" s="95">
        <v>0.85</v>
      </c>
      <c r="T75" s="7"/>
    </row>
    <row r="76" spans="1:11" ht="9.75">
      <c r="A76" s="1">
        <v>7</v>
      </c>
      <c r="B76" s="79" t="s">
        <v>80</v>
      </c>
      <c r="C76" s="67" t="s">
        <v>16</v>
      </c>
      <c r="D76" s="67"/>
      <c r="E76" s="67"/>
      <c r="F76" s="67"/>
      <c r="G76" s="67"/>
      <c r="H76" s="80"/>
      <c r="I76" s="80"/>
      <c r="J76" s="80"/>
      <c r="K76" s="1" t="s">
        <v>81</v>
      </c>
    </row>
    <row r="77" spans="2:11" ht="10.5" thickBot="1">
      <c r="B77" s="96" t="s">
        <v>82</v>
      </c>
      <c r="C77" s="97" t="s">
        <v>16</v>
      </c>
      <c r="D77" s="98">
        <f aca="true" t="shared" si="33" ref="D77:J77">D56+D57+D59+D67+D72+D74</f>
        <v>1166255.6029215686</v>
      </c>
      <c r="E77" s="98">
        <f t="shared" si="33"/>
        <v>1511467.261386353</v>
      </c>
      <c r="F77" s="98">
        <f t="shared" si="33"/>
        <v>806410.3023276728</v>
      </c>
      <c r="G77" s="98">
        <f t="shared" si="33"/>
        <v>806410.3023276728</v>
      </c>
      <c r="H77" s="99">
        <f t="shared" si="33"/>
        <v>1570519.4020977123</v>
      </c>
      <c r="I77" s="99">
        <f t="shared" si="33"/>
        <v>2334628.501867752</v>
      </c>
      <c r="J77" s="99">
        <f t="shared" si="33"/>
        <v>2334628.501867752</v>
      </c>
      <c r="K77" s="7">
        <f>SUM(D77:H77)</f>
        <v>5861062.87106098</v>
      </c>
    </row>
    <row r="78" spans="2:10" ht="9.75">
      <c r="B78" s="60"/>
      <c r="C78" s="60"/>
      <c r="D78" s="60"/>
      <c r="E78" s="60"/>
      <c r="F78" s="60"/>
      <c r="G78" s="60"/>
      <c r="H78" s="60"/>
      <c r="I78" s="60"/>
      <c r="J78" s="60"/>
    </row>
    <row r="79" spans="2:11" ht="9.75">
      <c r="B79" s="59" t="s">
        <v>114</v>
      </c>
      <c r="C79" s="60"/>
      <c r="D79" s="61">
        <v>0</v>
      </c>
      <c r="E79" s="61"/>
      <c r="F79" s="61">
        <f>F45-F77</f>
        <v>46566.086272630375</v>
      </c>
      <c r="G79" s="61">
        <f>G45-G77</f>
        <v>46566.086272630375</v>
      </c>
      <c r="H79" s="61">
        <f>H45-H77</f>
        <v>315816.1313395989</v>
      </c>
      <c r="I79" s="61">
        <f>I45-I77</f>
        <v>326345.2030409104</v>
      </c>
      <c r="J79" s="61">
        <f>J45-J77</f>
        <v>326345.2030409104</v>
      </c>
      <c r="K79" s="7">
        <f>SUM(D79:H79)</f>
        <v>408948.30388485966</v>
      </c>
    </row>
  </sheetData>
  <sheetProtection/>
  <mergeCells count="25">
    <mergeCell ref="O74:S74"/>
    <mergeCell ref="O66:S66"/>
    <mergeCell ref="O67:S67"/>
    <mergeCell ref="O68:S68"/>
    <mergeCell ref="O69:S69"/>
    <mergeCell ref="O70:S70"/>
    <mergeCell ref="O71:S71"/>
    <mergeCell ref="O72:S72"/>
    <mergeCell ref="L18:M18"/>
    <mergeCell ref="O21:S21"/>
    <mergeCell ref="T62:T63"/>
    <mergeCell ref="O73:S73"/>
    <mergeCell ref="S61:S62"/>
    <mergeCell ref="M36:N36"/>
    <mergeCell ref="O38:S38"/>
    <mergeCell ref="O34:S34"/>
    <mergeCell ref="L24:N24"/>
    <mergeCell ref="A2:B2"/>
    <mergeCell ref="L2:M2"/>
    <mergeCell ref="D11:H11"/>
    <mergeCell ref="O11:S11"/>
    <mergeCell ref="O53:O55"/>
    <mergeCell ref="P61:P62"/>
    <mergeCell ref="Q61:Q62"/>
    <mergeCell ref="R61:R6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125" style="0" customWidth="1"/>
    <col min="2" max="2" width="14.625" style="0" customWidth="1"/>
    <col min="6" max="6" width="38.375" style="0" customWidth="1"/>
    <col min="7" max="7" width="11.625" style="0" customWidth="1"/>
    <col min="8" max="8" width="9.375" style="0" bestFit="1" customWidth="1"/>
    <col min="10" max="10" width="11.875" style="0" customWidth="1"/>
    <col min="11" max="11" width="11.50390625" style="0" customWidth="1"/>
  </cols>
  <sheetData>
    <row r="1" spans="1:10" ht="13.5" thickBot="1">
      <c r="A1" s="1" t="str">
        <f>'ER'!A1</f>
        <v>ER Volyncement for PDD rev4.0 dated 18.02.2010</v>
      </c>
      <c r="F1" t="s">
        <v>168</v>
      </c>
      <c r="J1" t="s">
        <v>193</v>
      </c>
    </row>
    <row r="2" spans="1:13" ht="12.75">
      <c r="A2" s="28" t="s">
        <v>188</v>
      </c>
      <c r="B2" t="s">
        <v>83</v>
      </c>
      <c r="F2" s="139" t="s">
        <v>147</v>
      </c>
      <c r="G2" s="140" t="s">
        <v>148</v>
      </c>
      <c r="H2" s="141">
        <v>1</v>
      </c>
      <c r="J2" s="144"/>
      <c r="K2" s="145"/>
      <c r="L2" s="145" t="s">
        <v>158</v>
      </c>
      <c r="M2" s="146" t="s">
        <v>159</v>
      </c>
    </row>
    <row r="3" spans="1:13" ht="12.75">
      <c r="A3" s="46" t="s">
        <v>187</v>
      </c>
      <c r="B3" s="48">
        <v>0.525</v>
      </c>
      <c r="C3" t="s">
        <v>191</v>
      </c>
      <c r="F3" s="139" t="s">
        <v>149</v>
      </c>
      <c r="G3" s="140" t="s">
        <v>102</v>
      </c>
      <c r="H3" s="142">
        <f>H2*1.6</f>
        <v>1.6</v>
      </c>
      <c r="J3" s="163">
        <v>2004</v>
      </c>
      <c r="K3" s="147" t="s">
        <v>156</v>
      </c>
      <c r="L3" s="148">
        <v>66.61</v>
      </c>
      <c r="M3" s="149" t="s">
        <v>192</v>
      </c>
    </row>
    <row r="4" spans="1:13" ht="12.75">
      <c r="A4" s="49" t="s">
        <v>84</v>
      </c>
      <c r="B4" s="158">
        <f>H10</f>
        <v>0.5014372552</v>
      </c>
      <c r="C4" t="s">
        <v>190</v>
      </c>
      <c r="F4" s="139" t="s">
        <v>150</v>
      </c>
      <c r="G4" s="140" t="s">
        <v>91</v>
      </c>
      <c r="H4" s="143">
        <v>0.04</v>
      </c>
      <c r="J4" s="163"/>
      <c r="K4" s="147" t="s">
        <v>157</v>
      </c>
      <c r="L4" s="148">
        <v>0.64</v>
      </c>
      <c r="M4" s="149" t="s">
        <v>192</v>
      </c>
    </row>
    <row r="5" spans="1:13" ht="12.75">
      <c r="A5" s="52" t="s">
        <v>85</v>
      </c>
      <c r="B5" s="119">
        <v>0.44625</v>
      </c>
      <c r="C5" t="s">
        <v>189</v>
      </c>
      <c r="F5" s="139" t="s">
        <v>150</v>
      </c>
      <c r="G5" s="140" t="s">
        <v>102</v>
      </c>
      <c r="H5" s="156">
        <f>H2*H4</f>
        <v>0.04</v>
      </c>
      <c r="J5" s="163">
        <v>2005</v>
      </c>
      <c r="K5" s="147" t="s">
        <v>156</v>
      </c>
      <c r="L5" s="148">
        <v>66.48</v>
      </c>
      <c r="M5" s="149">
        <v>1.886</v>
      </c>
    </row>
    <row r="6" spans="6:13" ht="12.75">
      <c r="F6" s="139" t="s">
        <v>151</v>
      </c>
      <c r="G6" s="140" t="s">
        <v>160</v>
      </c>
      <c r="H6" s="156">
        <f>L10/100</f>
        <v>0.6657000000000001</v>
      </c>
      <c r="J6" s="163"/>
      <c r="K6" s="147" t="s">
        <v>157</v>
      </c>
      <c r="L6" s="148">
        <v>0.64</v>
      </c>
      <c r="M6" s="149">
        <v>0.246</v>
      </c>
    </row>
    <row r="7" spans="6:13" ht="12.75">
      <c r="F7" s="139" t="s">
        <v>152</v>
      </c>
      <c r="G7" s="140" t="s">
        <v>161</v>
      </c>
      <c r="H7" s="156">
        <f>L11/100</f>
        <v>0.006533333333333333</v>
      </c>
      <c r="J7" s="163">
        <v>2006</v>
      </c>
      <c r="K7" s="147" t="s">
        <v>156</v>
      </c>
      <c r="L7" s="148">
        <v>66.62</v>
      </c>
      <c r="M7" s="149">
        <v>1.9192</v>
      </c>
    </row>
    <row r="8" spans="6:13" ht="13.5" thickBot="1">
      <c r="F8" s="139" t="s">
        <v>153</v>
      </c>
      <c r="G8" s="140" t="s">
        <v>162</v>
      </c>
      <c r="H8" s="156">
        <f>L12/100</f>
        <v>0.019026</v>
      </c>
      <c r="J8" s="164"/>
      <c r="K8" s="150" t="s">
        <v>157</v>
      </c>
      <c r="L8" s="151">
        <v>0.68</v>
      </c>
      <c r="M8" s="152">
        <v>0.2548</v>
      </c>
    </row>
    <row r="9" spans="6:8" ht="12.75">
      <c r="F9" s="139" t="s">
        <v>154</v>
      </c>
      <c r="G9" s="140" t="s">
        <v>163</v>
      </c>
      <c r="H9" s="156">
        <f>L13/100</f>
        <v>0.002504</v>
      </c>
    </row>
    <row r="10" spans="6:13" ht="12.75">
      <c r="F10" s="139" t="s">
        <v>155</v>
      </c>
      <c r="G10" s="140" t="s">
        <v>169</v>
      </c>
      <c r="H10" s="157">
        <f>0.785*(H6*H2-H8*H3)+1.092*(H7*H2-H9*H3)</f>
        <v>0.5014372552</v>
      </c>
      <c r="J10" t="s">
        <v>166</v>
      </c>
      <c r="L10">
        <f>(L3+L5+L7)/3</f>
        <v>66.57000000000001</v>
      </c>
      <c r="M10" t="s">
        <v>164</v>
      </c>
    </row>
    <row r="11" spans="10:13" ht="12.75">
      <c r="J11" t="s">
        <v>167</v>
      </c>
      <c r="L11" s="153">
        <f>(L4+L6+L8)/3</f>
        <v>0.6533333333333333</v>
      </c>
      <c r="M11" t="s">
        <v>165</v>
      </c>
    </row>
    <row r="12" spans="10:13" ht="12.75">
      <c r="J12" t="s">
        <v>194</v>
      </c>
      <c r="L12">
        <f>(M5+M7)/2</f>
        <v>1.9026</v>
      </c>
      <c r="M12" t="s">
        <v>196</v>
      </c>
    </row>
    <row r="13" spans="10:13" ht="12.75">
      <c r="J13" t="s">
        <v>195</v>
      </c>
      <c r="L13">
        <f>(M6+M8)/2</f>
        <v>0.2504</v>
      </c>
      <c r="M13" t="s">
        <v>197</v>
      </c>
    </row>
    <row r="14" ht="13.5">
      <c r="B14" s="154">
        <v>-19</v>
      </c>
    </row>
    <row r="15" ht="13.5">
      <c r="A15" s="155" t="s">
        <v>170</v>
      </c>
    </row>
    <row r="16" spans="1:6" ht="13.5">
      <c r="A16" s="155">
        <v>0.785</v>
      </c>
      <c r="B16" s="165" t="s">
        <v>171</v>
      </c>
      <c r="C16" s="166"/>
      <c r="D16" s="166"/>
      <c r="E16" s="166"/>
      <c r="F16" s="166"/>
    </row>
    <row r="17" spans="1:6" ht="13.5">
      <c r="A17" s="155">
        <v>1.092</v>
      </c>
      <c r="B17" s="165" t="s">
        <v>172</v>
      </c>
      <c r="C17" s="166"/>
      <c r="D17" s="166"/>
      <c r="E17" s="166"/>
      <c r="F17" s="166"/>
    </row>
    <row r="18" spans="1:6" ht="15.75">
      <c r="A18" s="155" t="s">
        <v>173</v>
      </c>
      <c r="B18" s="161" t="s">
        <v>186</v>
      </c>
      <c r="C18" s="162"/>
      <c r="D18" s="162"/>
      <c r="E18" s="162"/>
      <c r="F18" s="162"/>
    </row>
    <row r="19" spans="1:6" ht="15.75">
      <c r="A19" s="155" t="s">
        <v>174</v>
      </c>
      <c r="B19" s="161" t="s">
        <v>175</v>
      </c>
      <c r="C19" s="162"/>
      <c r="D19" s="162"/>
      <c r="E19" s="162"/>
      <c r="F19" s="162"/>
    </row>
    <row r="20" spans="1:6" ht="15.75">
      <c r="A20" s="155" t="s">
        <v>176</v>
      </c>
      <c r="B20" s="161" t="s">
        <v>177</v>
      </c>
      <c r="C20" s="162"/>
      <c r="D20" s="162"/>
      <c r="E20" s="162"/>
      <c r="F20" s="162"/>
    </row>
    <row r="21" spans="1:6" ht="15.75">
      <c r="A21" s="155" t="s">
        <v>178</v>
      </c>
      <c r="B21" s="161" t="s">
        <v>179</v>
      </c>
      <c r="C21" s="162"/>
      <c r="D21" s="162"/>
      <c r="E21" s="162"/>
      <c r="F21" s="162"/>
    </row>
    <row r="22" spans="1:6" ht="15.75">
      <c r="A22" s="155" t="s">
        <v>180</v>
      </c>
      <c r="B22" s="161" t="s">
        <v>181</v>
      </c>
      <c r="C22" s="162"/>
      <c r="D22" s="162"/>
      <c r="E22" s="162"/>
      <c r="F22" s="162"/>
    </row>
    <row r="23" spans="1:6" ht="15.75">
      <c r="A23" s="155" t="s">
        <v>182</v>
      </c>
      <c r="B23" s="161" t="s">
        <v>183</v>
      </c>
      <c r="C23" s="162"/>
      <c r="D23" s="162"/>
      <c r="E23" s="162"/>
      <c r="F23" s="162"/>
    </row>
    <row r="24" ht="13.5">
      <c r="A24" s="155"/>
    </row>
    <row r="25" ht="13.5">
      <c r="B25" s="154">
        <v>-20</v>
      </c>
    </row>
    <row r="26" ht="13.5">
      <c r="A26" s="155"/>
    </row>
    <row r="27" ht="13.5">
      <c r="A27" s="155" t="s">
        <v>170</v>
      </c>
    </row>
    <row r="28" spans="1:6" ht="15.75">
      <c r="A28" s="155" t="s">
        <v>184</v>
      </c>
      <c r="B28" s="161" t="s">
        <v>185</v>
      </c>
      <c r="C28" s="162"/>
      <c r="D28" s="162"/>
      <c r="E28" s="162"/>
      <c r="F28" s="162"/>
    </row>
    <row r="29" ht="13.5">
      <c r="A29" s="155"/>
    </row>
  </sheetData>
  <sheetProtection/>
  <mergeCells count="12">
    <mergeCell ref="B21:F21"/>
    <mergeCell ref="B22:F22"/>
    <mergeCell ref="B28:F28"/>
    <mergeCell ref="B23:F23"/>
    <mergeCell ref="J3:J4"/>
    <mergeCell ref="J5:J6"/>
    <mergeCell ref="J7:J8"/>
    <mergeCell ref="B16:F16"/>
    <mergeCell ref="B17:F17"/>
    <mergeCell ref="B18:F18"/>
    <mergeCell ref="B19:F19"/>
    <mergeCell ref="B20:F20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3" shapeId="1861191" r:id="rId1"/>
    <oleObject progId="Equation.3" shapeId="1861190" r:id="rId2"/>
    <oleObject progId="Equation.3" shapeId="186118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14.00390625" style="0" customWidth="1"/>
  </cols>
  <sheetData>
    <row r="1" ht="12.75">
      <c r="A1" s="1" t="str">
        <f>'ER'!A1</f>
        <v>ER Volyncement for PDD rev4.0 dated 18.02.2010</v>
      </c>
    </row>
    <row r="2" spans="1:4" ht="12.75">
      <c r="A2" s="197" t="s">
        <v>98</v>
      </c>
      <c r="B2" s="197"/>
      <c r="C2" s="197"/>
      <c r="D2" s="197"/>
    </row>
    <row r="3" spans="1:4" ht="12.75">
      <c r="A3" s="46" t="s">
        <v>97</v>
      </c>
      <c r="B3" s="47">
        <v>2004</v>
      </c>
      <c r="C3" s="47">
        <v>2005</v>
      </c>
      <c r="D3" s="48">
        <v>2006</v>
      </c>
    </row>
    <row r="4" spans="1:4" ht="12.75">
      <c r="A4" s="49" t="s">
        <v>96</v>
      </c>
      <c r="B4" s="54">
        <v>6.020906</v>
      </c>
      <c r="C4" s="54">
        <v>6.033467000000001</v>
      </c>
      <c r="D4" s="55">
        <v>5.953914000000001</v>
      </c>
    </row>
    <row r="5" spans="1:4" ht="12.75">
      <c r="A5" s="49"/>
      <c r="B5" s="50"/>
      <c r="C5" s="50"/>
      <c r="D5" s="51"/>
    </row>
    <row r="6" spans="1:4" ht="12.75">
      <c r="A6" s="52"/>
      <c r="B6" s="53" t="s">
        <v>95</v>
      </c>
      <c r="C6" s="53"/>
      <c r="D6" s="56">
        <v>6.002762333333334</v>
      </c>
    </row>
    <row r="7" ht="12.75">
      <c r="A7" t="s">
        <v>118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s="1" t="str">
        <f>'ER'!A1</f>
        <v>ER Volyncement for PDD rev4.0 dated 18.02.2010</v>
      </c>
    </row>
    <row r="2" spans="1:4" ht="12.75">
      <c r="A2" s="28" t="s">
        <v>111</v>
      </c>
      <c r="D2">
        <v>1.6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"/>
    </sheetView>
  </sheetViews>
  <sheetFormatPr defaultColWidth="9.125" defaultRowHeight="12.75"/>
  <cols>
    <col min="1" max="1" width="18.375" style="62" customWidth="1"/>
    <col min="2" max="2" width="10.875" style="62" customWidth="1"/>
    <col min="3" max="3" width="12.00390625" style="62" bestFit="1" customWidth="1"/>
    <col min="4" max="16384" width="9.125" style="62" customWidth="1"/>
  </cols>
  <sheetData>
    <row r="1" ht="12.75">
      <c r="A1" s="1" t="str">
        <f>'ER'!A1</f>
        <v>ER Volyncement for PDD rev4.0 dated 18.02.2010</v>
      </c>
    </row>
    <row r="2" ht="12.75">
      <c r="A2" s="63" t="s">
        <v>101</v>
      </c>
    </row>
    <row r="3" spans="1:6" ht="12.75">
      <c r="A3" s="63"/>
      <c r="C3" s="62">
        <v>2010</v>
      </c>
      <c r="D3" s="62">
        <v>2011</v>
      </c>
      <c r="E3" s="62">
        <v>2012</v>
      </c>
      <c r="F3" s="62">
        <v>2013</v>
      </c>
    </row>
    <row r="4" spans="1:5" ht="66">
      <c r="A4" s="111" t="s">
        <v>113</v>
      </c>
      <c r="B4" s="114" t="s">
        <v>102</v>
      </c>
      <c r="C4" s="108">
        <f>'ER'!F71</f>
        <v>79376</v>
      </c>
      <c r="D4" s="108">
        <f>'ER'!G71</f>
        <v>79376</v>
      </c>
      <c r="E4" s="108">
        <f>'ER'!H71</f>
        <v>175538</v>
      </c>
    </row>
    <row r="5" spans="1:5" ht="39">
      <c r="A5" s="112" t="s">
        <v>103</v>
      </c>
      <c r="B5" s="115" t="s">
        <v>104</v>
      </c>
      <c r="C5" s="109">
        <v>780</v>
      </c>
      <c r="D5" s="109">
        <v>780</v>
      </c>
      <c r="E5" s="109">
        <v>780</v>
      </c>
    </row>
    <row r="6" spans="1:5" ht="66">
      <c r="A6" s="112" t="s">
        <v>105</v>
      </c>
      <c r="B6" s="116" t="s">
        <v>106</v>
      </c>
      <c r="C6" s="109">
        <v>85</v>
      </c>
      <c r="D6" s="109">
        <v>85</v>
      </c>
      <c r="E6" s="109">
        <v>85</v>
      </c>
    </row>
    <row r="7" spans="1:5" ht="12.75">
      <c r="A7" s="112" t="s">
        <v>107</v>
      </c>
      <c r="B7" s="115" t="s">
        <v>33</v>
      </c>
      <c r="C7" s="109">
        <v>0.896</v>
      </c>
      <c r="D7" s="109">
        <v>0.896</v>
      </c>
      <c r="E7" s="109">
        <v>0.896</v>
      </c>
    </row>
    <row r="8" spans="1:5" ht="39">
      <c r="A8" s="113" t="s">
        <v>108</v>
      </c>
      <c r="B8" s="117" t="s">
        <v>119</v>
      </c>
      <c r="C8" s="110">
        <f>C4*C5*C6*C7/10000000</f>
        <v>471.53154048000005</v>
      </c>
      <c r="D8" s="110">
        <f>D4*D5*D6*D7/10000000</f>
        <v>471.53154048000005</v>
      </c>
      <c r="E8" s="110">
        <f>E4*E5*E6*E7/10000000</f>
        <v>1042.77997824</v>
      </c>
    </row>
    <row r="10" ht="12.75">
      <c r="A10" s="118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23.50390625" style="0" customWidth="1"/>
    <col min="2" max="2" width="19.625" style="0" customWidth="1"/>
  </cols>
  <sheetData>
    <row r="1" ht="12.75">
      <c r="A1" s="1" t="str">
        <f>'ER'!A1</f>
        <v>ER Volyncement for PDD rev4.0 dated 18.02.2010</v>
      </c>
    </row>
    <row r="2" ht="12.75">
      <c r="A2" s="28" t="s">
        <v>121</v>
      </c>
    </row>
    <row r="3" spans="1:3" ht="12.75">
      <c r="A3" s="45" t="s">
        <v>88</v>
      </c>
      <c r="B3" s="30" t="s">
        <v>87</v>
      </c>
      <c r="C3" s="31">
        <v>5646.356250000001</v>
      </c>
    </row>
    <row r="4" spans="1:3" ht="12.75">
      <c r="A4" s="32"/>
      <c r="B4" s="33" t="s">
        <v>29</v>
      </c>
      <c r="C4" s="34">
        <f>C3*4.187/1000</f>
        <v>23.641293618750005</v>
      </c>
    </row>
    <row r="5" spans="1:3" ht="12.75" hidden="1">
      <c r="A5" s="29"/>
      <c r="B5" s="29"/>
      <c r="C5" s="29"/>
    </row>
    <row r="6" spans="1:3" ht="12.75" hidden="1">
      <c r="A6" s="29"/>
      <c r="B6" s="29"/>
      <c r="C6" s="29"/>
    </row>
    <row r="7" spans="1:3" ht="12.75">
      <c r="A7" s="35" t="s">
        <v>89</v>
      </c>
      <c r="B7" s="36" t="s">
        <v>23</v>
      </c>
      <c r="C7" s="37">
        <v>2500</v>
      </c>
    </row>
    <row r="8" spans="1:3" ht="12.75">
      <c r="A8" s="38" t="s">
        <v>92</v>
      </c>
      <c r="B8" s="39" t="s">
        <v>90</v>
      </c>
      <c r="C8" s="40">
        <f>C9*1000</f>
        <v>120</v>
      </c>
    </row>
    <row r="9" spans="1:3" ht="12.75">
      <c r="A9" s="38" t="s">
        <v>93</v>
      </c>
      <c r="B9" s="39" t="s">
        <v>91</v>
      </c>
      <c r="C9" s="41">
        <v>0.12</v>
      </c>
    </row>
    <row r="10" spans="1:3" ht="12.75">
      <c r="A10" s="42" t="s">
        <v>94</v>
      </c>
      <c r="B10" s="43" t="s">
        <v>29</v>
      </c>
      <c r="C10" s="44">
        <f>C8*C7/1000000</f>
        <v>0.3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Sokolov</cp:lastModifiedBy>
  <cp:lastPrinted>2008-11-27T14:00:16Z</cp:lastPrinted>
  <dcterms:created xsi:type="dcterms:W3CDTF">2008-07-15T07:31:05Z</dcterms:created>
  <dcterms:modified xsi:type="dcterms:W3CDTF">2010-02-18T15:29:17Z</dcterms:modified>
  <cp:category/>
  <cp:version/>
  <cp:contentType/>
  <cp:contentStatus/>
</cp:coreProperties>
</file>