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70" windowHeight="11760" tabRatio="717" activeTab="0"/>
  </bookViews>
  <sheets>
    <sheet name="K22-ERU2 ER table V5" sheetId="1" r:id="rId1"/>
  </sheets>
  <definedNames>
    <definedName name="OLE_LINK10" localSheetId="0">'K22-ERU2 ER table V5'!$AM$3</definedName>
    <definedName name="OLE_LINK11" localSheetId="0">'K22-ERU2 ER table V5'!$AM$4</definedName>
    <definedName name="OLE_LINK12" localSheetId="0">'K22-ERU2 ER table V5'!$AQ$4</definedName>
    <definedName name="OLE_LINK3" localSheetId="0">'K22-ERU2 ER table V5'!$Y$4</definedName>
    <definedName name="OLE_LINK4" localSheetId="0">'K22-ERU2 ER table V5'!$AF$3</definedName>
    <definedName name="OLE_LINK5" localSheetId="0">'K22-ERU2 ER table V5'!$AF$4</definedName>
    <definedName name="OLE_LINK7" localSheetId="0">'K22-ERU2 ER table V5'!$AL$3</definedName>
    <definedName name="OLE_LINK8" localSheetId="0">'K22-ERU2 ER table V5'!$AL$4</definedName>
    <definedName name="_xlnm.Print_Area" localSheetId="0">'K22-ERU2 ER table V5'!$A$1:$BJ$33</definedName>
  </definedNames>
  <calcPr fullCalcOnLoad="1"/>
</workbook>
</file>

<file path=xl/comments1.xml><?xml version="1.0" encoding="utf-8"?>
<comments xmlns="http://schemas.openxmlformats.org/spreadsheetml/2006/main">
  <authors>
    <author>Adam Hadulla</author>
    <author>A-TEC</author>
    <author>A-TEC5</author>
  </authors>
  <commentList>
    <comment ref="AA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AF6"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AK6" authorId="0">
      <text>
        <r>
          <rPr>
            <b/>
            <sz val="8"/>
            <rFont val="Tahoma"/>
            <family val="0"/>
          </rPr>
          <t>Adam Hadulla:</t>
        </r>
        <r>
          <rPr>
            <sz val="8"/>
            <rFont val="Tahoma"/>
            <family val="0"/>
          </rPr>
          <t xml:space="preserve">
ex-ante value
constant</t>
        </r>
      </text>
    </comment>
    <comment ref="AL6" authorId="0">
      <text>
        <r>
          <rPr>
            <b/>
            <sz val="8"/>
            <rFont val="Tahoma"/>
            <family val="0"/>
          </rPr>
          <t>Adam Hadulla:</t>
        </r>
        <r>
          <rPr>
            <sz val="8"/>
            <rFont val="Tahoma"/>
            <family val="0"/>
          </rPr>
          <t xml:space="preserve">
ex-ante value
constant</t>
        </r>
      </text>
    </comment>
    <comment ref="AQ6" authorId="0">
      <text>
        <r>
          <rPr>
            <b/>
            <sz val="8"/>
            <rFont val="Tahoma"/>
            <family val="0"/>
          </rPr>
          <t>Adam Hadulla:</t>
        </r>
        <r>
          <rPr>
            <sz val="8"/>
            <rFont val="Tahoma"/>
            <family val="0"/>
          </rPr>
          <t xml:space="preserve">
ex-ante value
constant</t>
        </r>
      </text>
    </comment>
    <comment ref="BA6" authorId="0">
      <text>
        <r>
          <rPr>
            <b/>
            <sz val="8"/>
            <rFont val="Tahoma"/>
            <family val="0"/>
          </rPr>
          <t>Adam Hadulla:</t>
        </r>
        <r>
          <rPr>
            <sz val="8"/>
            <rFont val="Tahoma"/>
            <family val="0"/>
          </rPr>
          <t xml:space="preserve">
ex-ante value
constant</t>
        </r>
      </text>
    </comment>
    <comment ref="BH6" authorId="0">
      <text>
        <r>
          <rPr>
            <b/>
            <sz val="8"/>
            <rFont val="Tahoma"/>
            <family val="0"/>
          </rPr>
          <t>Adam Hadulla:</t>
        </r>
        <r>
          <rPr>
            <sz val="8"/>
            <rFont val="Tahoma"/>
            <family val="0"/>
          </rPr>
          <t xml:space="preserve">
ex-ante value 
constant
IPCC 2006</t>
        </r>
      </text>
    </comment>
    <comment ref="BB6" authorId="0">
      <text>
        <r>
          <rPr>
            <b/>
            <sz val="8"/>
            <rFont val="Tahoma"/>
            <family val="0"/>
          </rPr>
          <t>Adam Hadulla:</t>
        </r>
        <r>
          <rPr>
            <sz val="8"/>
            <rFont val="Tahoma"/>
            <family val="0"/>
          </rPr>
          <t xml:space="preserve">
ex-ante value
constant</t>
        </r>
      </text>
    </comment>
    <comment ref="AC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BF6" authorId="1">
      <text>
        <r>
          <rPr>
            <b/>
            <sz val="8"/>
            <rFont val="Tahoma"/>
            <family val="0"/>
          </rPr>
          <t xml:space="preserve">Adam Hadulla:
</t>
        </r>
        <r>
          <rPr>
            <sz val="8"/>
            <rFont val="Tahoma"/>
            <family val="2"/>
          </rPr>
          <t>The heat has not been measured but calculated using the utilised methane amount, the heating value of methane 9.965 kWh/m³ and the boiler efficiency</t>
        </r>
      </text>
    </comment>
    <comment ref="BJ6" authorId="2">
      <text>
        <r>
          <rPr>
            <b/>
            <sz val="9"/>
            <rFont val="Tahoma"/>
            <family val="0"/>
          </rPr>
          <t>A-TEC5:</t>
        </r>
        <r>
          <rPr>
            <sz val="9"/>
            <rFont val="Tahoma"/>
            <family val="0"/>
          </rPr>
          <t xml:space="preserve">
ex-ante value constant: lowest value of measured data from technical report</t>
        </r>
      </text>
    </comment>
    <comment ref="BI6" authorId="2">
      <text>
        <r>
          <rPr>
            <b/>
            <sz val="9"/>
            <rFont val="Tahoma"/>
            <family val="0"/>
          </rPr>
          <t>A-TEC5:</t>
        </r>
        <r>
          <rPr>
            <sz val="9"/>
            <rFont val="Tahoma"/>
            <family val="0"/>
          </rPr>
          <t xml:space="preserve">
ex-ante value constant: lowest value of measured data from technical report</t>
        </r>
      </text>
    </comment>
    <comment ref="Y16" authorId="0">
      <text>
        <r>
          <rPr>
            <b/>
            <sz val="8"/>
            <rFont val="Tahoma"/>
            <family val="0"/>
          </rPr>
          <t>Adam Hadulla:</t>
        </r>
        <r>
          <rPr>
            <sz val="8"/>
            <rFont val="Tahoma"/>
            <family val="0"/>
          </rPr>
          <t xml:space="preserve">
NEIA
2010 := 1.067
2011 := 1.063</t>
        </r>
      </text>
    </comment>
    <comment ref="Y6" authorId="0">
      <text>
        <r>
          <rPr>
            <b/>
            <sz val="8"/>
            <rFont val="Tahoma"/>
            <family val="0"/>
          </rPr>
          <t>Adam Hadulla:</t>
        </r>
        <r>
          <rPr>
            <sz val="8"/>
            <rFont val="Tahoma"/>
            <family val="0"/>
          </rPr>
          <t xml:space="preserve">
NEIA
2010 := 1.067
2011 := 1.063</t>
        </r>
      </text>
    </comment>
    <comment ref="BG6" authorId="0">
      <text>
        <r>
          <rPr>
            <b/>
            <sz val="8"/>
            <rFont val="Tahoma"/>
            <family val="0"/>
          </rPr>
          <t>Adam Hadulla:</t>
        </r>
        <r>
          <rPr>
            <sz val="8"/>
            <rFont val="Tahoma"/>
            <family val="0"/>
          </rPr>
          <t xml:space="preserve">
NEIA
2010 := 1.067
2011 := 1.063</t>
        </r>
      </text>
    </comment>
    <comment ref="BG16" authorId="0">
      <text>
        <r>
          <rPr>
            <b/>
            <sz val="8"/>
            <rFont val="Tahoma"/>
            <family val="0"/>
          </rPr>
          <t>Adam Hadulla:</t>
        </r>
        <r>
          <rPr>
            <sz val="8"/>
            <rFont val="Tahoma"/>
            <family val="0"/>
          </rPr>
          <t xml:space="preserve">
NEIA
2010 := 1.067
2011 := 1.063</t>
        </r>
      </text>
    </comment>
    <comment ref="AS15" authorId="2">
      <text>
        <r>
          <rPr>
            <b/>
            <sz val="9"/>
            <rFont val="Tahoma"/>
            <family val="0"/>
          </rPr>
          <t>A-TEC5:</t>
        </r>
        <r>
          <rPr>
            <sz val="9"/>
            <rFont val="Tahoma"/>
            <family val="0"/>
          </rPr>
          <t xml:space="preserve">
rounded down</t>
        </r>
      </text>
    </comment>
    <comment ref="AX19" authorId="2">
      <text>
        <r>
          <rPr>
            <b/>
            <sz val="9"/>
            <rFont val="Tahoma"/>
            <family val="0"/>
          </rPr>
          <t>A-TEC5:</t>
        </r>
        <r>
          <rPr>
            <sz val="9"/>
            <rFont val="Tahoma"/>
            <family val="0"/>
          </rPr>
          <t xml:space="preserve">
rounded up</t>
        </r>
      </text>
    </comment>
    <comment ref="AY20" authorId="2">
      <text>
        <r>
          <rPr>
            <b/>
            <sz val="9"/>
            <rFont val="Tahoma"/>
            <family val="0"/>
          </rPr>
          <t>A-TEC5:</t>
        </r>
        <r>
          <rPr>
            <sz val="9"/>
            <rFont val="Tahoma"/>
            <family val="0"/>
          </rPr>
          <t xml:space="preserve">
rounded down</t>
        </r>
      </text>
    </comment>
    <comment ref="Q20" authorId="2">
      <text>
        <r>
          <rPr>
            <b/>
            <sz val="9"/>
            <rFont val="Tahoma"/>
            <family val="0"/>
          </rPr>
          <t>A-TEC5:</t>
        </r>
        <r>
          <rPr>
            <sz val="9"/>
            <rFont val="Tahoma"/>
            <family val="0"/>
          </rPr>
          <t xml:space="preserve">
rounded down</t>
        </r>
      </text>
    </comment>
  </commentList>
</comments>
</file>

<file path=xl/sharedStrings.xml><?xml version="1.0" encoding="utf-8"?>
<sst xmlns="http://schemas.openxmlformats.org/spreadsheetml/2006/main" count="232" uniqueCount="174">
  <si>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</si>
  <si>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</si>
  <si>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</si>
  <si>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</si>
  <si>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</si>
  <si>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</si>
  <si>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</si>
  <si>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</si>
  <si>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</si>
  <si>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</si>
  <si>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</si>
  <si>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</si>
  <si>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</si>
  <si>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</si>
  <si>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</si>
  <si>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</si>
  <si>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</si>
  <si>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</si>
  <si>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</si>
  <si>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</si>
  <si>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</si>
  <si>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</si>
  <si>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</si>
  <si>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</si>
  <si>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</si>
  <si>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</si>
  <si>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</si>
  <si>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</si>
  <si>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</si>
  <si>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</si>
  <si>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Heat generation by project</t>
  </si>
  <si>
    <t>CO2 emission factor of the grid</t>
  </si>
  <si>
    <t>CO2 emission factor of fuel used for captive power or heat</t>
  </si>
  <si>
    <t>P1</t>
  </si>
  <si>
    <t>P11</t>
  </si>
  <si>
    <t>P12</t>
  </si>
  <si>
    <t>P13</t>
  </si>
  <si>
    <t>P14</t>
  </si>
  <si>
    <t>P15</t>
  </si>
  <si>
    <t>P16</t>
  </si>
  <si>
    <t>Project emissions from energy use to capture and use methane</t>
  </si>
  <si>
    <t>Methane destroyed by flare</t>
  </si>
  <si>
    <t>Methane sent to flare</t>
  </si>
  <si>
    <t>Methane destroyed by power generation</t>
  </si>
  <si>
    <t>Methane sent to power plant</t>
  </si>
  <si>
    <t>Efficiency of methane destruction / oxidation in power plant</t>
  </si>
  <si>
    <t>Methane destroyed by heat generation</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</si>
  <si>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</si>
  <si>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</si>
  <si>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</si>
  <si>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</si>
  <si>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</si>
  <si>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</si>
  <si>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</si>
  <si>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</si>
  <si>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</si>
  <si>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</si>
  <si>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</si>
  <si>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</si>
  <si>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</si>
  <si>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colour codes</t>
  </si>
  <si>
    <t>green</t>
  </si>
  <si>
    <t>input data</t>
  </si>
  <si>
    <t>white</t>
  </si>
  <si>
    <t>calculated data</t>
  </si>
  <si>
    <t xml:space="preserve">Project emissions </t>
  </si>
  <si>
    <t xml:space="preserve">Baseline emissions </t>
  </si>
  <si>
    <t>CMM captured in the project activity</t>
  </si>
  <si>
    <t>HEAT</t>
  </si>
  <si>
    <t>GEN</t>
  </si>
  <si>
    <t>BE</t>
  </si>
  <si>
    <t>PE</t>
  </si>
  <si>
    <t>data sources:</t>
  </si>
  <si>
    <t>Total 2010</t>
  </si>
  <si>
    <t>Values put into MR</t>
  </si>
  <si>
    <t>blue</t>
  </si>
  <si>
    <t>Total 2011</t>
  </si>
  <si>
    <t>total methane amount utilised (sent to)</t>
  </si>
  <si>
    <t>methane amount sent to
boiler</t>
  </si>
  <si>
    <t>m³ CH4</t>
  </si>
  <si>
    <t xml:space="preserve">Flare combustion efficiency, determined by the flame temperature and operation hours </t>
  </si>
  <si>
    <t>Baseline emissions from release of methane into the atmosphere that is avoided by the project activity (flare)</t>
  </si>
  <si>
    <t>Baseline emissions from the production of power, heat or supply to gas grid replaced by the project activity (heat)</t>
  </si>
  <si>
    <t>Project emissions from methane destroyed and uncombusted methane (flare)</t>
  </si>
  <si>
    <t>Baseline emissions from the production of power, heat or supply to gas grid replaced by the project activity (power)</t>
  </si>
  <si>
    <t>Project emissions from methane destroyed (Total)</t>
  </si>
  <si>
    <t>Project emissions from uncombusted methane (Total)</t>
  </si>
  <si>
    <r>
      <t>Carbon emission factor of CONS</t>
    </r>
    <r>
      <rPr>
        <sz val="8"/>
        <rFont val="Arial"/>
        <family val="2"/>
      </rPr>
      <t>ELEC,PJ</t>
    </r>
  </si>
  <si>
    <r>
      <t>t CO</t>
    </r>
    <r>
      <rPr>
        <sz val="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</si>
  <si>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</si>
  <si>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</si>
  <si>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</si>
  <si>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</si>
  <si>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</si>
  <si>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t>
    </r>
  </si>
  <si>
    <r>
      <t>PE</t>
    </r>
    <r>
      <rPr>
        <vertAlign val="subscript"/>
        <sz val="11"/>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</si>
  <si>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</si>
  <si>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</si>
  <si>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</si>
  <si>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</si>
  <si>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</si>
  <si>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</si>
  <si>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</si>
  <si>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</si>
  <si>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</si>
  <si>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</si>
  <si>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</si>
  <si>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</si>
  <si>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</si>
  <si>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</si>
  <si>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</si>
  <si>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</si>
  <si>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</si>
  <si>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</si>
  <si>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</si>
  <si>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t>turquoise</t>
  </si>
  <si>
    <t>P3/4</t>
  </si>
  <si>
    <t>Heat generation by boiler</t>
  </si>
  <si>
    <t>Heat generation by ventilation air heater</t>
  </si>
  <si>
    <t>Energy efficiency of VAH</t>
  </si>
  <si>
    <t>methane amount sent to
ventilation air heater</t>
  </si>
  <si>
    <t>methane amount sent to power plant</t>
  </si>
  <si>
    <t>Methane sent to heat plant</t>
  </si>
  <si>
    <t>Baseline emissions from release of methane into the atmosphere that is avoided by the project activity (heat plant)</t>
  </si>
  <si>
    <t>Baseline emissions from release of methane into the atmosphere that is avoided by the project activity (power plant)</t>
  </si>
  <si>
    <t>Project emissions from methane destroyed and uncombusted methane (heat plant)</t>
  </si>
  <si>
    <t>Project emissions from methane destroyed and uncombusted methane (power plant)</t>
  </si>
  <si>
    <t>Emission Reductions - K22 from 2010-04-01 to 2011-03-15</t>
  </si>
  <si>
    <t>K22-B1_Measuring Data_2010-06-12 to 2011-03-15.V2.xls</t>
  </si>
  <si>
    <t>K22-VAH_Measuring Data_2010-12-15 to 2011-03-15.V2.xls</t>
  </si>
  <si>
    <t>K22-F1_Measuring_Data_2010-04-01 to 2011-03-15.V2.xls</t>
  </si>
  <si>
    <t>K22-F2_Measuring_Data_2010-08-07 to 2011-03-15.V2.xls</t>
  </si>
  <si>
    <t>K22-F3_Measuring_Data_2010-11-05 to 2011-03-15.V2.xls</t>
  </si>
  <si>
    <t>methane amount sent to flare 1</t>
  </si>
  <si>
    <t>methane amount destroyed by flare 1</t>
  </si>
  <si>
    <t>methane amount sent to flare 2</t>
  </si>
  <si>
    <t>methane amount destroyed by flare 2</t>
  </si>
  <si>
    <t>methane amount sent to flare 3</t>
  </si>
  <si>
    <t>methane amount destroyed by flare 3</t>
  </si>
  <si>
    <t>methane concen-tration (flare 1)</t>
  </si>
  <si>
    <r>
      <t xml:space="preserve">methane amount destroyed by flare </t>
    </r>
    <r>
      <rPr>
        <b/>
        <sz val="10"/>
        <rFont val="Arial"/>
        <family val="2"/>
      </rPr>
      <t>SUM</t>
    </r>
  </si>
  <si>
    <r>
      <t xml:space="preserve">methane amount sent to flare </t>
    </r>
    <r>
      <rPr>
        <b/>
        <sz val="10"/>
        <rFont val="Arial"/>
        <family val="2"/>
      </rPr>
      <t>SUM</t>
    </r>
  </si>
  <si>
    <t>K22-M1_Measuring_Data_2010-04-01 to 2011-03-15.V2b.xls</t>
  </si>
  <si>
    <t>t CO2eq / t CH4</t>
  </si>
  <si>
    <r>
      <t>Eff</t>
    </r>
    <r>
      <rPr>
        <vertAlign val="subscript"/>
        <sz val="11"/>
        <color indexed="8"/>
        <rFont val="Times New Roman"/>
        <family val="1"/>
      </rPr>
      <t>COAL</t>
    </r>
  </si>
  <si>
    <r>
      <t>Eff</t>
    </r>
    <r>
      <rPr>
        <vertAlign val="subscript"/>
        <sz val="10"/>
        <rFont val="Times New Roman"/>
        <family val="1"/>
      </rPr>
      <t>VAH</t>
    </r>
  </si>
  <si>
    <r>
      <t>EF</t>
    </r>
    <r>
      <rPr>
        <vertAlign val="subscript"/>
        <sz val="11"/>
        <rFont val="Times New Roman"/>
        <family val="1"/>
      </rPr>
      <t>HEAT</t>
    </r>
  </si>
  <si>
    <t>1.to15.March-11</t>
  </si>
  <si>
    <t>Total Monito-ring Period</t>
  </si>
  <si>
    <t>P9</t>
  </si>
  <si>
    <r>
      <t>PE</t>
    </r>
    <r>
      <rPr>
        <vertAlign val="subscript"/>
        <sz val="11"/>
        <color indexed="8"/>
        <rFont val="Times New Roman"/>
        <family val="1"/>
      </rPr>
      <t>Flare</t>
    </r>
  </si>
  <si>
    <t>Project emissions from flaring</t>
  </si>
  <si>
    <r>
      <t>MM</t>
    </r>
    <r>
      <rPr>
        <vertAlign val="subscript"/>
        <sz val="11"/>
        <rFont val="Times New Roman"/>
        <family val="1"/>
      </rPr>
      <t>VAH</t>
    </r>
  </si>
  <si>
    <t>Methane sent to ventilation air heater</t>
  </si>
  <si>
    <r>
      <t>t CH</t>
    </r>
    <r>
      <rPr>
        <sz val="8"/>
        <color indexed="8"/>
        <rFont val="Arial"/>
        <family val="2"/>
      </rPr>
      <t>4</t>
    </r>
  </si>
  <si>
    <r>
      <t>MM</t>
    </r>
    <r>
      <rPr>
        <vertAlign val="subscript"/>
        <sz val="11"/>
        <color indexed="8"/>
        <rFont val="Times New Roman"/>
        <family val="1"/>
      </rPr>
      <t>Boiler</t>
    </r>
  </si>
  <si>
    <t>Methane sent to boilers</t>
  </si>
  <si>
    <t>Baseline emissions from release of methane into the atmosphere that is avoided by the project activity</t>
  </si>
  <si>
    <t>Baseline emissions from the production of power, heat or supply to gas grid replaced by the project activity</t>
  </si>
  <si>
    <r>
      <t>BE</t>
    </r>
    <r>
      <rPr>
        <vertAlign val="subscript"/>
        <sz val="11"/>
        <rFont val="Times New Roman"/>
        <family val="1"/>
      </rPr>
      <t>MR,flare</t>
    </r>
  </si>
  <si>
    <r>
      <t>BE</t>
    </r>
    <r>
      <rPr>
        <vertAlign val="subscript"/>
        <sz val="11"/>
        <rFont val="Times New Roman"/>
        <family val="1"/>
      </rPr>
      <t>MR,power</t>
    </r>
  </si>
  <si>
    <r>
      <t>BE</t>
    </r>
    <r>
      <rPr>
        <vertAlign val="subscript"/>
        <sz val="11"/>
        <rFont val="Times New Roman"/>
        <family val="1"/>
      </rPr>
      <t>MR,heat</t>
    </r>
  </si>
  <si>
    <r>
      <t>BE</t>
    </r>
    <r>
      <rPr>
        <vertAlign val="subscript"/>
        <sz val="11"/>
        <rFont val="Times New Roman"/>
        <family val="1"/>
      </rPr>
      <t>Use,heat</t>
    </r>
  </si>
  <si>
    <r>
      <t>BE</t>
    </r>
    <r>
      <rPr>
        <vertAlign val="subscript"/>
        <sz val="11"/>
        <rFont val="Times New Roman"/>
        <family val="1"/>
      </rPr>
      <t>Use,power</t>
    </r>
  </si>
  <si>
    <r>
      <t>HEAT</t>
    </r>
    <r>
      <rPr>
        <vertAlign val="subscript"/>
        <sz val="11"/>
        <color indexed="8"/>
        <rFont val="Times New Roman"/>
        <family val="1"/>
      </rPr>
      <t>VAH</t>
    </r>
  </si>
  <si>
    <r>
      <t>HEAT</t>
    </r>
    <r>
      <rPr>
        <vertAlign val="subscript"/>
        <sz val="11"/>
        <color indexed="8"/>
        <rFont val="Times New Roman"/>
        <family val="1"/>
      </rPr>
      <t>Boiler</t>
    </r>
  </si>
  <si>
    <r>
      <t>EF</t>
    </r>
    <r>
      <rPr>
        <vertAlign val="subscript"/>
        <sz val="11"/>
        <rFont val="Times New Roman"/>
        <family val="1"/>
      </rPr>
      <t>ELEC</t>
    </r>
  </si>
  <si>
    <t>Energy efficiency of previously coal fired heat plant</t>
  </si>
  <si>
    <r>
      <t>PE</t>
    </r>
    <r>
      <rPr>
        <vertAlign val="subscript"/>
        <sz val="11"/>
        <rFont val="Times New Roman"/>
        <family val="1"/>
      </rPr>
      <t>MD+UM,flare</t>
    </r>
  </si>
  <si>
    <r>
      <t>PE</t>
    </r>
    <r>
      <rPr>
        <vertAlign val="subscript"/>
        <sz val="11"/>
        <rFont val="Times New Roman"/>
        <family val="1"/>
      </rPr>
      <t>MD+UM,heat plant</t>
    </r>
  </si>
  <si>
    <r>
      <t>PE</t>
    </r>
    <r>
      <rPr>
        <vertAlign val="subscript"/>
        <sz val="11"/>
        <rFont val="Times New Roman"/>
        <family val="1"/>
      </rPr>
      <t>MD+UM,power</t>
    </r>
  </si>
  <si>
    <t>Electricity generation by project (DEIF Counter)</t>
  </si>
  <si>
    <t>Additional electricity consumption by project (power generation)</t>
  </si>
  <si>
    <t>Extension since Version 3. Columns S, T, U have been added for detailed demonstration of the emissions by sources.</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</si>
</sst>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9]mmmm\-yy;@"/>
    <numFmt numFmtId="202" formatCode="#,##0.0000"/>
  </numFmts>
  <fonts count="56">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color indexed="8"/>
      <name val="Arial"/>
      <family val="0"/>
    </font>
    <font>
      <sz val="9"/>
      <name val="Tahoma"/>
      <family val="0"/>
    </font>
    <font>
      <b/>
      <sz val="9"/>
      <name val="Tahoma"/>
      <family val="0"/>
    </font>
    <font>
      <b/>
      <sz val="11"/>
      <name val="Times New Roman"/>
      <family val="1"/>
    </font>
    <font>
      <sz val="8"/>
      <name val="Arial"/>
      <family val="2"/>
    </font>
    <font>
      <sz val="11"/>
      <color indexed="8"/>
      <name val="Times New Roman"/>
      <family val="1"/>
    </font>
    <font>
      <vertAlign val="subscript"/>
      <sz val="11"/>
      <name val="Times New Roman"/>
      <family val="1"/>
    </font>
    <font>
      <sz val="11"/>
      <name val="Times New Roman"/>
      <family val="1"/>
    </font>
    <font>
      <vertAlign val="subscript"/>
      <sz val="11"/>
      <color indexed="8"/>
      <name val="Times New Roman"/>
      <family val="1"/>
    </font>
    <font>
      <vertAlign val="subscript"/>
      <sz val="10"/>
      <name val="Times New Roman"/>
      <family val="1"/>
    </font>
    <font>
      <sz val="8"/>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0" fillId="0" borderId="10" xfId="0" applyBorder="1" applyAlignment="1">
      <alignment/>
    </xf>
    <xf numFmtId="19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197" fontId="2" fillId="0" borderId="11" xfId="0" applyNumberFormat="1" applyFont="1" applyBorder="1" applyAlignment="1">
      <alignment horizontal="right"/>
    </xf>
    <xf numFmtId="3" fontId="2" fillId="0" borderId="11"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92" fontId="2" fillId="0" borderId="11" xfId="0" applyNumberFormat="1" applyFont="1" applyBorder="1" applyAlignment="1">
      <alignment horizontal="right" vertical="center" wrapText="1"/>
    </xf>
    <xf numFmtId="3" fontId="2" fillId="0" borderId="11"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93"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3"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4" borderId="10" xfId="0" applyNumberFormat="1" applyFont="1" applyFill="1" applyBorder="1" applyAlignment="1">
      <alignment/>
    </xf>
    <xf numFmtId="1" fontId="0" fillId="34" borderId="0" xfId="0" applyNumberFormat="1" applyFill="1" applyAlignment="1">
      <alignment/>
    </xf>
    <xf numFmtId="3" fontId="0" fillId="0" borderId="0" xfId="0" applyNumberFormat="1" applyAlignment="1">
      <alignment/>
    </xf>
    <xf numFmtId="0" fontId="0" fillId="3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8" fontId="9" fillId="0" borderId="0" xfId="0" applyNumberFormat="1" applyFont="1" applyFill="1" applyBorder="1" applyAlignment="1">
      <alignment/>
    </xf>
    <xf numFmtId="190" fontId="0" fillId="0" borderId="0" xfId="0" applyNumberFormat="1" applyFill="1" applyBorder="1" applyAlignment="1">
      <alignment/>
    </xf>
    <xf numFmtId="3" fontId="0" fillId="33" borderId="0" xfId="0" applyNumberFormat="1" applyFill="1" applyAlignment="1" applyProtection="1">
      <alignment/>
      <protection locked="0"/>
    </xf>
    <xf numFmtId="3" fontId="2" fillId="35" borderId="11" xfId="0" applyNumberFormat="1" applyFont="1" applyFill="1" applyBorder="1" applyAlignment="1">
      <alignment horizontal="right" vertical="center"/>
    </xf>
    <xf numFmtId="3" fontId="2" fillId="0" borderId="11" xfId="0" applyNumberFormat="1" applyFont="1" applyFill="1" applyBorder="1" applyAlignment="1">
      <alignment/>
    </xf>
    <xf numFmtId="3" fontId="2" fillId="0" borderId="11" xfId="0" applyNumberFormat="1" applyFont="1" applyFill="1" applyBorder="1" applyAlignment="1">
      <alignment horizontal="right" vertical="center"/>
    </xf>
    <xf numFmtId="198" fontId="0" fillId="33" borderId="0" xfId="0" applyNumberFormat="1" applyFont="1" applyFill="1" applyBorder="1" applyAlignment="1">
      <alignment/>
    </xf>
    <xf numFmtId="0" fontId="0" fillId="0" borderId="12" xfId="0" applyBorder="1" applyAlignment="1">
      <alignment/>
    </xf>
    <xf numFmtId="3" fontId="0" fillId="0" borderId="12" xfId="0" applyNumberFormat="1" applyFill="1" applyBorder="1" applyAlignment="1">
      <alignment/>
    </xf>
    <xf numFmtId="3" fontId="2" fillId="0" borderId="13" xfId="0" applyNumberFormat="1" applyFont="1" applyBorder="1" applyAlignment="1">
      <alignment/>
    </xf>
    <xf numFmtId="198" fontId="0" fillId="0" borderId="0" xfId="0" applyNumberFormat="1" applyAlignment="1">
      <alignment/>
    </xf>
    <xf numFmtId="3" fontId="0" fillId="0" borderId="0" xfId="0" applyNumberFormat="1" applyAlignment="1" applyProtection="1">
      <alignment/>
      <protection locked="0"/>
    </xf>
    <xf numFmtId="193" fontId="0" fillId="0" borderId="0" xfId="0" applyNumberFormat="1" applyFont="1" applyFill="1" applyBorder="1" applyAlignment="1">
      <alignment horizontal="center"/>
    </xf>
    <xf numFmtId="198" fontId="0" fillId="0" borderId="0" xfId="0" applyNumberFormat="1" applyBorder="1" applyAlignment="1">
      <alignment/>
    </xf>
    <xf numFmtId="193" fontId="0" fillId="0" borderId="0" xfId="0" applyNumberFormat="1" applyFill="1" applyBorder="1" applyAlignment="1" quotePrefix="1">
      <alignment horizontal="center"/>
    </xf>
    <xf numFmtId="3" fontId="2" fillId="35" borderId="11" xfId="0" applyNumberFormat="1" applyFont="1" applyFill="1" applyBorder="1" applyAlignment="1">
      <alignment/>
    </xf>
    <xf numFmtId="201" fontId="0" fillId="0" borderId="0" xfId="0" applyNumberFormat="1" applyAlignment="1">
      <alignment/>
    </xf>
    <xf numFmtId="198" fontId="2" fillId="0" borderId="11" xfId="0" applyNumberFormat="1" applyFont="1" applyBorder="1" applyAlignment="1">
      <alignment/>
    </xf>
    <xf numFmtId="0" fontId="3" fillId="0" borderId="0" xfId="0" applyFont="1" applyFill="1" applyAlignment="1">
      <alignment/>
    </xf>
    <xf numFmtId="0" fontId="0" fillId="0" borderId="0" xfId="0" applyFont="1" applyAlignment="1">
      <alignment/>
    </xf>
    <xf numFmtId="0" fontId="12" fillId="0" borderId="0" xfId="0" applyFont="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12"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14" xfId="0" applyFont="1" applyBorder="1" applyAlignment="1">
      <alignment horizontal="right"/>
    </xf>
    <xf numFmtId="198" fontId="0" fillId="0" borderId="14" xfId="0" applyNumberFormat="1" applyFont="1" applyFill="1" applyBorder="1" applyAlignment="1">
      <alignment horizontal="right" wrapText="1"/>
    </xf>
    <xf numFmtId="198" fontId="0" fillId="0" borderId="15" xfId="0" applyNumberFormat="1" applyFont="1" applyFill="1" applyBorder="1" applyAlignment="1">
      <alignment horizontal="right" wrapText="1"/>
    </xf>
    <xf numFmtId="0" fontId="0" fillId="0" borderId="14" xfId="0" applyFont="1" applyFill="1" applyBorder="1" applyAlignment="1">
      <alignment horizontal="right"/>
    </xf>
    <xf numFmtId="0" fontId="0" fillId="0" borderId="14" xfId="0" applyFont="1" applyBorder="1" applyAlignment="1">
      <alignment horizontal="right" wrapText="1"/>
    </xf>
    <xf numFmtId="0" fontId="0" fillId="0" borderId="14" xfId="0" applyFont="1" applyFill="1" applyBorder="1" applyAlignment="1">
      <alignment horizontal="right" wrapText="1"/>
    </xf>
    <xf numFmtId="0" fontId="0" fillId="0" borderId="0" xfId="0" applyFont="1" applyAlignment="1">
      <alignment horizontal="right"/>
    </xf>
    <xf numFmtId="0" fontId="0" fillId="0" borderId="10" xfId="0" applyFont="1" applyBorder="1" applyAlignment="1">
      <alignment wrapText="1"/>
    </xf>
    <xf numFmtId="0" fontId="0" fillId="0" borderId="16" xfId="0" applyFont="1" applyBorder="1" applyAlignment="1">
      <alignment wrapText="1"/>
    </xf>
    <xf numFmtId="0" fontId="14" fillId="0" borderId="10" xfId="0" applyFont="1" applyBorder="1" applyAlignment="1">
      <alignment wrapText="1"/>
    </xf>
    <xf numFmtId="0" fontId="16" fillId="0" borderId="10" xfId="0" applyFont="1" applyBorder="1" applyAlignment="1">
      <alignment wrapText="1"/>
    </xf>
    <xf numFmtId="0" fontId="14" fillId="0" borderId="10" xfId="0" applyFont="1" applyFill="1" applyBorder="1" applyAlignment="1">
      <alignment wrapText="1"/>
    </xf>
    <xf numFmtId="0" fontId="0" fillId="0" borderId="0" xfId="0" applyFont="1" applyAlignment="1">
      <alignment wrapText="1"/>
    </xf>
    <xf numFmtId="0" fontId="0" fillId="36" borderId="0" xfId="0" applyFill="1" applyAlignment="1">
      <alignment/>
    </xf>
    <xf numFmtId="0" fontId="3" fillId="36" borderId="0" xfId="0" applyFont="1" applyFill="1" applyAlignment="1">
      <alignment/>
    </xf>
    <xf numFmtId="0" fontId="14" fillId="36" borderId="10" xfId="0" applyFont="1" applyFill="1" applyBorder="1" applyAlignment="1">
      <alignment wrapText="1"/>
    </xf>
    <xf numFmtId="3" fontId="0" fillId="0" borderId="0" xfId="0" applyNumberFormat="1" applyFill="1" applyAlignment="1" applyProtection="1">
      <alignment/>
      <protection locked="0"/>
    </xf>
    <xf numFmtId="0" fontId="2" fillId="0" borderId="14" xfId="0" applyFont="1" applyBorder="1" applyAlignment="1">
      <alignment horizontal="right" wrapText="1"/>
    </xf>
    <xf numFmtId="3" fontId="9" fillId="33" borderId="0" xfId="0" applyNumberFormat="1" applyFont="1" applyFill="1" applyAlignment="1" applyProtection="1">
      <alignment/>
      <protection locked="0"/>
    </xf>
    <xf numFmtId="197" fontId="0" fillId="0" borderId="0" xfId="0" applyNumberFormat="1" applyAlignment="1">
      <alignment horizontal="right"/>
    </xf>
    <xf numFmtId="0" fontId="0" fillId="0" borderId="14" xfId="0" applyBorder="1" applyAlignment="1">
      <alignment horizontal="right"/>
    </xf>
    <xf numFmtId="1" fontId="0" fillId="33" borderId="0" xfId="0" applyNumberFormat="1" applyFill="1" applyAlignment="1">
      <alignment/>
    </xf>
    <xf numFmtId="3" fontId="2" fillId="35" borderId="13" xfId="0" applyNumberFormat="1" applyFont="1" applyFill="1" applyBorder="1" applyAlignment="1">
      <alignment horizontal="right" vertical="center"/>
    </xf>
    <xf numFmtId="193" fontId="0" fillId="0" borderId="0" xfId="0" applyNumberFormat="1" applyFill="1" applyAlignment="1">
      <alignment horizontal="center"/>
    </xf>
    <xf numFmtId="2" fontId="0" fillId="0" borderId="0" xfId="0" applyNumberFormat="1" applyAlignment="1">
      <alignment/>
    </xf>
    <xf numFmtId="0" fontId="0" fillId="34" borderId="0" xfId="0" applyFill="1" applyAlignment="1">
      <alignment/>
    </xf>
    <xf numFmtId="3" fontId="0" fillId="33" borderId="0" xfId="0" applyNumberFormat="1" applyFill="1" applyAlignment="1">
      <alignment/>
    </xf>
    <xf numFmtId="189" fontId="9" fillId="0" borderId="0" xfId="0" applyNumberFormat="1" applyFont="1" applyFill="1" applyAlignment="1" quotePrefix="1">
      <alignment horizontal="right"/>
    </xf>
    <xf numFmtId="0" fontId="9" fillId="0" borderId="0" xfId="0" applyFont="1" applyFill="1" applyAlignment="1">
      <alignment wrapText="1"/>
    </xf>
    <xf numFmtId="197" fontId="0" fillId="0" borderId="0" xfId="0" applyNumberFormat="1" applyFill="1" applyBorder="1" applyAlignment="1">
      <alignment/>
    </xf>
    <xf numFmtId="198" fontId="0" fillId="0" borderId="0" xfId="0" applyNumberFormat="1" applyFill="1" applyBorder="1" applyAlignment="1" applyProtection="1">
      <alignment/>
      <protection locked="0"/>
    </xf>
    <xf numFmtId="197" fontId="2" fillId="0" borderId="0" xfId="0" applyNumberFormat="1" applyFont="1" applyFill="1" applyBorder="1" applyAlignment="1">
      <alignment horizontal="right"/>
    </xf>
    <xf numFmtId="0" fontId="0" fillId="0" borderId="0" xfId="0" applyFill="1" applyAlignment="1">
      <alignment horizontal="center"/>
    </xf>
    <xf numFmtId="0" fontId="9" fillId="0" borderId="0" xfId="0" applyFont="1" applyAlignment="1">
      <alignment/>
    </xf>
    <xf numFmtId="0" fontId="9" fillId="0" borderId="0" xfId="0" applyFont="1" applyAlignment="1">
      <alignment wrapText="1"/>
    </xf>
    <xf numFmtId="0" fontId="9" fillId="0" borderId="14" xfId="0" applyFont="1" applyBorder="1" applyAlignment="1">
      <alignment horizontal="right" wrapText="1"/>
    </xf>
    <xf numFmtId="3" fontId="9" fillId="0" borderId="0" xfId="0" applyNumberFormat="1" applyFont="1" applyFill="1" applyAlignment="1">
      <alignment/>
    </xf>
    <xf numFmtId="3" fontId="20" fillId="0" borderId="11" xfId="0" applyNumberFormat="1" applyFont="1" applyFill="1" applyBorder="1" applyAlignment="1">
      <alignment/>
    </xf>
    <xf numFmtId="3" fontId="20" fillId="0" borderId="11" xfId="0" applyNumberFormat="1" applyFont="1" applyBorder="1" applyAlignment="1">
      <alignment/>
    </xf>
    <xf numFmtId="3" fontId="20" fillId="0" borderId="11" xfId="0" applyNumberFormat="1" applyFont="1" applyFill="1" applyBorder="1" applyAlignment="1">
      <alignment horizontal="right" vertical="center"/>
    </xf>
    <xf numFmtId="1" fontId="9" fillId="0" borderId="0" xfId="0" applyNumberFormat="1" applyFont="1" applyAlignment="1">
      <alignment/>
    </xf>
    <xf numFmtId="0" fontId="0"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38"/>
  <sheetViews>
    <sheetView tabSelected="1" zoomScalePageLayoutView="0" workbookViewId="0" topLeftCell="A1">
      <pane xSplit="1" ySplit="5" topLeftCell="V6" activePane="bottomRight" state="frozen"/>
      <selection pane="topLeft" activeCell="K6" sqref="K6"/>
      <selection pane="topRight" activeCell="A1" sqref="A1"/>
      <selection pane="bottomLeft" activeCell="A7" sqref="A7"/>
      <selection pane="bottomRight" activeCell="P28" sqref="P28"/>
    </sheetView>
  </sheetViews>
  <sheetFormatPr defaultColWidth="11.421875" defaultRowHeight="12.75"/>
  <cols>
    <col min="1" max="1" width="14.140625" style="3" customWidth="1"/>
    <col min="2" max="6" width="6.140625" style="0" customWidth="1"/>
    <col min="7" max="7" width="6.00390625" style="0" customWidth="1"/>
    <col min="8" max="13" width="6.140625" style="0" customWidth="1"/>
    <col min="14" max="14" width="6.8515625" style="0" bestFit="1" customWidth="1"/>
    <col min="15" max="15" width="10.140625" style="0" customWidth="1"/>
    <col min="16" max="16" width="8.7109375" style="0" bestFit="1" customWidth="1"/>
    <col min="17" max="17" width="7.421875" style="0" bestFit="1" customWidth="1"/>
    <col min="18" max="18" width="7.421875" style="0" customWidth="1"/>
    <col min="19" max="19" width="8.140625" style="0" bestFit="1" customWidth="1"/>
    <col min="20" max="20" width="8.421875" style="0" bestFit="1" customWidth="1"/>
    <col min="21" max="21" width="8.7109375" style="0" bestFit="1" customWidth="1"/>
    <col min="22" max="22" width="7.140625" style="64" customWidth="1"/>
    <col min="23" max="23" width="7.421875" style="64" customWidth="1"/>
    <col min="24" max="24" width="7.421875" style="0" customWidth="1"/>
    <col min="25" max="25" width="7.140625" style="0" customWidth="1"/>
    <col min="26" max="26" width="6.28125" style="0" customWidth="1"/>
    <col min="27" max="28" width="6.140625" style="8" customWidth="1"/>
    <col min="29" max="29" width="9.28125" style="8" customWidth="1"/>
    <col min="30" max="31" width="5.57421875" style="8" customWidth="1"/>
    <col min="32" max="32" width="6.421875" style="8" customWidth="1"/>
    <col min="33" max="34" width="6.140625" style="8" customWidth="1"/>
    <col min="35" max="35" width="6.140625" style="107" customWidth="1"/>
    <col min="36" max="36" width="5.8515625" style="0" customWidth="1"/>
    <col min="37" max="37" width="6.57421875" style="0" customWidth="1"/>
    <col min="38" max="39" width="8.57421875" style="0" customWidth="1"/>
    <col min="40" max="40" width="7.8515625" style="0" customWidth="1"/>
    <col min="41" max="41" width="8.00390625" style="0" customWidth="1"/>
    <col min="42" max="42" width="7.28125" style="0" customWidth="1"/>
    <col min="43" max="43" width="8.00390625" style="8" customWidth="1"/>
    <col min="44" max="44" width="8.421875" style="0" bestFit="1" customWidth="1"/>
    <col min="45" max="45" width="11.140625" style="0" customWidth="1"/>
    <col min="46" max="46" width="11.57421875" style="0" bestFit="1" customWidth="1"/>
    <col min="47" max="47" width="11.421875" style="0" customWidth="1"/>
    <col min="48" max="49" width="11.57421875" style="0" bestFit="1" customWidth="1"/>
    <col min="50" max="50" width="10.7109375" style="0" customWidth="1"/>
    <col min="51" max="51" width="10.57421875" style="0" customWidth="1"/>
    <col min="52" max="54" width="9.00390625" style="0" customWidth="1"/>
    <col min="55" max="55" width="6.28125" style="0" customWidth="1"/>
    <col min="56" max="56" width="6.421875" style="0" customWidth="1"/>
    <col min="57" max="57" width="6.8515625" style="0" customWidth="1"/>
    <col min="58" max="58" width="6.421875" style="0" customWidth="1"/>
    <col min="59" max="59" width="7.140625" style="0" customWidth="1"/>
    <col min="60" max="60" width="7.00390625" style="0" bestFit="1" customWidth="1"/>
    <col min="61" max="62" width="6.28125" style="0" bestFit="1" customWidth="1"/>
  </cols>
  <sheetData>
    <row r="1" spans="1:51" ht="18">
      <c r="A1" s="1" t="s">
        <v>127</v>
      </c>
      <c r="V1" s="58"/>
      <c r="W1" s="58"/>
      <c r="Z1" s="58"/>
      <c r="AX1" s="87"/>
      <c r="AY1" s="87"/>
    </row>
    <row r="2" spans="1:61" ht="18">
      <c r="A2" s="1"/>
      <c r="M2" s="5"/>
      <c r="N2" s="46"/>
      <c r="Q2" s="6" t="s">
        <v>33</v>
      </c>
      <c r="R2" s="6" t="s">
        <v>2</v>
      </c>
      <c r="S2" s="88" t="s">
        <v>116</v>
      </c>
      <c r="T2" s="88" t="s">
        <v>116</v>
      </c>
      <c r="U2" s="88" t="s">
        <v>116</v>
      </c>
      <c r="V2" s="6" t="s">
        <v>3</v>
      </c>
      <c r="W2" s="59" t="s">
        <v>4</v>
      </c>
      <c r="X2" s="6" t="s">
        <v>5</v>
      </c>
      <c r="Y2" s="6" t="s">
        <v>6</v>
      </c>
      <c r="Z2" s="88" t="s">
        <v>149</v>
      </c>
      <c r="AA2" s="57" t="s">
        <v>34</v>
      </c>
      <c r="AB2" s="20" t="s">
        <v>35</v>
      </c>
      <c r="AC2" s="57" t="s">
        <v>36</v>
      </c>
      <c r="AD2" s="20" t="s">
        <v>37</v>
      </c>
      <c r="AE2" s="20" t="s">
        <v>38</v>
      </c>
      <c r="AF2" s="20" t="s">
        <v>39</v>
      </c>
      <c r="AG2" s="57" t="s">
        <v>7</v>
      </c>
      <c r="AH2" s="57" t="s">
        <v>8</v>
      </c>
      <c r="AI2" s="88"/>
      <c r="AJ2" s="88"/>
      <c r="AK2" s="6" t="s">
        <v>9</v>
      </c>
      <c r="AL2" s="6" t="s">
        <v>10</v>
      </c>
      <c r="AM2" s="6" t="s">
        <v>11</v>
      </c>
      <c r="AN2" s="6" t="s">
        <v>12</v>
      </c>
      <c r="AO2" s="6" t="s">
        <v>13</v>
      </c>
      <c r="AP2" s="6" t="s">
        <v>14</v>
      </c>
      <c r="AQ2" s="57" t="s">
        <v>16</v>
      </c>
      <c r="AR2" s="6" t="s">
        <v>17</v>
      </c>
      <c r="AS2" s="88" t="s">
        <v>18</v>
      </c>
      <c r="AT2" s="88" t="s">
        <v>18</v>
      </c>
      <c r="AU2" s="88" t="s">
        <v>18</v>
      </c>
      <c r="AV2" s="88" t="s">
        <v>19</v>
      </c>
      <c r="AW2" s="88" t="s">
        <v>19</v>
      </c>
      <c r="AX2" s="57" t="s">
        <v>18</v>
      </c>
      <c r="AY2" s="57" t="s">
        <v>19</v>
      </c>
      <c r="AZ2" s="6" t="s">
        <v>20</v>
      </c>
      <c r="BA2" s="6" t="s">
        <v>21</v>
      </c>
      <c r="BB2" s="6" t="s">
        <v>22</v>
      </c>
      <c r="BC2" s="6" t="s">
        <v>23</v>
      </c>
      <c r="BD2" s="6" t="s">
        <v>24</v>
      </c>
      <c r="BE2" s="57"/>
      <c r="BF2" s="57"/>
      <c r="BG2" s="6" t="s">
        <v>25</v>
      </c>
      <c r="BH2" s="6" t="s">
        <v>26</v>
      </c>
      <c r="BI2" s="6" t="s">
        <v>27</v>
      </c>
    </row>
    <row r="3" spans="1:62" s="86" customFormat="1" ht="66">
      <c r="A3" s="81"/>
      <c r="B3" s="81"/>
      <c r="C3" s="81"/>
      <c r="D3" s="81"/>
      <c r="E3" s="81"/>
      <c r="F3" s="81"/>
      <c r="G3" s="81"/>
      <c r="H3" s="81"/>
      <c r="I3" s="81"/>
      <c r="J3" s="81"/>
      <c r="K3" s="81"/>
      <c r="L3" s="81"/>
      <c r="M3" s="81"/>
      <c r="N3" s="82"/>
      <c r="O3" s="81"/>
      <c r="P3" s="83" t="s">
        <v>58</v>
      </c>
      <c r="Q3" s="83" t="s">
        <v>71</v>
      </c>
      <c r="R3" s="83" t="s">
        <v>93</v>
      </c>
      <c r="S3" s="89" t="s">
        <v>168</v>
      </c>
      <c r="T3" s="89" t="s">
        <v>169</v>
      </c>
      <c r="U3" s="89" t="s">
        <v>170</v>
      </c>
      <c r="V3" s="83" t="s">
        <v>94</v>
      </c>
      <c r="W3" s="84" t="s">
        <v>95</v>
      </c>
      <c r="X3" s="83" t="s">
        <v>96</v>
      </c>
      <c r="Y3" s="83" t="s">
        <v>97</v>
      </c>
      <c r="Z3" s="89" t="s">
        <v>150</v>
      </c>
      <c r="AA3" s="85" t="s">
        <v>98</v>
      </c>
      <c r="AB3" s="85" t="s">
        <v>99</v>
      </c>
      <c r="AC3" s="85" t="s">
        <v>100</v>
      </c>
      <c r="AD3" s="85" t="s">
        <v>101</v>
      </c>
      <c r="AE3" s="85" t="s">
        <v>102</v>
      </c>
      <c r="AF3" s="85" t="s">
        <v>103</v>
      </c>
      <c r="AG3" s="85" t="s">
        <v>104</v>
      </c>
      <c r="AH3" s="85" t="s">
        <v>105</v>
      </c>
      <c r="AI3" s="89" t="s">
        <v>155</v>
      </c>
      <c r="AJ3" s="89" t="s">
        <v>152</v>
      </c>
      <c r="AK3" s="85" t="s">
        <v>106</v>
      </c>
      <c r="AL3" s="85" t="s">
        <v>107</v>
      </c>
      <c r="AM3" s="83" t="s">
        <v>108</v>
      </c>
      <c r="AN3" s="83" t="s">
        <v>109</v>
      </c>
      <c r="AO3" s="83" t="s">
        <v>110</v>
      </c>
      <c r="AP3" s="83" t="s">
        <v>15</v>
      </c>
      <c r="AQ3" s="85" t="s">
        <v>111</v>
      </c>
      <c r="AR3" s="83" t="s">
        <v>70</v>
      </c>
      <c r="AS3" s="89" t="s">
        <v>159</v>
      </c>
      <c r="AT3" s="89" t="s">
        <v>160</v>
      </c>
      <c r="AU3" s="89" t="s">
        <v>161</v>
      </c>
      <c r="AV3" s="89" t="s">
        <v>162</v>
      </c>
      <c r="AW3" s="89" t="s">
        <v>163</v>
      </c>
      <c r="AX3" s="85" t="s">
        <v>112</v>
      </c>
      <c r="AY3" s="85" t="s">
        <v>113</v>
      </c>
      <c r="AZ3" s="83" t="s">
        <v>114</v>
      </c>
      <c r="BA3" s="83" t="s">
        <v>111</v>
      </c>
      <c r="BB3" s="83" t="s">
        <v>107</v>
      </c>
      <c r="BC3" s="83" t="s">
        <v>69</v>
      </c>
      <c r="BD3" s="83" t="s">
        <v>68</v>
      </c>
      <c r="BE3" s="89" t="s">
        <v>165</v>
      </c>
      <c r="BF3" s="89" t="s">
        <v>164</v>
      </c>
      <c r="BG3" s="83" t="s">
        <v>166</v>
      </c>
      <c r="BH3" s="83" t="s">
        <v>146</v>
      </c>
      <c r="BI3" s="83" t="s">
        <v>144</v>
      </c>
      <c r="BJ3" s="83" t="s">
        <v>145</v>
      </c>
    </row>
    <row r="4" spans="1:62" s="73" customFormat="1" ht="165.75">
      <c r="A4" s="65" t="s">
        <v>0</v>
      </c>
      <c r="B4" s="66" t="s">
        <v>133</v>
      </c>
      <c r="C4" s="66" t="s">
        <v>134</v>
      </c>
      <c r="D4" s="66" t="s">
        <v>135</v>
      </c>
      <c r="E4" s="66" t="s">
        <v>136</v>
      </c>
      <c r="F4" s="66" t="s">
        <v>137</v>
      </c>
      <c r="G4" s="66" t="s">
        <v>138</v>
      </c>
      <c r="H4" s="66" t="s">
        <v>140</v>
      </c>
      <c r="I4" s="66" t="s">
        <v>141</v>
      </c>
      <c r="J4" s="67" t="s">
        <v>121</v>
      </c>
      <c r="K4" s="67" t="s">
        <v>78</v>
      </c>
      <c r="L4" s="67" t="s">
        <v>120</v>
      </c>
      <c r="M4" s="68" t="s">
        <v>139</v>
      </c>
      <c r="N4" s="69" t="s">
        <v>77</v>
      </c>
      <c r="O4" s="70" t="s">
        <v>77</v>
      </c>
      <c r="P4" s="71" t="s">
        <v>59</v>
      </c>
      <c r="Q4" s="71" t="s">
        <v>65</v>
      </c>
      <c r="R4" s="71" t="s">
        <v>40</v>
      </c>
      <c r="S4" s="71" t="s">
        <v>83</v>
      </c>
      <c r="T4" s="71" t="s">
        <v>125</v>
      </c>
      <c r="U4" s="71" t="s">
        <v>126</v>
      </c>
      <c r="V4" s="71" t="s">
        <v>85</v>
      </c>
      <c r="W4" s="71" t="s">
        <v>86</v>
      </c>
      <c r="X4" s="72" t="s">
        <v>172</v>
      </c>
      <c r="Y4" s="71" t="s">
        <v>87</v>
      </c>
      <c r="Z4" s="71" t="s">
        <v>151</v>
      </c>
      <c r="AA4" s="72" t="s">
        <v>41</v>
      </c>
      <c r="AB4" s="72" t="s">
        <v>42</v>
      </c>
      <c r="AC4" s="72" t="s">
        <v>80</v>
      </c>
      <c r="AD4" s="72" t="s">
        <v>43</v>
      </c>
      <c r="AE4" s="72" t="s">
        <v>44</v>
      </c>
      <c r="AF4" s="72" t="s">
        <v>45</v>
      </c>
      <c r="AG4" s="102" t="s">
        <v>46</v>
      </c>
      <c r="AH4" s="102" t="s">
        <v>122</v>
      </c>
      <c r="AI4" s="108" t="s">
        <v>156</v>
      </c>
      <c r="AJ4" s="108" t="s">
        <v>153</v>
      </c>
      <c r="AK4" s="71" t="s">
        <v>47</v>
      </c>
      <c r="AL4" s="71" t="s">
        <v>29</v>
      </c>
      <c r="AM4" s="71" t="s">
        <v>48</v>
      </c>
      <c r="AN4" s="71" t="s">
        <v>49</v>
      </c>
      <c r="AO4" s="71" t="s">
        <v>51</v>
      </c>
      <c r="AP4" s="71" t="s">
        <v>50</v>
      </c>
      <c r="AQ4" s="72" t="s">
        <v>28</v>
      </c>
      <c r="AR4" s="71" t="s">
        <v>66</v>
      </c>
      <c r="AS4" s="71" t="s">
        <v>81</v>
      </c>
      <c r="AT4" s="71" t="s">
        <v>124</v>
      </c>
      <c r="AU4" s="71" t="s">
        <v>123</v>
      </c>
      <c r="AV4" s="71" t="s">
        <v>82</v>
      </c>
      <c r="AW4" s="71" t="s">
        <v>84</v>
      </c>
      <c r="AX4" s="71" t="s">
        <v>157</v>
      </c>
      <c r="AY4" s="71" t="s">
        <v>158</v>
      </c>
      <c r="AZ4" s="71" t="s">
        <v>67</v>
      </c>
      <c r="BA4" s="71" t="s">
        <v>28</v>
      </c>
      <c r="BB4" s="71" t="s">
        <v>29</v>
      </c>
      <c r="BC4" s="71" t="s">
        <v>171</v>
      </c>
      <c r="BD4" s="71" t="s">
        <v>30</v>
      </c>
      <c r="BE4" s="71" t="s">
        <v>117</v>
      </c>
      <c r="BF4" s="71" t="s">
        <v>118</v>
      </c>
      <c r="BG4" s="71" t="s">
        <v>31</v>
      </c>
      <c r="BH4" s="71" t="s">
        <v>32</v>
      </c>
      <c r="BI4" s="115" t="s">
        <v>167</v>
      </c>
      <c r="BJ4" s="86" t="s">
        <v>119</v>
      </c>
    </row>
    <row r="5" spans="1:62" s="80" customFormat="1" ht="39" thickBot="1">
      <c r="A5" s="74"/>
      <c r="B5" s="75" t="s">
        <v>54</v>
      </c>
      <c r="C5" s="75" t="s">
        <v>54</v>
      </c>
      <c r="D5" s="75" t="s">
        <v>54</v>
      </c>
      <c r="E5" s="75" t="s">
        <v>54</v>
      </c>
      <c r="F5" s="75" t="s">
        <v>54</v>
      </c>
      <c r="G5" s="75" t="s">
        <v>54</v>
      </c>
      <c r="H5" s="75" t="s">
        <v>54</v>
      </c>
      <c r="I5" s="75" t="s">
        <v>54</v>
      </c>
      <c r="J5" s="75" t="s">
        <v>54</v>
      </c>
      <c r="K5" s="75" t="s">
        <v>54</v>
      </c>
      <c r="L5" s="75" t="s">
        <v>54</v>
      </c>
      <c r="M5" s="74" t="s">
        <v>1</v>
      </c>
      <c r="N5" s="76" t="s">
        <v>54</v>
      </c>
      <c r="O5" s="77" t="s">
        <v>79</v>
      </c>
      <c r="P5" s="78" t="s">
        <v>88</v>
      </c>
      <c r="Q5" s="78" t="s">
        <v>88</v>
      </c>
      <c r="R5" s="78" t="s">
        <v>88</v>
      </c>
      <c r="S5" s="78" t="s">
        <v>88</v>
      </c>
      <c r="T5" s="78" t="s">
        <v>88</v>
      </c>
      <c r="U5" s="78" t="s">
        <v>88</v>
      </c>
      <c r="V5" s="78" t="s">
        <v>88</v>
      </c>
      <c r="W5" s="78" t="s">
        <v>88</v>
      </c>
      <c r="X5" s="78" t="s">
        <v>53</v>
      </c>
      <c r="Y5" s="78" t="s">
        <v>56</v>
      </c>
      <c r="Z5" s="78" t="s">
        <v>88</v>
      </c>
      <c r="AA5" s="79" t="s">
        <v>89</v>
      </c>
      <c r="AB5" s="79" t="s">
        <v>90</v>
      </c>
      <c r="AC5" s="79" t="s">
        <v>1</v>
      </c>
      <c r="AD5" s="79" t="s">
        <v>90</v>
      </c>
      <c r="AE5" s="79" t="s">
        <v>90</v>
      </c>
      <c r="AF5" s="79" t="s">
        <v>1</v>
      </c>
      <c r="AG5" s="79" t="s">
        <v>90</v>
      </c>
      <c r="AH5" s="79" t="s">
        <v>90</v>
      </c>
      <c r="AI5" s="109" t="s">
        <v>154</v>
      </c>
      <c r="AJ5" s="78" t="s">
        <v>90</v>
      </c>
      <c r="AK5" s="78" t="s">
        <v>1</v>
      </c>
      <c r="AL5" s="78" t="s">
        <v>91</v>
      </c>
      <c r="AM5" s="78" t="s">
        <v>92</v>
      </c>
      <c r="AN5" s="78" t="s">
        <v>1</v>
      </c>
      <c r="AO5" s="78" t="s">
        <v>1</v>
      </c>
      <c r="AP5" s="78" t="s">
        <v>55</v>
      </c>
      <c r="AQ5" s="79" t="s">
        <v>143</v>
      </c>
      <c r="AR5" s="78" t="s">
        <v>52</v>
      </c>
      <c r="AS5" s="78" t="s">
        <v>52</v>
      </c>
      <c r="AT5" s="78" t="s">
        <v>52</v>
      </c>
      <c r="AU5" s="78" t="s">
        <v>52</v>
      </c>
      <c r="AV5" s="78" t="s">
        <v>52</v>
      </c>
      <c r="AW5" s="78" t="s">
        <v>52</v>
      </c>
      <c r="AX5" s="78" t="s">
        <v>52</v>
      </c>
      <c r="AY5" s="78" t="s">
        <v>52</v>
      </c>
      <c r="AZ5" s="78" t="s">
        <v>54</v>
      </c>
      <c r="BA5" s="78" t="s">
        <v>57</v>
      </c>
      <c r="BB5" s="78" t="s">
        <v>57</v>
      </c>
      <c r="BC5" s="78" t="s">
        <v>53</v>
      </c>
      <c r="BD5" s="78" t="s">
        <v>53</v>
      </c>
      <c r="BE5" s="78" t="s">
        <v>53</v>
      </c>
      <c r="BF5" s="78" t="s">
        <v>53</v>
      </c>
      <c r="BG5" s="78" t="s">
        <v>56</v>
      </c>
      <c r="BH5" s="78" t="s">
        <v>56</v>
      </c>
      <c r="BI5" s="91" t="s">
        <v>1</v>
      </c>
      <c r="BJ5" s="94" t="s">
        <v>1</v>
      </c>
    </row>
    <row r="6" spans="1:62" ht="12.75">
      <c r="A6" s="55">
        <v>40269</v>
      </c>
      <c r="B6" s="100">
        <v>64.38727503757497</v>
      </c>
      <c r="C6" s="100">
        <v>63.43925376595422</v>
      </c>
      <c r="D6" s="100">
        <v>0</v>
      </c>
      <c r="E6" s="100">
        <v>0</v>
      </c>
      <c r="F6" s="100">
        <v>0</v>
      </c>
      <c r="G6" s="100">
        <v>0</v>
      </c>
      <c r="H6" s="100">
        <f aca="true" t="shared" si="0" ref="H6:H14">C6+E6+G6</f>
        <v>63.43925376595422</v>
      </c>
      <c r="I6" s="100">
        <f aca="true" t="shared" si="1" ref="I6:I14">B6+D6+F6</f>
        <v>64.38727503757497</v>
      </c>
      <c r="J6" s="100">
        <v>114.66752863508114</v>
      </c>
      <c r="K6" s="100">
        <v>0</v>
      </c>
      <c r="L6" s="100">
        <v>0</v>
      </c>
      <c r="M6" s="45">
        <v>41.80984797031776</v>
      </c>
      <c r="N6" s="47">
        <f aca="true" t="shared" si="2" ref="N6:N14">SUM(I6:L6)</f>
        <v>179.0548036726561</v>
      </c>
      <c r="O6" s="15">
        <f>N6/0.717*1000</f>
        <v>249727.75965502945</v>
      </c>
      <c r="P6" s="27">
        <f aca="true" t="shared" si="3" ref="P6:P14">AR6-Q6</f>
        <v>3728.6064932309446</v>
      </c>
      <c r="Q6" s="27">
        <f>R6+V6+W6</f>
        <v>542.9807207540834</v>
      </c>
      <c r="R6" s="30">
        <f>X6*Y6</f>
        <v>22.81521045924933</v>
      </c>
      <c r="S6" s="27">
        <f>(AL$6+AM6*AP6)*AA6+(AQ$6*(AB6-AA6))</f>
        <v>194.3663945604098</v>
      </c>
      <c r="T6" s="27">
        <f>(AL$6+AM6*AO6)*AG6+(AQ$6*(AH6-AG6))</f>
        <v>0</v>
      </c>
      <c r="U6" s="27">
        <f>(AL$6+AM6*AO6)*AD6+(AQ$6*(AE6-AD6))</f>
        <v>325.79911573442433</v>
      </c>
      <c r="V6" s="27">
        <f>(AA6+AD6+AG6)*(AL$6+AM6*AP6)</f>
        <v>488.2169730841149</v>
      </c>
      <c r="W6" s="60">
        <f aca="true" t="shared" si="4" ref="W6:W13">AQ$6*((AB6-AA6)+AE6*(1-AF$6)+AH6*(1-AK$6))</f>
        <v>31.9485372107192</v>
      </c>
      <c r="X6" s="37">
        <v>21.38257774999937</v>
      </c>
      <c r="Y6" s="101">
        <v>1.067</v>
      </c>
      <c r="Z6" s="27">
        <f>AQ$6*(AB6-AA6)</f>
        <v>19.90844670403567</v>
      </c>
      <c r="AA6" s="15">
        <f>H6</f>
        <v>63.43925376595422</v>
      </c>
      <c r="AB6" s="15">
        <f>I6</f>
        <v>64.38727503757497</v>
      </c>
      <c r="AC6" s="22">
        <f aca="true" t="shared" si="5" ref="AC6:AC18">AA6/AB6</f>
        <v>0.9852762634997754</v>
      </c>
      <c r="AD6" s="21">
        <f>AE6*$AF$6</f>
        <v>114.09419099190573</v>
      </c>
      <c r="AE6" s="15">
        <f aca="true" t="shared" si="6" ref="AE6:AE14">J6</f>
        <v>114.66752863508114</v>
      </c>
      <c r="AF6" s="22">
        <v>0.995</v>
      </c>
      <c r="AG6" s="21">
        <f>AH6*AK$6</f>
        <v>0</v>
      </c>
      <c r="AH6" s="15">
        <f>K6+L6</f>
        <v>0</v>
      </c>
      <c r="AI6" s="110">
        <f>K6</f>
        <v>0</v>
      </c>
      <c r="AJ6" s="15">
        <f>L6</f>
        <v>0</v>
      </c>
      <c r="AK6" s="10">
        <v>0.995</v>
      </c>
      <c r="AL6" s="9">
        <v>2.75</v>
      </c>
      <c r="AM6">
        <v>0</v>
      </c>
      <c r="AN6" s="23">
        <f aca="true" t="shared" si="7" ref="AN6:AN14">M6/100</f>
        <v>0.4180984797031776</v>
      </c>
      <c r="AO6" s="8">
        <v>0</v>
      </c>
      <c r="AP6">
        <f aca="true" t="shared" si="8" ref="AP6:AP11">IF(AN6,AO6/AN6,0)</f>
        <v>0</v>
      </c>
      <c r="AQ6" s="9">
        <v>21</v>
      </c>
      <c r="AR6" s="27">
        <f>SUM(AS6:AW6)</f>
        <v>4271.587213985028</v>
      </c>
      <c r="AS6" s="27">
        <f>AB6*$BA$6</f>
        <v>1352.1327757890742</v>
      </c>
      <c r="AT6" s="27">
        <f>AE6*$BA$6</f>
        <v>2408.018101336704</v>
      </c>
      <c r="AU6" s="27">
        <f>AH6*$BA$6</f>
        <v>0</v>
      </c>
      <c r="AV6" s="27">
        <f aca="true" t="shared" si="9" ref="AV6:AV14">BD6*BH$6/BI$6</f>
        <v>0</v>
      </c>
      <c r="AW6" s="27">
        <f>BC6*BG$6</f>
        <v>511.43633685924925</v>
      </c>
      <c r="AX6" s="27">
        <f>AZ6*$AQ$6</f>
        <v>3760.150877125778</v>
      </c>
      <c r="AY6" s="27">
        <f>BC6*BG6+BD6/$BI$6*$BH$6</f>
        <v>511.43633685924925</v>
      </c>
      <c r="AZ6" s="27">
        <f>(AB6+AE6+AH6)</f>
        <v>179.0548036726561</v>
      </c>
      <c r="BA6" s="25">
        <v>21</v>
      </c>
      <c r="BB6" s="25">
        <v>2.75</v>
      </c>
      <c r="BC6" s="95">
        <v>479.32177774999934</v>
      </c>
      <c r="BD6" s="90">
        <f aca="true" t="shared" si="10" ref="BD6:BD16">SUM(BE6:BF6)</f>
        <v>0</v>
      </c>
      <c r="BE6" s="41">
        <v>0</v>
      </c>
      <c r="BF6" s="15">
        <f>L6*0.995*13.898*$BJ$6</f>
        <v>0</v>
      </c>
      <c r="BG6" s="101">
        <v>1.067</v>
      </c>
      <c r="BH6" s="24">
        <v>0.3406</v>
      </c>
      <c r="BI6" s="10">
        <v>0.8598</v>
      </c>
      <c r="BJ6" s="10">
        <v>0.742</v>
      </c>
    </row>
    <row r="7" spans="1:62" ht="12.75">
      <c r="A7" s="55">
        <v>40299</v>
      </c>
      <c r="B7" s="100">
        <v>307.9026945987</v>
      </c>
      <c r="C7" s="100">
        <v>303.4142961095961</v>
      </c>
      <c r="D7" s="100">
        <v>0</v>
      </c>
      <c r="E7" s="100">
        <v>0</v>
      </c>
      <c r="F7" s="100">
        <v>0</v>
      </c>
      <c r="G7" s="100">
        <v>0</v>
      </c>
      <c r="H7" s="100">
        <f t="shared" si="0"/>
        <v>303.4142961095961</v>
      </c>
      <c r="I7" s="100">
        <f t="shared" si="1"/>
        <v>307.9026945987</v>
      </c>
      <c r="J7" s="100">
        <v>135.3080206725345</v>
      </c>
      <c r="K7" s="100">
        <v>0</v>
      </c>
      <c r="L7" s="100">
        <v>0</v>
      </c>
      <c r="M7" s="45">
        <v>42.565689442105175</v>
      </c>
      <c r="N7" s="47">
        <f t="shared" si="2"/>
        <v>443.2107152712345</v>
      </c>
      <c r="O7" s="15">
        <f aca="true" t="shared" si="11" ref="O7:O16">N7/0.717*1000</f>
        <v>618146.0464033954</v>
      </c>
      <c r="P7" s="27">
        <f t="shared" si="3"/>
        <v>8640.120529187514</v>
      </c>
      <c r="Q7" s="27">
        <f aca="true" t="shared" si="12" ref="Q7:Q18">R7+V7+W7</f>
        <v>1312.7500571689093</v>
      </c>
      <c r="R7" s="30">
        <f aca="true" t="shared" si="13" ref="R7:R14">X7*Y7</f>
        <v>-0.3395391395010315</v>
      </c>
      <c r="S7" s="27">
        <f aca="true" t="shared" si="14" ref="S7:S18">(AL$6+AM7*AP7)*AA7+(AQ$6*(AB7-AA7))</f>
        <v>928.6456825725718</v>
      </c>
      <c r="T7" s="27">
        <f aca="true" t="shared" si="15" ref="T7:T18">(AL$6+AM7*AO7)*AG7+(AQ$6*(AH7-AG7))</f>
        <v>0</v>
      </c>
      <c r="U7" s="27">
        <f aca="true" t="shared" si="16" ref="U7:U18">(AL$6+AM7*AO7)*AD7+(AQ$6*(AE7-AD7))</f>
        <v>384.4439137358386</v>
      </c>
      <c r="V7" s="27">
        <f aca="true" t="shared" si="17" ref="V7:V16">(AA7+AD7+AG7)*(AL$6+AM7*AP7)</f>
        <v>1204.6258858666117</v>
      </c>
      <c r="W7" s="60">
        <f t="shared" si="4"/>
        <v>108.46371044179865</v>
      </c>
      <c r="X7" s="37">
        <v>-0.31821850000096674</v>
      </c>
      <c r="Y7" s="101">
        <v>1.067</v>
      </c>
      <c r="Z7" s="27">
        <f aca="true" t="shared" si="18" ref="Z7:Z18">AQ$6*(AB7-AA7)</f>
        <v>94.25636827118251</v>
      </c>
      <c r="AA7" s="15">
        <f aca="true" t="shared" si="19" ref="AA7:AA14">H7</f>
        <v>303.4142961095961</v>
      </c>
      <c r="AB7" s="15">
        <f aca="true" t="shared" si="20" ref="AB7:AB14">I7</f>
        <v>307.9026945987</v>
      </c>
      <c r="AC7" s="22">
        <f t="shared" si="5"/>
        <v>0.9854226722667894</v>
      </c>
      <c r="AD7" s="21">
        <f aca="true" t="shared" si="21" ref="AD7:AD18">AE7*$AF$6</f>
        <v>134.63148056917183</v>
      </c>
      <c r="AE7" s="15">
        <f t="shared" si="6"/>
        <v>135.3080206725345</v>
      </c>
      <c r="AF7" s="22"/>
      <c r="AG7" s="21">
        <f aca="true" t="shared" si="22" ref="AG7:AG14">AH7*AK$6</f>
        <v>0</v>
      </c>
      <c r="AH7" s="15">
        <f aca="true" t="shared" si="23" ref="AH7:AH18">K7+L7</f>
        <v>0</v>
      </c>
      <c r="AI7" s="110">
        <f aca="true" t="shared" si="24" ref="AI7:AI18">K7</f>
        <v>0</v>
      </c>
      <c r="AJ7" s="15">
        <f aca="true" t="shared" si="25" ref="AJ7:AJ18">L7</f>
        <v>0</v>
      </c>
      <c r="AK7" s="10"/>
      <c r="AL7" s="9"/>
      <c r="AM7">
        <v>0</v>
      </c>
      <c r="AN7" s="23">
        <f t="shared" si="7"/>
        <v>0.42565689442105176</v>
      </c>
      <c r="AO7" s="8">
        <v>0</v>
      </c>
      <c r="AP7">
        <f t="shared" si="8"/>
        <v>0</v>
      </c>
      <c r="AQ7" s="9"/>
      <c r="AR7" s="27">
        <f aca="true" t="shared" si="26" ref="AR7:AR18">SUM(AS7:AW7)</f>
        <v>9952.870586356423</v>
      </c>
      <c r="AS7" s="27">
        <f aca="true" t="shared" si="27" ref="AS7:AS13">AB7*$BA$6</f>
        <v>6465.9565865727</v>
      </c>
      <c r="AT7" s="27">
        <f aca="true" t="shared" si="28" ref="AT7:AT18">AE7*$BA$6</f>
        <v>2841.4684341232246</v>
      </c>
      <c r="AU7" s="27">
        <f aca="true" t="shared" si="29" ref="AU7:AU13">AH7*$BA$6</f>
        <v>0</v>
      </c>
      <c r="AV7" s="27">
        <f t="shared" si="9"/>
        <v>0</v>
      </c>
      <c r="AW7" s="27">
        <f aca="true" t="shared" si="30" ref="AW7:AW13">BC7*BG$6</f>
        <v>645.445565660499</v>
      </c>
      <c r="AX7" s="27">
        <f aca="true" t="shared" si="31" ref="AX7:AX18">AZ7*$AQ$6</f>
        <v>9307.425020695924</v>
      </c>
      <c r="AY7" s="27">
        <f>BC7*BG7+BD7/$BI$6*$BH$6</f>
        <v>645.445565660499</v>
      </c>
      <c r="AZ7" s="27">
        <f>(AB7+AE7+AH7)</f>
        <v>443.2107152712345</v>
      </c>
      <c r="BA7" s="26"/>
      <c r="BB7" s="26"/>
      <c r="BC7" s="95">
        <v>604.9161814999991</v>
      </c>
      <c r="BD7" s="90">
        <f t="shared" si="10"/>
        <v>0</v>
      </c>
      <c r="BE7" s="41">
        <v>0</v>
      </c>
      <c r="BF7" s="15">
        <f aca="true" t="shared" si="32" ref="BF7:BF18">L7*0.995*13.898*$BJ$6</f>
        <v>0</v>
      </c>
      <c r="BG7" s="101">
        <v>1.067</v>
      </c>
      <c r="BH7" s="24"/>
      <c r="BI7" s="31"/>
      <c r="BJ7" s="31"/>
    </row>
    <row r="8" spans="1:62" ht="12.75">
      <c r="A8" s="55">
        <v>40330</v>
      </c>
      <c r="B8" s="100">
        <v>232.06912548097526</v>
      </c>
      <c r="C8" s="100">
        <v>228.53514507435332</v>
      </c>
      <c r="D8" s="100">
        <v>0</v>
      </c>
      <c r="E8" s="100">
        <v>0</v>
      </c>
      <c r="F8" s="100">
        <v>0</v>
      </c>
      <c r="G8" s="100">
        <v>0</v>
      </c>
      <c r="H8" s="100">
        <f t="shared" si="0"/>
        <v>228.53514507435332</v>
      </c>
      <c r="I8" s="100">
        <f t="shared" si="1"/>
        <v>232.06912548097526</v>
      </c>
      <c r="J8" s="100">
        <v>137.09407918957876</v>
      </c>
      <c r="K8" s="100">
        <v>30.22068139999988</v>
      </c>
      <c r="L8" s="100">
        <v>0</v>
      </c>
      <c r="M8" s="45">
        <v>41.07297697645807</v>
      </c>
      <c r="N8" s="47">
        <f t="shared" si="2"/>
        <v>399.3838860705539</v>
      </c>
      <c r="O8" s="15">
        <f t="shared" si="11"/>
        <v>557020.7616046777</v>
      </c>
      <c r="P8" s="27">
        <f t="shared" si="3"/>
        <v>7921.950138221601</v>
      </c>
      <c r="Q8" s="27">
        <f t="shared" si="12"/>
        <v>1203.7706286201749</v>
      </c>
      <c r="R8" s="30">
        <f t="shared" si="13"/>
        <v>25.70232760150221</v>
      </c>
      <c r="S8" s="27">
        <f t="shared" si="14"/>
        <v>702.6852374935323</v>
      </c>
      <c r="T8" s="27">
        <f t="shared" si="15"/>
        <v>85.86451102774967</v>
      </c>
      <c r="U8" s="27">
        <f t="shared" si="16"/>
        <v>389.51855249739083</v>
      </c>
      <c r="V8" s="27">
        <f t="shared" si="17"/>
        <v>1086.2866626177063</v>
      </c>
      <c r="W8" s="60">
        <f t="shared" si="4"/>
        <v>91.78163840096643</v>
      </c>
      <c r="X8" s="37">
        <v>24.08840450000207</v>
      </c>
      <c r="Y8" s="101">
        <v>1.067</v>
      </c>
      <c r="Z8" s="27">
        <f t="shared" si="18"/>
        <v>74.21358853906065</v>
      </c>
      <c r="AA8" s="15">
        <f t="shared" si="19"/>
        <v>228.53514507435332</v>
      </c>
      <c r="AB8" s="15">
        <f t="shared" si="20"/>
        <v>232.06912548097526</v>
      </c>
      <c r="AC8" s="22">
        <f t="shared" si="5"/>
        <v>0.9847718631278608</v>
      </c>
      <c r="AD8" s="21">
        <f t="shared" si="21"/>
        <v>136.40860879363086</v>
      </c>
      <c r="AE8" s="15">
        <f t="shared" si="6"/>
        <v>137.09407918957876</v>
      </c>
      <c r="AF8" s="22"/>
      <c r="AG8" s="21">
        <f t="shared" si="22"/>
        <v>30.06957799299988</v>
      </c>
      <c r="AH8" s="15">
        <f t="shared" si="23"/>
        <v>30.22068139999988</v>
      </c>
      <c r="AI8" s="110">
        <f t="shared" si="24"/>
        <v>30.22068139999988</v>
      </c>
      <c r="AJ8" s="15">
        <f t="shared" si="25"/>
        <v>0</v>
      </c>
      <c r="AK8" s="10"/>
      <c r="AL8" s="9"/>
      <c r="AM8">
        <v>0</v>
      </c>
      <c r="AN8" s="23">
        <f t="shared" si="7"/>
        <v>0.4107297697645807</v>
      </c>
      <c r="AO8" s="8">
        <v>0</v>
      </c>
      <c r="AP8">
        <f t="shared" si="8"/>
        <v>0</v>
      </c>
      <c r="AQ8" s="9"/>
      <c r="AR8" s="27">
        <f t="shared" si="26"/>
        <v>9125.720766841776</v>
      </c>
      <c r="AS8" s="27">
        <f t="shared" si="27"/>
        <v>4873.45163510048</v>
      </c>
      <c r="AT8" s="27">
        <f t="shared" si="28"/>
        <v>2878.975662981154</v>
      </c>
      <c r="AU8" s="27">
        <f t="shared" si="29"/>
        <v>634.6343093999975</v>
      </c>
      <c r="AV8" s="27">
        <f t="shared" si="9"/>
        <v>79.70428215864156</v>
      </c>
      <c r="AW8" s="27">
        <f t="shared" si="30"/>
        <v>658.9548772015016</v>
      </c>
      <c r="AX8" s="27">
        <f t="shared" si="31"/>
        <v>8387.061607481632</v>
      </c>
      <c r="AY8" s="27">
        <f aca="true" t="shared" si="33" ref="AY8:AY18">BC8*BG8+BD8/$BI$6*$BH$6</f>
        <v>738.6591593601431</v>
      </c>
      <c r="AZ8" s="27">
        <f aca="true" t="shared" si="34" ref="AZ8:AZ13">(AB8+AE8+AH8)</f>
        <v>399.3838860705539</v>
      </c>
      <c r="BA8" s="26"/>
      <c r="BB8" s="26"/>
      <c r="BC8" s="95">
        <v>617.5772045000016</v>
      </c>
      <c r="BD8" s="90">
        <f t="shared" si="10"/>
        <v>201.203</v>
      </c>
      <c r="BE8" s="41">
        <v>201.203</v>
      </c>
      <c r="BF8" s="15">
        <f t="shared" si="32"/>
        <v>0</v>
      </c>
      <c r="BG8" s="101">
        <v>1.067</v>
      </c>
      <c r="BH8" s="24"/>
      <c r="BI8" s="31"/>
      <c r="BJ8" s="31"/>
    </row>
    <row r="9" spans="1:62" ht="12.75">
      <c r="A9" s="55">
        <v>40360</v>
      </c>
      <c r="B9" s="100">
        <v>194.90625881295</v>
      </c>
      <c r="C9" s="100">
        <v>193.05629818200018</v>
      </c>
      <c r="D9" s="100">
        <v>0</v>
      </c>
      <c r="E9" s="100">
        <v>0</v>
      </c>
      <c r="F9" s="100">
        <v>0</v>
      </c>
      <c r="G9" s="100">
        <v>0</v>
      </c>
      <c r="H9" s="100">
        <f t="shared" si="0"/>
        <v>193.05629818200018</v>
      </c>
      <c r="I9" s="100">
        <f t="shared" si="1"/>
        <v>194.90625881295</v>
      </c>
      <c r="J9" s="100">
        <v>134.33351867186155</v>
      </c>
      <c r="K9" s="100">
        <v>60.14401379999899</v>
      </c>
      <c r="L9" s="100">
        <v>0</v>
      </c>
      <c r="M9" s="45">
        <v>41.340754722085954</v>
      </c>
      <c r="N9" s="47">
        <f t="shared" si="2"/>
        <v>389.3837912848105</v>
      </c>
      <c r="O9" s="15">
        <f t="shared" si="11"/>
        <v>543073.628012288</v>
      </c>
      <c r="P9" s="27">
        <f t="shared" si="3"/>
        <v>7850.4901934469135</v>
      </c>
      <c r="Q9" s="27">
        <f t="shared" si="12"/>
        <v>1142.2938672215942</v>
      </c>
      <c r="R9" s="30">
        <f t="shared" si="13"/>
        <v>19.980584835473866</v>
      </c>
      <c r="S9" s="27">
        <f t="shared" si="14"/>
        <v>569.7539932504468</v>
      </c>
      <c r="T9" s="27">
        <f t="shared" si="15"/>
        <v>170.8841792092471</v>
      </c>
      <c r="U9" s="27">
        <f t="shared" si="16"/>
        <v>381.67510992642656</v>
      </c>
      <c r="V9" s="27">
        <f t="shared" si="17"/>
        <v>1063.0439682266287</v>
      </c>
      <c r="W9" s="60">
        <f t="shared" si="4"/>
        <v>59.26931415949167</v>
      </c>
      <c r="X9" s="37">
        <v>18.725946424998938</v>
      </c>
      <c r="Y9" s="101">
        <v>1.067</v>
      </c>
      <c r="Z9" s="27">
        <f t="shared" si="18"/>
        <v>38.84917324994629</v>
      </c>
      <c r="AA9" s="15">
        <f t="shared" si="19"/>
        <v>193.05629818200018</v>
      </c>
      <c r="AB9" s="15">
        <f t="shared" si="20"/>
        <v>194.90625881295</v>
      </c>
      <c r="AC9" s="22">
        <f t="shared" si="5"/>
        <v>0.9905084595937721</v>
      </c>
      <c r="AD9" s="21">
        <f t="shared" si="21"/>
        <v>133.66185107850225</v>
      </c>
      <c r="AE9" s="15">
        <f t="shared" si="6"/>
        <v>134.33351867186155</v>
      </c>
      <c r="AF9" s="22"/>
      <c r="AG9" s="21">
        <f t="shared" si="22"/>
        <v>59.843293730998994</v>
      </c>
      <c r="AH9" s="15">
        <f t="shared" si="23"/>
        <v>60.14401379999899</v>
      </c>
      <c r="AI9" s="110">
        <f t="shared" si="24"/>
        <v>60.14401379999899</v>
      </c>
      <c r="AJ9" s="15">
        <f t="shared" si="25"/>
        <v>0</v>
      </c>
      <c r="AK9" s="10"/>
      <c r="AL9" s="9"/>
      <c r="AM9">
        <v>0</v>
      </c>
      <c r="AN9" s="23">
        <f t="shared" si="7"/>
        <v>0.41340754722085954</v>
      </c>
      <c r="AO9" s="8">
        <v>0</v>
      </c>
      <c r="AP9">
        <f t="shared" si="8"/>
        <v>0</v>
      </c>
      <c r="AQ9" s="9"/>
      <c r="AR9" s="27">
        <f t="shared" si="26"/>
        <v>8992.784060668508</v>
      </c>
      <c r="AS9" s="27">
        <f t="shared" si="27"/>
        <v>4093.03143507195</v>
      </c>
      <c r="AT9" s="27">
        <f t="shared" si="28"/>
        <v>2821.0038921090927</v>
      </c>
      <c r="AU9" s="27">
        <f t="shared" si="29"/>
        <v>1263.0242897999788</v>
      </c>
      <c r="AV9" s="27">
        <f t="shared" si="9"/>
        <v>166.6987036520121</v>
      </c>
      <c r="AW9" s="27">
        <f t="shared" si="30"/>
        <v>649.0257400354743</v>
      </c>
      <c r="AX9" s="27">
        <f t="shared" si="31"/>
        <v>8177.059616981021</v>
      </c>
      <c r="AY9" s="27">
        <f t="shared" si="33"/>
        <v>815.7244436874864</v>
      </c>
      <c r="AZ9" s="27">
        <f t="shared" si="34"/>
        <v>389.3837912848105</v>
      </c>
      <c r="BA9" s="26"/>
      <c r="BB9" s="26"/>
      <c r="BC9" s="95">
        <v>608.2715464249994</v>
      </c>
      <c r="BD9" s="90">
        <f t="shared" si="10"/>
        <v>420.809</v>
      </c>
      <c r="BE9" s="41">
        <v>420.809</v>
      </c>
      <c r="BF9" s="15">
        <f t="shared" si="32"/>
        <v>0</v>
      </c>
      <c r="BG9" s="101">
        <v>1.067</v>
      </c>
      <c r="BH9" s="24"/>
      <c r="BI9" s="31"/>
      <c r="BJ9" s="31"/>
    </row>
    <row r="10" spans="1:62" ht="12.75">
      <c r="A10" s="55">
        <v>40391</v>
      </c>
      <c r="B10" s="100">
        <v>124.61199700320013</v>
      </c>
      <c r="C10" s="100">
        <v>123.80914705605981</v>
      </c>
      <c r="D10" s="100">
        <v>181.611</v>
      </c>
      <c r="E10" s="100">
        <v>179.58117000000001</v>
      </c>
      <c r="F10" s="100">
        <v>0</v>
      </c>
      <c r="G10" s="100">
        <v>0</v>
      </c>
      <c r="H10" s="100">
        <f t="shared" si="0"/>
        <v>303.3903170560598</v>
      </c>
      <c r="I10" s="100">
        <f t="shared" si="1"/>
        <v>306.22299700320013</v>
      </c>
      <c r="J10" s="100">
        <v>135.82592910425427</v>
      </c>
      <c r="K10" s="100">
        <v>63.061374999999735</v>
      </c>
      <c r="L10" s="100">
        <v>0</v>
      </c>
      <c r="M10" s="45">
        <v>40.78641060148582</v>
      </c>
      <c r="N10" s="47">
        <f t="shared" si="2"/>
        <v>505.1103011074541</v>
      </c>
      <c r="O10" s="15">
        <f t="shared" si="11"/>
        <v>704477.407402307</v>
      </c>
      <c r="P10" s="27">
        <f t="shared" si="3"/>
        <v>9942.100377125482</v>
      </c>
      <c r="Q10" s="27">
        <f t="shared" si="12"/>
        <v>1483.4132792148223</v>
      </c>
      <c r="R10" s="30">
        <f>X10*Y10</f>
        <v>24.515075634499524</v>
      </c>
      <c r="S10" s="27">
        <f t="shared" si="14"/>
        <v>893.8096507941111</v>
      </c>
      <c r="T10" s="27">
        <f t="shared" si="15"/>
        <v>179.17313171874923</v>
      </c>
      <c r="U10" s="27">
        <f t="shared" si="16"/>
        <v>385.9154210674625</v>
      </c>
      <c r="V10" s="27">
        <f t="shared" si="17"/>
        <v>1378.5287577594295</v>
      </c>
      <c r="W10" s="60">
        <f t="shared" si="4"/>
        <v>80.36944582089342</v>
      </c>
      <c r="X10" s="37">
        <v>22.975703499999554</v>
      </c>
      <c r="Y10" s="101">
        <v>1.067</v>
      </c>
      <c r="Z10" s="27">
        <f t="shared" si="18"/>
        <v>59.48627888994673</v>
      </c>
      <c r="AA10" s="15">
        <f t="shared" si="19"/>
        <v>303.3903170560598</v>
      </c>
      <c r="AB10" s="15">
        <f t="shared" si="20"/>
        <v>306.22299700320013</v>
      </c>
      <c r="AC10" s="22">
        <f>AA10/AB10</f>
        <v>0.9907496171911911</v>
      </c>
      <c r="AD10" s="21">
        <f t="shared" si="21"/>
        <v>135.146799458733</v>
      </c>
      <c r="AE10" s="15">
        <f t="shared" si="6"/>
        <v>135.82592910425427</v>
      </c>
      <c r="AF10" s="22"/>
      <c r="AG10" s="21">
        <f t="shared" si="22"/>
        <v>62.74606812499974</v>
      </c>
      <c r="AH10" s="15">
        <f t="shared" si="23"/>
        <v>63.061374999999735</v>
      </c>
      <c r="AI10" s="110">
        <f t="shared" si="24"/>
        <v>63.061374999999735</v>
      </c>
      <c r="AJ10" s="15">
        <f t="shared" si="25"/>
        <v>0</v>
      </c>
      <c r="AK10" s="10"/>
      <c r="AL10" s="9"/>
      <c r="AM10">
        <v>0</v>
      </c>
      <c r="AN10" s="23">
        <f t="shared" si="7"/>
        <v>0.4078641060148582</v>
      </c>
      <c r="AO10" s="8">
        <v>0</v>
      </c>
      <c r="AP10">
        <f t="shared" si="8"/>
        <v>0</v>
      </c>
      <c r="AQ10" s="9"/>
      <c r="AR10" s="27">
        <f t="shared" si="26"/>
        <v>11425.513656340305</v>
      </c>
      <c r="AS10" s="27">
        <f t="shared" si="27"/>
        <v>6430.682937067203</v>
      </c>
      <c r="AT10" s="27">
        <f t="shared" si="28"/>
        <v>2852.3445111893398</v>
      </c>
      <c r="AU10" s="27">
        <f t="shared" si="29"/>
        <v>1324.2888749999945</v>
      </c>
      <c r="AV10" s="27">
        <f t="shared" si="9"/>
        <v>171.45395184926727</v>
      </c>
      <c r="AW10" s="27">
        <f t="shared" si="30"/>
        <v>646.7433812344993</v>
      </c>
      <c r="AX10" s="27">
        <f t="shared" si="31"/>
        <v>10607.316323256537</v>
      </c>
      <c r="AY10" s="27">
        <f t="shared" si="33"/>
        <v>818.1973330837666</v>
      </c>
      <c r="AZ10" s="27">
        <f t="shared" si="34"/>
        <v>505.1103011074541</v>
      </c>
      <c r="BA10" s="26"/>
      <c r="BB10" s="26"/>
      <c r="BC10" s="95">
        <v>606.1325034999994</v>
      </c>
      <c r="BD10" s="90">
        <f t="shared" si="10"/>
        <v>432.813</v>
      </c>
      <c r="BE10" s="41">
        <v>432.813</v>
      </c>
      <c r="BF10" s="15">
        <f t="shared" si="32"/>
        <v>0</v>
      </c>
      <c r="BG10" s="101">
        <v>1.067</v>
      </c>
      <c r="BH10" s="24"/>
      <c r="BI10" s="31"/>
      <c r="BJ10" s="31"/>
    </row>
    <row r="11" spans="1:62" ht="12.75">
      <c r="A11" s="55">
        <v>40422</v>
      </c>
      <c r="B11" s="100">
        <v>225.84149362004982</v>
      </c>
      <c r="C11" s="100">
        <v>224.67996785232071</v>
      </c>
      <c r="D11" s="100">
        <v>331.861</v>
      </c>
      <c r="E11" s="100">
        <v>330.1270700000008</v>
      </c>
      <c r="F11" s="100">
        <v>0</v>
      </c>
      <c r="G11" s="100">
        <v>0</v>
      </c>
      <c r="H11" s="100">
        <f t="shared" si="0"/>
        <v>554.8070378523215</v>
      </c>
      <c r="I11" s="100">
        <f t="shared" si="1"/>
        <v>557.7024936200498</v>
      </c>
      <c r="J11" s="100">
        <v>121.80780447135724</v>
      </c>
      <c r="K11" s="100">
        <v>98.22005440000059</v>
      </c>
      <c r="L11" s="100">
        <v>0</v>
      </c>
      <c r="M11" s="45">
        <v>45.01595610251925</v>
      </c>
      <c r="N11" s="47">
        <f>SUM(I11:L11)</f>
        <v>777.7303524914076</v>
      </c>
      <c r="O11" s="15">
        <f t="shared" si="11"/>
        <v>1084700.6310898294</v>
      </c>
      <c r="P11" s="27">
        <f t="shared" si="3"/>
        <v>15000.221739804558</v>
      </c>
      <c r="Q11" s="27">
        <f t="shared" si="12"/>
        <v>2221.129823715174</v>
      </c>
      <c r="R11" s="30">
        <f t="shared" si="13"/>
        <v>9.451744480749625</v>
      </c>
      <c r="S11" s="27">
        <f t="shared" si="14"/>
        <v>1586.5239252161791</v>
      </c>
      <c r="T11" s="27">
        <f t="shared" si="15"/>
        <v>279.0677295640016</v>
      </c>
      <c r="U11" s="27">
        <f t="shared" si="16"/>
        <v>346.08642445424374</v>
      </c>
      <c r="V11" s="27">
        <f t="shared" si="17"/>
        <v>2127.770582930637</v>
      </c>
      <c r="W11" s="60">
        <f t="shared" si="4"/>
        <v>83.90749630378735</v>
      </c>
      <c r="X11" s="37">
        <v>8.858242249999648</v>
      </c>
      <c r="Y11" s="101">
        <v>1.067</v>
      </c>
      <c r="Z11" s="27">
        <f t="shared" si="18"/>
        <v>60.80457112229476</v>
      </c>
      <c r="AA11" s="15">
        <f t="shared" si="19"/>
        <v>554.8070378523215</v>
      </c>
      <c r="AB11" s="15">
        <f t="shared" si="20"/>
        <v>557.7024936200498</v>
      </c>
      <c r="AC11" s="22">
        <f t="shared" si="5"/>
        <v>0.9948082431029959</v>
      </c>
      <c r="AD11" s="21">
        <f t="shared" si="21"/>
        <v>121.19876544900046</v>
      </c>
      <c r="AE11" s="15">
        <f t="shared" si="6"/>
        <v>121.80780447135724</v>
      </c>
      <c r="AF11" s="22"/>
      <c r="AG11" s="21">
        <f t="shared" si="22"/>
        <v>97.7289541280006</v>
      </c>
      <c r="AH11" s="15">
        <f t="shared" si="23"/>
        <v>98.22005440000059</v>
      </c>
      <c r="AI11" s="110">
        <f t="shared" si="24"/>
        <v>98.22005440000059</v>
      </c>
      <c r="AJ11" s="15">
        <f t="shared" si="25"/>
        <v>0</v>
      </c>
      <c r="AK11" s="10"/>
      <c r="AL11" s="9"/>
      <c r="AM11">
        <v>0</v>
      </c>
      <c r="AN11" s="23">
        <f t="shared" si="7"/>
        <v>0.4501595610251925</v>
      </c>
      <c r="AO11" s="8">
        <v>0</v>
      </c>
      <c r="AP11">
        <f t="shared" si="8"/>
        <v>0</v>
      </c>
      <c r="AQ11" s="9"/>
      <c r="AR11" s="27">
        <f t="shared" si="26"/>
        <v>17221.351563519733</v>
      </c>
      <c r="AS11" s="27">
        <f t="shared" si="27"/>
        <v>11711.752366021046</v>
      </c>
      <c r="AT11" s="27">
        <f t="shared" si="28"/>
        <v>2557.963893898502</v>
      </c>
      <c r="AU11" s="27">
        <f t="shared" si="29"/>
        <v>2062.6211424000126</v>
      </c>
      <c r="AV11" s="27">
        <f t="shared" si="9"/>
        <v>290.4401335194231</v>
      </c>
      <c r="AW11" s="27">
        <f t="shared" si="30"/>
        <v>598.5740276807499</v>
      </c>
      <c r="AX11" s="27">
        <f t="shared" si="31"/>
        <v>16332.337402319561</v>
      </c>
      <c r="AY11" s="27">
        <f t="shared" si="33"/>
        <v>889.014161200173</v>
      </c>
      <c r="AZ11" s="27">
        <f t="shared" si="34"/>
        <v>777.7303524914076</v>
      </c>
      <c r="BA11" s="26"/>
      <c r="BB11" s="26"/>
      <c r="BC11" s="95">
        <v>560.9878422499999</v>
      </c>
      <c r="BD11" s="90">
        <f t="shared" si="10"/>
        <v>733.178</v>
      </c>
      <c r="BE11" s="41">
        <v>733.178</v>
      </c>
      <c r="BF11" s="15">
        <f t="shared" si="32"/>
        <v>0</v>
      </c>
      <c r="BG11" s="101">
        <v>1.067</v>
      </c>
      <c r="BH11" s="24"/>
      <c r="BI11" s="31"/>
      <c r="BJ11" s="31"/>
    </row>
    <row r="12" spans="1:62" ht="12.75">
      <c r="A12" s="55">
        <v>40452</v>
      </c>
      <c r="B12" s="100">
        <v>221.38274947927448</v>
      </c>
      <c r="C12" s="100">
        <v>220.1612024033764</v>
      </c>
      <c r="D12" s="100">
        <v>317.588</v>
      </c>
      <c r="E12" s="100">
        <v>299.0747550000004</v>
      </c>
      <c r="F12" s="100">
        <v>0</v>
      </c>
      <c r="G12" s="100">
        <v>0</v>
      </c>
      <c r="H12" s="100">
        <f t="shared" si="0"/>
        <v>519.2359574033768</v>
      </c>
      <c r="I12" s="100">
        <f t="shared" si="1"/>
        <v>538.9707494792744</v>
      </c>
      <c r="J12" s="100">
        <v>126.31335719753733</v>
      </c>
      <c r="K12" s="100">
        <v>119.85169299999973</v>
      </c>
      <c r="L12" s="100">
        <v>0</v>
      </c>
      <c r="M12" s="45">
        <v>45.43254518077567</v>
      </c>
      <c r="N12" s="47">
        <f t="shared" si="2"/>
        <v>785.1357996768115</v>
      </c>
      <c r="O12" s="15">
        <f t="shared" si="11"/>
        <v>1095029.00931215</v>
      </c>
      <c r="P12" s="27">
        <f>AR12-Q12</f>
        <v>14955.979588933837</v>
      </c>
      <c r="Q12" s="27">
        <f t="shared" si="12"/>
        <v>2557.6165792910374</v>
      </c>
      <c r="R12" s="30">
        <f>X12*Y12</f>
        <v>15.870613964148689</v>
      </c>
      <c r="S12" s="27">
        <f t="shared" si="14"/>
        <v>1842.3295164531369</v>
      </c>
      <c r="T12" s="27">
        <f t="shared" si="15"/>
        <v>340.52862273624936</v>
      </c>
      <c r="U12" s="27">
        <f t="shared" si="16"/>
        <v>358.88782613750294</v>
      </c>
      <c r="V12" s="27">
        <f t="shared" si="17"/>
        <v>2101.468001462297</v>
      </c>
      <c r="W12" s="60">
        <f t="shared" si="4"/>
        <v>440.2779638645919</v>
      </c>
      <c r="X12" s="37">
        <v>14.874052449998771</v>
      </c>
      <c r="Y12" s="101">
        <v>1.067</v>
      </c>
      <c r="Z12" s="27">
        <f t="shared" si="18"/>
        <v>414.43063359385053</v>
      </c>
      <c r="AA12" s="15">
        <f t="shared" si="19"/>
        <v>519.2359574033768</v>
      </c>
      <c r="AB12" s="15">
        <f t="shared" si="20"/>
        <v>538.9707494792744</v>
      </c>
      <c r="AC12" s="22">
        <f t="shared" si="5"/>
        <v>0.9633842985079165</v>
      </c>
      <c r="AD12" s="21">
        <f t="shared" si="21"/>
        <v>125.68179041154964</v>
      </c>
      <c r="AE12" s="15">
        <f t="shared" si="6"/>
        <v>126.31335719753733</v>
      </c>
      <c r="AF12" s="22"/>
      <c r="AG12" s="21">
        <f t="shared" si="22"/>
        <v>119.25243453499972</v>
      </c>
      <c r="AH12" s="15">
        <f t="shared" si="23"/>
        <v>119.85169299999973</v>
      </c>
      <c r="AI12" s="110">
        <f t="shared" si="24"/>
        <v>119.85169299999973</v>
      </c>
      <c r="AJ12" s="15">
        <f t="shared" si="25"/>
        <v>0</v>
      </c>
      <c r="AK12" s="10"/>
      <c r="AL12" s="9"/>
      <c r="AM12">
        <v>0</v>
      </c>
      <c r="AN12" s="23">
        <f t="shared" si="7"/>
        <v>0.4543254518077567</v>
      </c>
      <c r="AO12" s="8">
        <v>0</v>
      </c>
      <c r="AP12">
        <f>IF(AN12,AO12/AN12,0)</f>
        <v>0</v>
      </c>
      <c r="AQ12" s="9"/>
      <c r="AR12" s="27">
        <f t="shared" si="26"/>
        <v>17513.596168224874</v>
      </c>
      <c r="AS12" s="27">
        <f t="shared" si="27"/>
        <v>11318.385739064763</v>
      </c>
      <c r="AT12" s="27">
        <f t="shared" si="28"/>
        <v>2652.580501148284</v>
      </c>
      <c r="AU12" s="27">
        <f t="shared" si="29"/>
        <v>2516.885552999994</v>
      </c>
      <c r="AV12" s="27">
        <f t="shared" si="9"/>
        <v>379.7377050476855</v>
      </c>
      <c r="AW12" s="27">
        <f>BC12*BG$6</f>
        <v>646.0066699641479</v>
      </c>
      <c r="AX12" s="27">
        <f t="shared" si="31"/>
        <v>16487.85179321304</v>
      </c>
      <c r="AY12" s="27">
        <f t="shared" si="33"/>
        <v>1025.7443750118334</v>
      </c>
      <c r="AZ12" s="27">
        <f>(AB12+AE12+AH12)</f>
        <v>785.1357996768115</v>
      </c>
      <c r="BA12" s="26"/>
      <c r="BB12" s="26"/>
      <c r="BC12" s="95">
        <v>605.4420524499981</v>
      </c>
      <c r="BD12" s="90">
        <f t="shared" si="10"/>
        <v>958.598</v>
      </c>
      <c r="BE12" s="41">
        <v>958.598</v>
      </c>
      <c r="BF12" s="15">
        <f t="shared" si="32"/>
        <v>0</v>
      </c>
      <c r="BG12" s="101">
        <v>1.067</v>
      </c>
      <c r="BH12" s="24"/>
      <c r="BI12" s="31"/>
      <c r="BJ12" s="31"/>
    </row>
    <row r="13" spans="1:62" ht="12.75">
      <c r="A13" s="55">
        <v>40483</v>
      </c>
      <c r="B13" s="100">
        <v>214.230188891025</v>
      </c>
      <c r="C13" s="100">
        <v>213.05177845292192</v>
      </c>
      <c r="D13" s="100">
        <v>368.697</v>
      </c>
      <c r="E13" s="100">
        <v>364.9881399999988</v>
      </c>
      <c r="F13" s="100">
        <v>399.2990039999996</v>
      </c>
      <c r="G13" s="100">
        <v>391.8110914000016</v>
      </c>
      <c r="H13" s="100">
        <f t="shared" si="0"/>
        <v>969.8510098529223</v>
      </c>
      <c r="I13" s="100">
        <f t="shared" si="1"/>
        <v>982.2261928910247</v>
      </c>
      <c r="J13" s="100">
        <v>133.09701378040305</v>
      </c>
      <c r="K13" s="100">
        <v>116.44454119999904</v>
      </c>
      <c r="L13" s="100">
        <v>0</v>
      </c>
      <c r="M13" s="45">
        <v>45.01727015216599</v>
      </c>
      <c r="N13" s="47">
        <f t="shared" si="2"/>
        <v>1231.7677478714268</v>
      </c>
      <c r="O13" s="15">
        <f t="shared" si="11"/>
        <v>1717946.649750944</v>
      </c>
      <c r="P13" s="27">
        <f t="shared" si="3"/>
        <v>23312.647883277223</v>
      </c>
      <c r="Q13" s="27">
        <f t="shared" si="12"/>
        <v>3645.9844147991016</v>
      </c>
      <c r="R13" s="30">
        <f t="shared" si="13"/>
        <v>10.00535081534879</v>
      </c>
      <c r="S13" s="27">
        <f t="shared" si="14"/>
        <v>2926.969120895686</v>
      </c>
      <c r="T13" s="27">
        <f t="shared" si="15"/>
        <v>330.84805268449725</v>
      </c>
      <c r="U13" s="27">
        <f t="shared" si="16"/>
        <v>378.1618904035704</v>
      </c>
      <c r="V13" s="27">
        <f t="shared" si="17"/>
        <v>3349.8983569106613</v>
      </c>
      <c r="W13" s="60">
        <f t="shared" si="4"/>
        <v>286.08070707309184</v>
      </c>
      <c r="X13" s="37">
        <v>9.377086049998866</v>
      </c>
      <c r="Y13" s="101">
        <v>1.067</v>
      </c>
      <c r="Z13" s="27">
        <f t="shared" si="18"/>
        <v>259.87884380014964</v>
      </c>
      <c r="AA13" s="15">
        <f t="shared" si="19"/>
        <v>969.8510098529223</v>
      </c>
      <c r="AB13" s="15">
        <f t="shared" si="20"/>
        <v>982.2261928910247</v>
      </c>
      <c r="AC13" s="22">
        <f t="shared" si="5"/>
        <v>0.9874008826809251</v>
      </c>
      <c r="AD13" s="21">
        <f t="shared" si="21"/>
        <v>132.43152871150102</v>
      </c>
      <c r="AE13" s="15">
        <f t="shared" si="6"/>
        <v>133.09701378040305</v>
      </c>
      <c r="AF13" s="22"/>
      <c r="AG13" s="21">
        <f t="shared" si="22"/>
        <v>115.86231849399904</v>
      </c>
      <c r="AH13" s="15">
        <f t="shared" si="23"/>
        <v>116.44454119999904</v>
      </c>
      <c r="AI13" s="110">
        <f t="shared" si="24"/>
        <v>116.44454119999904</v>
      </c>
      <c r="AJ13" s="15">
        <f t="shared" si="25"/>
        <v>0</v>
      </c>
      <c r="AK13" s="10"/>
      <c r="AL13" s="9"/>
      <c r="AM13">
        <v>0</v>
      </c>
      <c r="AN13" s="23">
        <f t="shared" si="7"/>
        <v>0.4501727015216599</v>
      </c>
      <c r="AO13" s="8">
        <v>0</v>
      </c>
      <c r="AP13">
        <v>0</v>
      </c>
      <c r="AQ13" s="9"/>
      <c r="AR13" s="27">
        <f t="shared" si="26"/>
        <v>26958.632298076325</v>
      </c>
      <c r="AS13" s="27">
        <f t="shared" si="27"/>
        <v>20626.75005071152</v>
      </c>
      <c r="AT13" s="27">
        <f t="shared" si="28"/>
        <v>2795.037289388464</v>
      </c>
      <c r="AU13" s="27">
        <f t="shared" si="29"/>
        <v>2445.3353651999796</v>
      </c>
      <c r="AV13" s="27">
        <f t="shared" si="9"/>
        <v>376.1011523610142</v>
      </c>
      <c r="AW13" s="27">
        <f t="shared" si="30"/>
        <v>715.4084404153498</v>
      </c>
      <c r="AX13" s="27">
        <f t="shared" si="31"/>
        <v>25867.12270529996</v>
      </c>
      <c r="AY13" s="27">
        <f t="shared" si="33"/>
        <v>1091.5095927763641</v>
      </c>
      <c r="AZ13" s="27">
        <f t="shared" si="34"/>
        <v>1231.7677478714268</v>
      </c>
      <c r="BA13" s="26"/>
      <c r="BB13" s="26"/>
      <c r="BC13" s="95">
        <v>670.4858860499999</v>
      </c>
      <c r="BD13" s="90">
        <f t="shared" si="10"/>
        <v>949.418</v>
      </c>
      <c r="BE13" s="41">
        <v>949.418</v>
      </c>
      <c r="BF13" s="15">
        <f t="shared" si="32"/>
        <v>0</v>
      </c>
      <c r="BG13" s="101">
        <v>1.067</v>
      </c>
      <c r="BH13" s="24"/>
      <c r="BI13" s="31"/>
      <c r="BJ13" s="31"/>
    </row>
    <row r="14" spans="1:62" ht="13.5" thickBot="1">
      <c r="A14" s="55">
        <v>40513</v>
      </c>
      <c r="B14" s="100">
        <v>287.86614696802513</v>
      </c>
      <c r="C14" s="100">
        <v>285.68778919471674</v>
      </c>
      <c r="D14" s="100">
        <v>378.289</v>
      </c>
      <c r="E14" s="100">
        <v>374.94368</v>
      </c>
      <c r="F14" s="100">
        <v>271.91741599999847</v>
      </c>
      <c r="G14" s="100">
        <v>261.97335424000244</v>
      </c>
      <c r="H14" s="100">
        <f t="shared" si="0"/>
        <v>922.6048234347192</v>
      </c>
      <c r="I14" s="100">
        <f t="shared" si="1"/>
        <v>938.0725629680235</v>
      </c>
      <c r="J14" s="100">
        <v>123.87204683830437</v>
      </c>
      <c r="K14" s="100">
        <v>138.7042878000012</v>
      </c>
      <c r="L14" s="100">
        <v>19.623</v>
      </c>
      <c r="M14" s="45">
        <v>47.86460728744945</v>
      </c>
      <c r="N14" s="47">
        <f t="shared" si="2"/>
        <v>1220.271897606329</v>
      </c>
      <c r="O14" s="15">
        <f t="shared" si="11"/>
        <v>1701913.3857828858</v>
      </c>
      <c r="P14" s="27">
        <f t="shared" si="3"/>
        <v>23087.057783978165</v>
      </c>
      <c r="Q14" s="27">
        <f t="shared" si="12"/>
        <v>3685.1480857993774</v>
      </c>
      <c r="R14" s="30">
        <f t="shared" si="13"/>
        <v>21.36343161342339</v>
      </c>
      <c r="S14" s="27">
        <f t="shared" si="14"/>
        <v>2861.9857946448683</v>
      </c>
      <c r="T14" s="27">
        <f t="shared" si="15"/>
        <v>449.8474064617533</v>
      </c>
      <c r="U14" s="27">
        <f t="shared" si="16"/>
        <v>351.9514530793322</v>
      </c>
      <c r="V14" s="27">
        <f t="shared" si="17"/>
        <v>3309.3311938495413</v>
      </c>
      <c r="W14" s="60">
        <f>AQ$6*((AB14-AA14)+AE14*(1-AF$6)+AH14*(1-AK$6))</f>
        <v>354.45346033641295</v>
      </c>
      <c r="X14" s="37">
        <v>20.02196027499849</v>
      </c>
      <c r="Y14" s="101">
        <v>1.067</v>
      </c>
      <c r="Z14" s="27">
        <f t="shared" si="18"/>
        <v>324.8225301993908</v>
      </c>
      <c r="AA14" s="15">
        <f t="shared" si="19"/>
        <v>922.6048234347192</v>
      </c>
      <c r="AB14" s="15">
        <f t="shared" si="20"/>
        <v>938.0725629680235</v>
      </c>
      <c r="AC14" s="22">
        <f t="shared" si="5"/>
        <v>0.9835111481308386</v>
      </c>
      <c r="AD14" s="21">
        <f t="shared" si="21"/>
        <v>123.25268660411285</v>
      </c>
      <c r="AE14" s="15">
        <f t="shared" si="6"/>
        <v>123.87204683830437</v>
      </c>
      <c r="AF14" s="22"/>
      <c r="AG14" s="21">
        <f t="shared" si="22"/>
        <v>157.5356513610012</v>
      </c>
      <c r="AH14" s="15">
        <f t="shared" si="23"/>
        <v>158.3272878000012</v>
      </c>
      <c r="AI14" s="110">
        <f t="shared" si="24"/>
        <v>138.7042878000012</v>
      </c>
      <c r="AJ14" s="15">
        <f t="shared" si="25"/>
        <v>19.623</v>
      </c>
      <c r="AK14" s="10"/>
      <c r="AL14" s="9"/>
      <c r="AM14">
        <v>0</v>
      </c>
      <c r="AN14" s="23">
        <f t="shared" si="7"/>
        <v>0.4786460728744945</v>
      </c>
      <c r="AO14" s="8">
        <v>0</v>
      </c>
      <c r="AP14">
        <v>0</v>
      </c>
      <c r="AQ14" s="9"/>
      <c r="AR14" s="27">
        <f t="shared" si="26"/>
        <v>26772.205869777543</v>
      </c>
      <c r="AS14" s="27">
        <f>AB14*$BA$6</f>
        <v>19699.523822328494</v>
      </c>
      <c r="AT14" s="27">
        <f t="shared" si="28"/>
        <v>2601.312983604392</v>
      </c>
      <c r="AU14" s="27">
        <f>AH14*$BA$6</f>
        <v>3324.873043800025</v>
      </c>
      <c r="AV14" s="27">
        <f t="shared" si="9"/>
        <v>505.1040100312103</v>
      </c>
      <c r="AW14" s="27">
        <f>BC14*BG$6</f>
        <v>641.3920100134222</v>
      </c>
      <c r="AX14" s="27">
        <f t="shared" si="31"/>
        <v>25625.70984973291</v>
      </c>
      <c r="AY14" s="27">
        <f t="shared" si="33"/>
        <v>1146.4960200446326</v>
      </c>
      <c r="AZ14" s="27">
        <f>(AB14+AE14+AH14)</f>
        <v>1220.271897606329</v>
      </c>
      <c r="BA14" s="26"/>
      <c r="BB14" s="26"/>
      <c r="BC14" s="95">
        <v>601.1171602749974</v>
      </c>
      <c r="BD14" s="90">
        <f t="shared" si="10"/>
        <v>1275.06878398366</v>
      </c>
      <c r="BE14" s="41">
        <v>1073.722</v>
      </c>
      <c r="BF14" s="15">
        <f t="shared" si="32"/>
        <v>201.34678398366</v>
      </c>
      <c r="BG14" s="101">
        <v>1.067</v>
      </c>
      <c r="BH14" s="24"/>
      <c r="BI14" s="31"/>
      <c r="BJ14" s="31"/>
    </row>
    <row r="15" spans="1:62" ht="13.5" thickBot="1">
      <c r="A15" s="13" t="s">
        <v>73</v>
      </c>
      <c r="B15" s="14">
        <f aca="true" t="shared" si="35" ref="B15:G15">SUM(B6:B14)</f>
        <v>1873.1979298917747</v>
      </c>
      <c r="C15" s="14">
        <f t="shared" si="35"/>
        <v>1855.8348780912995</v>
      </c>
      <c r="D15" s="14">
        <f t="shared" si="35"/>
        <v>1578.046</v>
      </c>
      <c r="E15" s="14">
        <f t="shared" si="35"/>
        <v>1548.7148149999998</v>
      </c>
      <c r="F15" s="14">
        <f t="shared" si="35"/>
        <v>671.2164199999982</v>
      </c>
      <c r="G15" s="14">
        <f t="shared" si="35"/>
        <v>653.784445640004</v>
      </c>
      <c r="H15" s="14">
        <f>SUM(H6:H14)</f>
        <v>4058.334138731303</v>
      </c>
      <c r="I15" s="14">
        <f>SUM(I6:I14)</f>
        <v>4122.460349891773</v>
      </c>
      <c r="J15" s="14">
        <f>SUM(J6:J14)</f>
        <v>1162.3192985609123</v>
      </c>
      <c r="K15" s="14">
        <f>SUM(K6:K14)</f>
        <v>626.6466465999991</v>
      </c>
      <c r="L15" s="14">
        <f>SUM(L6:L14)</f>
        <v>19.623</v>
      </c>
      <c r="M15" s="14"/>
      <c r="N15" s="48">
        <f aca="true" t="shared" si="36" ref="N15:X15">SUM(N6:N14)</f>
        <v>5931.049295052684</v>
      </c>
      <c r="O15" s="43">
        <f t="shared" si="36"/>
        <v>8272035.279013507</v>
      </c>
      <c r="P15" s="54">
        <f t="shared" si="36"/>
        <v>114439.17472720623</v>
      </c>
      <c r="Q15" s="54">
        <f t="shared" si="36"/>
        <v>17795.087456584275</v>
      </c>
      <c r="R15" s="54">
        <f t="shared" si="36"/>
        <v>149.36480026489437</v>
      </c>
      <c r="S15" s="54">
        <f t="shared" si="36"/>
        <v>12507.069315880943</v>
      </c>
      <c r="T15" s="54">
        <f>ROUNDUP(SUM(T6:T14),0)</f>
        <v>1837</v>
      </c>
      <c r="U15" s="54">
        <f t="shared" si="36"/>
        <v>3302.439707036192</v>
      </c>
      <c r="V15" s="14">
        <f t="shared" si="36"/>
        <v>16109.170382707625</v>
      </c>
      <c r="W15" s="14">
        <f t="shared" si="36"/>
        <v>1536.5522736117534</v>
      </c>
      <c r="X15" s="14">
        <f t="shared" si="36"/>
        <v>139.98575469999474</v>
      </c>
      <c r="Y15" s="14"/>
      <c r="Z15" s="14">
        <f>SUM(Z6:Z14)</f>
        <v>1346.6504343698575</v>
      </c>
      <c r="AA15" s="43">
        <f>SUM(AA6:AA14)</f>
        <v>4058.334138731303</v>
      </c>
      <c r="AB15" s="43">
        <f>SUM(AB6:AB14)</f>
        <v>4122.460349891773</v>
      </c>
      <c r="AC15" s="43"/>
      <c r="AD15" s="43">
        <f>SUM(AD6:AD14)</f>
        <v>1156.5077020681074</v>
      </c>
      <c r="AE15" s="43">
        <f>SUM(AE6:AE14)</f>
        <v>1162.3192985609123</v>
      </c>
      <c r="AF15" s="43"/>
      <c r="AG15" s="43">
        <f>SUM(AG6:AG14)</f>
        <v>643.0382983669991</v>
      </c>
      <c r="AH15" s="43">
        <f>SUM(AH6:AH14)</f>
        <v>646.2696465999992</v>
      </c>
      <c r="AI15" s="111">
        <f>SUM(AI6:AI14)</f>
        <v>626.6466465999991</v>
      </c>
      <c r="AJ15" s="43">
        <f>SUM(AJ6:AJ14)</f>
        <v>19.623</v>
      </c>
      <c r="AK15" s="14"/>
      <c r="AL15" s="14"/>
      <c r="AM15" s="14"/>
      <c r="AN15" s="14"/>
      <c r="AO15" s="14"/>
      <c r="AP15" s="14"/>
      <c r="AQ15" s="43"/>
      <c r="AR15" s="54">
        <f aca="true" t="shared" si="37" ref="AR15:AZ15">SUM(AR6:AR14)</f>
        <v>132234.2621837905</v>
      </c>
      <c r="AS15" s="54">
        <f>ROUNDDOWN(SUM(AS6:AS14),0)</f>
        <v>86571</v>
      </c>
      <c r="AT15" s="54">
        <f t="shared" si="37"/>
        <v>24408.705269779155</v>
      </c>
      <c r="AU15" s="54">
        <f t="shared" si="37"/>
        <v>13571.662578599982</v>
      </c>
      <c r="AV15" s="54">
        <f t="shared" si="37"/>
        <v>1969.2399386192542</v>
      </c>
      <c r="AW15" s="54">
        <f t="shared" si="37"/>
        <v>5712.987049064893</v>
      </c>
      <c r="AX15" s="43">
        <f>SUM(AX6:AX14)</f>
        <v>124552.03519610637</v>
      </c>
      <c r="AY15" s="43">
        <f>SUM(AY6:AY14)</f>
        <v>7682.226987684147</v>
      </c>
      <c r="AZ15" s="14">
        <f t="shared" si="37"/>
        <v>5931.049295052684</v>
      </c>
      <c r="BA15" s="14"/>
      <c r="BB15" s="14"/>
      <c r="BC15" s="14">
        <f>SUM(BC6:BC14)</f>
        <v>5354.252154699994</v>
      </c>
      <c r="BD15" s="14">
        <f>SUM(BD6:BD14)</f>
        <v>4971.08778398366</v>
      </c>
      <c r="BE15" s="14">
        <f>SUM(BE6:BE14)</f>
        <v>4769.741</v>
      </c>
      <c r="BF15" s="14">
        <f>SUM(BF6:BF14)</f>
        <v>201.34678398366</v>
      </c>
      <c r="BG15" s="14"/>
      <c r="BH15" s="14"/>
      <c r="BI15" s="14"/>
      <c r="BJ15" s="14"/>
    </row>
    <row r="16" spans="1:62" ht="12.75">
      <c r="A16" s="55">
        <v>40544</v>
      </c>
      <c r="B16" s="100">
        <v>292.73949483517566</v>
      </c>
      <c r="C16" s="100">
        <v>290.20854329352863</v>
      </c>
      <c r="D16" s="100">
        <v>326.245</v>
      </c>
      <c r="E16" s="100">
        <v>323.3357349999974</v>
      </c>
      <c r="F16" s="100">
        <v>247.75318399999895</v>
      </c>
      <c r="G16" s="100">
        <v>238.77363742000077</v>
      </c>
      <c r="H16" s="100">
        <f>C16+E16+G16</f>
        <v>852.3179157135269</v>
      </c>
      <c r="I16" s="100">
        <f>B16+D16+F16</f>
        <v>866.7376788351746</v>
      </c>
      <c r="J16" s="100">
        <v>59.834944391219246</v>
      </c>
      <c r="K16" s="100">
        <v>139.88566540000232</v>
      </c>
      <c r="L16" s="100">
        <v>36.994</v>
      </c>
      <c r="M16" s="45">
        <v>47.514723719676475</v>
      </c>
      <c r="N16" s="47">
        <f>SUM(I16:L16)</f>
        <v>1103.452288626396</v>
      </c>
      <c r="O16" s="15">
        <f t="shared" si="11"/>
        <v>1538985.0608457406</v>
      </c>
      <c r="P16" s="27">
        <f>AR16-Q16</f>
        <v>20726.890048967656</v>
      </c>
      <c r="Q16" s="27">
        <f t="shared" si="12"/>
        <v>3327.6501337269583</v>
      </c>
      <c r="R16" s="30">
        <f>X16*Y16</f>
        <v>8.395454890848532</v>
      </c>
      <c r="S16" s="27">
        <f t="shared" si="14"/>
        <v>2646.6892937668017</v>
      </c>
      <c r="T16" s="27">
        <f t="shared" si="15"/>
        <v>502.55934931775664</v>
      </c>
      <c r="U16" s="27">
        <f t="shared" si="16"/>
        <v>170.00603575155174</v>
      </c>
      <c r="V16" s="27">
        <f t="shared" si="17"/>
        <v>2991.5846192534286</v>
      </c>
      <c r="W16" s="60">
        <f>AQ$6*((AB16-AA16)+AE16*(1-AF$6)+AH16*(1-AK$6))</f>
        <v>327.67005958268095</v>
      </c>
      <c r="X16" s="37">
        <v>7.897887949998619</v>
      </c>
      <c r="Y16" s="101">
        <v>1.063</v>
      </c>
      <c r="Z16" s="27">
        <f t="shared" si="18"/>
        <v>302.8150255546027</v>
      </c>
      <c r="AA16" s="15">
        <f aca="true" t="shared" si="38" ref="AA16:AB18">H16</f>
        <v>852.3179157135269</v>
      </c>
      <c r="AB16" s="15">
        <f t="shared" si="38"/>
        <v>866.7376788351746</v>
      </c>
      <c r="AC16" s="22">
        <f t="shared" si="5"/>
        <v>0.9833631749562027</v>
      </c>
      <c r="AD16" s="21">
        <f t="shared" si="21"/>
        <v>59.535769669263146</v>
      </c>
      <c r="AE16" s="15">
        <f>J16</f>
        <v>59.834944391219246</v>
      </c>
      <c r="AF16" s="22"/>
      <c r="AG16" s="21">
        <f>AH16*AK$6</f>
        <v>175.9952670730023</v>
      </c>
      <c r="AH16" s="15">
        <f t="shared" si="23"/>
        <v>176.87966540000232</v>
      </c>
      <c r="AI16" s="110">
        <f t="shared" si="24"/>
        <v>139.88566540000232</v>
      </c>
      <c r="AJ16" s="15">
        <f t="shared" si="25"/>
        <v>36.994</v>
      </c>
      <c r="AK16" s="10"/>
      <c r="AL16" s="9"/>
      <c r="AM16">
        <v>0</v>
      </c>
      <c r="AN16" s="23">
        <f>M16/100</f>
        <v>0.47514723719676477</v>
      </c>
      <c r="AO16" s="8">
        <v>0</v>
      </c>
      <c r="AP16">
        <f>IF(AN16,AO16/AN16,0)</f>
        <v>0</v>
      </c>
      <c r="AQ16" s="9"/>
      <c r="AR16" s="27">
        <f t="shared" si="26"/>
        <v>24054.540182694614</v>
      </c>
      <c r="AS16" s="27">
        <f>AB16*$BA$6</f>
        <v>18201.491255538665</v>
      </c>
      <c r="AT16" s="27">
        <f t="shared" si="28"/>
        <v>1256.5338322156042</v>
      </c>
      <c r="AU16" s="27">
        <f>AH16*$BA$6</f>
        <v>3714.472973400049</v>
      </c>
      <c r="AV16" s="27">
        <f>BD16*BH$6/BI$6</f>
        <v>584.7360226494438</v>
      </c>
      <c r="AW16" s="27">
        <f>BC16*BG$16</f>
        <v>297.3060988908494</v>
      </c>
      <c r="AX16" s="27">
        <f t="shared" si="31"/>
        <v>23172.49806115432</v>
      </c>
      <c r="AY16" s="27">
        <f t="shared" si="33"/>
        <v>882.0421215402932</v>
      </c>
      <c r="AZ16" s="27">
        <f>(AB16+AE16+AH16)</f>
        <v>1103.4522886263962</v>
      </c>
      <c r="BA16" s="26"/>
      <c r="BB16" s="26"/>
      <c r="BC16" s="95">
        <v>279.6858879499994</v>
      </c>
      <c r="BD16" s="90">
        <f t="shared" si="10"/>
        <v>1476.0893490134815</v>
      </c>
      <c r="BE16" s="41">
        <v>1096.5030000000015</v>
      </c>
      <c r="BF16" s="15">
        <f t="shared" si="32"/>
        <v>379.58634901348</v>
      </c>
      <c r="BG16" s="101">
        <v>1.063</v>
      </c>
      <c r="BH16" s="24"/>
      <c r="BI16" s="31"/>
      <c r="BJ16" s="31"/>
    </row>
    <row r="17" spans="1:62" ht="12.75">
      <c r="A17" s="55">
        <v>40575</v>
      </c>
      <c r="B17" s="100">
        <v>268.75363816012504</v>
      </c>
      <c r="C17" s="100">
        <v>266.46775463539666</v>
      </c>
      <c r="D17" s="100">
        <v>269.043</v>
      </c>
      <c r="E17" s="100">
        <v>266.72921499999984</v>
      </c>
      <c r="F17" s="100">
        <v>254.1025239999993</v>
      </c>
      <c r="G17" s="100">
        <v>251.74025890000007</v>
      </c>
      <c r="H17" s="100">
        <f>C17+E17+G17</f>
        <v>784.9372285353966</v>
      </c>
      <c r="I17" s="100">
        <f>B17+D17+F17</f>
        <v>791.8991621601243</v>
      </c>
      <c r="J17" s="100">
        <v>55.18708269026827</v>
      </c>
      <c r="K17" s="100">
        <v>137.0992713999999</v>
      </c>
      <c r="L17" s="100">
        <v>42.304</v>
      </c>
      <c r="M17" s="45">
        <v>49.85615744349206</v>
      </c>
      <c r="N17" s="47">
        <f>SUM(I17:L17)</f>
        <v>1026.4895162503926</v>
      </c>
      <c r="O17" s="15">
        <f>N17/0.717*1000</f>
        <v>1431645.0714789298</v>
      </c>
      <c r="P17" s="27">
        <f>ROUNDUP(AR17-Q17,0)</f>
        <v>19450</v>
      </c>
      <c r="Q17" s="27">
        <f t="shared" si="12"/>
        <v>2971.1736854167975</v>
      </c>
      <c r="R17" s="30">
        <f>X17*Y17</f>
        <v>-0.13414273380020722</v>
      </c>
      <c r="S17" s="27">
        <f t="shared" si="14"/>
        <v>2304.7779845916234</v>
      </c>
      <c r="T17" s="27">
        <f t="shared" si="15"/>
        <v>509.72954486525</v>
      </c>
      <c r="U17" s="27">
        <f t="shared" si="16"/>
        <v>156.80029869372476</v>
      </c>
      <c r="V17" s="27">
        <f>(AA17+AD17+AG17)*(AL$6+AM17*AP17)</f>
        <v>2800.475234851837</v>
      </c>
      <c r="W17" s="60">
        <f>AQ$6*((AB17-AA17)+AE17*(1-AF$6)+AH17*(1-AK$6))</f>
        <v>170.83259329876088</v>
      </c>
      <c r="X17" s="37">
        <v>-0.12619260000019494</v>
      </c>
      <c r="Y17" s="101">
        <v>1.063</v>
      </c>
      <c r="Z17" s="27">
        <f t="shared" si="18"/>
        <v>146.20060611928272</v>
      </c>
      <c r="AA17" s="15">
        <f t="shared" si="38"/>
        <v>784.9372285353966</v>
      </c>
      <c r="AB17" s="15">
        <f t="shared" si="38"/>
        <v>791.8991621601243</v>
      </c>
      <c r="AC17" s="22">
        <f t="shared" si="5"/>
        <v>0.9912085604362338</v>
      </c>
      <c r="AD17" s="21">
        <f t="shared" si="21"/>
        <v>54.911147276816926</v>
      </c>
      <c r="AE17" s="15">
        <f>J17</f>
        <v>55.18708269026827</v>
      </c>
      <c r="AF17" s="22"/>
      <c r="AG17" s="21">
        <f>AH17*AK$6</f>
        <v>178.5062550429999</v>
      </c>
      <c r="AH17" s="15">
        <f t="shared" si="23"/>
        <v>179.4032713999999</v>
      </c>
      <c r="AI17" s="110">
        <f t="shared" si="24"/>
        <v>137.0992713999999</v>
      </c>
      <c r="AJ17" s="15">
        <f t="shared" si="25"/>
        <v>42.304</v>
      </c>
      <c r="AK17" s="10"/>
      <c r="AL17" s="9"/>
      <c r="AM17">
        <v>0</v>
      </c>
      <c r="AN17" s="23">
        <f>M17/100</f>
        <v>0.4985615744349206</v>
      </c>
      <c r="AO17" s="8">
        <v>0</v>
      </c>
      <c r="AP17">
        <f>IF(AN17,AO17/AN17,0)</f>
        <v>0</v>
      </c>
      <c r="AQ17" s="9"/>
      <c r="AR17" s="27">
        <f t="shared" si="26"/>
        <v>22420.789206797344</v>
      </c>
      <c r="AS17" s="27">
        <f>AB17*$BA$6</f>
        <v>16629.882405362612</v>
      </c>
      <c r="AT17" s="27">
        <f t="shared" si="28"/>
        <v>1158.9287364956338</v>
      </c>
      <c r="AU17" s="27">
        <f>AH17*$BA$6</f>
        <v>3767.468699399998</v>
      </c>
      <c r="AV17" s="27">
        <f>BD17*BH$6/BI$6</f>
        <v>583.2206362729031</v>
      </c>
      <c r="AW17" s="27">
        <f>BC17*BG$16</f>
        <v>281.28872926619965</v>
      </c>
      <c r="AX17" s="27">
        <f t="shared" si="31"/>
        <v>21556.279841258245</v>
      </c>
      <c r="AY17" s="27">
        <f t="shared" si="33"/>
        <v>864.5093655391028</v>
      </c>
      <c r="AZ17" s="27">
        <f>(AB17+AE17+AH17)</f>
        <v>1026.4895162503926</v>
      </c>
      <c r="BA17" s="26"/>
      <c r="BB17" s="26"/>
      <c r="BC17" s="95">
        <v>264.61780739999966</v>
      </c>
      <c r="BD17" s="90">
        <f>SUM(BE17:BF17)</f>
        <v>1472.263954983682</v>
      </c>
      <c r="BE17" s="92">
        <v>1038.193000000002</v>
      </c>
      <c r="BF17" s="15">
        <f t="shared" si="32"/>
        <v>434.07095498368</v>
      </c>
      <c r="BG17" s="101">
        <v>1.063</v>
      </c>
      <c r="BH17" s="24"/>
      <c r="BI17" s="31"/>
      <c r="BJ17" s="31"/>
    </row>
    <row r="18" spans="1:59" ht="13.5" thickBot="1">
      <c r="A18" s="93" t="s">
        <v>147</v>
      </c>
      <c r="B18" s="100">
        <v>138.57624894082488</v>
      </c>
      <c r="C18" s="100">
        <v>137.25663840624478</v>
      </c>
      <c r="D18" s="100">
        <v>147.11</v>
      </c>
      <c r="E18" s="100">
        <v>146.03578</v>
      </c>
      <c r="F18" s="100">
        <v>152.09491599999942</v>
      </c>
      <c r="G18" s="100">
        <v>149.2986412800004</v>
      </c>
      <c r="H18" s="100">
        <f>C18+E18+G18</f>
        <v>432.5910596862452</v>
      </c>
      <c r="I18" s="100">
        <f>B18+D18+F18</f>
        <v>437.7811649408243</v>
      </c>
      <c r="J18" s="100">
        <v>77.51484053759432</v>
      </c>
      <c r="K18" s="100">
        <v>74.48291759999938</v>
      </c>
      <c r="L18" s="100">
        <v>25.487</v>
      </c>
      <c r="M18" s="45">
        <v>50.90951388888901</v>
      </c>
      <c r="N18" s="47">
        <f>SUM(I18:L18)</f>
        <v>615.2659230784179</v>
      </c>
      <c r="O18" s="15">
        <f>N18/0.717*1000</f>
        <v>858111.4687286164</v>
      </c>
      <c r="P18" s="27">
        <f>AR18-Q18</f>
        <v>11824.855802108406</v>
      </c>
      <c r="Q18" s="27">
        <f t="shared" si="12"/>
        <v>1813.6357277724212</v>
      </c>
      <c r="R18" s="30">
        <f>X18*Y18</f>
        <v>10.739534230648426</v>
      </c>
      <c r="S18" s="27">
        <f t="shared" si="14"/>
        <v>1298.6176244833348</v>
      </c>
      <c r="T18" s="27">
        <f t="shared" si="15"/>
        <v>284.0395283809984</v>
      </c>
      <c r="U18" s="27">
        <f t="shared" si="16"/>
        <v>220.23904067743987</v>
      </c>
      <c r="V18" s="27">
        <f>(AA18+AD18+AG18)*(AL$6+AM18*AP18)</f>
        <v>1675.2680835911651</v>
      </c>
      <c r="W18" s="60">
        <f>AQ$6*((AB18-AA18)+AE18*(1-AF$6)+AH18*(1-AK$6))</f>
        <v>127.62810995060775</v>
      </c>
      <c r="X18" s="37">
        <v>10.10304254999852</v>
      </c>
      <c r="Y18" s="101">
        <v>1.063</v>
      </c>
      <c r="Z18" s="27">
        <f t="shared" si="18"/>
        <v>108.99221034616039</v>
      </c>
      <c r="AA18" s="15">
        <f t="shared" si="38"/>
        <v>432.5910596862452</v>
      </c>
      <c r="AB18" s="15">
        <f t="shared" si="38"/>
        <v>437.7811649408243</v>
      </c>
      <c r="AC18" s="22">
        <f t="shared" si="5"/>
        <v>0.9881445213494267</v>
      </c>
      <c r="AD18" s="21">
        <f t="shared" si="21"/>
        <v>77.12726633490635</v>
      </c>
      <c r="AE18" s="15">
        <f>J18</f>
        <v>77.51484053759432</v>
      </c>
      <c r="AG18" s="21">
        <f>AH18*AK$6</f>
        <v>99.47006801199937</v>
      </c>
      <c r="AH18" s="15">
        <f t="shared" si="23"/>
        <v>99.96991759999938</v>
      </c>
      <c r="AI18" s="110">
        <f t="shared" si="24"/>
        <v>74.48291759999938</v>
      </c>
      <c r="AJ18" s="15">
        <f t="shared" si="25"/>
        <v>25.487</v>
      </c>
      <c r="AM18">
        <v>0</v>
      </c>
      <c r="AN18" s="23">
        <f>M18/100</f>
        <v>0.5090951388888901</v>
      </c>
      <c r="AO18" s="8">
        <v>0</v>
      </c>
      <c r="AP18">
        <f>IF(AN18,AO18/AN18,0)</f>
        <v>0</v>
      </c>
      <c r="AR18" s="27">
        <f t="shared" si="26"/>
        <v>13638.491529880828</v>
      </c>
      <c r="AS18" s="27">
        <f>AB18*$BA$6</f>
        <v>9193.40446375731</v>
      </c>
      <c r="AT18" s="27">
        <f t="shared" si="28"/>
        <v>1627.8116512894808</v>
      </c>
      <c r="AU18" s="27">
        <f>AH18*$BA$6</f>
        <v>2099.368269599987</v>
      </c>
      <c r="AV18" s="27">
        <f>BD18*BH$6/BI$6</f>
        <v>320.5664166034022</v>
      </c>
      <c r="AW18" s="27">
        <f>BC18*BG$16</f>
        <v>397.3407286306491</v>
      </c>
      <c r="AX18" s="27">
        <f t="shared" si="31"/>
        <v>12920.584384646776</v>
      </c>
      <c r="AY18" s="27">
        <f t="shared" si="33"/>
        <v>717.9071452340513</v>
      </c>
      <c r="AZ18" s="27">
        <f>(AB18+AE18+AH18)</f>
        <v>615.2659230784179</v>
      </c>
      <c r="BC18" s="95">
        <v>373.79184254999916</v>
      </c>
      <c r="BD18" s="90">
        <f>SUM(BE18:BF18)</f>
        <v>809.2278479025404</v>
      </c>
      <c r="BE18" s="92">
        <v>547.7120000000003</v>
      </c>
      <c r="BF18" s="15">
        <f t="shared" si="32"/>
        <v>261.51584790254</v>
      </c>
      <c r="BG18" s="101">
        <v>1.063</v>
      </c>
    </row>
    <row r="19" spans="1:62" ht="13.5" thickBot="1">
      <c r="A19" s="13" t="s">
        <v>76</v>
      </c>
      <c r="B19" s="14">
        <f>SUM(B16:B18)</f>
        <v>700.0693819361256</v>
      </c>
      <c r="C19" s="14">
        <f aca="true" t="shared" si="39" ref="C19:L19">SUM(C16:C18)</f>
        <v>693.9329363351701</v>
      </c>
      <c r="D19" s="14">
        <f t="shared" si="39"/>
        <v>742.398</v>
      </c>
      <c r="E19" s="14">
        <f t="shared" si="39"/>
        <v>736.1007299999972</v>
      </c>
      <c r="F19" s="14">
        <f t="shared" si="39"/>
        <v>653.9506239999977</v>
      </c>
      <c r="G19" s="14">
        <f t="shared" si="39"/>
        <v>639.8125376000013</v>
      </c>
      <c r="H19" s="14">
        <f>SUM(H16:H18)</f>
        <v>2069.846203935169</v>
      </c>
      <c r="I19" s="14">
        <f>SUM(I16:I18)</f>
        <v>2096.4180059361233</v>
      </c>
      <c r="J19" s="14">
        <f t="shared" si="39"/>
        <v>192.53686761908185</v>
      </c>
      <c r="K19" s="14">
        <f t="shared" si="39"/>
        <v>351.4678544000016</v>
      </c>
      <c r="L19" s="14">
        <f t="shared" si="39"/>
        <v>104.785</v>
      </c>
      <c r="M19" s="56"/>
      <c r="N19" s="48">
        <f>SUM(N16:N18)</f>
        <v>2745.2077279552063</v>
      </c>
      <c r="O19" s="48">
        <f>SUM(O16:O18)</f>
        <v>3828741.601053287</v>
      </c>
      <c r="P19" s="54">
        <f aca="true" t="shared" si="40" ref="P19:X19">SUM(P16:P18)</f>
        <v>52001.74585107606</v>
      </c>
      <c r="Q19" s="54">
        <f t="shared" si="40"/>
        <v>8112.459546916177</v>
      </c>
      <c r="R19" s="54">
        <f t="shared" si="40"/>
        <v>19.00084638769675</v>
      </c>
      <c r="S19" s="54">
        <f t="shared" si="40"/>
        <v>6250.08490284176</v>
      </c>
      <c r="T19" s="54">
        <f t="shared" si="40"/>
        <v>1296.328422564005</v>
      </c>
      <c r="U19" s="54">
        <f t="shared" si="40"/>
        <v>547.0453751227163</v>
      </c>
      <c r="V19" s="43">
        <f t="shared" si="40"/>
        <v>7467.327937696431</v>
      </c>
      <c r="W19" s="43">
        <f t="shared" si="40"/>
        <v>626.1307628320495</v>
      </c>
      <c r="X19" s="43">
        <f t="shared" si="40"/>
        <v>17.874737899996944</v>
      </c>
      <c r="Y19" s="14"/>
      <c r="Z19" s="43">
        <f>SUM(Z16:Z18)</f>
        <v>558.0078420200458</v>
      </c>
      <c r="AA19" s="43">
        <f>SUM(AA16:AA18)</f>
        <v>2069.846203935169</v>
      </c>
      <c r="AB19" s="43">
        <f>SUM(AB16:AB18)</f>
        <v>2096.4180059361233</v>
      </c>
      <c r="AC19" s="43"/>
      <c r="AD19" s="43">
        <f>SUM(AD16:AD18)</f>
        <v>191.57418328098643</v>
      </c>
      <c r="AE19" s="43">
        <f>SUM(AE16:AE18)</f>
        <v>192.53686761908185</v>
      </c>
      <c r="AF19" s="43"/>
      <c r="AG19" s="43">
        <f>SUM(AG16:AG18)</f>
        <v>453.9715901280016</v>
      </c>
      <c r="AH19" s="43">
        <f>SUM(AH16:AH18)</f>
        <v>456.25285440000164</v>
      </c>
      <c r="AI19" s="112">
        <f>SUM(AI16:AI18)</f>
        <v>351.4678544000016</v>
      </c>
      <c r="AJ19" s="14">
        <f>SUM(AJ16:AJ18)</f>
        <v>104.785</v>
      </c>
      <c r="AK19" s="14"/>
      <c r="AL19" s="14"/>
      <c r="AM19" s="14"/>
      <c r="AN19" s="14"/>
      <c r="AO19" s="14"/>
      <c r="AP19" s="14"/>
      <c r="AQ19" s="14"/>
      <c r="AR19" s="54">
        <f aca="true" t="shared" si="41" ref="AR19:AZ19">SUM(AR16:AR18)</f>
        <v>60113.82091937279</v>
      </c>
      <c r="AS19" s="54">
        <f t="shared" si="41"/>
        <v>44024.77812465859</v>
      </c>
      <c r="AT19" s="54">
        <f t="shared" si="41"/>
        <v>4043.2742200007187</v>
      </c>
      <c r="AU19" s="54">
        <f t="shared" si="41"/>
        <v>9581.309942400034</v>
      </c>
      <c r="AV19" s="54">
        <f t="shared" si="41"/>
        <v>1488.523075525749</v>
      </c>
      <c r="AW19" s="54">
        <f t="shared" si="41"/>
        <v>975.9355567876981</v>
      </c>
      <c r="AX19" s="43">
        <f>ROUNDUP(SUM(AX16:AX18),0)</f>
        <v>57650</v>
      </c>
      <c r="AY19" s="43">
        <f>SUM(AY16:AY18)</f>
        <v>2464.458632313447</v>
      </c>
      <c r="AZ19" s="14">
        <f t="shared" si="41"/>
        <v>2745.207727955207</v>
      </c>
      <c r="BA19" s="14"/>
      <c r="BB19" s="14"/>
      <c r="BC19" s="14">
        <f>SUM(BC16:BC18)</f>
        <v>918.0955378999982</v>
      </c>
      <c r="BD19" s="14">
        <f>SUM(BD16:BD18)</f>
        <v>3757.581151899704</v>
      </c>
      <c r="BE19" s="14">
        <f>SUM(BE16:BE18)</f>
        <v>2682.408000000004</v>
      </c>
      <c r="BF19" s="14">
        <f>SUM(BF16:BF18)</f>
        <v>1075.1731518996999</v>
      </c>
      <c r="BG19" s="14"/>
      <c r="BH19" s="14"/>
      <c r="BI19" s="14"/>
      <c r="BJ19" s="14"/>
    </row>
    <row r="20" spans="1:62" s="16" customFormat="1" ht="39" thickBot="1">
      <c r="A20" s="17" t="s">
        <v>148</v>
      </c>
      <c r="B20" s="44">
        <f aca="true" t="shared" si="42" ref="B20:G20">B15+B19</f>
        <v>2573.2673118279004</v>
      </c>
      <c r="C20" s="44">
        <f t="shared" si="42"/>
        <v>2549.7678144264696</v>
      </c>
      <c r="D20" s="44">
        <f t="shared" si="42"/>
        <v>2320.444</v>
      </c>
      <c r="E20" s="44">
        <f t="shared" si="42"/>
        <v>2284.8155449999967</v>
      </c>
      <c r="F20" s="44">
        <f t="shared" si="42"/>
        <v>1325.1670439999957</v>
      </c>
      <c r="G20" s="44">
        <f t="shared" si="42"/>
        <v>1293.5969832400053</v>
      </c>
      <c r="H20" s="44">
        <f>H15+H19</f>
        <v>6128.180342666472</v>
      </c>
      <c r="I20" s="42">
        <f>I15+I19</f>
        <v>6218.8783558278965</v>
      </c>
      <c r="J20" s="42">
        <f>J15+J19</f>
        <v>1354.8561661799943</v>
      </c>
      <c r="K20" s="42">
        <f>K15+K19</f>
        <v>978.1145010000007</v>
      </c>
      <c r="L20" s="42">
        <f>L15+L19</f>
        <v>124.408</v>
      </c>
      <c r="M20" s="18"/>
      <c r="N20" s="96">
        <f aca="true" t="shared" si="43" ref="N20:X20">N15+N19</f>
        <v>8676.25702300789</v>
      </c>
      <c r="O20" s="44">
        <f t="shared" si="43"/>
        <v>12100776.880066793</v>
      </c>
      <c r="P20" s="42">
        <f t="shared" si="43"/>
        <v>166440.9205782823</v>
      </c>
      <c r="Q20" s="42">
        <f>ROUNDDOWN(Q15+Q19,0)</f>
        <v>25907</v>
      </c>
      <c r="R20" s="42">
        <f t="shared" si="43"/>
        <v>168.36564665259112</v>
      </c>
      <c r="S20" s="42">
        <f t="shared" si="43"/>
        <v>18757.154218722702</v>
      </c>
      <c r="T20" s="42">
        <f t="shared" si="43"/>
        <v>3133.328422564005</v>
      </c>
      <c r="U20" s="42">
        <f t="shared" si="43"/>
        <v>3849.4850821589084</v>
      </c>
      <c r="V20" s="18">
        <f t="shared" si="43"/>
        <v>23576.498320404055</v>
      </c>
      <c r="W20" s="18">
        <f t="shared" si="43"/>
        <v>2162.683036443803</v>
      </c>
      <c r="X20" s="18">
        <f t="shared" si="43"/>
        <v>157.8604925999917</v>
      </c>
      <c r="Y20" s="18"/>
      <c r="Z20" s="18">
        <f>Z15+Z19</f>
        <v>1904.6582763899032</v>
      </c>
      <c r="AA20" s="44">
        <f>AA15+AA19</f>
        <v>6128.180342666472</v>
      </c>
      <c r="AB20" s="44">
        <f>AB15+AB19</f>
        <v>6218.8783558278965</v>
      </c>
      <c r="AC20" s="44"/>
      <c r="AD20" s="44">
        <f>AD15+AD19</f>
        <v>1348.081885349094</v>
      </c>
      <c r="AE20" s="44">
        <f>AE15+AE19</f>
        <v>1354.8561661799943</v>
      </c>
      <c r="AF20" s="44"/>
      <c r="AG20" s="44">
        <f>AG15+AG19</f>
        <v>1097.0098884950007</v>
      </c>
      <c r="AH20" s="44">
        <f>AH15+AH19</f>
        <v>1102.5225010000008</v>
      </c>
      <c r="AI20" s="113">
        <f>AI15+AI19</f>
        <v>978.1145010000007</v>
      </c>
      <c r="AJ20" s="44">
        <f>AJ15+AJ19</f>
        <v>124.408</v>
      </c>
      <c r="AK20" s="18"/>
      <c r="AL20" s="18"/>
      <c r="AM20" s="18"/>
      <c r="AN20" s="18"/>
      <c r="AO20" s="18"/>
      <c r="AP20" s="18"/>
      <c r="AQ20" s="44"/>
      <c r="AR20" s="42">
        <f aca="true" t="shared" si="44" ref="AR20:AZ20">AR15+AR19</f>
        <v>192348.08310316328</v>
      </c>
      <c r="AS20" s="42">
        <f t="shared" si="44"/>
        <v>130595.7781246586</v>
      </c>
      <c r="AT20" s="42">
        <f t="shared" si="44"/>
        <v>28451.979489779875</v>
      </c>
      <c r="AU20" s="42">
        <f t="shared" si="44"/>
        <v>23152.972521000018</v>
      </c>
      <c r="AV20" s="42">
        <f t="shared" si="44"/>
        <v>3457.763014145003</v>
      </c>
      <c r="AW20" s="42">
        <f t="shared" si="44"/>
        <v>6688.922605852591</v>
      </c>
      <c r="AX20" s="44">
        <f>AX15+AX19</f>
        <v>182202.03519610636</v>
      </c>
      <c r="AY20" s="44">
        <f>ROUNDDOWN(AY15+AY19,0)</f>
        <v>10146</v>
      </c>
      <c r="AZ20" s="18">
        <f t="shared" si="44"/>
        <v>8676.25702300789</v>
      </c>
      <c r="BA20" s="18"/>
      <c r="BB20" s="18"/>
      <c r="BC20" s="42">
        <f>BC15+BC19</f>
        <v>6272.347692599992</v>
      </c>
      <c r="BD20" s="44">
        <f>BD15+BD19</f>
        <v>8728.668935883365</v>
      </c>
      <c r="BE20" s="42">
        <f>BE15+BE19</f>
        <v>7452.149000000004</v>
      </c>
      <c r="BF20" s="42">
        <f>BF15+BF19</f>
        <v>1276.51993588336</v>
      </c>
      <c r="BG20" s="18"/>
      <c r="BH20" s="18"/>
      <c r="BI20" s="18"/>
      <c r="BJ20" s="18"/>
    </row>
    <row r="21" spans="13:58" ht="12.75">
      <c r="M21" s="4"/>
      <c r="P21" s="4"/>
      <c r="Q21" s="4"/>
      <c r="S21" s="4"/>
      <c r="T21" s="4"/>
      <c r="U21" s="4"/>
      <c r="V21" s="4"/>
      <c r="W21" s="61"/>
      <c r="X21" s="8"/>
      <c r="Y21" s="11"/>
      <c r="Z21" s="106"/>
      <c r="AC21" s="97"/>
      <c r="AF21" s="97"/>
      <c r="AG21" s="21"/>
      <c r="AH21" s="21"/>
      <c r="AI21" s="114"/>
      <c r="AJ21" s="4"/>
      <c r="AK21" s="10"/>
      <c r="AL21" s="9"/>
      <c r="AN21" s="7"/>
      <c r="AO21" s="8"/>
      <c r="AQ21" s="9"/>
      <c r="AR21" s="4"/>
      <c r="AS21" s="4"/>
      <c r="AT21" s="4"/>
      <c r="AU21" s="4"/>
      <c r="AV21" s="4"/>
      <c r="AW21" s="4"/>
      <c r="AX21" s="4"/>
      <c r="AY21" s="4"/>
      <c r="AZ21" s="4"/>
      <c r="BD21" s="4"/>
      <c r="BE21" s="4"/>
      <c r="BF21" s="4"/>
    </row>
    <row r="22" spans="1:58" ht="12.75">
      <c r="A22" s="29" t="s">
        <v>60</v>
      </c>
      <c r="B22" s="2"/>
      <c r="C22" s="2"/>
      <c r="D22" s="2"/>
      <c r="E22" s="2"/>
      <c r="F22" s="2"/>
      <c r="G22" s="2"/>
      <c r="H22" s="34"/>
      <c r="I22" s="19"/>
      <c r="K22" s="5"/>
      <c r="L22" s="5"/>
      <c r="N22" s="5"/>
      <c r="O22" s="5"/>
      <c r="P22" s="36"/>
      <c r="Q22" s="37"/>
      <c r="R22" s="19"/>
      <c r="S22" s="19"/>
      <c r="T22" s="19"/>
      <c r="U22" s="19"/>
      <c r="V22" s="19"/>
      <c r="W22" s="62"/>
      <c r="X22" s="19"/>
      <c r="AC22" s="19"/>
      <c r="AD22" s="19"/>
      <c r="AE22" s="19"/>
      <c r="AF22" s="12"/>
      <c r="AG22" s="21"/>
      <c r="AH22" s="21"/>
      <c r="AI22" s="114"/>
      <c r="AJ22" s="4"/>
      <c r="AK22" s="10"/>
      <c r="AL22" s="9"/>
      <c r="AN22" s="7"/>
      <c r="AO22" s="8"/>
      <c r="AQ22" s="9"/>
      <c r="AR22" s="4"/>
      <c r="AS22" s="4"/>
      <c r="AT22" s="4"/>
      <c r="AU22" s="4"/>
      <c r="AV22" s="4"/>
      <c r="AW22" s="4"/>
      <c r="AX22" s="4"/>
      <c r="AY22" s="4"/>
      <c r="AZ22" s="4"/>
      <c r="BB22" s="4"/>
      <c r="BC22" s="4"/>
      <c r="BD22" s="4"/>
      <c r="BE22" s="4"/>
      <c r="BF22" s="4"/>
    </row>
    <row r="23" spans="1:58" ht="12.75">
      <c r="A23" s="28" t="s">
        <v>61</v>
      </c>
      <c r="B23" t="s">
        <v>62</v>
      </c>
      <c r="H23" s="34"/>
      <c r="O23" s="49"/>
      <c r="P23" s="36"/>
      <c r="Q23" s="37"/>
      <c r="R23" s="19"/>
      <c r="S23" s="19"/>
      <c r="T23" s="19"/>
      <c r="U23" s="19"/>
      <c r="V23" s="62"/>
      <c r="W23" s="62"/>
      <c r="X23" s="19"/>
      <c r="AC23" s="51"/>
      <c r="AD23" s="19"/>
      <c r="AE23" s="19"/>
      <c r="AF23" s="12"/>
      <c r="AG23" s="21"/>
      <c r="AH23" s="21"/>
      <c r="AI23" s="114"/>
      <c r="AJ23" s="4"/>
      <c r="AK23" s="10"/>
      <c r="AL23" s="9"/>
      <c r="AN23" s="7"/>
      <c r="AO23" s="8"/>
      <c r="AQ23" s="9"/>
      <c r="AR23" s="4"/>
      <c r="AS23" s="4"/>
      <c r="AT23" s="4"/>
      <c r="AU23" s="4"/>
      <c r="AV23" s="4"/>
      <c r="AW23" s="4"/>
      <c r="AX23" s="4"/>
      <c r="AY23" s="4"/>
      <c r="AZ23" s="4"/>
      <c r="BB23" s="4"/>
      <c r="BC23" s="4"/>
      <c r="BD23" s="4"/>
      <c r="BE23" s="4"/>
      <c r="BF23" s="4"/>
    </row>
    <row r="24" spans="1:58" ht="12.75">
      <c r="A24" t="s">
        <v>63</v>
      </c>
      <c r="B24" t="s">
        <v>64</v>
      </c>
      <c r="H24" s="34"/>
      <c r="O24" s="49"/>
      <c r="P24" s="36"/>
      <c r="Q24" s="37"/>
      <c r="R24" s="19"/>
      <c r="S24" s="19"/>
      <c r="T24" s="19"/>
      <c r="U24" s="19"/>
      <c r="V24" s="62"/>
      <c r="W24" s="62"/>
      <c r="X24" s="19"/>
      <c r="AC24" s="103"/>
      <c r="AD24" s="40"/>
      <c r="AE24" s="19"/>
      <c r="AF24" s="104"/>
      <c r="AG24" s="21"/>
      <c r="AH24" s="21"/>
      <c r="AI24" s="114"/>
      <c r="AJ24" s="4"/>
      <c r="AK24" s="10"/>
      <c r="AL24" s="9"/>
      <c r="AN24" s="7"/>
      <c r="AO24" s="8"/>
      <c r="AQ24" s="9"/>
      <c r="AR24" s="4"/>
      <c r="AS24" s="4"/>
      <c r="AT24" s="4"/>
      <c r="AU24" s="4"/>
      <c r="AV24" s="98"/>
      <c r="AW24" s="4"/>
      <c r="AX24" s="4"/>
      <c r="AY24" s="4"/>
      <c r="AZ24" s="4"/>
      <c r="BB24" s="4"/>
      <c r="BC24" s="4"/>
      <c r="BD24" s="4"/>
      <c r="BE24" s="4"/>
      <c r="BF24" s="4"/>
    </row>
    <row r="25" spans="1:58" ht="12.75">
      <c r="A25" s="35" t="s">
        <v>75</v>
      </c>
      <c r="B25" t="s">
        <v>74</v>
      </c>
      <c r="H25" s="34"/>
      <c r="O25" s="49"/>
      <c r="P25" s="36"/>
      <c r="Q25" s="36"/>
      <c r="R25" s="38"/>
      <c r="S25" s="37"/>
      <c r="T25" s="19"/>
      <c r="U25" s="37"/>
      <c r="V25" s="63"/>
      <c r="W25" s="63"/>
      <c r="X25" s="37"/>
      <c r="Y25" s="11"/>
      <c r="Z25" s="11"/>
      <c r="AC25" s="103"/>
      <c r="AD25" s="40"/>
      <c r="AE25" s="19"/>
      <c r="AF25" s="104"/>
      <c r="AG25" s="21"/>
      <c r="AH25" s="21"/>
      <c r="AI25" s="114"/>
      <c r="AJ25" s="4"/>
      <c r="AK25" s="10"/>
      <c r="AL25" s="9"/>
      <c r="AN25" s="7"/>
      <c r="AO25" s="8"/>
      <c r="AQ25" s="9"/>
      <c r="AR25" s="4"/>
      <c r="AS25" s="4"/>
      <c r="AT25" s="4"/>
      <c r="AU25" s="4"/>
      <c r="AV25" s="98"/>
      <c r="AW25" s="4"/>
      <c r="AX25" s="4"/>
      <c r="AY25" s="4"/>
      <c r="AZ25" s="4"/>
      <c r="BB25" s="4"/>
      <c r="BC25" s="4"/>
      <c r="BD25" s="4"/>
      <c r="BE25" s="4"/>
      <c r="BF25" s="4"/>
    </row>
    <row r="26" spans="1:58" ht="12.75">
      <c r="A26" s="87" t="s">
        <v>115</v>
      </c>
      <c r="B26" t="s">
        <v>173</v>
      </c>
      <c r="H26" s="34"/>
      <c r="K26" s="19"/>
      <c r="L26" s="19"/>
      <c r="M26" s="19"/>
      <c r="N26" s="19"/>
      <c r="O26" s="38"/>
      <c r="P26" s="36"/>
      <c r="Q26" s="34"/>
      <c r="R26" s="49"/>
      <c r="S26" s="4"/>
      <c r="T26" s="19"/>
      <c r="U26" s="37"/>
      <c r="V26" s="61"/>
      <c r="W26" s="61"/>
      <c r="X26" s="8"/>
      <c r="Y26" s="11"/>
      <c r="Z26" s="11"/>
      <c r="AC26" s="103"/>
      <c r="AD26" s="40"/>
      <c r="AE26" s="19"/>
      <c r="AF26" s="104"/>
      <c r="AG26" s="21"/>
      <c r="AH26" s="21"/>
      <c r="AI26" s="114"/>
      <c r="AJ26" s="4"/>
      <c r="AK26" s="10"/>
      <c r="AL26" s="9"/>
      <c r="AN26" s="7"/>
      <c r="AO26" s="8"/>
      <c r="AQ26" s="9"/>
      <c r="AR26" s="4"/>
      <c r="AS26" s="4"/>
      <c r="AT26" s="4"/>
      <c r="AU26" s="4"/>
      <c r="AV26" s="98"/>
      <c r="AW26" s="4"/>
      <c r="AX26" s="4"/>
      <c r="AY26" s="4"/>
      <c r="AZ26" s="4"/>
      <c r="BB26" s="4"/>
      <c r="BC26" s="4"/>
      <c r="BD26" s="4"/>
      <c r="BE26" s="4"/>
      <c r="BF26" s="4"/>
    </row>
    <row r="27" spans="1:51" ht="12.75">
      <c r="A27" s="32" t="s">
        <v>72</v>
      </c>
      <c r="B27" s="2"/>
      <c r="C27" s="2"/>
      <c r="D27" s="2"/>
      <c r="E27" s="2"/>
      <c r="F27" s="2"/>
      <c r="G27" s="2"/>
      <c r="H27" s="34"/>
      <c r="I27" s="19"/>
      <c r="K27" s="5"/>
      <c r="L27" s="5"/>
      <c r="M27" s="38"/>
      <c r="N27" s="5"/>
      <c r="O27" s="52"/>
      <c r="P27" s="36"/>
      <c r="Q27" s="34"/>
      <c r="R27" s="49"/>
      <c r="U27" s="37"/>
      <c r="AC27" s="103"/>
      <c r="AD27" s="40"/>
      <c r="AE27" s="19"/>
      <c r="AF27" s="104"/>
      <c r="AI27" s="114"/>
      <c r="AJ27" s="4"/>
      <c r="AV27" s="98"/>
      <c r="AX27" s="4"/>
      <c r="AY27" s="4"/>
    </row>
    <row r="28" spans="1:58" ht="12.75">
      <c r="A28" s="99" t="s">
        <v>142</v>
      </c>
      <c r="B28" s="34"/>
      <c r="C28" s="34"/>
      <c r="D28" s="34"/>
      <c r="E28" s="34"/>
      <c r="F28" s="34"/>
      <c r="G28" s="34"/>
      <c r="H28" s="34"/>
      <c r="I28" s="19"/>
      <c r="K28" s="19"/>
      <c r="L28" s="19"/>
      <c r="M28" s="39"/>
      <c r="N28" s="19"/>
      <c r="O28" s="38"/>
      <c r="P28" s="38"/>
      <c r="Q28" s="34"/>
      <c r="R28" s="49"/>
      <c r="S28" s="4"/>
      <c r="T28" s="4"/>
      <c r="U28" s="37"/>
      <c r="V28" s="61"/>
      <c r="W28" s="61"/>
      <c r="X28" s="8"/>
      <c r="Y28" s="11"/>
      <c r="Z28" s="11"/>
      <c r="AC28" s="103"/>
      <c r="AD28" s="40"/>
      <c r="AE28" s="19"/>
      <c r="AF28" s="104"/>
      <c r="AG28" s="21"/>
      <c r="AH28" s="21"/>
      <c r="AK28" s="10"/>
      <c r="AL28" s="9"/>
      <c r="AN28" s="7"/>
      <c r="AO28" s="8"/>
      <c r="AR28" s="4"/>
      <c r="AS28" s="4"/>
      <c r="AT28" s="4"/>
      <c r="AU28" s="4"/>
      <c r="AV28" s="98"/>
      <c r="AW28" s="4"/>
      <c r="AZ28" s="4"/>
      <c r="BB28" s="4"/>
      <c r="BC28" s="4"/>
      <c r="BD28" s="4"/>
      <c r="BE28" s="4"/>
      <c r="BF28" s="4"/>
    </row>
    <row r="29" spans="1:58" ht="12.75">
      <c r="A29" s="33" t="s">
        <v>128</v>
      </c>
      <c r="B29" s="34"/>
      <c r="C29" s="34"/>
      <c r="D29" s="34"/>
      <c r="E29" s="34"/>
      <c r="F29" s="34"/>
      <c r="G29" s="34"/>
      <c r="H29" s="34"/>
      <c r="I29" s="19"/>
      <c r="K29" s="19"/>
      <c r="L29" s="19"/>
      <c r="M29" s="38"/>
      <c r="N29" s="19"/>
      <c r="O29" s="38"/>
      <c r="P29" s="38"/>
      <c r="Q29" s="34"/>
      <c r="R29" s="49"/>
      <c r="S29" s="4"/>
      <c r="T29" s="4"/>
      <c r="U29" s="37"/>
      <c r="V29" s="61"/>
      <c r="W29" s="61"/>
      <c r="X29" s="8"/>
      <c r="Y29" s="11"/>
      <c r="Z29" s="11"/>
      <c r="AC29" s="103"/>
      <c r="AD29" s="40"/>
      <c r="AE29" s="38"/>
      <c r="AF29" s="104"/>
      <c r="AG29" s="21"/>
      <c r="AH29" s="21"/>
      <c r="AI29" s="114"/>
      <c r="AJ29" s="4"/>
      <c r="AK29" s="10"/>
      <c r="AL29" s="9"/>
      <c r="AN29" s="7"/>
      <c r="AO29" s="8"/>
      <c r="AQ29" s="9"/>
      <c r="AR29" s="4"/>
      <c r="AS29" s="4"/>
      <c r="AT29" s="4"/>
      <c r="AU29" s="4"/>
      <c r="AV29" s="98"/>
      <c r="AW29" s="4"/>
      <c r="AX29" s="4"/>
      <c r="AY29" s="4"/>
      <c r="AZ29" s="4"/>
      <c r="BB29" s="4"/>
      <c r="BC29" s="4"/>
      <c r="BD29" s="4"/>
      <c r="BE29" s="4"/>
      <c r="BF29" s="4"/>
    </row>
    <row r="30" spans="1:58" ht="12.75">
      <c r="A30" s="33" t="s">
        <v>129</v>
      </c>
      <c r="B30" s="34"/>
      <c r="C30" s="34"/>
      <c r="D30" s="34"/>
      <c r="E30" s="34"/>
      <c r="F30" s="34"/>
      <c r="G30" s="34"/>
      <c r="H30" s="34"/>
      <c r="I30" s="19"/>
      <c r="K30" s="19"/>
      <c r="L30" s="19"/>
      <c r="M30" s="38"/>
      <c r="N30" s="19"/>
      <c r="O30" s="38"/>
      <c r="P30" s="38"/>
      <c r="Q30" s="4"/>
      <c r="S30" s="4"/>
      <c r="T30" s="4"/>
      <c r="U30" s="4"/>
      <c r="V30" s="61"/>
      <c r="W30" s="61"/>
      <c r="X30" s="8"/>
      <c r="Y30" s="11"/>
      <c r="Z30" s="11"/>
      <c r="AC30" s="103"/>
      <c r="AD30" s="40"/>
      <c r="AE30" s="38"/>
      <c r="AF30" s="104"/>
      <c r="AG30" s="21"/>
      <c r="AH30" s="21"/>
      <c r="AI30" s="114"/>
      <c r="AJ30" s="4"/>
      <c r="AK30" s="10"/>
      <c r="AL30" s="9"/>
      <c r="AN30" s="7"/>
      <c r="AO30" s="8"/>
      <c r="AQ30" s="9"/>
      <c r="AR30" s="4"/>
      <c r="AS30" s="4"/>
      <c r="AT30" s="4"/>
      <c r="AU30" s="4"/>
      <c r="AV30" s="98"/>
      <c r="AW30" s="4"/>
      <c r="AX30" s="4"/>
      <c r="AY30" s="4"/>
      <c r="AZ30" s="4"/>
      <c r="BB30" s="4"/>
      <c r="BC30" s="4"/>
      <c r="BD30" s="4"/>
      <c r="BE30" s="4"/>
      <c r="BF30" s="4"/>
    </row>
    <row r="31" spans="1:58" ht="12.75">
      <c r="A31" s="33" t="s">
        <v>130</v>
      </c>
      <c r="B31" s="34"/>
      <c r="C31" s="34"/>
      <c r="D31" s="34"/>
      <c r="E31" s="34"/>
      <c r="F31" s="34"/>
      <c r="G31" s="34"/>
      <c r="H31" s="34"/>
      <c r="I31" s="19"/>
      <c r="K31" s="19"/>
      <c r="L31" s="19"/>
      <c r="M31" s="38"/>
      <c r="N31" s="19"/>
      <c r="O31" s="38"/>
      <c r="P31" s="38"/>
      <c r="Q31" s="4"/>
      <c r="S31" s="4"/>
      <c r="T31" s="4"/>
      <c r="U31" s="4"/>
      <c r="V31" s="61"/>
      <c r="W31" s="61"/>
      <c r="X31" s="8"/>
      <c r="Y31" s="11"/>
      <c r="Z31" s="11"/>
      <c r="AC31" s="103"/>
      <c r="AD31" s="40"/>
      <c r="AE31" s="38"/>
      <c r="AF31" s="104"/>
      <c r="AG31" s="21"/>
      <c r="AH31" s="21"/>
      <c r="AI31" s="114"/>
      <c r="AJ31" s="4"/>
      <c r="AK31" s="10"/>
      <c r="AL31" s="9"/>
      <c r="AN31" s="7"/>
      <c r="AO31" s="8"/>
      <c r="AQ31" s="9"/>
      <c r="AR31" s="4"/>
      <c r="AS31" s="4"/>
      <c r="AT31" s="4"/>
      <c r="AU31" s="4"/>
      <c r="AV31" s="98"/>
      <c r="AW31" s="4"/>
      <c r="AX31" s="4"/>
      <c r="AY31" s="4"/>
      <c r="AZ31" s="4"/>
      <c r="BB31" s="4"/>
      <c r="BC31" s="4"/>
      <c r="BD31" s="4"/>
      <c r="BE31" s="4"/>
      <c r="BF31" s="4"/>
    </row>
    <row r="32" spans="1:58" ht="12.75">
      <c r="A32" s="99" t="s">
        <v>131</v>
      </c>
      <c r="B32" s="34"/>
      <c r="C32" s="34"/>
      <c r="D32" s="34"/>
      <c r="E32" s="34"/>
      <c r="F32" s="34"/>
      <c r="G32" s="34"/>
      <c r="H32" s="34"/>
      <c r="I32" s="19"/>
      <c r="K32" s="19"/>
      <c r="L32" s="19"/>
      <c r="M32" s="38"/>
      <c r="N32" s="19"/>
      <c r="O32" s="50"/>
      <c r="P32" s="38"/>
      <c r="Q32" s="4"/>
      <c r="S32" s="4"/>
      <c r="T32" s="4"/>
      <c r="U32" s="4"/>
      <c r="V32" s="61"/>
      <c r="W32" s="61"/>
      <c r="X32" s="8"/>
      <c r="Y32" s="11"/>
      <c r="Z32" s="11"/>
      <c r="AC32" s="105"/>
      <c r="AD32" s="40"/>
      <c r="AE32" s="40"/>
      <c r="AF32" s="104"/>
      <c r="AG32" s="21"/>
      <c r="AH32" s="21"/>
      <c r="AI32" s="114"/>
      <c r="AJ32" s="4"/>
      <c r="AK32" s="10"/>
      <c r="AL32" s="9"/>
      <c r="AN32" s="7"/>
      <c r="AO32" s="8"/>
      <c r="AQ32" s="9"/>
      <c r="AR32" s="4"/>
      <c r="AS32" s="4"/>
      <c r="AT32" s="4"/>
      <c r="AU32" s="4"/>
      <c r="AV32" s="98"/>
      <c r="AW32" s="4"/>
      <c r="AX32" s="4"/>
      <c r="AY32" s="4"/>
      <c r="AZ32" s="4"/>
      <c r="BB32" s="4"/>
      <c r="BC32" s="4"/>
      <c r="BD32" s="4"/>
      <c r="BE32" s="4"/>
      <c r="BF32" s="4"/>
    </row>
    <row r="33" spans="1:58" ht="12.75">
      <c r="A33" s="99" t="s">
        <v>132</v>
      </c>
      <c r="B33" s="34"/>
      <c r="C33" s="34"/>
      <c r="D33" s="34"/>
      <c r="E33" s="34"/>
      <c r="F33" s="34"/>
      <c r="G33" s="34"/>
      <c r="H33" s="34"/>
      <c r="I33" s="19"/>
      <c r="K33" s="19"/>
      <c r="L33" s="19"/>
      <c r="M33" s="38"/>
      <c r="N33" s="19"/>
      <c r="O33" s="50"/>
      <c r="P33" s="38"/>
      <c r="Q33" s="4"/>
      <c r="S33" s="4"/>
      <c r="T33" s="4"/>
      <c r="U33" s="4"/>
      <c r="V33" s="61"/>
      <c r="W33" s="61"/>
      <c r="X33" s="8"/>
      <c r="Y33" s="11"/>
      <c r="Z33" s="11"/>
      <c r="AC33" s="103"/>
      <c r="AD33" s="104"/>
      <c r="AE33" s="38"/>
      <c r="AF33" s="104"/>
      <c r="AG33" s="21"/>
      <c r="AH33" s="21"/>
      <c r="AI33" s="114"/>
      <c r="AJ33" s="4"/>
      <c r="AK33" s="10"/>
      <c r="AL33" s="9"/>
      <c r="AN33" s="7"/>
      <c r="AO33" s="8"/>
      <c r="AQ33" s="9"/>
      <c r="AR33" s="4"/>
      <c r="AS33" s="4"/>
      <c r="AT33" s="4"/>
      <c r="AU33" s="4"/>
      <c r="AV33" s="98"/>
      <c r="AW33" s="4"/>
      <c r="AX33" s="4"/>
      <c r="AY33" s="4"/>
      <c r="AZ33" s="4"/>
      <c r="BB33" s="4"/>
      <c r="BC33" s="4"/>
      <c r="BD33" s="4"/>
      <c r="BE33" s="4"/>
      <c r="BF33" s="4"/>
    </row>
    <row r="34" spans="1:58" ht="12.75">
      <c r="A34"/>
      <c r="B34" s="34"/>
      <c r="C34" s="34"/>
      <c r="D34" s="34"/>
      <c r="E34" s="34"/>
      <c r="F34" s="34"/>
      <c r="G34" s="34"/>
      <c r="H34" s="34"/>
      <c r="I34" s="19"/>
      <c r="K34" s="19"/>
      <c r="L34" s="19"/>
      <c r="M34" s="38"/>
      <c r="N34" s="19"/>
      <c r="O34" s="19"/>
      <c r="P34" s="38"/>
      <c r="Q34" s="4"/>
      <c r="S34" s="4"/>
      <c r="T34" s="4"/>
      <c r="U34" s="4"/>
      <c r="V34" s="61"/>
      <c r="W34" s="61"/>
      <c r="X34" s="8"/>
      <c r="Y34" s="11"/>
      <c r="Z34" s="11"/>
      <c r="AC34" s="103"/>
      <c r="AD34" s="104"/>
      <c r="AE34" s="40"/>
      <c r="AF34" s="104"/>
      <c r="AG34" s="21"/>
      <c r="AH34" s="21"/>
      <c r="AI34" s="114"/>
      <c r="AJ34" s="4"/>
      <c r="AK34" s="10"/>
      <c r="AL34" s="9"/>
      <c r="AN34" s="7"/>
      <c r="AO34" s="8"/>
      <c r="AQ34" s="9"/>
      <c r="AR34" s="4"/>
      <c r="AS34" s="4"/>
      <c r="AT34" s="4"/>
      <c r="AU34" s="4"/>
      <c r="AV34" s="4"/>
      <c r="AW34" s="4"/>
      <c r="AX34" s="4"/>
      <c r="AY34" s="4"/>
      <c r="AZ34" s="4"/>
      <c r="BB34" s="4"/>
      <c r="BC34" s="4"/>
      <c r="BD34" s="4"/>
      <c r="BE34" s="4"/>
      <c r="BF34" s="4"/>
    </row>
    <row r="35" spans="1:58" ht="12.75">
      <c r="A35"/>
      <c r="B35" s="34"/>
      <c r="C35" s="34"/>
      <c r="D35" s="34"/>
      <c r="E35" s="34"/>
      <c r="F35" s="34"/>
      <c r="G35" s="34"/>
      <c r="H35" s="34"/>
      <c r="I35" s="19"/>
      <c r="K35" s="19"/>
      <c r="L35" s="19"/>
      <c r="M35" s="38"/>
      <c r="N35" s="19"/>
      <c r="O35" s="19"/>
      <c r="P35" s="38"/>
      <c r="Q35" s="4"/>
      <c r="S35" s="4"/>
      <c r="T35" s="4"/>
      <c r="U35" s="4"/>
      <c r="V35" s="61"/>
      <c r="W35" s="61"/>
      <c r="X35" s="8"/>
      <c r="Y35" s="11"/>
      <c r="Z35" s="11"/>
      <c r="AC35" s="53"/>
      <c r="AD35" s="19"/>
      <c r="AE35" s="19"/>
      <c r="AF35" s="104"/>
      <c r="AG35" s="21"/>
      <c r="AH35" s="21"/>
      <c r="AI35" s="114"/>
      <c r="AJ35" s="4"/>
      <c r="AK35" s="10"/>
      <c r="AL35" s="9"/>
      <c r="AN35" s="7"/>
      <c r="AO35" s="8"/>
      <c r="AQ35" s="9"/>
      <c r="AR35" s="4"/>
      <c r="AS35" s="4"/>
      <c r="AT35" s="4"/>
      <c r="AU35" s="4"/>
      <c r="AV35" s="4"/>
      <c r="AW35" s="4"/>
      <c r="AX35" s="4"/>
      <c r="AY35" s="4"/>
      <c r="AZ35" s="4"/>
      <c r="BB35" s="4"/>
      <c r="BC35" s="4"/>
      <c r="BD35" s="4"/>
      <c r="BE35" s="4"/>
      <c r="BF35" s="4"/>
    </row>
    <row r="36" spans="2:58" ht="12.75">
      <c r="B36" s="34"/>
      <c r="C36" s="34"/>
      <c r="D36" s="34"/>
      <c r="E36" s="34"/>
      <c r="F36" s="34"/>
      <c r="G36" s="34"/>
      <c r="H36" s="34"/>
      <c r="I36" s="19"/>
      <c r="K36" s="19"/>
      <c r="L36" s="19"/>
      <c r="M36" s="38"/>
      <c r="N36" s="19"/>
      <c r="O36" s="19"/>
      <c r="P36" s="38"/>
      <c r="Q36" s="4"/>
      <c r="S36" s="4"/>
      <c r="T36" s="4"/>
      <c r="U36" s="4"/>
      <c r="V36" s="61"/>
      <c r="W36" s="61"/>
      <c r="X36" s="8"/>
      <c r="Y36" s="11"/>
      <c r="Z36" s="11"/>
      <c r="AC36" s="12"/>
      <c r="AF36" s="12"/>
      <c r="AG36" s="21"/>
      <c r="AH36" s="21"/>
      <c r="AI36" s="114"/>
      <c r="AJ36" s="4"/>
      <c r="AK36" s="10"/>
      <c r="AL36" s="9"/>
      <c r="AN36" s="7"/>
      <c r="AO36" s="8"/>
      <c r="AQ36" s="9"/>
      <c r="AR36" s="4"/>
      <c r="AS36" s="4"/>
      <c r="AT36" s="4"/>
      <c r="AU36" s="4"/>
      <c r="AV36" s="4"/>
      <c r="AW36" s="4"/>
      <c r="AX36" s="4"/>
      <c r="AY36" s="4"/>
      <c r="AZ36" s="4"/>
      <c r="BB36" s="4"/>
      <c r="BC36" s="4"/>
      <c r="BD36" s="4"/>
      <c r="BE36" s="4"/>
      <c r="BF36" s="4"/>
    </row>
    <row r="37" spans="2:58" ht="12.75">
      <c r="B37" s="34"/>
      <c r="C37" s="34"/>
      <c r="D37" s="34"/>
      <c r="E37" s="34"/>
      <c r="F37" s="34"/>
      <c r="G37" s="34"/>
      <c r="H37" s="34"/>
      <c r="I37" s="36"/>
      <c r="K37" s="36"/>
      <c r="L37" s="36"/>
      <c r="M37" s="40"/>
      <c r="N37" s="36"/>
      <c r="O37" s="36"/>
      <c r="P37" s="40"/>
      <c r="Q37" s="4"/>
      <c r="S37" s="4"/>
      <c r="T37" s="4"/>
      <c r="U37" s="4"/>
      <c r="V37" s="61"/>
      <c r="W37" s="61"/>
      <c r="X37" s="8"/>
      <c r="Y37" s="11"/>
      <c r="Z37" s="11"/>
      <c r="AC37" s="12"/>
      <c r="AF37" s="12"/>
      <c r="AG37" s="21"/>
      <c r="AH37" s="21"/>
      <c r="AI37" s="114"/>
      <c r="AJ37" s="4"/>
      <c r="AK37" s="10"/>
      <c r="AL37" s="9"/>
      <c r="AN37" s="7"/>
      <c r="AO37" s="8"/>
      <c r="AQ37" s="9"/>
      <c r="AR37" s="4"/>
      <c r="AS37" s="4"/>
      <c r="AT37" s="4"/>
      <c r="AU37" s="4"/>
      <c r="AV37" s="4"/>
      <c r="AW37" s="4"/>
      <c r="AX37" s="4"/>
      <c r="AY37" s="4"/>
      <c r="AZ37" s="4"/>
      <c r="BB37" s="4"/>
      <c r="BC37" s="4"/>
      <c r="BD37" s="4"/>
      <c r="BE37" s="4"/>
      <c r="BF37" s="4"/>
    </row>
    <row r="38" spans="9:51" ht="12.75">
      <c r="I38" s="19"/>
      <c r="J38" s="19"/>
      <c r="K38" s="19"/>
      <c r="L38" s="19"/>
      <c r="M38" s="19"/>
      <c r="N38" s="19"/>
      <c r="O38" s="19"/>
      <c r="P38" s="19"/>
      <c r="AI38" s="114"/>
      <c r="AJ38" s="4"/>
      <c r="AX38" s="4"/>
      <c r="AY38" s="4"/>
    </row>
  </sheetData>
  <sheetProtection/>
  <printOptions horizontalCentered="1"/>
  <pageMargins left="0.2" right="0.17" top="0.61" bottom="0.61" header="0.5118110236220472" footer="0.3"/>
  <pageSetup fitToHeight="1" fitToWidth="1" horizontalDpi="600" verticalDpi="600" orientation="landscape" paperSize="9" scale="31"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1</cp:lastModifiedBy>
  <cp:lastPrinted>2011-05-24T12:22:15Z</cp:lastPrinted>
  <dcterms:created xsi:type="dcterms:W3CDTF">2008-12-06T07:55:45Z</dcterms:created>
  <dcterms:modified xsi:type="dcterms:W3CDTF">2011-05-24T13:32:02Z</dcterms:modified>
  <cp:category/>
  <cp:version/>
  <cp:contentType/>
  <cp:contentStatus/>
</cp:coreProperties>
</file>