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21570" windowHeight="5400" tabRatio="542" activeTab="6"/>
  </bookViews>
  <sheets>
    <sheet name="Basis data" sheetId="1" r:id="rId1"/>
    <sheet name="Shares" sheetId="2" r:id="rId2"/>
    <sheet name="Consumption-Table" sheetId="3" r:id="rId3"/>
    <sheet name="A-4" sheetId="4" r:id="rId4"/>
    <sheet name="E.1." sheetId="5" r:id="rId5"/>
    <sheet name="E.3." sheetId="6" r:id="rId6"/>
    <sheet name="E.6." sheetId="7" r:id="rId7"/>
    <sheet name="Figures" sheetId="8" r:id="rId8"/>
    <sheet name="Figures-CO2" sheetId="9" r:id="rId9"/>
  </sheets>
  <externalReferences>
    <externalReference r:id="rId12"/>
    <externalReference r:id="rId13"/>
  </externalReferences>
  <definedNames>
    <definedName name="CO2_BHKW_Methan_2007">'Consumption-Table'!#REF!</definedName>
    <definedName name="CO2_BHKW_Methan_2008">'Consumption-Table'!$AO$70</definedName>
    <definedName name="CO2_BHKW_Methan_2009">'Consumption-Table'!$AP$70</definedName>
    <definedName name="CO2_BHKW_Methan_2010">'Consumption-Table'!$AQ$70</definedName>
    <definedName name="CO2_BHKW_Methan_2011">'Consumption-Table'!$AR$70</definedName>
    <definedName name="CO2_BHKW_Methan_2012">'Consumption-Table'!$AS$70</definedName>
    <definedName name="CO2_BHKW_Methan_2013">'Consumption-Table'!$AT$70</definedName>
    <definedName name="CO2_BHKW_Methan_2014">'Consumption-Table'!$AU$70</definedName>
    <definedName name="CO2_BHKW_Methan_2015">'Consumption-Table'!$AV$70</definedName>
    <definedName name="CO2_BHKW_Methan_2016">'Consumption-Table'!$AW$70</definedName>
    <definedName name="CO2_BHKW_Methan_2017">'Consumption-Table'!$AX$70</definedName>
    <definedName name="CO2_Emis_Fackel_2007">'Consumption-Table'!#REF!</definedName>
    <definedName name="CO2_Emis_Fackel_2008">'Consumption-Table'!$AO$106</definedName>
    <definedName name="CO2_Emis_Fackel_2009">'Consumption-Table'!$AP$106</definedName>
    <definedName name="CO2_Emis_Fackel_2010">'Consumption-Table'!$AQ$106</definedName>
    <definedName name="CO2_Emis_Fackel_2011">'Consumption-Table'!$AR$106</definedName>
    <definedName name="CO2_Emis_Fackel_2012">'Consumption-Table'!$AS$106</definedName>
    <definedName name="CO2_Emis_Fackel_2013">'Consumption-Table'!$AT$106</definedName>
    <definedName name="CO2_Emis_Fackel_2014">'Consumption-Table'!$AU$106</definedName>
    <definedName name="CO2_Emis_Fackel_2015">'Consumption-Table'!$AV$106</definedName>
    <definedName name="CO2_Emis_Fackel_2016">'Consumption-Table'!$AW$106</definedName>
    <definedName name="CO2_Emis_Fackel_2017">'Consumption-Table'!$AX$106</definedName>
    <definedName name="CO2_Emisson_BHKW_2007">'Consumption-Table'!#REF!</definedName>
    <definedName name="CO2_Emisson_BHKW_2008">'Consumption-Table'!$AO$72</definedName>
    <definedName name="CO2_Emisson_BHKW_2009">'Consumption-Table'!$AP$72</definedName>
    <definedName name="CO2_Emisson_BHKW_2010">'Consumption-Table'!$AQ$72</definedName>
    <definedName name="CO2_Emisson_BHKW_2011">'Consumption-Table'!$AR$72</definedName>
    <definedName name="CO2_Emisson_BHKW_2012">'Consumption-Table'!$AS$72</definedName>
    <definedName name="CO2_Emisson_BHKW_2013">'Consumption-Table'!$AT$72</definedName>
    <definedName name="CO2_Emisson_BHKW_2014">'Consumption-Table'!$AU$72</definedName>
    <definedName name="CO2_Emisson_BHKW_2015">'Consumption-Table'!$AV$72</definedName>
    <definedName name="CO2_Emisson_BHKW_2016">'Consumption-Table'!$AW$72</definedName>
    <definedName name="CO2_Emisson_BHKW_2017">'Consumption-Table'!$AX$72</definedName>
    <definedName name="CO2_Fackel_reduc_2007">'Consumption-Table'!#REF!</definedName>
    <definedName name="CO2_Fackel_reduc_2008">'Consumption-Table'!$AO$105</definedName>
    <definedName name="CO2_Fackel_reduc_2009">'Consumption-Table'!$AP$105</definedName>
    <definedName name="CO2_Fackel_reduc_2010">'Consumption-Table'!$AQ$105</definedName>
    <definedName name="CO2_Fackel_reduc_2011">'Consumption-Table'!$AR$105</definedName>
    <definedName name="CO2_Fackel_reduc_2012">'Consumption-Table'!$AS$105</definedName>
    <definedName name="CO2_Fackel_reduc_2013">'Consumption-Table'!$AT$105</definedName>
    <definedName name="CO2_Fackel_reduc_2014">'Consumption-Table'!$AU$105</definedName>
    <definedName name="CO2_Fackel_reduc_2015">'Consumption-Table'!$AV$105</definedName>
    <definedName name="CO2_Fackel_reduc_2016">'Consumption-Table'!$AW$105</definedName>
    <definedName name="CO2_Fackel_reduc_2017">'Consumption-Table'!$AX$105</definedName>
    <definedName name="CO2_Fuel_emission_2007">'Consumption-Table'!#REF!</definedName>
    <definedName name="CO2_Fuel_emission_2008">'Consumption-Table'!$AO$28</definedName>
    <definedName name="CO2_Fuel_emission_2009">'Consumption-Table'!$AP$28</definedName>
    <definedName name="CO2_Fuel_emission_2010">'Consumption-Table'!$AQ$28</definedName>
    <definedName name="CO2_Fuel_emission_2011">'Consumption-Table'!$AR$28</definedName>
    <definedName name="CO2_Fuel_emission_2012">'Consumption-Table'!$AS$28</definedName>
    <definedName name="CO2_Fuel_emission_2013">'Consumption-Table'!$AT$28</definedName>
    <definedName name="CO2_Fuel_emission_2014">'Consumption-Table'!$AU$28</definedName>
    <definedName name="CO2_Fuel_emission_2015">'Consumption-Table'!$AV$28</definedName>
    <definedName name="CO2_Fuel_emission_2016">'Consumption-Table'!$AW$28</definedName>
    <definedName name="CO2_Fuel_emission_2017">'Consumption-Table'!$AX$28</definedName>
    <definedName name="CO2_Fuel_reduction_2007">'Consumption-Table'!#REF!</definedName>
    <definedName name="CO2_Fuel_reduction_2008">'Consumption-Table'!$AO$28</definedName>
    <definedName name="CO2_Fuel_reduction_2009">'Consumption-Table'!$AP$28</definedName>
    <definedName name="CO2_Fuel_reduction_2010">'Consumption-Table'!$AQ$28</definedName>
    <definedName name="CO2_Fuel_reduction_2011">'Consumption-Table'!$AR$28</definedName>
    <definedName name="CO2_Fuel_reduction_2012">'Consumption-Table'!$AS$28</definedName>
    <definedName name="CO2_Fuel_reduction_2013">'Consumption-Table'!$AT$28</definedName>
    <definedName name="CO2_Fuel_reduction_2014">'Consumption-Table'!$AU$28</definedName>
    <definedName name="CO2_Fuel_reduction_2015">'Consumption-Table'!$AV$28</definedName>
    <definedName name="CO2_Fuel_reduction_2016">'Consumption-Table'!$AW$28</definedName>
    <definedName name="CO2_Fuel_reduction_2017">'Consumption-Table'!$AX$28</definedName>
    <definedName name="CO2_Methan_destr_2007">'Consumption-Table'!#REF!</definedName>
    <definedName name="CO2_Methan_destr_2008">'Consumption-Table'!$AO$30</definedName>
    <definedName name="CO2_Methan_destr_2009">'Consumption-Table'!$AP$30</definedName>
    <definedName name="CO2_Methan_destr_2010">'Consumption-Table'!$AQ$30</definedName>
    <definedName name="CO2_Methan_destr_2011">'Consumption-Table'!$AR$30</definedName>
    <definedName name="CO2_Methan_destr_2012">'Consumption-Table'!$AS$30</definedName>
    <definedName name="CO2_Methan_destr_2013">'Consumption-Table'!$AT$30</definedName>
    <definedName name="CO2_Methan_destr_2014">'Consumption-Table'!$AU$30</definedName>
    <definedName name="CO2_Methan_destr_2015">'Consumption-Table'!$AV$30</definedName>
    <definedName name="CO2_Methan_destr_2016">'Consumption-Table'!$AW$30</definedName>
    <definedName name="CO2_Methan_destr_2017">'Consumption-Table'!$AX$30</definedName>
    <definedName name="CO2_Reduction_Fuel_2007">'Consumption-Table'!#REF!</definedName>
    <definedName name="CO2_Reduction_Fuel_2008">'Consumption-Table'!$AO$29</definedName>
    <definedName name="CO2_Reduction_Fuel_2009">'Consumption-Table'!$AP$29</definedName>
    <definedName name="CO2_Reduction_Fuel_2010">'Consumption-Table'!$AQ$29</definedName>
    <definedName name="CO2_Reduction_Fuel_2011">'Consumption-Table'!$AR$29</definedName>
    <definedName name="CO2_Reduction_Fuel_2012">'Consumption-Table'!$AS$29</definedName>
    <definedName name="CO2_Reduction_Fuel_2013">'Consumption-Table'!$AT$29</definedName>
    <definedName name="CO2_Reduction_Fuel_2014">'Consumption-Table'!$AU$29</definedName>
    <definedName name="CO2_Reduction_Fuel_2015">'Consumption-Table'!$AV$29</definedName>
    <definedName name="CO2_Reduction_Fuel_2016">'Consumption-Table'!$AW$29</definedName>
    <definedName name="CO2_Reduction_Fuel_2017">'Consumption-Table'!$AX$29</definedName>
    <definedName name="CO2_Reduction_Power_2007">'Consumption-Table'!#REF!</definedName>
    <definedName name="CO2_Reduction_Power_2008">'Consumption-Table'!$AO$71</definedName>
    <definedName name="CO2_Reduction_Power_2009">'Consumption-Table'!$AP$71</definedName>
    <definedName name="CO2_Reduction_Power_2010">'Consumption-Table'!$AQ$71</definedName>
    <definedName name="CO2_Reduction_Power_2011">'Consumption-Table'!$AR$71</definedName>
    <definedName name="CO2_Reduction_Power_2012">'Consumption-Table'!$AS$71</definedName>
    <definedName name="CO2_Reduction_Power_2013">'Consumption-Table'!$AT$71</definedName>
    <definedName name="CO2_Reduction_Power_2014">'Consumption-Table'!$AU$71</definedName>
    <definedName name="CO2_Reduction_Power_2015">'Consumption-Table'!$AV$71</definedName>
    <definedName name="CO2_Reduction_Power_2016">'Consumption-Table'!$AW$71</definedName>
    <definedName name="CO2_Reduction_Power_2017">'Consumption-Table'!$AX$71</definedName>
    <definedName name="CO2_Vermeidung_Kohle">'Basis data'!$B$7</definedName>
    <definedName name="CO2_Vermeidung_Strom_2008">'Basis data'!$B$8</definedName>
    <definedName name="CO2_Vermeidung_Strom_2009">'Basis data'!$B$9</definedName>
    <definedName name="CO2_Vermeidung_Strom_2010">'Basis data'!$B$10</definedName>
    <definedName name="CO2_Vermeidung_Strom_2011">'Basis data'!$B$11</definedName>
    <definedName name="CO2_Vermeidung_Strom_2012">'Basis data'!$B$12</definedName>
    <definedName name="CO2_Vermeidung_Strom_2013">'Basis data'!$B$13</definedName>
    <definedName name="CO2_Vermeidung_Strom_2014">'Basis data'!$B$14</definedName>
    <definedName name="CO2_Vermeidung_Strom_2015">'Basis data'!$B$15</definedName>
    <definedName name="CO2_Vermeidung_Strom_2016">'Basis data'!$B$16</definedName>
    <definedName name="CO2_Vermeidung_Strom_2017">'Basis data'!$B$17</definedName>
    <definedName name="_xlnm.Print_Area" localSheetId="3">'A-4'!$A$1:$B$16</definedName>
    <definedName name="_xlnm.Print_Area" localSheetId="2">'Consumption-Table'!$A$1:$AA$110</definedName>
    <definedName name="_xlnm.Print_Area" localSheetId="6">'E.6.'!$A$1:$E$2</definedName>
    <definedName name="_xlnm.Print_Area" localSheetId="7">'Figures'!$A$1:$K$18</definedName>
    <definedName name="Entgasung_20010">'Consumption-Table'!$AQ$4</definedName>
    <definedName name="Entgasung_2007">'Consumption-Table'!#REF!</definedName>
    <definedName name="Entgasung_2008">'Consumption-Table'!$AO$4</definedName>
    <definedName name="Entgasung_2009">'Consumption-Table'!$AP$4</definedName>
    <definedName name="Entgasung_2011">'Consumption-Table'!$AR$4</definedName>
    <definedName name="Entgasung_2012">'Consumption-Table'!$AS$4</definedName>
    <definedName name="Entgasung_2013">'Consumption-Table'!$AT$4</definedName>
    <definedName name="Entgasung_2014">'Consumption-Table'!$AU$4</definedName>
    <definedName name="Entgasung_2015">'Consumption-Table'!$AV$4</definedName>
    <definedName name="Entgasung_2016">'Consumption-Table'!$AW$4</definedName>
    <definedName name="Entgasung_2017">'Consumption-Table'!$AX$4</definedName>
    <definedName name="ff">'[2]Consumption-Table'!$AO$25</definedName>
    <definedName name="Gewicht_Methan">'Basis data'!$B$4</definedName>
    <definedName name="Heizwert_Kohle">'Basis data'!$B$6</definedName>
    <definedName name="Heizwert_Methan">'Basis data'!$B$3</definedName>
    <definedName name="Methan_verwendet_2007">'Consumption-Table'!#REF!</definedName>
    <definedName name="Methan_verwendet_2008">'Consumption-Table'!$AO$8</definedName>
    <definedName name="Methan_verwendet_2009">'Consumption-Table'!$AP$8</definedName>
    <definedName name="Methan_verwendet_2010">'Consumption-Table'!$AQ$8</definedName>
    <definedName name="Methan_verwendet_2011">'Consumption-Table'!$AR$8</definedName>
    <definedName name="Methan_verwendet_2012">'Consumption-Table'!$AS$8</definedName>
    <definedName name="Methan_verwendet_2013">'Consumption-Table'!$AT$8</definedName>
    <definedName name="Methan_verwendet_2014">'Consumption-Table'!$AU$8</definedName>
    <definedName name="Methan_verwendet_2015">'Consumption-Table'!$AV$8</definedName>
    <definedName name="Methan_verwendet_2016">'Consumption-Table'!$AW$8</definedName>
    <definedName name="Methan_verwendet_2017">'Consumption-Table'!$AX$8</definedName>
    <definedName name="Project_Baseline_2007">'Consumption-Table'!#REF!</definedName>
    <definedName name="Project_Baseline_2008">'Consumption-Table'!$AO$9</definedName>
    <definedName name="Project_Baseline_2009">'Consumption-Table'!$AP$9</definedName>
    <definedName name="Project_Baseline_2010">'Consumption-Table'!$AQ$9</definedName>
    <definedName name="Project_Baseline_2011">'Consumption-Table'!$AR$9</definedName>
    <definedName name="Project_Baseline_2012">'Consumption-Table'!$AS$9</definedName>
    <definedName name="Project_Baseline_2013">'Consumption-Table'!$AT$9</definedName>
    <definedName name="Project_Baseline_2014">'Consumption-Table'!$AU$9</definedName>
    <definedName name="Project_Baseline_2015">'Consumption-Table'!$AV$9</definedName>
    <definedName name="Project_Baseline_2016">'Consumption-Table'!$AW$9</definedName>
    <definedName name="Project_Baseline_2017">'Consumption-Table'!$AX$9</definedName>
    <definedName name="Project_emission_2007">'Consumption-Table'!#REF!</definedName>
    <definedName name="Project_emission_2008">'Consumption-Table'!$AO$15</definedName>
    <definedName name="Project_emission_2009">'Consumption-Table'!$AP$15</definedName>
    <definedName name="Project_emission_2010">'Consumption-Table'!$AQ$15</definedName>
    <definedName name="Project_emission_2011">'Consumption-Table'!$AR$15</definedName>
    <definedName name="Project_emission_2012">'Consumption-Table'!$AS$15</definedName>
    <definedName name="Project_emission_2013">'Consumption-Table'!$AT$15</definedName>
    <definedName name="Project_emission_2014">'Consumption-Table'!$AU$15</definedName>
    <definedName name="Project_emission_2015">'Consumption-Table'!$AV$15</definedName>
    <definedName name="Project_emission_2016">'Consumption-Table'!$AW$15</definedName>
    <definedName name="Project_emission_2017">'Consumption-Table'!$AX$15</definedName>
    <definedName name="Projekt_reduction_2007">'Consumption-Table'!#REF!</definedName>
    <definedName name="Projekt_reduction_2008" localSheetId="3">'[1]Consumption-Table'!$AO$21</definedName>
    <definedName name="Projekt_reduction_2008">'Consumption-Table'!$AO$20</definedName>
    <definedName name="Projekt_reduction_2009" localSheetId="3">'[1]Consumption-Table'!$AP$21</definedName>
    <definedName name="Projekt_reduction_2009">'Consumption-Table'!$AP$20</definedName>
    <definedName name="Projekt_reduction_2010" localSheetId="3">'[1]Consumption-Table'!$AQ$21</definedName>
    <definedName name="Projekt_reduction_2010">'Consumption-Table'!$AQ$20</definedName>
    <definedName name="Projekt_reduction_2011" localSheetId="3">'[1]Consumption-Table'!$AR$21</definedName>
    <definedName name="Projekt_reduction_2011">'Consumption-Table'!$AR$20</definedName>
    <definedName name="Projekt_reduction_2012" localSheetId="3">'[1]Consumption-Table'!$AS$21</definedName>
    <definedName name="Projekt_reduction_2012">'Consumption-Table'!$AS$20</definedName>
    <definedName name="Projekt_reduction_2013" localSheetId="3">'[1]Consumption-Table'!$AT$21</definedName>
    <definedName name="Projekt_reduction_2013">'Consumption-Table'!$AT$20</definedName>
    <definedName name="Projekt_reduction_2014" localSheetId="3">'[1]Consumption-Table'!$AU$21</definedName>
    <definedName name="Projekt_reduction_2014">'Consumption-Table'!$AU$20</definedName>
    <definedName name="Projekt_reduction_2015" localSheetId="3">'[1]Consumption-Table'!$AV$21</definedName>
    <definedName name="Projekt_reduction_2015">'Consumption-Table'!$AV$20</definedName>
    <definedName name="Projekt_reduction_2016" localSheetId="3">'[1]Consumption-Table'!$AW$21</definedName>
    <definedName name="Projekt_reduction_2016">'Consumption-Table'!$AW$20</definedName>
    <definedName name="Projekt_reduction_2017" localSheetId="3">'[1]Consumption-Table'!$AX$21</definedName>
    <definedName name="Projekt_reduction_2017">'Consumption-Table'!$AX$20</definedName>
    <definedName name="Wärme_MWh_2007">'Consumption-Table'!#REF!</definedName>
    <definedName name="Wärme_MWh_2008">'Consumption-Table'!$AO$25</definedName>
    <definedName name="Wärme_MWh_2009">'Consumption-Table'!$AP$25</definedName>
    <definedName name="Wärme_MWh_2010">'Consumption-Table'!$AQ$25</definedName>
    <definedName name="Wärme_MWh_2011">'Consumption-Table'!$AR$25</definedName>
    <definedName name="Wärme_MWh_2012">'Consumption-Table'!$AS$25</definedName>
    <definedName name="Wärme_MWh_2013">'Consumption-Table'!$AT$25</definedName>
    <definedName name="Wärme_MWh_2014">'Consumption-Table'!$AU$25</definedName>
    <definedName name="Wärme_MWh_2015">'Consumption-Table'!$AV$25</definedName>
    <definedName name="Wärme_MWh_2016">'Consumption-Table'!$AW$25</definedName>
    <definedName name="Wärme_MWh_2017">'Consumption-Table'!$AX$25</definedName>
    <definedName name="Wirkungsgrad_Kohlekessel">'Basis data'!$B$5</definedName>
  </definedNames>
  <calcPr fullCalcOnLoad="1"/>
</workbook>
</file>

<file path=xl/sharedStrings.xml><?xml version="1.0" encoding="utf-8"?>
<sst xmlns="http://schemas.openxmlformats.org/spreadsheetml/2006/main" count="424" uniqueCount="197">
  <si>
    <t>Nr.</t>
  </si>
  <si>
    <t>Name</t>
  </si>
  <si>
    <t>1.</t>
  </si>
  <si>
    <t>2.</t>
  </si>
  <si>
    <t>2.1.</t>
  </si>
  <si>
    <t>2.1.1.</t>
  </si>
  <si>
    <t>2.1.2.</t>
  </si>
  <si>
    <t>2.1.3.</t>
  </si>
  <si>
    <t>2.2.</t>
  </si>
  <si>
    <t>2.3.</t>
  </si>
  <si>
    <t>KGUU-5/8, 8MW</t>
  </si>
  <si>
    <t>Type</t>
  </si>
  <si>
    <t>2.2.1.</t>
  </si>
  <si>
    <t>2.2.2.</t>
  </si>
  <si>
    <t>MWh</t>
  </si>
  <si>
    <t>m3</t>
  </si>
  <si>
    <t>t CO2</t>
  </si>
  <si>
    <t>MW</t>
  </si>
  <si>
    <t>h</t>
  </si>
  <si>
    <t>%</t>
  </si>
  <si>
    <t>kWh</t>
  </si>
  <si>
    <t>t</t>
  </si>
  <si>
    <t>Heizwert Methan</t>
  </si>
  <si>
    <t>kWh/m3</t>
  </si>
  <si>
    <t>Gewicht_Methan</t>
  </si>
  <si>
    <t>kg/m3</t>
  </si>
  <si>
    <t>Wirkungsgrad_Kohlekessel</t>
  </si>
  <si>
    <t>Heizwert_Kohle</t>
  </si>
  <si>
    <t>MWh/t</t>
  </si>
  <si>
    <t>CO2-Vermeidung_Kohle</t>
  </si>
  <si>
    <t>Year</t>
  </si>
  <si>
    <t>Estimated project emissions (tonnes of CO2 equivalent)</t>
  </si>
  <si>
    <t>Etimated leakage (tonnes of CO2 equivalent</t>
  </si>
  <si>
    <t>Estimated baseline emissions (tonnes of CO2 equivalent)</t>
  </si>
  <si>
    <t>Estimated emissions reductions (tonnes of CO2 equivalent)</t>
  </si>
  <si>
    <t xml:space="preserve">  -  </t>
  </si>
  <si>
    <t>Total (tonnes of CO2 equivalent)</t>
  </si>
  <si>
    <t xml:space="preserve">Heat generation </t>
  </si>
  <si>
    <t>Flare</t>
  </si>
  <si>
    <t>Cogeneration</t>
  </si>
  <si>
    <t>Degassing</t>
  </si>
  <si>
    <t>Unused Methane</t>
  </si>
  <si>
    <t>Methan-used, total</t>
  </si>
  <si>
    <t>Production Heat</t>
  </si>
  <si>
    <t>Heat</t>
  </si>
  <si>
    <t>Consumption Methan</t>
  </si>
  <si>
    <t>unused coal</t>
  </si>
  <si>
    <t>Efficiency</t>
  </si>
  <si>
    <t xml:space="preserve">Consumption CH4 </t>
  </si>
  <si>
    <t>CO2-Reduction</t>
  </si>
  <si>
    <t>CO2-Reduction by unsed coal</t>
  </si>
  <si>
    <t>Power production</t>
  </si>
  <si>
    <t>produced power</t>
  </si>
  <si>
    <t>Capacity</t>
  </si>
  <si>
    <t>full power hours operating</t>
  </si>
  <si>
    <t>power production</t>
  </si>
  <si>
    <t>weight of methane</t>
  </si>
  <si>
    <t>efficiency of coal boiler</t>
  </si>
  <si>
    <t>calorific value methane</t>
  </si>
  <si>
    <t>calorific value coal</t>
  </si>
  <si>
    <t xml:space="preserve">CO2-Reduction by substitute coal for heat production </t>
  </si>
  <si>
    <t xml:space="preserve">CO2-Reduction by substitute power production </t>
  </si>
  <si>
    <t>t CO2/ MWh Heat</t>
  </si>
  <si>
    <t>t CO2/ MWh Power</t>
  </si>
  <si>
    <t>CO2-Vermeidung_Strom_2008</t>
  </si>
  <si>
    <t>CO2-Vermeidung_Strom_2009</t>
  </si>
  <si>
    <t>CO2-Vermeidung_Strom_2010</t>
  </si>
  <si>
    <t>CO2-Vermeidung_Strom_2011</t>
  </si>
  <si>
    <t>CO2-Vermeidung_Strom_2012</t>
  </si>
  <si>
    <t>CO2-Vermeidung_Strom_2013</t>
  </si>
  <si>
    <t>CO2-Vermeidung_Strom_2014</t>
  </si>
  <si>
    <t>CO2-Vermeidung_Strom_2015</t>
  </si>
  <si>
    <t>CO2-Vermeidung_Strom_2016</t>
  </si>
  <si>
    <t>CO2-Vermeidung_Strom_2017</t>
  </si>
  <si>
    <t>m3/a</t>
  </si>
  <si>
    <t>m3/min</t>
  </si>
  <si>
    <t>t CH4</t>
  </si>
  <si>
    <t>t  CO2 project emissions</t>
  </si>
  <si>
    <t>result CO2-reduction heat</t>
  </si>
  <si>
    <t>result CO2-reduction CMM Boiler</t>
  </si>
  <si>
    <t>result CO2-reduction power</t>
  </si>
  <si>
    <t>result CO2-reduction Flaring</t>
  </si>
  <si>
    <t>Heat total needed</t>
  </si>
  <si>
    <t>CO2-Reduction Flaring</t>
  </si>
  <si>
    <t>Heat  CHP</t>
  </si>
  <si>
    <t>Heat CMM Boiler</t>
  </si>
  <si>
    <t>CH4 Consumption</t>
  </si>
  <si>
    <t>Consumption CH4 Flare</t>
  </si>
  <si>
    <t>Unused CH4</t>
  </si>
  <si>
    <t>Consumption CH4 Heat</t>
  </si>
  <si>
    <t>CO2-Reduction-Heat production</t>
  </si>
  <si>
    <t>own consumption CHP units</t>
  </si>
  <si>
    <t>MWh/MWh power</t>
  </si>
  <si>
    <t>3,5%  percent of produced power</t>
  </si>
  <si>
    <t>Flaring</t>
  </si>
  <si>
    <t>Sum</t>
  </si>
  <si>
    <t>Total</t>
  </si>
  <si>
    <t>Difference</t>
  </si>
  <si>
    <t>power consumption</t>
  </si>
  <si>
    <t>CO2 power consumption</t>
  </si>
  <si>
    <t>year</t>
  </si>
  <si>
    <t>Estimated project emissions [t CO2eq / a]</t>
  </si>
  <si>
    <t>methane destruction</t>
  </si>
  <si>
    <t>additional power consumption</t>
  </si>
  <si>
    <t xml:space="preserve">  flaring</t>
  </si>
  <si>
    <t xml:space="preserve">  heat generation</t>
  </si>
  <si>
    <t xml:space="preserve">  power generation</t>
  </si>
  <si>
    <t>Estimated baseline emissions [t CO2eq / a]</t>
  </si>
  <si>
    <t>production of heat that is displaced by the project</t>
  </si>
  <si>
    <t>production of power that is displaced by the project</t>
  </si>
  <si>
    <t>release of methane that is avoided by the project</t>
  </si>
  <si>
    <t>sum</t>
  </si>
  <si>
    <t>CHP 1</t>
  </si>
  <si>
    <t>CHP 2</t>
  </si>
  <si>
    <t>Project-Baseline total</t>
  </si>
  <si>
    <t xml:space="preserve">   flaring</t>
  </si>
  <si>
    <t xml:space="preserve">   heat generation</t>
  </si>
  <si>
    <t xml:space="preserve">   power generation</t>
  </si>
  <si>
    <t>Project-Emission total</t>
  </si>
  <si>
    <t>Project-Reduction total</t>
  </si>
  <si>
    <t xml:space="preserve">   power displacement</t>
  </si>
  <si>
    <t xml:space="preserve">   heat displacement</t>
  </si>
  <si>
    <t>Heat produced</t>
  </si>
  <si>
    <t>CO2 emissions combustion</t>
  </si>
  <si>
    <t>CO2 reduction heat displacement</t>
  </si>
  <si>
    <t>CO2 reduction methane destruction</t>
  </si>
  <si>
    <t>CO2 emissions methane combustion</t>
  </si>
  <si>
    <t>MWel</t>
  </si>
  <si>
    <t>CO2-Reduction-Methane destruction</t>
  </si>
  <si>
    <t>CO2-Reduction-Power displacement</t>
  </si>
  <si>
    <t>total electric capacity</t>
  </si>
  <si>
    <t>Firing Capacity</t>
  </si>
  <si>
    <t>full operating hours</t>
  </si>
  <si>
    <t>Years</t>
  </si>
  <si>
    <t>Length of the period within which ERUs are to be earned</t>
  </si>
  <si>
    <t>Length of crediting period</t>
  </si>
  <si>
    <t>Boiler 1</t>
  </si>
  <si>
    <t>maximum heat capacity</t>
  </si>
  <si>
    <t>efficiency</t>
  </si>
  <si>
    <t xml:space="preserve">type </t>
  </si>
  <si>
    <t>Boiler 2</t>
  </si>
  <si>
    <t>Boiler 3</t>
  </si>
  <si>
    <t>maximum power capacity</t>
  </si>
  <si>
    <t>efficiency power generation</t>
  </si>
  <si>
    <t>maximum firing capacity</t>
  </si>
  <si>
    <t>combustion efficiency</t>
  </si>
  <si>
    <t>KGUU-5/8</t>
  </si>
  <si>
    <t>MW / module</t>
  </si>
  <si>
    <t>none</t>
  </si>
  <si>
    <t>heat production by CHP units</t>
  </si>
  <si>
    <t>-</t>
  </si>
  <si>
    <t>Type: none</t>
  </si>
  <si>
    <t>Boiler 1 - cogeneration of heat by CHP units</t>
  </si>
  <si>
    <t>no additional CH4 destruction, coal displacement only, efficiency of 100 % related to heat produced by CHP</t>
  </si>
  <si>
    <t>resulting CO2-reduction</t>
  </si>
  <si>
    <t>Boiler 2 - upgraded coal boiler, CMM fired</t>
  </si>
  <si>
    <r>
      <t>Estimate of annual emission reductions in 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</si>
  <si>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</si>
  <si>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</si>
  <si>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own consumption gas pump unit</t>
  </si>
  <si>
    <t>kWh/h power</t>
  </si>
  <si>
    <t>1st Crediting period 2008-2012</t>
  </si>
  <si>
    <t>gas feed in using coal mine's gas suction pumps</t>
  </si>
  <si>
    <t>MW/Module</t>
  </si>
  <si>
    <t>Deutz</t>
  </si>
  <si>
    <t>Air heater</t>
  </si>
  <si>
    <t>Heat produced+needed</t>
  </si>
  <si>
    <t>Efficiency Type KE-10-14</t>
  </si>
  <si>
    <t>CHP</t>
  </si>
  <si>
    <t>CO2-Reduction CHP</t>
  </si>
  <si>
    <t>Heat production</t>
  </si>
  <si>
    <t>Consumption CH4 CHP</t>
  </si>
  <si>
    <t>CO2 Reduction</t>
  </si>
  <si>
    <t>Kalorifer Heat</t>
  </si>
  <si>
    <t>2013-2017</t>
  </si>
  <si>
    <t>Total Heat (NEEDED)</t>
  </si>
  <si>
    <t>Total Heat (produced from CH4)</t>
  </si>
  <si>
    <t>less heat</t>
  </si>
  <si>
    <t xml:space="preserve">   own consumption</t>
  </si>
  <si>
    <t>CO2-Reduction-Methane baseline</t>
  </si>
  <si>
    <t xml:space="preserve">   flaring combustion</t>
  </si>
  <si>
    <t>Heat from Coal</t>
  </si>
  <si>
    <t>2008 - 17</t>
  </si>
  <si>
    <t>Shcheglovskaya-Glubokaya</t>
  </si>
  <si>
    <t>power consumption flare</t>
  </si>
  <si>
    <t>55 KW motor at 70% load</t>
  </si>
  <si>
    <t>CO2-Reduction by unused coal</t>
  </si>
  <si>
    <t>Heat Produced from CHP</t>
  </si>
  <si>
    <t>needed heat from CHP</t>
  </si>
  <si>
    <t>power consumption flare (gas pump)</t>
  </si>
  <si>
    <t>2 modules</t>
  </si>
  <si>
    <t>1 modules</t>
  </si>
  <si>
    <t>emergency power generation unit</t>
  </si>
  <si>
    <t>number</t>
  </si>
  <si>
    <t>prospected emissions reduction for the years 2013-2017</t>
  </si>
  <si>
    <t>Prospected emissions reduction for the years 2013-1017</t>
  </si>
  <si>
    <r>
      <t>Total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</si>
</sst>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\ &quot;грн.&quot;;\-#,##0\ &quot;грн.&quot;"/>
    <numFmt numFmtId="178" formatCode="#,##0\ &quot;грн.&quot;;[Red]\-#,##0\ &quot;грн.&quot;"/>
    <numFmt numFmtId="179" formatCode="#,##0.00\ &quot;грн.&quot;;\-#,##0.00\ &quot;грн.&quot;"/>
    <numFmt numFmtId="180" formatCode="#,##0.00\ &quot;грн.&quot;;[Red]\-#,##0.00\ &quot;грн.&quot;"/>
    <numFmt numFmtId="181" formatCode="_-* #,##0\ &quot;грн.&quot;_-;\-* #,##0\ &quot;грн.&quot;_-;_-* &quot;-&quot;\ &quot;грн.&quot;_-;_-@_-"/>
    <numFmt numFmtId="182" formatCode="_-* #,##0\ _г_р_н_._-;\-* #,##0\ _г_р_н_._-;_-* &quot;-&quot;\ _г_р_н_._-;_-@_-"/>
    <numFmt numFmtId="183" formatCode="_-* #,##0.00\ &quot;грн.&quot;_-;\-* #,##0.00\ &quot;грн.&quot;_-;_-* &quot;-&quot;??\ &quot;грн.&quot;_-;_-@_-"/>
    <numFmt numFmtId="184" formatCode="_-* #,##0.00\ _г_р_н_._-;\-* #,##0.00\ _г_р_н_._-;_-* &quot;-&quot;??\ _г_р_н_._-;_-@_-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0.000"/>
    <numFmt numFmtId="203" formatCode="0.0%"/>
    <numFmt numFmtId="204" formatCode="0.000%"/>
    <numFmt numFmtId="205" formatCode="0.0000%"/>
    <numFmt numFmtId="206" formatCode="0.00000%"/>
    <numFmt numFmtId="207" formatCode="mm/yy"/>
    <numFmt numFmtId="208" formatCode="[$-407]dddd\,\ d\.\ mmmm\ yyyy"/>
    <numFmt numFmtId="209" formatCode="[$-407]mmm/\ yy;@"/>
    <numFmt numFmtId="210" formatCode="0.0000"/>
    <numFmt numFmtId="211" formatCode="#,##0_ ;[Red]\-#,##0\ "/>
    <numFmt numFmtId="212" formatCode="0.00000000"/>
    <numFmt numFmtId="213" formatCode="0.0000000"/>
    <numFmt numFmtId="214" formatCode="0.000000"/>
    <numFmt numFmtId="215" formatCode="0.00000"/>
    <numFmt numFmtId="216" formatCode="mmm\ yyyy"/>
    <numFmt numFmtId="217" formatCode="[$-809]dd\ mmmm\ yyyy"/>
  </numFmts>
  <fonts count="34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12"/>
      <name val="Arial"/>
      <family val="0"/>
    </font>
    <font>
      <b/>
      <sz val="13.25"/>
      <name val="Arial"/>
      <family val="2"/>
    </font>
    <font>
      <sz val="11.75"/>
      <name val="Arial"/>
      <family val="0"/>
    </font>
    <font>
      <b/>
      <sz val="13.75"/>
      <name val="Arial"/>
      <family val="2"/>
    </font>
    <font>
      <b/>
      <sz val="11.5"/>
      <name val="Arial"/>
      <family val="2"/>
    </font>
    <font>
      <sz val="10"/>
      <color indexed="8"/>
      <name val="Arial"/>
      <family val="2"/>
    </font>
    <font>
      <sz val="11.25"/>
      <name val="Arial"/>
      <family val="0"/>
    </font>
    <font>
      <b/>
      <sz val="9"/>
      <name val="Arial"/>
      <family val="0"/>
    </font>
    <font>
      <sz val="11"/>
      <name val="Times New Roman"/>
      <family val="1"/>
    </font>
    <font>
      <sz val="1.5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b/>
      <sz val="11"/>
      <name val="Times New Roman"/>
      <family val="1"/>
    </font>
    <font>
      <b/>
      <sz val="15.25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.5"/>
      <name val="Arial"/>
      <family val="0"/>
    </font>
    <font>
      <b/>
      <sz val="9.5"/>
      <name val="Arial"/>
      <family val="0"/>
    </font>
    <font>
      <b/>
      <sz val="11.75"/>
      <name val="Arial"/>
      <family val="2"/>
    </font>
    <font>
      <b/>
      <sz val="14"/>
      <name val="Arial"/>
      <family val="2"/>
    </font>
    <font>
      <sz val="9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16" fontId="0" fillId="3" borderId="16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4" borderId="0" xfId="0" applyNumberFormat="1" applyFill="1" applyBorder="1" applyAlignment="1">
      <alignment/>
    </xf>
    <xf numFmtId="16" fontId="0" fillId="0" borderId="16" xfId="0" applyNumberForma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6" xfId="0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207" fontId="0" fillId="0" borderId="24" xfId="0" applyNumberFormat="1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9"/>
    </xf>
    <xf numFmtId="17" fontId="2" fillId="0" borderId="0" xfId="0" applyNumberFormat="1" applyFont="1" applyAlignment="1">
      <alignment/>
    </xf>
    <xf numFmtId="3" fontId="0" fillId="3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6" fontId="0" fillId="5" borderId="16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right"/>
    </xf>
    <xf numFmtId="0" fontId="19" fillId="0" borderId="25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23" fillId="0" borderId="28" xfId="0" applyFont="1" applyFill="1" applyBorder="1" applyAlignment="1">
      <alignment horizontal="right"/>
    </xf>
    <xf numFmtId="3" fontId="23" fillId="0" borderId="29" xfId="0" applyNumberFormat="1" applyFont="1" applyBorder="1" applyAlignment="1">
      <alignment/>
    </xf>
    <xf numFmtId="0" fontId="19" fillId="0" borderId="25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3" fontId="19" fillId="0" borderId="31" xfId="0" applyNumberFormat="1" applyFont="1" applyBorder="1" applyAlignment="1">
      <alignment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3" fontId="25" fillId="0" borderId="1" xfId="0" applyNumberFormat="1" applyFont="1" applyBorder="1" applyAlignment="1">
      <alignment horizontal="center"/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34" xfId="0" applyFont="1" applyBorder="1" applyAlignment="1">
      <alignment wrapText="1"/>
    </xf>
    <xf numFmtId="0" fontId="19" fillId="0" borderId="25" xfId="0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9" fillId="0" borderId="33" xfId="0" applyFont="1" applyBorder="1" applyAlignment="1">
      <alignment horizontal="right"/>
    </xf>
    <xf numFmtId="3" fontId="23" fillId="0" borderId="35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0" fontId="23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9" fillId="0" borderId="32" xfId="0" applyFont="1" applyBorder="1" applyAlignment="1">
      <alignment horizontal="right"/>
    </xf>
    <xf numFmtId="0" fontId="19" fillId="0" borderId="33" xfId="0" applyFont="1" applyBorder="1" applyAlignment="1">
      <alignment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right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23" fillId="0" borderId="43" xfId="0" applyFont="1" applyFill="1" applyBorder="1" applyAlignment="1">
      <alignment horizontal="right"/>
    </xf>
    <xf numFmtId="3" fontId="23" fillId="0" borderId="44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/>
    </xf>
    <xf numFmtId="0" fontId="32" fillId="0" borderId="0" xfId="0" applyFont="1" applyAlignment="1">
      <alignment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/>
    </xf>
    <xf numFmtId="211" fontId="0" fillId="6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6" borderId="16" xfId="0" applyFill="1" applyBorder="1" applyAlignment="1">
      <alignment/>
    </xf>
    <xf numFmtId="1" fontId="0" fillId="6" borderId="0" xfId="0" applyNumberFormat="1" applyFill="1" applyBorder="1" applyAlignment="1">
      <alignment/>
    </xf>
    <xf numFmtId="3" fontId="0" fillId="6" borderId="0" xfId="0" applyNumberFormat="1" applyFill="1" applyAlignment="1">
      <alignment/>
    </xf>
    <xf numFmtId="0" fontId="32" fillId="0" borderId="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4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16" fillId="3" borderId="0" xfId="0" applyFont="1" applyFill="1" applyAlignment="1">
      <alignment/>
    </xf>
    <xf numFmtId="3" fontId="0" fillId="7" borderId="0" xfId="0" applyNumberForma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211" fontId="0" fillId="6" borderId="46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2" fontId="0" fillId="0" borderId="46" xfId="0" applyNumberFormat="1" applyFill="1" applyBorder="1" applyAlignment="1">
      <alignment/>
    </xf>
    <xf numFmtId="3" fontId="0" fillId="5" borderId="46" xfId="0" applyNumberFormat="1" applyFill="1" applyBorder="1" applyAlignment="1">
      <alignment/>
    </xf>
    <xf numFmtId="3" fontId="0" fillId="3" borderId="46" xfId="0" applyNumberFormat="1" applyFill="1" applyBorder="1" applyAlignment="1">
      <alignment/>
    </xf>
    <xf numFmtId="0" fontId="0" fillId="0" borderId="48" xfId="0" applyBorder="1" applyAlignment="1">
      <alignment/>
    </xf>
    <xf numFmtId="4" fontId="0" fillId="0" borderId="46" xfId="0" applyNumberFormat="1" applyBorder="1" applyAlignment="1">
      <alignment/>
    </xf>
    <xf numFmtId="201" fontId="0" fillId="0" borderId="46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14" xfId="0" applyNumberFormat="1" applyFont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4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1" fontId="16" fillId="0" borderId="0" xfId="0" applyNumberFormat="1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46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0" fontId="2" fillId="0" borderId="15" xfId="0" applyFont="1" applyBorder="1" applyAlignment="1">
      <alignment horizontal="right"/>
    </xf>
    <xf numFmtId="0" fontId="0" fillId="3" borderId="0" xfId="0" applyFont="1" applyFill="1" applyAlignment="1">
      <alignment horizontal="right"/>
    </xf>
    <xf numFmtId="1" fontId="0" fillId="3" borderId="0" xfId="0" applyNumberFormat="1" applyFill="1" applyBorder="1" applyAlignment="1">
      <alignment/>
    </xf>
    <xf numFmtId="0" fontId="0" fillId="0" borderId="14" xfId="0" applyBorder="1" applyAlignment="1">
      <alignment/>
    </xf>
    <xf numFmtId="3" fontId="23" fillId="0" borderId="5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shares of CMM utilisation
Coal Mine Shcheglovskaya-Glubokaya - 2009</a:t>
            </a:r>
          </a:p>
        </c:rich>
      </c:tx>
      <c:layout>
        <c:manualLayout>
          <c:xMode val="factor"/>
          <c:yMode val="factor"/>
          <c:x val="0.001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425"/>
          <c:w val="0.79725"/>
          <c:h val="0.72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Shares!$A$3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strCache>
            </c:strRef>
          </c:cat>
          <c:val>
            <c:numRef>
              <c:f>Shares!$B$3:$M$3</c:f>
              <c:numCache>
                <c:ptCount val="12"/>
                <c:pt idx="0">
                  <c:v>738383.9396065071</c:v>
                </c:pt>
                <c:pt idx="1">
                  <c:v>738383.9396065071</c:v>
                </c:pt>
                <c:pt idx="2">
                  <c:v>824564.919664629</c:v>
                </c:pt>
                <c:pt idx="3">
                  <c:v>363993.553128236</c:v>
                </c:pt>
                <c:pt idx="4">
                  <c:v>112006.04602999633</c:v>
                </c:pt>
                <c:pt idx="5">
                  <c:v>54071.884290343056</c:v>
                </c:pt>
                <c:pt idx="6">
                  <c:v>55950.83007649398</c:v>
                </c:pt>
                <c:pt idx="7">
                  <c:v>55950.83007649398</c:v>
                </c:pt>
                <c:pt idx="8">
                  <c:v>54071.884290343056</c:v>
                </c:pt>
                <c:pt idx="9">
                  <c:v>184157.56421819155</c:v>
                </c:pt>
                <c:pt idx="10">
                  <c:v>738383.9396065071</c:v>
                </c:pt>
                <c:pt idx="11">
                  <c:v>790576.8781106992</c:v>
                </c:pt>
              </c:numCache>
            </c:numRef>
          </c:val>
        </c:ser>
        <c:ser>
          <c:idx val="1"/>
          <c:order val="1"/>
          <c:tx>
            <c:strRef>
              <c:f>Shares!$A$4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strCache>
            </c:strRef>
          </c:cat>
          <c:val>
            <c:numRef>
              <c:f>Shares!$B$4:$M$4</c:f>
              <c:numCache>
                <c:ptCount val="12"/>
                <c:pt idx="0">
                  <c:v>253309.72820701252</c:v>
                </c:pt>
                <c:pt idx="1">
                  <c:v>253309.72820701252</c:v>
                </c:pt>
                <c:pt idx="2">
                  <c:v>253309.72820701252</c:v>
                </c:pt>
                <c:pt idx="3">
                  <c:v>253309.72820701252</c:v>
                </c:pt>
                <c:pt idx="4">
                  <c:v>253309.72820701252</c:v>
                </c:pt>
                <c:pt idx="5">
                  <c:v>253309.72820701252</c:v>
                </c:pt>
                <c:pt idx="6">
                  <c:v>253309.72820701252</c:v>
                </c:pt>
                <c:pt idx="7">
                  <c:v>253309.72820701252</c:v>
                </c:pt>
                <c:pt idx="8">
                  <c:v>253309.72820701252</c:v>
                </c:pt>
                <c:pt idx="9">
                  <c:v>253309.72820701252</c:v>
                </c:pt>
                <c:pt idx="10">
                  <c:v>253309.72820701252</c:v>
                </c:pt>
                <c:pt idx="11">
                  <c:v>253309.72820701252</c:v>
                </c:pt>
              </c:numCache>
            </c:numRef>
          </c:val>
        </c:ser>
        <c:ser>
          <c:idx val="2"/>
          <c:order val="2"/>
          <c:tx>
            <c:strRef>
              <c:f>Shares!$A$5</c:f>
              <c:strCache>
                <c:ptCount val="1"/>
                <c:pt idx="0">
                  <c:v>Flaring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Shares!$B$2:$M$2</c:f>
              <c:strCach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strCache>
            </c:strRef>
          </c:cat>
          <c:val>
            <c:numRef>
              <c:f>Shares!$B$5:$M$5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299128.169155226</c:v>
                </c:pt>
                <c:pt idx="4">
                  <c:v>598256.338310452</c:v>
                </c:pt>
                <c:pt idx="5">
                  <c:v>598256.338310452</c:v>
                </c:pt>
                <c:pt idx="6">
                  <c:v>598256.338310452</c:v>
                </c:pt>
                <c:pt idx="7">
                  <c:v>598256.338310452</c:v>
                </c:pt>
                <c:pt idx="8">
                  <c:v>598256.338310452</c:v>
                </c:pt>
                <c:pt idx="9">
                  <c:v>498546.9485920433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444123"/>
        <c:axId val="36670516"/>
      </c:barChart>
      <c:date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0516"/>
        <c:crosses val="autoZero"/>
        <c:auto val="0"/>
        <c:noMultiLvlLbl val="0"/>
      </c:dateAx>
      <c:valAx>
        <c:axId val="3667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CMM utilised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33"/>
          <c:w val="0.9235"/>
          <c:h val="0.79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'Figures-CO2'!$C$86:$AL$86</c:f>
              <c:numCache>
                <c:ptCount val="36"/>
                <c:pt idx="0">
                  <c:v>57899.366447317145</c:v>
                </c:pt>
                <c:pt idx="1">
                  <c:v>57899.366447317145</c:v>
                </c:pt>
                <c:pt idx="2">
                  <c:v>57899.366447317145</c:v>
                </c:pt>
                <c:pt idx="3">
                  <c:v>57899.366447317145</c:v>
                </c:pt>
                <c:pt idx="4">
                  <c:v>57899.366447317145</c:v>
                </c:pt>
                <c:pt idx="5">
                  <c:v>57899.366447317145</c:v>
                </c:pt>
                <c:pt idx="6">
                  <c:v>57899.366447317145</c:v>
                </c:pt>
                <c:pt idx="7">
                  <c:v>57899.366447317145</c:v>
                </c:pt>
                <c:pt idx="8">
                  <c:v>57899.366447317145</c:v>
                </c:pt>
                <c:pt idx="9">
                  <c:v>57899.366447317145</c:v>
                </c:pt>
                <c:pt idx="10">
                  <c:v>57899.366447317145</c:v>
                </c:pt>
                <c:pt idx="11">
                  <c:v>57899.366447317145</c:v>
                </c:pt>
                <c:pt idx="12">
                  <c:v>253309.72820701252</c:v>
                </c:pt>
                <c:pt idx="13">
                  <c:v>253309.72820701252</c:v>
                </c:pt>
                <c:pt idx="14">
                  <c:v>253309.72820701252</c:v>
                </c:pt>
                <c:pt idx="15">
                  <c:v>253309.72820701252</c:v>
                </c:pt>
                <c:pt idx="16">
                  <c:v>253309.72820701252</c:v>
                </c:pt>
                <c:pt idx="17">
                  <c:v>253309.72820701252</c:v>
                </c:pt>
                <c:pt idx="18">
                  <c:v>253309.72820701252</c:v>
                </c:pt>
                <c:pt idx="19">
                  <c:v>253309.72820701252</c:v>
                </c:pt>
                <c:pt idx="20">
                  <c:v>253309.72820701252</c:v>
                </c:pt>
                <c:pt idx="21">
                  <c:v>253309.72820701252</c:v>
                </c:pt>
                <c:pt idx="22">
                  <c:v>253309.72820701252</c:v>
                </c:pt>
                <c:pt idx="23">
                  <c:v>253309.72820701252</c:v>
                </c:pt>
                <c:pt idx="24">
                  <c:v>253309.72820701252</c:v>
                </c:pt>
                <c:pt idx="25">
                  <c:v>253309.72820701252</c:v>
                </c:pt>
                <c:pt idx="26">
                  <c:v>253309.72820701252</c:v>
                </c:pt>
                <c:pt idx="27">
                  <c:v>253309.72820701252</c:v>
                </c:pt>
                <c:pt idx="28">
                  <c:v>253309.72820701252</c:v>
                </c:pt>
                <c:pt idx="29">
                  <c:v>253309.72820701252</c:v>
                </c:pt>
                <c:pt idx="30">
                  <c:v>253309.72820701252</c:v>
                </c:pt>
                <c:pt idx="31">
                  <c:v>253309.72820701252</c:v>
                </c:pt>
                <c:pt idx="32">
                  <c:v>253309.72820701252</c:v>
                </c:pt>
                <c:pt idx="33">
                  <c:v>253309.72820701252</c:v>
                </c:pt>
                <c:pt idx="34">
                  <c:v>253309.72820701252</c:v>
                </c:pt>
                <c:pt idx="35">
                  <c:v>253309.72820701252</c:v>
                </c:pt>
              </c:numCache>
            </c:numRef>
          </c:val>
        </c:ser>
        <c:ser>
          <c:idx val="2"/>
          <c:order val="1"/>
          <c:tx>
            <c:strRef>
              <c:f>'Figures-CO2'!$A$85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'Figures-CO2'!$C$85:$AL$85</c:f>
              <c:numCache>
                <c:ptCount val="36"/>
                <c:pt idx="0">
                  <c:v>738383.9396065071</c:v>
                </c:pt>
                <c:pt idx="1">
                  <c:v>717506.7642048302</c:v>
                </c:pt>
                <c:pt idx="2">
                  <c:v>824564.919664629</c:v>
                </c:pt>
                <c:pt idx="3">
                  <c:v>363993.553128236</c:v>
                </c:pt>
                <c:pt idx="4">
                  <c:v>112006.04602999633</c:v>
                </c:pt>
                <c:pt idx="5">
                  <c:v>54071.884290343056</c:v>
                </c:pt>
                <c:pt idx="6">
                  <c:v>55950.83007649398</c:v>
                </c:pt>
                <c:pt idx="7">
                  <c:v>55950.83007649398</c:v>
                </c:pt>
                <c:pt idx="8">
                  <c:v>54071.884290343056</c:v>
                </c:pt>
                <c:pt idx="9">
                  <c:v>184157.56421819155</c:v>
                </c:pt>
                <c:pt idx="10">
                  <c:v>738383.9396065071</c:v>
                </c:pt>
                <c:pt idx="11">
                  <c:v>790576.8781106992</c:v>
                </c:pt>
                <c:pt idx="12">
                  <c:v>738383.9396065071</c:v>
                </c:pt>
                <c:pt idx="13">
                  <c:v>738383.9396065071</c:v>
                </c:pt>
                <c:pt idx="14">
                  <c:v>824564.919664629</c:v>
                </c:pt>
                <c:pt idx="15">
                  <c:v>363993.553128236</c:v>
                </c:pt>
                <c:pt idx="16">
                  <c:v>112006.04602999633</c:v>
                </c:pt>
                <c:pt idx="17">
                  <c:v>54071.884290343056</c:v>
                </c:pt>
                <c:pt idx="18">
                  <c:v>55950.83007649398</c:v>
                </c:pt>
                <c:pt idx="19">
                  <c:v>55950.83007649398</c:v>
                </c:pt>
                <c:pt idx="20">
                  <c:v>54071.884290343056</c:v>
                </c:pt>
                <c:pt idx="21">
                  <c:v>184157.56421819155</c:v>
                </c:pt>
                <c:pt idx="22">
                  <c:v>738383.9396065071</c:v>
                </c:pt>
                <c:pt idx="23">
                  <c:v>790576.8781106992</c:v>
                </c:pt>
                <c:pt idx="24">
                  <c:v>738383.9396065071</c:v>
                </c:pt>
                <c:pt idx="25">
                  <c:v>738383.9396065071</c:v>
                </c:pt>
                <c:pt idx="26">
                  <c:v>824564.919664629</c:v>
                </c:pt>
                <c:pt idx="27">
                  <c:v>363993.553128236</c:v>
                </c:pt>
                <c:pt idx="28">
                  <c:v>112006.04602999633</c:v>
                </c:pt>
                <c:pt idx="29">
                  <c:v>54071.884290343056</c:v>
                </c:pt>
                <c:pt idx="30">
                  <c:v>55950.83007649398</c:v>
                </c:pt>
                <c:pt idx="31">
                  <c:v>55950.83007649398</c:v>
                </c:pt>
                <c:pt idx="32">
                  <c:v>54071.884290343056</c:v>
                </c:pt>
                <c:pt idx="33">
                  <c:v>184157.56421819155</c:v>
                </c:pt>
                <c:pt idx="34">
                  <c:v>738383.9396065071</c:v>
                </c:pt>
                <c:pt idx="35">
                  <c:v>790576.8781106992</c:v>
                </c:pt>
              </c:numCache>
            </c:numRef>
          </c:val>
        </c:ser>
        <c:ser>
          <c:idx val="0"/>
          <c:order val="2"/>
          <c:tx>
            <c:strRef>
              <c:f>'Figures-CO2'!$A$87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'Figures-CO2'!$C$87:$AL$87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299128.169155226</c:v>
                </c:pt>
                <c:pt idx="4">
                  <c:v>598256.338310452</c:v>
                </c:pt>
                <c:pt idx="5">
                  <c:v>598256.338310452</c:v>
                </c:pt>
                <c:pt idx="6">
                  <c:v>598256.338310452</c:v>
                </c:pt>
                <c:pt idx="7">
                  <c:v>598256.338310452</c:v>
                </c:pt>
                <c:pt idx="8">
                  <c:v>598256.338310452</c:v>
                </c:pt>
                <c:pt idx="9">
                  <c:v>498546.9485920433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299128.169155226</c:v>
                </c:pt>
                <c:pt idx="16">
                  <c:v>598256.338310452</c:v>
                </c:pt>
                <c:pt idx="17">
                  <c:v>598256.338310452</c:v>
                </c:pt>
                <c:pt idx="18">
                  <c:v>598256.338310452</c:v>
                </c:pt>
                <c:pt idx="19">
                  <c:v>598256.338310452</c:v>
                </c:pt>
                <c:pt idx="20">
                  <c:v>598256.338310452</c:v>
                </c:pt>
                <c:pt idx="21">
                  <c:v>498546.9485920433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299128.169155226</c:v>
                </c:pt>
                <c:pt idx="28">
                  <c:v>598256.338310452</c:v>
                </c:pt>
                <c:pt idx="29">
                  <c:v>598256.338310452</c:v>
                </c:pt>
                <c:pt idx="30">
                  <c:v>598256.338310452</c:v>
                </c:pt>
                <c:pt idx="31">
                  <c:v>598256.338310452</c:v>
                </c:pt>
                <c:pt idx="32">
                  <c:v>598256.338310452</c:v>
                </c:pt>
                <c:pt idx="33">
                  <c:v>498546.9485920433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'Figures-CO2'!$A$88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'Figures-CO2'!$C$83:$AL$83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'Figures-CO2'!$C$88:$AL$88</c:f>
              <c:numCache>
                <c:ptCount val="36"/>
                <c:pt idx="0">
                  <c:v>96516.69394617577</c:v>
                </c:pt>
                <c:pt idx="1">
                  <c:v>30993.86934785269</c:v>
                </c:pt>
                <c:pt idx="2">
                  <c:v>10335.713888053819</c:v>
                </c:pt>
                <c:pt idx="3">
                  <c:v>142978.91126922093</c:v>
                </c:pt>
                <c:pt idx="4">
                  <c:v>124638.24921223451</c:v>
                </c:pt>
                <c:pt idx="5">
                  <c:v>153772.41095188784</c:v>
                </c:pt>
                <c:pt idx="6">
                  <c:v>180693.46516573685</c:v>
                </c:pt>
                <c:pt idx="7">
                  <c:v>180693.46516573685</c:v>
                </c:pt>
                <c:pt idx="8">
                  <c:v>153772.41095188784</c:v>
                </c:pt>
                <c:pt idx="9">
                  <c:v>152196.12074244797</c:v>
                </c:pt>
                <c:pt idx="10">
                  <c:v>67716.69394617577</c:v>
                </c:pt>
                <c:pt idx="11">
                  <c:v>44323.755441983616</c:v>
                </c:pt>
                <c:pt idx="12">
                  <c:v>124306.3321864804</c:v>
                </c:pt>
                <c:pt idx="13">
                  <c:v>16306.332186480402</c:v>
                </c:pt>
                <c:pt idx="14">
                  <c:v>38125.35212835844</c:v>
                </c:pt>
                <c:pt idx="15">
                  <c:v>163568.54950952553</c:v>
                </c:pt>
                <c:pt idx="16">
                  <c:v>152427.88745253917</c:v>
                </c:pt>
                <c:pt idx="17">
                  <c:v>174362.0491921925</c:v>
                </c:pt>
                <c:pt idx="18">
                  <c:v>208483.1034060415</c:v>
                </c:pt>
                <c:pt idx="19">
                  <c:v>208483.1034060415</c:v>
                </c:pt>
                <c:pt idx="20">
                  <c:v>174362.0491921925</c:v>
                </c:pt>
                <c:pt idx="21">
                  <c:v>179985.75898275262</c:v>
                </c:pt>
                <c:pt idx="22">
                  <c:v>88306.3321864804</c:v>
                </c:pt>
                <c:pt idx="23">
                  <c:v>72113.39368228824</c:v>
                </c:pt>
                <c:pt idx="24">
                  <c:v>124306.3321864804</c:v>
                </c:pt>
                <c:pt idx="25">
                  <c:v>16306.332186480402</c:v>
                </c:pt>
                <c:pt idx="26">
                  <c:v>38125.35212835844</c:v>
                </c:pt>
                <c:pt idx="27">
                  <c:v>163568.54950952553</c:v>
                </c:pt>
                <c:pt idx="28">
                  <c:v>152427.88745253917</c:v>
                </c:pt>
                <c:pt idx="29">
                  <c:v>174362.0491921925</c:v>
                </c:pt>
                <c:pt idx="30">
                  <c:v>208483.1034060415</c:v>
                </c:pt>
                <c:pt idx="31">
                  <c:v>208483.1034060415</c:v>
                </c:pt>
                <c:pt idx="32">
                  <c:v>174362.0491921925</c:v>
                </c:pt>
                <c:pt idx="33">
                  <c:v>179985.75898275262</c:v>
                </c:pt>
                <c:pt idx="34">
                  <c:v>88306.3321864804</c:v>
                </c:pt>
                <c:pt idx="35">
                  <c:v>72113.39368228824</c:v>
                </c:pt>
              </c:numCache>
            </c:numRef>
          </c:val>
        </c:ser>
        <c:overlap val="100"/>
        <c:axId val="41301541"/>
        <c:axId val="36169550"/>
      </c:barChart>
      <c:dateAx>
        <c:axId val="41301541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0"/>
        <c:noMultiLvlLbl val="0"/>
      </c:dateAx>
      <c:valAx>
        <c:axId val="361695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3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08925"/>
          <c:w val="0.84925"/>
          <c:h val="0.04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925"/>
          <c:w val="0.9745"/>
          <c:h val="0.82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'Figures-CO2'!$AM$86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'Figures-CO2'!$AN$86:$AW$86</c:f>
              <c:numCache>
                <c:ptCount val="10"/>
                <c:pt idx="0">
                  <c:v>694792.3973678057</c:v>
                </c:pt>
                <c:pt idx="1">
                  <c:v>3039716.738484151</c:v>
                </c:pt>
                <c:pt idx="2">
                  <c:v>3039716.7384841503</c:v>
                </c:pt>
                <c:pt idx="3">
                  <c:v>3039716.7384841503</c:v>
                </c:pt>
                <c:pt idx="4">
                  <c:v>3039716.7384841503</c:v>
                </c:pt>
                <c:pt idx="5">
                  <c:v>3039716.7384841503</c:v>
                </c:pt>
                <c:pt idx="6">
                  <c:v>3039716.7384841503</c:v>
                </c:pt>
                <c:pt idx="7">
                  <c:v>3039716.7384841503</c:v>
                </c:pt>
                <c:pt idx="8">
                  <c:v>3039716.7384841503</c:v>
                </c:pt>
                <c:pt idx="9">
                  <c:v>3039716.7384841503</c:v>
                </c:pt>
              </c:numCache>
            </c:numRef>
          </c:val>
        </c:ser>
        <c:ser>
          <c:idx val="1"/>
          <c:order val="1"/>
          <c:tx>
            <c:strRef>
              <c:f>'Figures-CO2'!$AM$85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'Figures-CO2'!$AN$85:$AW$85</c:f>
              <c:numCache>
                <c:ptCount val="10"/>
                <c:pt idx="0">
                  <c:v>4689619.03330327</c:v>
                </c:pt>
                <c:pt idx="1">
                  <c:v>4710496.2087049475</c:v>
                </c:pt>
                <c:pt idx="2">
                  <c:v>4710496.208704947</c:v>
                </c:pt>
                <c:pt idx="3">
                  <c:v>4710496.208704947</c:v>
                </c:pt>
                <c:pt idx="4">
                  <c:v>4710496.208704947</c:v>
                </c:pt>
                <c:pt idx="5">
                  <c:v>4710496.208704947</c:v>
                </c:pt>
                <c:pt idx="6">
                  <c:v>4710496.208704947</c:v>
                </c:pt>
                <c:pt idx="7">
                  <c:v>4710496.208704947</c:v>
                </c:pt>
                <c:pt idx="8">
                  <c:v>4710496.208704947</c:v>
                </c:pt>
                <c:pt idx="9">
                  <c:v>4710496.208704947</c:v>
                </c:pt>
              </c:numCache>
            </c:numRef>
          </c:val>
        </c:ser>
        <c:ser>
          <c:idx val="3"/>
          <c:order val="2"/>
          <c:tx>
            <c:strRef>
              <c:f>'Figures-CO2'!$AM$87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'Figures-CO2'!$AN$87:$AW$87</c:f>
              <c:numCache>
                <c:ptCount val="10"/>
                <c:pt idx="0">
                  <c:v>3788956.8092995295</c:v>
                </c:pt>
                <c:pt idx="1">
                  <c:v>3788956.8092995295</c:v>
                </c:pt>
                <c:pt idx="2">
                  <c:v>3788956.8092995295</c:v>
                </c:pt>
                <c:pt idx="3">
                  <c:v>3788956.8092995295</c:v>
                </c:pt>
                <c:pt idx="4">
                  <c:v>3788956.8092995295</c:v>
                </c:pt>
                <c:pt idx="5">
                  <c:v>3788956.8092995295</c:v>
                </c:pt>
                <c:pt idx="6">
                  <c:v>3788956.8092995295</c:v>
                </c:pt>
                <c:pt idx="7">
                  <c:v>3788956.8092995295</c:v>
                </c:pt>
                <c:pt idx="8">
                  <c:v>3788956.8092995295</c:v>
                </c:pt>
                <c:pt idx="9">
                  <c:v>3788956.8092995295</c:v>
                </c:pt>
              </c:numCache>
            </c:numRef>
          </c:val>
        </c:ser>
        <c:ser>
          <c:idx val="4"/>
          <c:order val="3"/>
          <c:tx>
            <c:strRef>
              <c:f>'Figures-CO2'!$AM$88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'Figures-CO2'!$AN$83:$AW$83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'Figures-CO2'!$AN$88:$AW$88</c:f>
              <c:numCache>
                <c:ptCount val="10"/>
                <c:pt idx="0">
                  <c:v>1338631.760029395</c:v>
                </c:pt>
                <c:pt idx="1">
                  <c:v>1600830.2435113704</c:v>
                </c:pt>
                <c:pt idx="2">
                  <c:v>1600830.243511374</c:v>
                </c:pt>
                <c:pt idx="3">
                  <c:v>1600830.243511374</c:v>
                </c:pt>
                <c:pt idx="4">
                  <c:v>1600830.243511374</c:v>
                </c:pt>
                <c:pt idx="5">
                  <c:v>1600830.243511374</c:v>
                </c:pt>
                <c:pt idx="6">
                  <c:v>1600830.243511374</c:v>
                </c:pt>
                <c:pt idx="7">
                  <c:v>1600830.243511374</c:v>
                </c:pt>
                <c:pt idx="8">
                  <c:v>1600830.243511374</c:v>
                </c:pt>
                <c:pt idx="9">
                  <c:v>1600830.243511374</c:v>
                </c:pt>
              </c:numCache>
            </c:numRef>
          </c:val>
        </c:ser>
        <c:overlap val="100"/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0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5"/>
          <c:y val="0.07825"/>
          <c:w val="0.86975"/>
          <c:h val="0.0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1575"/>
          <c:w val="0.9737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'Figures-CO2'!$AM$46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'Figures-CO2'!$AN$44:$AW$44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'Figures-CO2'!$AN$46:$AW$46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'Figures-CO2'!$AM$47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'Figures-CO2'!$AN$44:$AW$44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'Figures-CO2'!$AN$47:$AW$47</c:f>
              <c:numCache>
                <c:ptCount val="10"/>
                <c:pt idx="0">
                  <c:v>35249</c:v>
                </c:pt>
                <c:pt idx="1">
                  <c:v>35449</c:v>
                </c:pt>
                <c:pt idx="2">
                  <c:v>35449</c:v>
                </c:pt>
                <c:pt idx="3">
                  <c:v>35449</c:v>
                </c:pt>
                <c:pt idx="4">
                  <c:v>35449</c:v>
                </c:pt>
                <c:pt idx="5">
                  <c:v>35449</c:v>
                </c:pt>
                <c:pt idx="6">
                  <c:v>35449</c:v>
                </c:pt>
                <c:pt idx="7">
                  <c:v>35449</c:v>
                </c:pt>
                <c:pt idx="8">
                  <c:v>35449</c:v>
                </c:pt>
                <c:pt idx="9">
                  <c:v>35449</c:v>
                </c:pt>
              </c:numCache>
            </c:numRef>
          </c:val>
        </c:ser>
        <c:ser>
          <c:idx val="2"/>
          <c:order val="2"/>
          <c:tx>
            <c:strRef>
              <c:f>'Figures-CO2'!$AM$50</c:f>
              <c:strCache>
                <c:ptCount val="1"/>
                <c:pt idx="0">
                  <c:v>Heat from Coal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'Figures-CO2'!$AN$50:$AW$50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7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078"/>
          <c:w val="0.572"/>
          <c:h val="0.0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325"/>
          <c:w val="0.974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'Figures-CO2'!$AM$4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'Figures-CO2'!$AN$3:$AW$3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'Figures-CO2'!$AN$4:$AW$4</c:f>
              <c:numCache>
                <c:ptCount val="10"/>
                <c:pt idx="0">
                  <c:v>10826.252217657078</c:v>
                </c:pt>
                <c:pt idx="1">
                  <c:v>47201.05345224972</c:v>
                </c:pt>
                <c:pt idx="2">
                  <c:v>47048.17345224972</c:v>
                </c:pt>
                <c:pt idx="3">
                  <c:v>46884.37345224972</c:v>
                </c:pt>
                <c:pt idx="4">
                  <c:v>46720.573452249715</c:v>
                </c:pt>
                <c:pt idx="5">
                  <c:v>46720.573452249715</c:v>
                </c:pt>
                <c:pt idx="6">
                  <c:v>46720.573452249715</c:v>
                </c:pt>
                <c:pt idx="7">
                  <c:v>46720.573452249715</c:v>
                </c:pt>
                <c:pt idx="8">
                  <c:v>46720.573452249715</c:v>
                </c:pt>
                <c:pt idx="9">
                  <c:v>46720.573452249715</c:v>
                </c:pt>
              </c:numCache>
            </c:numRef>
          </c:val>
        </c:ser>
        <c:ser>
          <c:idx val="1"/>
          <c:order val="1"/>
          <c:tx>
            <c:strRef>
              <c:f>'Figures-CO2'!$AM$5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'Figures-CO2'!$AN$3:$AW$3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'Figures-CO2'!$AN$5:$AW$5</c:f>
              <c:numCache>
                <c:ptCount val="10"/>
                <c:pt idx="0">
                  <c:v>82370.35772764045</c:v>
                </c:pt>
                <c:pt idx="1">
                  <c:v>82736.22105917409</c:v>
                </c:pt>
                <c:pt idx="2">
                  <c:v>82736.22105917409</c:v>
                </c:pt>
                <c:pt idx="3">
                  <c:v>82736.22105917409</c:v>
                </c:pt>
                <c:pt idx="4">
                  <c:v>82736.22105917409</c:v>
                </c:pt>
                <c:pt idx="5">
                  <c:v>82736.22105917409</c:v>
                </c:pt>
                <c:pt idx="6">
                  <c:v>82736.22105917409</c:v>
                </c:pt>
                <c:pt idx="7">
                  <c:v>82736.22105917409</c:v>
                </c:pt>
                <c:pt idx="8">
                  <c:v>82736.22105917409</c:v>
                </c:pt>
                <c:pt idx="9">
                  <c:v>82736.22105917409</c:v>
                </c:pt>
              </c:numCache>
            </c:numRef>
          </c:val>
        </c:ser>
        <c:ser>
          <c:idx val="2"/>
          <c:order val="2"/>
          <c:tx>
            <c:strRef>
              <c:f>'Figures-CO2'!$AM$6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'Figures-CO2'!$AN$3:$AW$3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'Figures-CO2'!$AN$6:$AW$6</c:f>
              <c:numCache>
                <c:ptCount val="10"/>
                <c:pt idx="0">
                  <c:v>49579.44708888666</c:v>
                </c:pt>
                <c:pt idx="1">
                  <c:v>49579.44708888666</c:v>
                </c:pt>
                <c:pt idx="2">
                  <c:v>49579.44708888666</c:v>
                </c:pt>
                <c:pt idx="3">
                  <c:v>49579.44708888666</c:v>
                </c:pt>
                <c:pt idx="4">
                  <c:v>49579.44708888666</c:v>
                </c:pt>
                <c:pt idx="5">
                  <c:v>49579.44708888666</c:v>
                </c:pt>
                <c:pt idx="6">
                  <c:v>49579.44708888666</c:v>
                </c:pt>
                <c:pt idx="7">
                  <c:v>49579.44708888666</c:v>
                </c:pt>
                <c:pt idx="8">
                  <c:v>49579.44708888666</c:v>
                </c:pt>
                <c:pt idx="9">
                  <c:v>49579.44708888666</c:v>
                </c:pt>
              </c:numCache>
            </c:numRef>
          </c:val>
        </c:ser>
        <c:overlap val="100"/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6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077"/>
          <c:w val="0.7635"/>
          <c:h val="0.06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shares of CMM utilisation
Coal Mine Shcheglovskaya-Glubokaya - 2012</a:t>
            </a:r>
          </a:p>
        </c:rich>
      </c:tx>
      <c:layout>
        <c:manualLayout>
          <c:xMode val="factor"/>
          <c:yMode val="factor"/>
          <c:x val="0.001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3275"/>
          <c:w val="0.78075"/>
          <c:h val="0.73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Shares!$A$41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strCache>
            </c:strRef>
          </c:cat>
          <c:val>
            <c:numRef>
              <c:f>Shares!$B$41:$M$41</c:f>
              <c:numCache>
                <c:ptCount val="12"/>
                <c:pt idx="0">
                  <c:v>738383.9396065071</c:v>
                </c:pt>
                <c:pt idx="1">
                  <c:v>738383.9396065071</c:v>
                </c:pt>
                <c:pt idx="2">
                  <c:v>824564.919664629</c:v>
                </c:pt>
                <c:pt idx="3">
                  <c:v>363993.553128236</c:v>
                </c:pt>
                <c:pt idx="4">
                  <c:v>112006.04602999633</c:v>
                </c:pt>
                <c:pt idx="5">
                  <c:v>54071.884290343056</c:v>
                </c:pt>
                <c:pt idx="6">
                  <c:v>55950.83007649398</c:v>
                </c:pt>
                <c:pt idx="7">
                  <c:v>55950.83007649398</c:v>
                </c:pt>
                <c:pt idx="8">
                  <c:v>54071.884290343056</c:v>
                </c:pt>
                <c:pt idx="9">
                  <c:v>184157.56421819155</c:v>
                </c:pt>
                <c:pt idx="10">
                  <c:v>738383.9396065071</c:v>
                </c:pt>
                <c:pt idx="11">
                  <c:v>790576.8781106992</c:v>
                </c:pt>
              </c:numCache>
            </c:numRef>
          </c:val>
        </c:ser>
        <c:ser>
          <c:idx val="1"/>
          <c:order val="1"/>
          <c:tx>
            <c:strRef>
              <c:f>Shares!$A$42</c:f>
              <c:strCache>
                <c:ptCount val="1"/>
                <c:pt idx="0">
                  <c:v>CHP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strCache>
            </c:strRef>
          </c:cat>
          <c:val>
            <c:numRef>
              <c:f>Shares!$B$42:$M$42</c:f>
              <c:numCache>
                <c:ptCount val="12"/>
                <c:pt idx="0">
                  <c:v>253309.72820701252</c:v>
                </c:pt>
                <c:pt idx="1">
                  <c:v>253309.72820701252</c:v>
                </c:pt>
                <c:pt idx="2">
                  <c:v>253309.72820701252</c:v>
                </c:pt>
                <c:pt idx="3">
                  <c:v>253309.72820701252</c:v>
                </c:pt>
                <c:pt idx="4">
                  <c:v>253309.72820701252</c:v>
                </c:pt>
                <c:pt idx="5">
                  <c:v>253309.72820701252</c:v>
                </c:pt>
                <c:pt idx="6">
                  <c:v>253309.72820701252</c:v>
                </c:pt>
                <c:pt idx="7">
                  <c:v>253309.72820701252</c:v>
                </c:pt>
                <c:pt idx="8">
                  <c:v>253309.72820701252</c:v>
                </c:pt>
                <c:pt idx="9">
                  <c:v>253309.72820701252</c:v>
                </c:pt>
                <c:pt idx="10">
                  <c:v>253309.72820701252</c:v>
                </c:pt>
                <c:pt idx="11">
                  <c:v>253309.72820701252</c:v>
                </c:pt>
              </c:numCache>
            </c:numRef>
          </c:val>
        </c:ser>
        <c:ser>
          <c:idx val="2"/>
          <c:order val="2"/>
          <c:tx>
            <c:strRef>
              <c:f>Shares!$A$43</c:f>
              <c:strCache>
                <c:ptCount val="1"/>
                <c:pt idx="0">
                  <c:v>Flaring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Shares!$B$40:$M$40</c:f>
              <c:strCach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strCache>
            </c:strRef>
          </c:cat>
          <c:val>
            <c:numRef>
              <c:f>Shares!$B$43:$M$43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299128.169155226</c:v>
                </c:pt>
                <c:pt idx="4">
                  <c:v>598256.338310452</c:v>
                </c:pt>
                <c:pt idx="5">
                  <c:v>598256.338310452</c:v>
                </c:pt>
                <c:pt idx="6">
                  <c:v>598256.338310452</c:v>
                </c:pt>
                <c:pt idx="7">
                  <c:v>598256.338310452</c:v>
                </c:pt>
                <c:pt idx="8">
                  <c:v>598256.338310452</c:v>
                </c:pt>
                <c:pt idx="9">
                  <c:v>498546.9485920433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599189"/>
        <c:axId val="17521790"/>
      </c:barChart>
      <c:date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auto val="0"/>
        <c:noMultiLvlLbl val="0"/>
      </c:date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CMM utilised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9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2017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9525"/>
          <c:w val="0.96875"/>
          <c:h val="0.7682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'Consumption-Table'!$AO$15:$AX$15</c:f>
              <c:numCache>
                <c:ptCount val="10"/>
                <c:pt idx="0">
                  <c:v>18148.30402716204</c:v>
                </c:pt>
                <c:pt idx="1">
                  <c:v>23012.25396735645</c:v>
                </c:pt>
                <c:pt idx="2">
                  <c:v>23006.90316735645</c:v>
                </c:pt>
                <c:pt idx="3">
                  <c:v>23001.17016735645</c:v>
                </c:pt>
                <c:pt idx="4">
                  <c:v>22995.43716735645</c:v>
                </c:pt>
                <c:pt idx="5">
                  <c:v>22995.43716735645</c:v>
                </c:pt>
                <c:pt idx="6">
                  <c:v>22995.43716735645</c:v>
                </c:pt>
                <c:pt idx="7">
                  <c:v>22995.43716735645</c:v>
                </c:pt>
                <c:pt idx="8">
                  <c:v>22995.43716735645</c:v>
                </c:pt>
                <c:pt idx="9">
                  <c:v>22995.43716735645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'Consumption-Table'!$AO$9:$AX$9</c:f>
              <c:numCache>
                <c:ptCount val="10"/>
                <c:pt idx="0">
                  <c:v>160863.64586134625</c:v>
                </c:pt>
                <c:pt idx="1">
                  <c:v>202269.07956766692</c:v>
                </c:pt>
                <c:pt idx="2">
                  <c:v>202116.19956766692</c:v>
                </c:pt>
                <c:pt idx="3">
                  <c:v>201952.39956766693</c:v>
                </c:pt>
                <c:pt idx="4">
                  <c:v>201788.5995676669</c:v>
                </c:pt>
                <c:pt idx="5">
                  <c:v>201788.5995676669</c:v>
                </c:pt>
                <c:pt idx="6">
                  <c:v>201788.5995676669</c:v>
                </c:pt>
                <c:pt idx="7">
                  <c:v>201788.5995676669</c:v>
                </c:pt>
                <c:pt idx="8">
                  <c:v>201788.5995676669</c:v>
                </c:pt>
                <c:pt idx="9">
                  <c:v>201788.5995676669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'Consumption-Table'!$AO$2:$AX$2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'Consumption-Table'!$AO$20:$AX$20</c:f>
              <c:numCache>
                <c:ptCount val="10"/>
                <c:pt idx="0">
                  <c:v>142715.3418341842</c:v>
                </c:pt>
                <c:pt idx="1">
                  <c:v>179256.82560031046</c:v>
                </c:pt>
                <c:pt idx="2">
                  <c:v>179109.29640031047</c:v>
                </c:pt>
                <c:pt idx="3">
                  <c:v>178951.2294003105</c:v>
                </c:pt>
                <c:pt idx="4">
                  <c:v>178793.16240031045</c:v>
                </c:pt>
                <c:pt idx="5">
                  <c:v>178793.16240031045</c:v>
                </c:pt>
                <c:pt idx="6">
                  <c:v>178793.16240031045</c:v>
                </c:pt>
                <c:pt idx="7">
                  <c:v>178793.16240031045</c:v>
                </c:pt>
                <c:pt idx="8">
                  <c:v>178793.16240031045</c:v>
                </c:pt>
                <c:pt idx="9">
                  <c:v>178793.16240031045</c:v>
                </c:pt>
              </c:numCache>
            </c:numRef>
          </c:yVal>
          <c:smooth val="0"/>
        </c:ser>
        <c:axId val="22700841"/>
        <c:axId val="2980978"/>
      </c:scatterChart>
      <c:valAx>
        <c:axId val="22700841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2980978"/>
        <c:crosses val="autoZero"/>
        <c:crossBetween val="midCat"/>
        <c:dispUnits/>
      </c:valAx>
      <c:valAx>
        <c:axId val="298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00841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"/>
          <c:y val="0.0845"/>
          <c:w val="0.6175"/>
          <c:h val="0.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2"/>
          <c:w val="0.96225"/>
          <c:h val="0.763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Figures!$C$4:$C$13</c:f>
              <c:numCache>
                <c:ptCount val="10"/>
                <c:pt idx="0">
                  <c:v>9246.756328915722</c:v>
                </c:pt>
                <c:pt idx="1">
                  <c:v>9287.920899513978</c:v>
                </c:pt>
                <c:pt idx="2">
                  <c:v>9287.920899513978</c:v>
                </c:pt>
                <c:pt idx="3">
                  <c:v>9287.920899513978</c:v>
                </c:pt>
                <c:pt idx="4">
                  <c:v>9287.920899513978</c:v>
                </c:pt>
                <c:pt idx="5">
                  <c:v>9287.920899513978</c:v>
                </c:pt>
                <c:pt idx="6">
                  <c:v>9287.920899513978</c:v>
                </c:pt>
                <c:pt idx="7">
                  <c:v>9287.920899513978</c:v>
                </c:pt>
                <c:pt idx="8">
                  <c:v>9287.920899513978</c:v>
                </c:pt>
                <c:pt idx="9">
                  <c:v>9287.920899513978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Figures!$D$4:$D$13</c:f>
              <c:numCache>
                <c:ptCount val="10"/>
                <c:pt idx="0">
                  <c:v>91617.11405655618</c:v>
                </c:pt>
                <c:pt idx="1">
                  <c:v>92024.14195868807</c:v>
                </c:pt>
                <c:pt idx="2">
                  <c:v>92024.14195868807</c:v>
                </c:pt>
                <c:pt idx="3">
                  <c:v>92024.14195868807</c:v>
                </c:pt>
                <c:pt idx="4">
                  <c:v>92024.14195868807</c:v>
                </c:pt>
                <c:pt idx="5">
                  <c:v>92024.14195868807</c:v>
                </c:pt>
                <c:pt idx="6">
                  <c:v>92024.14195868807</c:v>
                </c:pt>
                <c:pt idx="7">
                  <c:v>92024.14195868807</c:v>
                </c:pt>
                <c:pt idx="8">
                  <c:v>92024.14195868807</c:v>
                </c:pt>
                <c:pt idx="9">
                  <c:v>92024.14195868807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Figures!$E$4:$E$13</c:f>
              <c:numCache>
                <c:ptCount val="10"/>
                <c:pt idx="0">
                  <c:v>82370.35772764045</c:v>
                </c:pt>
                <c:pt idx="1">
                  <c:v>82736.22105917409</c:v>
                </c:pt>
                <c:pt idx="2">
                  <c:v>82736.22105917409</c:v>
                </c:pt>
                <c:pt idx="3">
                  <c:v>82736.22105917409</c:v>
                </c:pt>
                <c:pt idx="4">
                  <c:v>82736.22105917409</c:v>
                </c:pt>
                <c:pt idx="5">
                  <c:v>82736.22105917409</c:v>
                </c:pt>
                <c:pt idx="6">
                  <c:v>82736.22105917409</c:v>
                </c:pt>
                <c:pt idx="7">
                  <c:v>82736.22105917409</c:v>
                </c:pt>
                <c:pt idx="8">
                  <c:v>82736.22105917409</c:v>
                </c:pt>
                <c:pt idx="9">
                  <c:v>82736.22105917409</c:v>
                </c:pt>
              </c:numCache>
            </c:numRef>
          </c:yVal>
          <c:smooth val="0"/>
        </c:ser>
        <c:axId val="26828803"/>
        <c:axId val="40132636"/>
      </c:scatterChart>
      <c:valAx>
        <c:axId val="26828803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crossBetween val="midCat"/>
        <c:dispUnits/>
      </c:valAx>
      <c:valAx>
        <c:axId val="40132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28803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0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2"/>
          <c:w val="0.962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Figures!$F$4:$F$13</c:f>
              <c:numCache>
                <c:ptCount val="10"/>
                <c:pt idx="0">
                  <c:v>7470.875588736347</c:v>
                </c:pt>
                <c:pt idx="1">
                  <c:v>7470.875588736347</c:v>
                </c:pt>
                <c:pt idx="2">
                  <c:v>7470.875588736347</c:v>
                </c:pt>
                <c:pt idx="3">
                  <c:v>7470.875588736347</c:v>
                </c:pt>
                <c:pt idx="4">
                  <c:v>7470.875588736347</c:v>
                </c:pt>
                <c:pt idx="5">
                  <c:v>7470.875588736347</c:v>
                </c:pt>
                <c:pt idx="6">
                  <c:v>7470.875588736347</c:v>
                </c:pt>
                <c:pt idx="7">
                  <c:v>7470.875588736347</c:v>
                </c:pt>
                <c:pt idx="8">
                  <c:v>7470.875588736347</c:v>
                </c:pt>
                <c:pt idx="9">
                  <c:v>7470.875588736347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Figures!$G$4:$G$13</c:f>
              <c:numCache>
                <c:ptCount val="10"/>
                <c:pt idx="0">
                  <c:v>57050.32267762301</c:v>
                </c:pt>
                <c:pt idx="1">
                  <c:v>57050.32267762301</c:v>
                </c:pt>
                <c:pt idx="2">
                  <c:v>57050.32267762301</c:v>
                </c:pt>
                <c:pt idx="3">
                  <c:v>57050.32267762301</c:v>
                </c:pt>
                <c:pt idx="4">
                  <c:v>57050.32267762301</c:v>
                </c:pt>
                <c:pt idx="5">
                  <c:v>57050.32267762301</c:v>
                </c:pt>
                <c:pt idx="6">
                  <c:v>57050.32267762301</c:v>
                </c:pt>
                <c:pt idx="7">
                  <c:v>57050.32267762301</c:v>
                </c:pt>
                <c:pt idx="8">
                  <c:v>57050.32267762301</c:v>
                </c:pt>
                <c:pt idx="9">
                  <c:v>57050.32267762301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Figures!$H$4:$H$13</c:f>
              <c:numCache>
                <c:ptCount val="10"/>
                <c:pt idx="0">
                  <c:v>49579.44708888666</c:v>
                </c:pt>
                <c:pt idx="1">
                  <c:v>49579.44708888666</c:v>
                </c:pt>
                <c:pt idx="2">
                  <c:v>49579.44708888666</c:v>
                </c:pt>
                <c:pt idx="3">
                  <c:v>49579.44708888666</c:v>
                </c:pt>
                <c:pt idx="4">
                  <c:v>49579.44708888666</c:v>
                </c:pt>
                <c:pt idx="5">
                  <c:v>49579.44708888666</c:v>
                </c:pt>
                <c:pt idx="6">
                  <c:v>49579.44708888666</c:v>
                </c:pt>
                <c:pt idx="7">
                  <c:v>49579.44708888666</c:v>
                </c:pt>
                <c:pt idx="8">
                  <c:v>49579.44708888666</c:v>
                </c:pt>
                <c:pt idx="9">
                  <c:v>49579.44708888666</c:v>
                </c:pt>
              </c:numCache>
            </c:numRef>
          </c:yVal>
          <c:smooth val="0"/>
        </c:ser>
        <c:axId val="25649405"/>
        <c:axId val="29518054"/>
      </c:scatterChart>
      <c:valAx>
        <c:axId val="25649405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29518054"/>
        <c:crosses val="autoZero"/>
        <c:crossBetween val="midCat"/>
        <c:dispUnits/>
      </c:valAx>
      <c:valAx>
        <c:axId val="29518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9405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25"/>
          <c:y val="0.1155"/>
          <c:w val="0.67075"/>
          <c:h val="0.11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19625"/>
          <c:w val="0.96225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Figures!$I$4:$I$13</c:f>
              <c:numCache>
                <c:ptCount val="10"/>
                <c:pt idx="0">
                  <c:v>1369.9569095099714</c:v>
                </c:pt>
                <c:pt idx="1">
                  <c:v>5993.561479106123</c:v>
                </c:pt>
                <c:pt idx="2">
                  <c:v>5993.561479106123</c:v>
                </c:pt>
                <c:pt idx="3">
                  <c:v>5993.561479106123</c:v>
                </c:pt>
                <c:pt idx="4">
                  <c:v>5993.561479106123</c:v>
                </c:pt>
                <c:pt idx="5">
                  <c:v>5993.561479106123</c:v>
                </c:pt>
                <c:pt idx="6">
                  <c:v>5993.561479106123</c:v>
                </c:pt>
                <c:pt idx="7">
                  <c:v>5993.561479106123</c:v>
                </c:pt>
                <c:pt idx="8">
                  <c:v>5993.561479106123</c:v>
                </c:pt>
                <c:pt idx="9">
                  <c:v>5993.561479106123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Figures!$J$4:$J$13</c:f>
              <c:numCache>
                <c:ptCount val="10"/>
                <c:pt idx="0">
                  <c:v>12196.20912716705</c:v>
                </c:pt>
                <c:pt idx="1">
                  <c:v>53194.61493135584</c:v>
                </c:pt>
                <c:pt idx="2">
                  <c:v>53041.734931355844</c:v>
                </c:pt>
                <c:pt idx="3">
                  <c:v>52877.93493135584</c:v>
                </c:pt>
                <c:pt idx="4">
                  <c:v>52714.13493135584</c:v>
                </c:pt>
                <c:pt idx="5">
                  <c:v>52714.13493135584</c:v>
                </c:pt>
                <c:pt idx="6">
                  <c:v>52714.13493135584</c:v>
                </c:pt>
                <c:pt idx="7">
                  <c:v>52714.13493135584</c:v>
                </c:pt>
                <c:pt idx="8">
                  <c:v>52714.13493135584</c:v>
                </c:pt>
                <c:pt idx="9">
                  <c:v>52714.13493135584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Figures!$K$4:$K$13</c:f>
              <c:numCache>
                <c:ptCount val="10"/>
                <c:pt idx="0">
                  <c:v>10826.252217657078</c:v>
                </c:pt>
                <c:pt idx="1">
                  <c:v>47201.05345224972</c:v>
                </c:pt>
                <c:pt idx="2">
                  <c:v>47048.17345224972</c:v>
                </c:pt>
                <c:pt idx="3">
                  <c:v>46884.37345224972</c:v>
                </c:pt>
                <c:pt idx="4">
                  <c:v>46720.573452249715</c:v>
                </c:pt>
                <c:pt idx="5">
                  <c:v>46720.573452249715</c:v>
                </c:pt>
                <c:pt idx="6">
                  <c:v>46720.573452249715</c:v>
                </c:pt>
                <c:pt idx="7">
                  <c:v>46720.573452249715</c:v>
                </c:pt>
                <c:pt idx="8">
                  <c:v>46720.573452249715</c:v>
                </c:pt>
                <c:pt idx="9">
                  <c:v>46720.573452249715</c:v>
                </c:pt>
              </c:numCache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crossBetween val="midCat"/>
        <c:dispUnits/>
      </c:valAx>
      <c:valAx>
        <c:axId val="42152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At val="200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10275"/>
          <c:w val="0.68625"/>
          <c:h val="0.11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119"/>
          <c:w val="0.90375"/>
          <c:h val="0.77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'Figures-CO2'!$C$3:$AL$3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'Figures-CO2'!$C$4:$AL$4</c:f>
              <c:numCache>
                <c:ptCount val="36"/>
                <c:pt idx="0">
                  <c:v>902.1876848047567</c:v>
                </c:pt>
                <c:pt idx="1">
                  <c:v>902.1876848047567</c:v>
                </c:pt>
                <c:pt idx="2">
                  <c:v>902.1876848047567</c:v>
                </c:pt>
                <c:pt idx="3">
                  <c:v>902.1876848047567</c:v>
                </c:pt>
                <c:pt idx="4">
                  <c:v>902.1876848047567</c:v>
                </c:pt>
                <c:pt idx="5">
                  <c:v>902.1876848047567</c:v>
                </c:pt>
                <c:pt idx="6">
                  <c:v>902.1876848047567</c:v>
                </c:pt>
                <c:pt idx="7">
                  <c:v>902.1876848047567</c:v>
                </c:pt>
                <c:pt idx="8">
                  <c:v>902.1876848047567</c:v>
                </c:pt>
                <c:pt idx="9">
                  <c:v>902.1876848047567</c:v>
                </c:pt>
                <c:pt idx="10">
                  <c:v>902.1876848047567</c:v>
                </c:pt>
                <c:pt idx="11">
                  <c:v>902.1876848047567</c:v>
                </c:pt>
                <c:pt idx="12">
                  <c:v>3933.4211210208114</c:v>
                </c:pt>
                <c:pt idx="13">
                  <c:v>3933.4211210208114</c:v>
                </c:pt>
                <c:pt idx="14">
                  <c:v>3933.4211210208114</c:v>
                </c:pt>
                <c:pt idx="15">
                  <c:v>3933.4211210208114</c:v>
                </c:pt>
                <c:pt idx="16">
                  <c:v>3933.4211210208114</c:v>
                </c:pt>
                <c:pt idx="17">
                  <c:v>3933.4211210208114</c:v>
                </c:pt>
                <c:pt idx="18">
                  <c:v>3933.4211210208114</c:v>
                </c:pt>
                <c:pt idx="19">
                  <c:v>3933.4211210208114</c:v>
                </c:pt>
                <c:pt idx="20">
                  <c:v>3933.4211210208114</c:v>
                </c:pt>
                <c:pt idx="21">
                  <c:v>3933.4211210208114</c:v>
                </c:pt>
                <c:pt idx="22">
                  <c:v>3933.4211210208114</c:v>
                </c:pt>
                <c:pt idx="23">
                  <c:v>3933.4211210208114</c:v>
                </c:pt>
                <c:pt idx="24">
                  <c:v>3920.6811210208116</c:v>
                </c:pt>
                <c:pt idx="25">
                  <c:v>3920.6811210208116</c:v>
                </c:pt>
                <c:pt idx="26">
                  <c:v>3920.6811210208116</c:v>
                </c:pt>
                <c:pt idx="27">
                  <c:v>3920.6811210208116</c:v>
                </c:pt>
                <c:pt idx="28">
                  <c:v>3920.6811210208116</c:v>
                </c:pt>
                <c:pt idx="29">
                  <c:v>3920.6811210208116</c:v>
                </c:pt>
                <c:pt idx="30">
                  <c:v>3920.6811210208116</c:v>
                </c:pt>
                <c:pt idx="31">
                  <c:v>3920.6811210208116</c:v>
                </c:pt>
                <c:pt idx="32">
                  <c:v>3920.6811210208116</c:v>
                </c:pt>
                <c:pt idx="33">
                  <c:v>3920.6811210208116</c:v>
                </c:pt>
                <c:pt idx="34">
                  <c:v>3920.6811210208116</c:v>
                </c:pt>
                <c:pt idx="35">
                  <c:v>3920.6811210208116</c:v>
                </c:pt>
              </c:numCache>
            </c:numRef>
          </c:val>
        </c:ser>
        <c:ser>
          <c:idx val="0"/>
          <c:order val="1"/>
          <c:tx>
            <c:strRef>
              <c:f>'Figures-CO2'!$A$5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'Figures-CO2'!$C$3:$AL$3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'Figures-CO2'!$C$5:$AL$5</c:f>
              <c:numCache>
                <c:ptCount val="36"/>
                <c:pt idx="0">
                  <c:v>12979.892187232646</c:v>
                </c:pt>
                <c:pt idx="1">
                  <c:v>12614.028855699009</c:v>
                </c:pt>
                <c:pt idx="2">
                  <c:v>14463.484101436148</c:v>
                </c:pt>
                <c:pt idx="3">
                  <c:v>6378.827185288937</c:v>
                </c:pt>
                <c:pt idx="4">
                  <c:v>1962.856773677955</c:v>
                </c:pt>
                <c:pt idx="5">
                  <c:v>947.5860286721163</c:v>
                </c:pt>
                <c:pt idx="6">
                  <c:v>980.5137285101434</c:v>
                </c:pt>
                <c:pt idx="7">
                  <c:v>980.5137285101434</c:v>
                </c:pt>
                <c:pt idx="8">
                  <c:v>947.5860286721163</c:v>
                </c:pt>
                <c:pt idx="9">
                  <c:v>3240.6264066418735</c:v>
                </c:pt>
                <c:pt idx="10">
                  <c:v>12979.892187232646</c:v>
                </c:pt>
                <c:pt idx="11">
                  <c:v>13894.550516066733</c:v>
                </c:pt>
                <c:pt idx="12">
                  <c:v>12979.892187232646</c:v>
                </c:pt>
                <c:pt idx="13">
                  <c:v>12979.892187232646</c:v>
                </c:pt>
                <c:pt idx="14">
                  <c:v>14463.484101436148</c:v>
                </c:pt>
                <c:pt idx="15">
                  <c:v>6378.827185288937</c:v>
                </c:pt>
                <c:pt idx="16">
                  <c:v>1962.856773677955</c:v>
                </c:pt>
                <c:pt idx="17">
                  <c:v>947.5860286721163</c:v>
                </c:pt>
                <c:pt idx="18">
                  <c:v>980.5137285101434</c:v>
                </c:pt>
                <c:pt idx="19">
                  <c:v>980.5137285101434</c:v>
                </c:pt>
                <c:pt idx="20">
                  <c:v>947.5860286721163</c:v>
                </c:pt>
                <c:pt idx="21">
                  <c:v>3240.6264066418735</c:v>
                </c:pt>
                <c:pt idx="22">
                  <c:v>12979.892187232646</c:v>
                </c:pt>
                <c:pt idx="23">
                  <c:v>13894.550516066733</c:v>
                </c:pt>
                <c:pt idx="24">
                  <c:v>12979.892187232646</c:v>
                </c:pt>
                <c:pt idx="25">
                  <c:v>12979.892187232646</c:v>
                </c:pt>
                <c:pt idx="26">
                  <c:v>14463.484101436148</c:v>
                </c:pt>
                <c:pt idx="27">
                  <c:v>6378.827185288937</c:v>
                </c:pt>
                <c:pt idx="28">
                  <c:v>1962.856773677955</c:v>
                </c:pt>
                <c:pt idx="29">
                  <c:v>947.5860286721163</c:v>
                </c:pt>
                <c:pt idx="30">
                  <c:v>980.5137285101434</c:v>
                </c:pt>
                <c:pt idx="31">
                  <c:v>980.5137285101434</c:v>
                </c:pt>
                <c:pt idx="32">
                  <c:v>947.5860286721163</c:v>
                </c:pt>
                <c:pt idx="33">
                  <c:v>3240.6264066418735</c:v>
                </c:pt>
                <c:pt idx="34">
                  <c:v>12979.892187232646</c:v>
                </c:pt>
                <c:pt idx="35">
                  <c:v>13894.550516066733</c:v>
                </c:pt>
              </c:numCache>
            </c:numRef>
          </c:val>
        </c:ser>
        <c:ser>
          <c:idx val="2"/>
          <c:order val="2"/>
          <c:tx>
            <c:strRef>
              <c:f>'Figures-CO2'!$A$6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'Figures-CO2'!$C$3:$AL$3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'Figures-CO2'!$C$6:$AL$6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3914.1668754384204</c:v>
                </c:pt>
                <c:pt idx="4">
                  <c:v>7828.333750876841</c:v>
                </c:pt>
                <c:pt idx="5">
                  <c:v>7828.333750876841</c:v>
                </c:pt>
                <c:pt idx="6">
                  <c:v>7828.333750876841</c:v>
                </c:pt>
                <c:pt idx="7">
                  <c:v>7828.333750876841</c:v>
                </c:pt>
                <c:pt idx="8">
                  <c:v>7828.333750876841</c:v>
                </c:pt>
                <c:pt idx="9">
                  <c:v>6523.611459064034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3914.1668754384204</c:v>
                </c:pt>
                <c:pt idx="16">
                  <c:v>7828.333750876841</c:v>
                </c:pt>
                <c:pt idx="17">
                  <c:v>7828.333750876841</c:v>
                </c:pt>
                <c:pt idx="18">
                  <c:v>7828.333750876841</c:v>
                </c:pt>
                <c:pt idx="19">
                  <c:v>7828.333750876841</c:v>
                </c:pt>
                <c:pt idx="20">
                  <c:v>7828.333750876841</c:v>
                </c:pt>
                <c:pt idx="21">
                  <c:v>6523.611459064034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3914.1668754384204</c:v>
                </c:pt>
                <c:pt idx="28">
                  <c:v>7828.333750876841</c:v>
                </c:pt>
                <c:pt idx="29">
                  <c:v>7828.333750876841</c:v>
                </c:pt>
                <c:pt idx="30">
                  <c:v>7828.333750876841</c:v>
                </c:pt>
                <c:pt idx="31">
                  <c:v>7828.333750876841</c:v>
                </c:pt>
                <c:pt idx="32">
                  <c:v>7828.333750876841</c:v>
                </c:pt>
                <c:pt idx="33">
                  <c:v>6523.611459064034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axId val="43824977"/>
        <c:axId val="58880474"/>
      </c:barChart>
      <c:dateAx>
        <c:axId val="43824977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880474"/>
        <c:crosses val="autoZero"/>
        <c:auto val="0"/>
        <c:noMultiLvlLbl val="0"/>
      </c:dateAx>
      <c:valAx>
        <c:axId val="5888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4977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07725"/>
          <c:w val="0.76475"/>
          <c:h val="0.0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295"/>
          <c:w val="0.90975"/>
          <c:h val="0.76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'Figures-CO2'!$A$46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'Figures-CO2'!$C$44:$AL$44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'Figures-CO2'!$C$46:$AL$46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'Figures-CO2'!$A$47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'Figures-CO2'!$C$44:$AL$44</c:f>
              <c:strCach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strCache>
            </c:strRef>
          </c:cat>
          <c:val>
            <c:numRef>
              <c:f>'Figures-CO2'!$C$47:$AL$47</c:f>
              <c:numCache>
                <c:ptCount val="36"/>
                <c:pt idx="0">
                  <c:v>5000</c:v>
                </c:pt>
                <c:pt idx="1">
                  <c:v>4800</c:v>
                </c:pt>
                <c:pt idx="2">
                  <c:v>7208</c:v>
                </c:pt>
                <c:pt idx="3">
                  <c:v>3487</c:v>
                </c:pt>
                <c:pt idx="4">
                  <c:v>1073</c:v>
                </c:pt>
                <c:pt idx="5">
                  <c:v>518</c:v>
                </c:pt>
                <c:pt idx="6">
                  <c:v>536</c:v>
                </c:pt>
                <c:pt idx="7">
                  <c:v>536</c:v>
                </c:pt>
                <c:pt idx="8">
                  <c:v>518</c:v>
                </c:pt>
                <c:pt idx="9">
                  <c:v>1073</c:v>
                </c:pt>
                <c:pt idx="10">
                  <c:v>5000</c:v>
                </c:pt>
                <c:pt idx="11">
                  <c:v>5500</c:v>
                </c:pt>
                <c:pt idx="12">
                  <c:v>5000</c:v>
                </c:pt>
                <c:pt idx="13">
                  <c:v>5000</c:v>
                </c:pt>
                <c:pt idx="14">
                  <c:v>7208</c:v>
                </c:pt>
                <c:pt idx="15">
                  <c:v>3487</c:v>
                </c:pt>
                <c:pt idx="16">
                  <c:v>1073</c:v>
                </c:pt>
                <c:pt idx="17">
                  <c:v>518</c:v>
                </c:pt>
                <c:pt idx="18">
                  <c:v>536</c:v>
                </c:pt>
                <c:pt idx="19">
                  <c:v>536</c:v>
                </c:pt>
                <c:pt idx="20">
                  <c:v>518</c:v>
                </c:pt>
                <c:pt idx="21">
                  <c:v>1073</c:v>
                </c:pt>
                <c:pt idx="22">
                  <c:v>5000</c:v>
                </c:pt>
                <c:pt idx="23">
                  <c:v>5500</c:v>
                </c:pt>
                <c:pt idx="24">
                  <c:v>5000</c:v>
                </c:pt>
                <c:pt idx="25">
                  <c:v>5000</c:v>
                </c:pt>
                <c:pt idx="26">
                  <c:v>7208</c:v>
                </c:pt>
                <c:pt idx="27">
                  <c:v>3487</c:v>
                </c:pt>
                <c:pt idx="28">
                  <c:v>1073</c:v>
                </c:pt>
                <c:pt idx="29">
                  <c:v>518</c:v>
                </c:pt>
                <c:pt idx="30">
                  <c:v>536</c:v>
                </c:pt>
                <c:pt idx="31">
                  <c:v>536</c:v>
                </c:pt>
                <c:pt idx="32">
                  <c:v>518</c:v>
                </c:pt>
                <c:pt idx="33">
                  <c:v>1073</c:v>
                </c:pt>
                <c:pt idx="34">
                  <c:v>5000</c:v>
                </c:pt>
                <c:pt idx="35">
                  <c:v>5500</c:v>
                </c:pt>
              </c:numCache>
            </c:numRef>
          </c:val>
        </c:ser>
        <c:ser>
          <c:idx val="0"/>
          <c:order val="2"/>
          <c:tx>
            <c:strRef>
              <c:f>'Figures-CO2'!$A$50</c:f>
              <c:strCache>
                <c:ptCount val="1"/>
                <c:pt idx="0">
                  <c:v>Heat from Coal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'Figures-CO2'!$C$50:$AL$50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overlap val="100"/>
        <c:axId val="60162219"/>
        <c:axId val="4589060"/>
      </c:barChart>
      <c:dateAx>
        <c:axId val="60162219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0"/>
        <c:majorUnit val="2"/>
        <c:majorTimeUnit val="months"/>
        <c:noMultiLvlLbl val="0"/>
      </c:date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10425"/>
          <c:w val="0.47375"/>
          <c:h val="0.05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66675</xdr:rowOff>
    </xdr:from>
    <xdr:to>
      <xdr:col>11</xdr:col>
      <xdr:colOff>752475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0" y="1524000"/>
        <a:ext cx="76104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49</xdr:row>
      <xdr:rowOff>47625</xdr:rowOff>
    </xdr:from>
    <xdr:to>
      <xdr:col>12</xdr:col>
      <xdr:colOff>9525</xdr:colOff>
      <xdr:row>76</xdr:row>
      <xdr:rowOff>123825</xdr:rowOff>
    </xdr:to>
    <xdr:graphicFrame>
      <xdr:nvGraphicFramePr>
        <xdr:cNvPr id="2" name="Chart 2"/>
        <xdr:cNvGraphicFramePr/>
      </xdr:nvGraphicFramePr>
      <xdr:xfrm>
        <a:off x="1552575" y="7981950"/>
        <a:ext cx="76009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0.01475</cdr:y>
    </cdr:from>
    <cdr:to>
      <cdr:x>0.93475</cdr:x>
      <cdr:y>0.0625</cdr:y>
    </cdr:to>
    <cdr:sp>
      <cdr:nvSpPr>
        <cdr:cNvPr id="1" name="TextBox 2"/>
        <cdr:cNvSpPr txBox="1">
          <a:spLocks noChangeArrowheads="1"/>
        </cdr:cNvSpPr>
      </cdr:nvSpPr>
      <cdr:spPr>
        <a:xfrm>
          <a:off x="352425" y="66675"/>
          <a:ext cx="7305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"Shcheglovskaya-Glubokaya"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0.02375</cdr:y>
    </cdr:from>
    <cdr:to>
      <cdr:x>0.96275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04775"/>
          <a:ext cx="7229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"Shcheglovskaya-Glubokaya" from CHP or CMM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0.003</cdr:y>
    </cdr:from>
    <cdr:to>
      <cdr:x>0.869</cdr:x>
      <cdr:y>0.0745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0" y="9525"/>
          <a:ext cx="6200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CH4 consumption at the coal mine "Shcheglovskaya-Glubokaya"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0.02475</cdr:y>
    </cdr:from>
    <cdr:to>
      <cdr:x>0.09975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047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0.13375</cdr:x>
      <cdr:y>0.0035</cdr:y>
    </cdr:from>
    <cdr:to>
      <cdr:x>0.95325</cdr:x>
      <cdr:y>0.055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9525"/>
          <a:ext cx="638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CH4 consumption at the coal mine "Shcheglovskaya-Glubokaya"</a:t>
          </a:r>
        </a:p>
      </cdr:txBody>
    </cdr:sp>
  </cdr:relSizeAnchor>
  <cdr:relSizeAnchor xmlns:cdr="http://schemas.openxmlformats.org/drawingml/2006/chartDrawing">
    <cdr:from>
      <cdr:x>0.5875</cdr:x>
      <cdr:y>0.9455</cdr:y>
    </cdr:from>
    <cdr:to>
      <cdr:x>0.67425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0" y="4314825"/>
          <a:ext cx="676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0.64425</cdr:x>
      <cdr:y>0.78925</cdr:y>
    </cdr:from>
    <cdr:to>
      <cdr:x>0.87325</cdr:x>
      <cdr:y>0.83625</cdr:y>
    </cdr:to>
    <cdr:sp>
      <cdr:nvSpPr>
        <cdr:cNvPr id="4" name="TextBox 5"/>
        <cdr:cNvSpPr txBox="1">
          <a:spLocks noChangeArrowheads="1"/>
        </cdr:cNvSpPr>
      </cdr:nvSpPr>
      <cdr:spPr>
        <a:xfrm>
          <a:off x="5010150" y="3600450"/>
          <a:ext cx="178117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 Motors = 1.75 MWel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0.006</cdr:y>
    </cdr:from>
    <cdr:to>
      <cdr:x>0.99925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9050"/>
          <a:ext cx="7343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prospected heat production at the coal mine "Shcheglovskaya-Glubokaya" from CHP or CMM</a:t>
          </a:r>
        </a:p>
      </cdr:txBody>
    </cdr:sp>
  </cdr:relSizeAnchor>
  <cdr:relSizeAnchor xmlns:cdr="http://schemas.openxmlformats.org/drawingml/2006/chartDrawing">
    <cdr:from>
      <cdr:x>0.01125</cdr:x>
      <cdr:y>0.07475</cdr:y>
    </cdr:from>
    <cdr:to>
      <cdr:x>0.092</cdr:x>
      <cdr:y>0.121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42900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MWh</a:t>
          </a:r>
        </a:p>
      </cdr:txBody>
    </cdr:sp>
  </cdr:relSizeAnchor>
  <cdr:relSizeAnchor xmlns:cdr="http://schemas.openxmlformats.org/drawingml/2006/chartDrawing">
    <cdr:from>
      <cdr:x>0.5365</cdr:x>
      <cdr:y>0.9245</cdr:y>
    </cdr:from>
    <cdr:to>
      <cdr:x>0.62175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238625" y="4238625"/>
          <a:ext cx="6762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0.01425</cdr:y>
    </cdr:from>
    <cdr:to>
      <cdr:x>0.9895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57150"/>
          <a:ext cx="7200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"Shcheglovskaya-Glubokaya" </a:t>
          </a:r>
        </a:p>
      </cdr:txBody>
    </cdr:sp>
  </cdr:relSizeAnchor>
  <cdr:relSizeAnchor xmlns:cdr="http://schemas.openxmlformats.org/drawingml/2006/chartDrawing">
    <cdr:from>
      <cdr:x>0.02375</cdr:x>
      <cdr:y>0.03575</cdr:y>
    </cdr:from>
    <cdr:to>
      <cdr:x>0.098</cdr:x>
      <cdr:y>0.10675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161925"/>
          <a:ext cx="600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t CO2</a:t>
          </a:r>
        </a:p>
      </cdr:txBody>
    </cdr:sp>
  </cdr:relSizeAnchor>
  <cdr:relSizeAnchor xmlns:cdr="http://schemas.openxmlformats.org/drawingml/2006/chartDrawing">
    <cdr:from>
      <cdr:x>0.50175</cdr:x>
      <cdr:y>0.9615</cdr:y>
    </cdr:from>
    <cdr:to>
      <cdr:x>0.5685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038600" y="446722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</xdr:colOff>
      <xdr:row>9</xdr:row>
      <xdr:rowOff>57150</xdr:rowOff>
    </xdr:from>
    <xdr:to>
      <xdr:col>38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202400" y="1590675"/>
        <a:ext cx="82010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51</xdr:row>
      <xdr:rowOff>57150</xdr:rowOff>
    </xdr:from>
    <xdr:to>
      <xdr:col>37</xdr:col>
      <xdr:colOff>657225</xdr:colOff>
      <xdr:row>79</xdr:row>
      <xdr:rowOff>152400</xdr:rowOff>
    </xdr:to>
    <xdr:graphicFrame>
      <xdr:nvGraphicFramePr>
        <xdr:cNvPr id="2" name="Chart 2"/>
        <xdr:cNvGraphicFramePr/>
      </xdr:nvGraphicFramePr>
      <xdr:xfrm>
        <a:off x="19211925" y="8401050"/>
        <a:ext cx="81534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95250</xdr:colOff>
      <xdr:row>89</xdr:row>
      <xdr:rowOff>57150</xdr:rowOff>
    </xdr:from>
    <xdr:to>
      <xdr:col>37</xdr:col>
      <xdr:colOff>628650</xdr:colOff>
      <xdr:row>117</xdr:row>
      <xdr:rowOff>152400</xdr:rowOff>
    </xdr:to>
    <xdr:graphicFrame>
      <xdr:nvGraphicFramePr>
        <xdr:cNvPr id="3" name="Chart 3"/>
        <xdr:cNvGraphicFramePr/>
      </xdr:nvGraphicFramePr>
      <xdr:xfrm>
        <a:off x="19202400" y="14563725"/>
        <a:ext cx="81343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771525</xdr:colOff>
      <xdr:row>89</xdr:row>
      <xdr:rowOff>57150</xdr:rowOff>
    </xdr:from>
    <xdr:to>
      <xdr:col>48</xdr:col>
      <xdr:colOff>638175</xdr:colOff>
      <xdr:row>117</xdr:row>
      <xdr:rowOff>95250</xdr:rowOff>
    </xdr:to>
    <xdr:graphicFrame>
      <xdr:nvGraphicFramePr>
        <xdr:cNvPr id="4" name="Chart 4"/>
        <xdr:cNvGraphicFramePr/>
      </xdr:nvGraphicFramePr>
      <xdr:xfrm>
        <a:off x="28174950" y="14563725"/>
        <a:ext cx="779145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657225</xdr:colOff>
      <xdr:row>51</xdr:row>
      <xdr:rowOff>66675</xdr:rowOff>
    </xdr:from>
    <xdr:to>
      <xdr:col>48</xdr:col>
      <xdr:colOff>638175</xdr:colOff>
      <xdr:row>79</xdr:row>
      <xdr:rowOff>123825</xdr:rowOff>
    </xdr:to>
    <xdr:graphicFrame>
      <xdr:nvGraphicFramePr>
        <xdr:cNvPr id="5" name="Chart 5"/>
        <xdr:cNvGraphicFramePr/>
      </xdr:nvGraphicFramePr>
      <xdr:xfrm>
        <a:off x="28060650" y="8410575"/>
        <a:ext cx="7905750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514350</xdr:colOff>
      <xdr:row>9</xdr:row>
      <xdr:rowOff>57150</xdr:rowOff>
    </xdr:from>
    <xdr:to>
      <xdr:col>48</xdr:col>
      <xdr:colOff>657225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27917775" y="1590675"/>
        <a:ext cx="8067675" cy="464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0.9205</cdr:y>
    </cdr:from>
    <cdr:to>
      <cdr:x>0.543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668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0.332</cdr:x>
      <cdr:y>0</cdr:y>
    </cdr:from>
    <cdr:to>
      <cdr:x>0.72975</cdr:x>
      <cdr:y>0.1305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0.029</cdr:x>
      <cdr:y>0.07875</cdr:y>
    </cdr:from>
    <cdr:to>
      <cdr:x>0.21725</cdr:x>
      <cdr:y>0.30825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4775"/>
          <a:ext cx="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5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5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133350</xdr:rowOff>
    </xdr:from>
    <xdr:to>
      <xdr:col>3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115175" y="3371850"/>
        <a:ext cx="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</cdr:x>
      <cdr:y>0.9185</cdr:y>
    </cdr:from>
    <cdr:to>
      <cdr:x>0.61275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32099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0.19175</cdr:x>
      <cdr:y>0</cdr:y>
    </cdr:from>
    <cdr:to>
      <cdr:x>0.8075</cdr:x>
      <cdr:y>0.078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0"/>
          <a:ext cx="394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0.0125</cdr:x>
      <cdr:y>0.07875</cdr:y>
    </cdr:from>
    <cdr:to>
      <cdr:x>0.09375</cdr:x>
      <cdr:y>0.19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266700"/>
          <a:ext cx="5238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14</xdr:col>
      <xdr:colOff>295275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467600" y="400050"/>
        <a:ext cx="6400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0.9375</cdr:y>
    </cdr:from>
    <cdr:to>
      <cdr:x>0.581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3162300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0.2725</cdr:x>
      <cdr:y>0</cdr:y>
    </cdr:from>
    <cdr:to>
      <cdr:x>0.85375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0"/>
          <a:ext cx="30003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Heat production Emissions</a:t>
          </a:r>
        </a:p>
      </cdr:txBody>
    </cdr:sp>
  </cdr:relSizeAnchor>
  <cdr:relSizeAnchor xmlns:cdr="http://schemas.openxmlformats.org/drawingml/2006/chartDrawing">
    <cdr:from>
      <cdr:x>0.02425</cdr:x>
      <cdr:y>0.066</cdr:y>
    </cdr:from>
    <cdr:to>
      <cdr:x>0.1465</cdr:x>
      <cdr:y>0.19475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219075"/>
          <a:ext cx="628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equi.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0.9375</cdr:y>
    </cdr:from>
    <cdr:to>
      <cdr:x>0.60375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3152775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0.2605</cdr:x>
      <cdr:y>0</cdr:y>
    </cdr:from>
    <cdr:to>
      <cdr:x>0.852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0"/>
          <a:ext cx="3048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Flare Emissions</a:t>
          </a:r>
        </a:p>
      </cdr:txBody>
    </cdr:sp>
  </cdr:relSizeAnchor>
  <cdr:relSizeAnchor xmlns:cdr="http://schemas.openxmlformats.org/drawingml/2006/chartDrawing">
    <cdr:from>
      <cdr:x>0.01425</cdr:x>
      <cdr:y>0.05575</cdr:y>
    </cdr:from>
    <cdr:to>
      <cdr:x>0.11125</cdr:x>
      <cdr:y>0.21325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80975"/>
          <a:ext cx="495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0.937</cdr:y>
    </cdr:from>
    <cdr:to>
      <cdr:x>0.6065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133725"/>
          <a:ext cx="381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0.26025</cdr:x>
      <cdr:y>0</cdr:y>
    </cdr:from>
    <cdr:to>
      <cdr:x>0.85225</cdr:x>
      <cdr:y>0.08875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0"/>
          <a:ext cx="3057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Cogeneration Emissions</a:t>
          </a:r>
        </a:p>
      </cdr:txBody>
    </cdr:sp>
  </cdr:relSizeAnchor>
  <cdr:relSizeAnchor xmlns:cdr="http://schemas.openxmlformats.org/drawingml/2006/chartDrawing">
    <cdr:from>
      <cdr:x>0.015</cdr:x>
      <cdr:y>0.0545</cdr:y>
    </cdr:from>
    <cdr:to>
      <cdr:x>0.111</cdr:x>
      <cdr:y>0.208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80975"/>
          <a:ext cx="4953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18</xdr:row>
      <xdr:rowOff>28575</xdr:rowOff>
    </xdr:from>
    <xdr:to>
      <xdr:col>8</xdr:col>
      <xdr:colOff>466725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562100" y="4181475"/>
        <a:ext cx="5162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18</xdr:row>
      <xdr:rowOff>19050</xdr:rowOff>
    </xdr:from>
    <xdr:to>
      <xdr:col>15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7134225" y="4171950"/>
        <a:ext cx="5153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400050</xdr:colOff>
      <xdr:row>40</xdr:row>
      <xdr:rowOff>9525</xdr:rowOff>
    </xdr:from>
    <xdr:to>
      <xdr:col>8</xdr:col>
      <xdr:colOff>447675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1543050" y="7724775"/>
        <a:ext cx="51625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Komsomolets-Donbassa\PDD%20Komsomolets%20Donbassa\Emissions-Reduction-Komsomolets%202007-04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kraine\Projekte\Molodogvardeyskaya\PDD\Emissions-Reduction-Molodogvardeyskaya+CNG-2007-09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figures"/>
      <sheetName val="Grapiken-CO2"/>
      <sheetName val="A-2"/>
      <sheetName val="E.1."/>
      <sheetName val="E.3."/>
      <sheetName val="E.6."/>
    </sheetNames>
    <sheetDataSet>
      <sheetData sheetId="2">
        <row r="21">
          <cell r="AO21">
            <v>140688.09375265875</v>
          </cell>
          <cell r="AP21">
            <v>112821.10327321813</v>
          </cell>
          <cell r="AQ21">
            <v>66718.22628954661</v>
          </cell>
          <cell r="AR21">
            <v>131908.92313412955</v>
          </cell>
          <cell r="AS21">
            <v>120684.26103451522</v>
          </cell>
          <cell r="AT21">
            <v>129461.20292168339</v>
          </cell>
          <cell r="AU21">
            <v>129461.20292168339</v>
          </cell>
          <cell r="AV21">
            <v>129461.20292168339</v>
          </cell>
          <cell r="AW21">
            <v>129461.20292168339</v>
          </cell>
          <cell r="AX21">
            <v>129461.20292168339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G"/>
      <sheetName val="Basis data"/>
      <sheetName val="Consumption-Table"/>
      <sheetName val="Shares"/>
      <sheetName val="figures"/>
      <sheetName val="A-4"/>
      <sheetName val="E.1."/>
      <sheetName val="E.4."/>
      <sheetName val="E.6."/>
      <sheetName val="Change Index"/>
    </sheetNames>
    <sheetDataSet>
      <sheetData sheetId="2">
        <row r="25">
          <cell r="AO25">
            <v>165160.48426549401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D25" sqref="D25"/>
    </sheetView>
  </sheetViews>
  <sheetFormatPr defaultColWidth="11.421875" defaultRowHeight="12.75"/>
  <cols>
    <col min="1" max="1" width="28.28125" style="64" customWidth="1"/>
    <col min="2" max="2" width="11.421875" style="76" customWidth="1"/>
    <col min="3" max="3" width="17.28125" style="64" bestFit="1" customWidth="1"/>
    <col min="4" max="16384" width="11.421875" style="64" customWidth="1"/>
  </cols>
  <sheetData>
    <row r="1" ht="18">
      <c r="A1" s="123" t="s">
        <v>183</v>
      </c>
    </row>
    <row r="3" spans="1:4" ht="12.75">
      <c r="A3" s="64" t="s">
        <v>22</v>
      </c>
      <c r="B3" s="76">
        <v>9.979</v>
      </c>
      <c r="C3" s="64" t="s">
        <v>23</v>
      </c>
      <c r="D3" s="64" t="s">
        <v>58</v>
      </c>
    </row>
    <row r="4" spans="1:4" ht="12.75">
      <c r="A4" s="64" t="s">
        <v>24</v>
      </c>
      <c r="B4" s="133">
        <v>0.717</v>
      </c>
      <c r="C4" s="64" t="s">
        <v>25</v>
      </c>
      <c r="D4" s="64" t="s">
        <v>56</v>
      </c>
    </row>
    <row r="5" spans="1:4" ht="12.75">
      <c r="A5" s="64" t="s">
        <v>26</v>
      </c>
      <c r="B5" s="134">
        <v>0.735</v>
      </c>
      <c r="D5" s="64" t="s">
        <v>57</v>
      </c>
    </row>
    <row r="6" spans="1:4" ht="12.75">
      <c r="A6" s="64" t="s">
        <v>27</v>
      </c>
      <c r="B6" s="76">
        <v>5.1</v>
      </c>
      <c r="C6" s="64" t="s">
        <v>28</v>
      </c>
      <c r="D6" s="64" t="s">
        <v>59</v>
      </c>
    </row>
    <row r="7" spans="1:4" ht="12.75">
      <c r="A7" s="64" t="s">
        <v>29</v>
      </c>
      <c r="B7" s="76">
        <v>0.3406</v>
      </c>
      <c r="C7" s="64" t="s">
        <v>62</v>
      </c>
      <c r="D7" s="64" t="s">
        <v>60</v>
      </c>
    </row>
    <row r="8" spans="1:4" ht="12.75">
      <c r="A8" s="64" t="s">
        <v>64</v>
      </c>
      <c r="B8" s="135">
        <v>0.695</v>
      </c>
      <c r="C8" s="64" t="s">
        <v>63</v>
      </c>
      <c r="D8" s="64" t="s">
        <v>61</v>
      </c>
    </row>
    <row r="9" spans="1:4" ht="12.75">
      <c r="A9" s="64" t="s">
        <v>65</v>
      </c>
      <c r="B9" s="135">
        <v>0.68</v>
      </c>
      <c r="C9" s="64" t="s">
        <v>63</v>
      </c>
      <c r="D9" s="64" t="s">
        <v>61</v>
      </c>
    </row>
    <row r="10" spans="1:4" ht="12.75">
      <c r="A10" s="64" t="s">
        <v>66</v>
      </c>
      <c r="B10" s="135">
        <v>0.666</v>
      </c>
      <c r="C10" s="64" t="s">
        <v>63</v>
      </c>
      <c r="D10" s="64" t="s">
        <v>61</v>
      </c>
    </row>
    <row r="11" spans="1:4" ht="12.75">
      <c r="A11" s="64" t="s">
        <v>67</v>
      </c>
      <c r="B11" s="135">
        <v>0.651</v>
      </c>
      <c r="C11" s="64" t="s">
        <v>63</v>
      </c>
      <c r="D11" s="64" t="s">
        <v>61</v>
      </c>
    </row>
    <row r="12" spans="1:4" ht="12.75">
      <c r="A12" s="64" t="s">
        <v>68</v>
      </c>
      <c r="B12" s="135">
        <v>0.636</v>
      </c>
      <c r="C12" s="64" t="s">
        <v>63</v>
      </c>
      <c r="D12" s="64" t="s">
        <v>61</v>
      </c>
    </row>
    <row r="13" spans="1:7" ht="12.75">
      <c r="A13" s="64" t="s">
        <v>69</v>
      </c>
      <c r="B13" s="135">
        <v>0.636</v>
      </c>
      <c r="C13" s="64" t="s">
        <v>63</v>
      </c>
      <c r="D13" s="64" t="s">
        <v>61</v>
      </c>
      <c r="G13" s="66"/>
    </row>
    <row r="14" spans="1:7" ht="12.75">
      <c r="A14" s="64" t="s">
        <v>70</v>
      </c>
      <c r="B14" s="135">
        <v>0.636</v>
      </c>
      <c r="C14" s="64" t="s">
        <v>63</v>
      </c>
      <c r="D14" s="64" t="s">
        <v>61</v>
      </c>
      <c r="G14" s="66"/>
    </row>
    <row r="15" spans="1:7" ht="12.75">
      <c r="A15" s="64" t="s">
        <v>71</v>
      </c>
      <c r="B15" s="135">
        <v>0.636</v>
      </c>
      <c r="C15" s="64" t="s">
        <v>63</v>
      </c>
      <c r="D15" s="64" t="s">
        <v>61</v>
      </c>
      <c r="G15" s="66"/>
    </row>
    <row r="16" spans="1:7" ht="12.75">
      <c r="A16" s="64" t="s">
        <v>72</v>
      </c>
      <c r="B16" s="135">
        <v>0.636</v>
      </c>
      <c r="C16" s="64" t="s">
        <v>63</v>
      </c>
      <c r="D16" s="64" t="s">
        <v>61</v>
      </c>
      <c r="G16" s="66"/>
    </row>
    <row r="17" spans="1:7" ht="12.75">
      <c r="A17" s="64" t="s">
        <v>73</v>
      </c>
      <c r="B17" s="135">
        <v>0.636</v>
      </c>
      <c r="C17" s="64" t="s">
        <v>63</v>
      </c>
      <c r="D17" s="64" t="s">
        <v>61</v>
      </c>
      <c r="G17" s="66"/>
    </row>
    <row r="18" ht="12.75">
      <c r="B18" s="134"/>
    </row>
    <row r="19" spans="1:8" ht="12.75">
      <c r="A19" s="64" t="s">
        <v>91</v>
      </c>
      <c r="B19" s="135">
        <v>0.035</v>
      </c>
      <c r="C19" s="64" t="s">
        <v>92</v>
      </c>
      <c r="D19" s="64" t="s">
        <v>93</v>
      </c>
      <c r="H19" s="65"/>
    </row>
    <row r="20" spans="1:8" ht="12.75">
      <c r="A20" s="64" t="s">
        <v>159</v>
      </c>
      <c r="B20" s="65">
        <v>0</v>
      </c>
      <c r="C20" s="64" t="s">
        <v>160</v>
      </c>
      <c r="D20" s="64" t="s">
        <v>162</v>
      </c>
      <c r="H20" s="65"/>
    </row>
    <row r="21" spans="2:8" ht="12.75">
      <c r="B21" s="77"/>
      <c r="H21" s="65"/>
    </row>
    <row r="22" ht="12.75">
      <c r="H22" s="65"/>
    </row>
    <row r="23" spans="1:8" ht="12.75">
      <c r="A23" s="64" t="s">
        <v>136</v>
      </c>
      <c r="H23" s="65"/>
    </row>
    <row r="24" spans="1:8" ht="12.75">
      <c r="A24" s="26" t="s">
        <v>139</v>
      </c>
      <c r="B24" s="80" t="s">
        <v>149</v>
      </c>
      <c r="H24" s="65"/>
    </row>
    <row r="25" spans="1:2" ht="12.75">
      <c r="A25" s="63" t="s">
        <v>137</v>
      </c>
      <c r="B25" s="81" t="s">
        <v>150</v>
      </c>
    </row>
    <row r="26" spans="1:2" ht="12.75">
      <c r="A26" s="26" t="s">
        <v>138</v>
      </c>
      <c r="B26" s="81" t="s">
        <v>150</v>
      </c>
    </row>
    <row r="28" ht="12.75">
      <c r="A28" s="64" t="s">
        <v>140</v>
      </c>
    </row>
    <row r="29" spans="1:2" ht="12.75">
      <c r="A29" s="26" t="s">
        <v>139</v>
      </c>
      <c r="B29" s="80" t="s">
        <v>148</v>
      </c>
    </row>
    <row r="30" spans="1:3" ht="12.75">
      <c r="A30" s="63" t="s">
        <v>137</v>
      </c>
      <c r="C30" s="64" t="s">
        <v>17</v>
      </c>
    </row>
    <row r="31" ht="12.75">
      <c r="A31" s="26" t="s">
        <v>138</v>
      </c>
    </row>
    <row r="33" ht="12.75">
      <c r="A33" s="64" t="s">
        <v>141</v>
      </c>
    </row>
    <row r="34" spans="1:2" ht="12.75">
      <c r="A34" s="26" t="s">
        <v>139</v>
      </c>
      <c r="B34" s="76" t="s">
        <v>148</v>
      </c>
    </row>
    <row r="35" ht="12.75">
      <c r="A35" s="63" t="s">
        <v>137</v>
      </c>
    </row>
    <row r="36" spans="1:2" ht="12.75">
      <c r="A36" s="26" t="s">
        <v>138</v>
      </c>
      <c r="B36" s="79">
        <v>1</v>
      </c>
    </row>
    <row r="38" ht="12.75">
      <c r="A38" s="64" t="s">
        <v>112</v>
      </c>
    </row>
    <row r="39" spans="1:3" ht="12.75">
      <c r="A39" s="26" t="s">
        <v>139</v>
      </c>
      <c r="B39" s="76" t="s">
        <v>164</v>
      </c>
      <c r="C39" s="64" t="s">
        <v>191</v>
      </c>
    </row>
    <row r="40" spans="1:3" ht="12.75">
      <c r="A40" s="63" t="s">
        <v>142</v>
      </c>
      <c r="B40" s="76">
        <v>1.35</v>
      </c>
      <c r="C40" s="64" t="s">
        <v>163</v>
      </c>
    </row>
    <row r="41" spans="1:3" ht="12.75">
      <c r="A41" s="63" t="s">
        <v>137</v>
      </c>
      <c r="B41" s="76">
        <v>0.9</v>
      </c>
      <c r="C41" s="64" t="s">
        <v>163</v>
      </c>
    </row>
    <row r="42" spans="1:3" ht="12.75">
      <c r="A42" s="26" t="s">
        <v>143</v>
      </c>
      <c r="B42" s="38">
        <v>36</v>
      </c>
      <c r="C42" s="64" t="s">
        <v>19</v>
      </c>
    </row>
    <row r="43" spans="1:3" ht="12.75">
      <c r="A43" s="26" t="s">
        <v>54</v>
      </c>
      <c r="B43" s="38">
        <v>520</v>
      </c>
      <c r="C43" s="64" t="s">
        <v>18</v>
      </c>
    </row>
    <row r="44" ht="12.75">
      <c r="A44" s="64" t="s">
        <v>113</v>
      </c>
    </row>
    <row r="45" spans="1:3" ht="12.75">
      <c r="A45" s="134" t="s">
        <v>192</v>
      </c>
      <c r="B45" s="171"/>
      <c r="C45" s="134" t="s">
        <v>191</v>
      </c>
    </row>
    <row r="46" spans="1:3" ht="12.75">
      <c r="A46" s="172" t="s">
        <v>142</v>
      </c>
      <c r="B46" s="171">
        <v>0.4</v>
      </c>
      <c r="C46" s="134" t="s">
        <v>163</v>
      </c>
    </row>
    <row r="47" spans="1:3" ht="12.75">
      <c r="A47" s="63" t="s">
        <v>137</v>
      </c>
      <c r="B47" s="38">
        <v>36</v>
      </c>
      <c r="C47" s="64" t="s">
        <v>19</v>
      </c>
    </row>
    <row r="48" spans="1:3" ht="12.75">
      <c r="A48" s="26" t="s">
        <v>143</v>
      </c>
      <c r="B48" s="38">
        <v>520</v>
      </c>
      <c r="C48" s="64" t="s">
        <v>18</v>
      </c>
    </row>
    <row r="50" ht="12.75">
      <c r="A50" s="64" t="s">
        <v>38</v>
      </c>
    </row>
    <row r="51" spans="1:3" ht="12.75">
      <c r="A51" s="26" t="s">
        <v>139</v>
      </c>
      <c r="B51" s="78" t="s">
        <v>146</v>
      </c>
      <c r="C51" s="64" t="s">
        <v>190</v>
      </c>
    </row>
    <row r="52" spans="1:3" ht="12.75">
      <c r="A52" s="63" t="s">
        <v>144</v>
      </c>
      <c r="B52" s="76">
        <v>5</v>
      </c>
      <c r="C52" s="64" t="s">
        <v>147</v>
      </c>
    </row>
    <row r="53" spans="1:3" ht="12.75">
      <c r="A53" s="26" t="s">
        <v>145</v>
      </c>
      <c r="B53" s="38">
        <v>99.5</v>
      </c>
      <c r="C53" s="64" t="s">
        <v>19</v>
      </c>
    </row>
    <row r="54" spans="1:3" ht="12.75">
      <c r="A54" s="152" t="s">
        <v>184</v>
      </c>
      <c r="B54" s="133">
        <v>0</v>
      </c>
      <c r="C54" s="64" t="s">
        <v>160</v>
      </c>
    </row>
    <row r="55" spans="1:4" ht="12.75">
      <c r="A55" s="64" t="s">
        <v>159</v>
      </c>
      <c r="B55" s="65">
        <f>55*0.7</f>
        <v>38.5</v>
      </c>
      <c r="C55" s="64" t="s">
        <v>160</v>
      </c>
      <c r="D55" s="64" t="s">
        <v>185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6">
      <selection activeCell="N16" sqref="N16"/>
    </sheetView>
  </sheetViews>
  <sheetFormatPr defaultColWidth="11.421875" defaultRowHeight="12.75"/>
  <sheetData>
    <row r="2" spans="2:13" ht="12.75">
      <c r="B2" s="67">
        <v>39814</v>
      </c>
      <c r="C2" s="67">
        <v>39845</v>
      </c>
      <c r="D2" s="67">
        <v>39873</v>
      </c>
      <c r="E2" s="67">
        <v>39904</v>
      </c>
      <c r="F2" s="67">
        <v>39934</v>
      </c>
      <c r="G2" s="67">
        <v>39965</v>
      </c>
      <c r="H2" s="67">
        <v>39995</v>
      </c>
      <c r="I2" s="67">
        <v>40026</v>
      </c>
      <c r="J2" s="67">
        <v>40057</v>
      </c>
      <c r="K2" s="67">
        <v>40087</v>
      </c>
      <c r="L2" s="67">
        <v>40118</v>
      </c>
      <c r="M2" s="67">
        <v>40148</v>
      </c>
    </row>
    <row r="3" spans="1:13" ht="12.75">
      <c r="A3" s="55" t="s">
        <v>44</v>
      </c>
      <c r="B3" s="50">
        <f>'Consumption-Table'!AB26</f>
        <v>738383.9396065071</v>
      </c>
      <c r="C3" s="50">
        <f>'Consumption-Table'!AC26</f>
        <v>738383.9396065071</v>
      </c>
      <c r="D3" s="50">
        <f>'Consumption-Table'!AD26</f>
        <v>824564.919664629</v>
      </c>
      <c r="E3" s="50">
        <f>'Consumption-Table'!AE26</f>
        <v>363993.553128236</v>
      </c>
      <c r="F3" s="50">
        <f>'Consumption-Table'!AF26</f>
        <v>112006.04602999633</v>
      </c>
      <c r="G3" s="50">
        <f>'Consumption-Table'!AG26</f>
        <v>54071.884290343056</v>
      </c>
      <c r="H3" s="50">
        <f>'Consumption-Table'!AH26</f>
        <v>55950.83007649398</v>
      </c>
      <c r="I3" s="50">
        <f>'Consumption-Table'!AI26</f>
        <v>55950.83007649398</v>
      </c>
      <c r="J3" s="50">
        <f>'Consumption-Table'!AJ26</f>
        <v>54071.884290343056</v>
      </c>
      <c r="K3" s="50">
        <f>'Consumption-Table'!AK26</f>
        <v>184157.56421819155</v>
      </c>
      <c r="L3" s="50">
        <f>'Consumption-Table'!AL26</f>
        <v>738383.9396065071</v>
      </c>
      <c r="M3" s="50">
        <f>'Consumption-Table'!AM26</f>
        <v>790576.8781106992</v>
      </c>
    </row>
    <row r="4" spans="1:13" ht="12.75">
      <c r="A4" s="55" t="s">
        <v>168</v>
      </c>
      <c r="B4" s="50">
        <f>'Consumption-Table'!AB69</f>
        <v>253309.72820701252</v>
      </c>
      <c r="C4" s="50">
        <f>'Consumption-Table'!AC69</f>
        <v>253309.72820701252</v>
      </c>
      <c r="D4" s="50">
        <f>'Consumption-Table'!AD69</f>
        <v>253309.72820701252</v>
      </c>
      <c r="E4" s="50">
        <f>'Consumption-Table'!AE69</f>
        <v>253309.72820701252</v>
      </c>
      <c r="F4" s="50">
        <f>'Consumption-Table'!AF69</f>
        <v>253309.72820701252</v>
      </c>
      <c r="G4" s="50">
        <f>'Consumption-Table'!AG69</f>
        <v>253309.72820701252</v>
      </c>
      <c r="H4" s="50">
        <f>'Consumption-Table'!AH69</f>
        <v>253309.72820701252</v>
      </c>
      <c r="I4" s="50">
        <f>'Consumption-Table'!AI69</f>
        <v>253309.72820701252</v>
      </c>
      <c r="J4" s="50">
        <f>'Consumption-Table'!AJ69</f>
        <v>253309.72820701252</v>
      </c>
      <c r="K4" s="50">
        <f>'Consumption-Table'!AK69</f>
        <v>253309.72820701252</v>
      </c>
      <c r="L4" s="50">
        <f>'Consumption-Table'!AL69</f>
        <v>253309.72820701252</v>
      </c>
      <c r="M4" s="50">
        <f>'Consumption-Table'!AM69</f>
        <v>253309.72820701252</v>
      </c>
    </row>
    <row r="5" spans="1:13" ht="12.75">
      <c r="A5" s="55" t="s">
        <v>94</v>
      </c>
      <c r="B5" s="50">
        <f>'Consumption-Table'!AB104</f>
        <v>0</v>
      </c>
      <c r="C5" s="50">
        <f>'Consumption-Table'!AC104</f>
        <v>0</v>
      </c>
      <c r="D5" s="50">
        <f>'Consumption-Table'!AD104</f>
        <v>0</v>
      </c>
      <c r="E5" s="50">
        <f>'Consumption-Table'!AE104</f>
        <v>299128.169155226</v>
      </c>
      <c r="F5" s="50">
        <f>'Consumption-Table'!AF104</f>
        <v>598256.338310452</v>
      </c>
      <c r="G5" s="50">
        <f>'Consumption-Table'!AG104</f>
        <v>598256.338310452</v>
      </c>
      <c r="H5" s="50">
        <f>'Consumption-Table'!AH104</f>
        <v>598256.338310452</v>
      </c>
      <c r="I5" s="50">
        <f>'Consumption-Table'!AI104</f>
        <v>598256.338310452</v>
      </c>
      <c r="J5" s="50">
        <f>'Consumption-Table'!AJ104</f>
        <v>598256.338310452</v>
      </c>
      <c r="K5" s="50">
        <f>'Consumption-Table'!AK104</f>
        <v>498546.9485920433</v>
      </c>
      <c r="L5" s="50">
        <f>'Consumption-Table'!AL104</f>
        <v>0</v>
      </c>
      <c r="M5" s="50">
        <f>'Consumption-Table'!AM104</f>
        <v>0</v>
      </c>
    </row>
    <row r="6" spans="1:13" ht="12.75">
      <c r="A6" s="55" t="s">
        <v>95</v>
      </c>
      <c r="B6" s="50">
        <f aca="true" t="shared" si="0" ref="B6:M6">SUM(B3:B5)</f>
        <v>991693.6678135196</v>
      </c>
      <c r="C6" s="50">
        <f t="shared" si="0"/>
        <v>991693.6678135196</v>
      </c>
      <c r="D6" s="50">
        <f t="shared" si="0"/>
        <v>1077874.6478716414</v>
      </c>
      <c r="E6" s="50">
        <f t="shared" si="0"/>
        <v>916431.4504904745</v>
      </c>
      <c r="F6" s="50">
        <f t="shared" si="0"/>
        <v>963572.1125474608</v>
      </c>
      <c r="G6" s="50">
        <f t="shared" si="0"/>
        <v>905637.9508078075</v>
      </c>
      <c r="H6" s="50">
        <f t="shared" si="0"/>
        <v>907516.8965939584</v>
      </c>
      <c r="I6" s="50">
        <f t="shared" si="0"/>
        <v>907516.8965939584</v>
      </c>
      <c r="J6" s="50">
        <f t="shared" si="0"/>
        <v>905637.9508078075</v>
      </c>
      <c r="K6" s="50">
        <f t="shared" si="0"/>
        <v>936014.2410172473</v>
      </c>
      <c r="L6" s="50">
        <f t="shared" si="0"/>
        <v>991693.6678135196</v>
      </c>
      <c r="M6" s="50">
        <f t="shared" si="0"/>
        <v>1043886.6063177118</v>
      </c>
    </row>
    <row r="7" spans="1:13" ht="12.75">
      <c r="A7" s="55" t="s">
        <v>96</v>
      </c>
      <c r="B7" s="50">
        <f>'Consumption-Table'!AB8</f>
        <v>991693.6678135196</v>
      </c>
      <c r="C7" s="50">
        <f>'Consumption-Table'!AC8</f>
        <v>991693.6678135196</v>
      </c>
      <c r="D7" s="50">
        <f>'Consumption-Table'!AD8</f>
        <v>1077874.6478716414</v>
      </c>
      <c r="E7" s="50">
        <f>'Consumption-Table'!AE8</f>
        <v>916431.4504904745</v>
      </c>
      <c r="F7" s="50">
        <f>'Consumption-Table'!AF8</f>
        <v>963572.1125474608</v>
      </c>
      <c r="G7" s="50">
        <f>'Consumption-Table'!AG8</f>
        <v>905637.9508078075</v>
      </c>
      <c r="H7" s="50">
        <f>'Consumption-Table'!AH8</f>
        <v>907516.8965939584</v>
      </c>
      <c r="I7" s="50">
        <f>'Consumption-Table'!AI8</f>
        <v>907516.8965939584</v>
      </c>
      <c r="J7" s="50">
        <f>'Consumption-Table'!AJ8</f>
        <v>905637.9508078075</v>
      </c>
      <c r="K7" s="50">
        <f>'Consumption-Table'!AK8</f>
        <v>936014.2410172473</v>
      </c>
      <c r="L7" s="50">
        <f>'Consumption-Table'!AL8</f>
        <v>991693.6678135196</v>
      </c>
      <c r="M7" s="50">
        <f>'Consumption-Table'!AM8</f>
        <v>1043886.6063177118</v>
      </c>
    </row>
    <row r="8" spans="1:13" ht="12.75">
      <c r="A8" s="55" t="s">
        <v>97</v>
      </c>
      <c r="B8" s="50">
        <f aca="true" t="shared" si="1" ref="B8:M8">B6-B7</f>
        <v>0</v>
      </c>
      <c r="C8" s="50">
        <f t="shared" si="1"/>
        <v>0</v>
      </c>
      <c r="D8" s="50">
        <f t="shared" si="1"/>
        <v>0</v>
      </c>
      <c r="E8" s="50">
        <f t="shared" si="1"/>
        <v>0</v>
      </c>
      <c r="F8" s="50">
        <f t="shared" si="1"/>
        <v>0</v>
      </c>
      <c r="G8" s="50">
        <f t="shared" si="1"/>
        <v>0</v>
      </c>
      <c r="H8" s="50">
        <f t="shared" si="1"/>
        <v>0</v>
      </c>
      <c r="I8" s="50">
        <f t="shared" si="1"/>
        <v>0</v>
      </c>
      <c r="J8" s="50">
        <f t="shared" si="1"/>
        <v>0</v>
      </c>
      <c r="K8" s="50">
        <f t="shared" si="1"/>
        <v>0</v>
      </c>
      <c r="L8" s="50">
        <f t="shared" si="1"/>
        <v>0</v>
      </c>
      <c r="M8" s="50">
        <f t="shared" si="1"/>
        <v>0</v>
      </c>
    </row>
    <row r="40" spans="2:13" ht="12.75">
      <c r="B40" s="67">
        <v>40909</v>
      </c>
      <c r="C40" s="67">
        <v>40940</v>
      </c>
      <c r="D40" s="67">
        <v>40969</v>
      </c>
      <c r="E40" s="67">
        <v>41000</v>
      </c>
      <c r="F40" s="67">
        <v>41030</v>
      </c>
      <c r="G40" s="67">
        <v>41061</v>
      </c>
      <c r="H40" s="67">
        <v>41091</v>
      </c>
      <c r="I40" s="67">
        <v>41122</v>
      </c>
      <c r="J40" s="67">
        <v>41153</v>
      </c>
      <c r="K40" s="67">
        <v>41183</v>
      </c>
      <c r="L40" s="67">
        <v>41214</v>
      </c>
      <c r="M40" s="67">
        <v>41244</v>
      </c>
    </row>
    <row r="41" spans="1:13" ht="12.75">
      <c r="A41" s="55" t="s">
        <v>44</v>
      </c>
      <c r="B41" s="50">
        <f>'Consumption-Table'!CE26</f>
        <v>738383.9396065071</v>
      </c>
      <c r="C41" s="50">
        <f>'Consumption-Table'!CF26</f>
        <v>738383.9396065071</v>
      </c>
      <c r="D41" s="50">
        <f>'Consumption-Table'!CG26</f>
        <v>824564.919664629</v>
      </c>
      <c r="E41" s="50">
        <f>'Consumption-Table'!CH26</f>
        <v>363993.553128236</v>
      </c>
      <c r="F41" s="50">
        <f>'Consumption-Table'!CI26</f>
        <v>112006.04602999633</v>
      </c>
      <c r="G41" s="50">
        <f>'Consumption-Table'!CJ26</f>
        <v>54071.884290343056</v>
      </c>
      <c r="H41" s="50">
        <f>'Consumption-Table'!CK26</f>
        <v>55950.83007649398</v>
      </c>
      <c r="I41" s="50">
        <f>'Consumption-Table'!CL26</f>
        <v>55950.83007649398</v>
      </c>
      <c r="J41" s="50">
        <f>'Consumption-Table'!CM26</f>
        <v>54071.884290343056</v>
      </c>
      <c r="K41" s="50">
        <f>'Consumption-Table'!CN26</f>
        <v>184157.56421819155</v>
      </c>
      <c r="L41" s="50">
        <f>'Consumption-Table'!CO26</f>
        <v>738383.9396065071</v>
      </c>
      <c r="M41" s="50">
        <f>'Consumption-Table'!CP26</f>
        <v>790576.8781106992</v>
      </c>
    </row>
    <row r="42" spans="1:13" ht="12.75">
      <c r="A42" s="55" t="s">
        <v>168</v>
      </c>
      <c r="B42" s="50">
        <f>'Consumption-Table'!CE69</f>
        <v>253309.72820701252</v>
      </c>
      <c r="C42" s="50">
        <f>'Consumption-Table'!CF69</f>
        <v>253309.72820701252</v>
      </c>
      <c r="D42" s="50">
        <f>'Consumption-Table'!CG69</f>
        <v>253309.72820701252</v>
      </c>
      <c r="E42" s="50">
        <f>'Consumption-Table'!CH69</f>
        <v>253309.72820701252</v>
      </c>
      <c r="F42" s="50">
        <f>'Consumption-Table'!CI69</f>
        <v>253309.72820701252</v>
      </c>
      <c r="G42" s="50">
        <f>'Consumption-Table'!CJ69</f>
        <v>253309.72820701252</v>
      </c>
      <c r="H42" s="50">
        <f>'Consumption-Table'!CK69</f>
        <v>253309.72820701252</v>
      </c>
      <c r="I42" s="50">
        <f>'Consumption-Table'!CL69</f>
        <v>253309.72820701252</v>
      </c>
      <c r="J42" s="50">
        <f>'Consumption-Table'!CM69</f>
        <v>253309.72820701252</v>
      </c>
      <c r="K42" s="50">
        <f>'Consumption-Table'!CN69</f>
        <v>253309.72820701252</v>
      </c>
      <c r="L42" s="50">
        <f>'Consumption-Table'!CO69</f>
        <v>253309.72820701252</v>
      </c>
      <c r="M42" s="50">
        <f>'Consumption-Table'!CP69</f>
        <v>253309.72820701252</v>
      </c>
    </row>
    <row r="43" spans="1:13" ht="12.75">
      <c r="A43" s="55" t="s">
        <v>94</v>
      </c>
      <c r="B43" s="50">
        <f>'Consumption-Table'!CE104</f>
        <v>0</v>
      </c>
      <c r="C43" s="50">
        <f>'Consumption-Table'!CF104</f>
        <v>0</v>
      </c>
      <c r="D43" s="50">
        <f>'Consumption-Table'!CG104</f>
        <v>0</v>
      </c>
      <c r="E43" s="50">
        <f>'Consumption-Table'!CH104</f>
        <v>299128.169155226</v>
      </c>
      <c r="F43" s="50">
        <f>'Consumption-Table'!CI104</f>
        <v>598256.338310452</v>
      </c>
      <c r="G43" s="50">
        <f>'Consumption-Table'!CJ104</f>
        <v>598256.338310452</v>
      </c>
      <c r="H43" s="50">
        <f>'Consumption-Table'!CK104</f>
        <v>598256.338310452</v>
      </c>
      <c r="I43" s="50">
        <f>'Consumption-Table'!CL104</f>
        <v>598256.338310452</v>
      </c>
      <c r="J43" s="50">
        <f>'Consumption-Table'!CM104</f>
        <v>598256.338310452</v>
      </c>
      <c r="K43" s="50">
        <f>'Consumption-Table'!CN104</f>
        <v>498546.9485920433</v>
      </c>
      <c r="L43" s="50">
        <f>'Consumption-Table'!CO104</f>
        <v>0</v>
      </c>
      <c r="M43" s="50">
        <f>'Consumption-Table'!CP104</f>
        <v>0</v>
      </c>
    </row>
    <row r="44" spans="1:13" ht="12.75">
      <c r="A44" s="55" t="s">
        <v>95</v>
      </c>
      <c r="B44" s="50">
        <f aca="true" t="shared" si="2" ref="B44:M44">SUM(B41:B43)</f>
        <v>991693.6678135196</v>
      </c>
      <c r="C44" s="50">
        <f t="shared" si="2"/>
        <v>991693.6678135196</v>
      </c>
      <c r="D44" s="50">
        <f t="shared" si="2"/>
        <v>1077874.6478716414</v>
      </c>
      <c r="E44" s="50">
        <f t="shared" si="2"/>
        <v>916431.4504904745</v>
      </c>
      <c r="F44" s="50">
        <f t="shared" si="2"/>
        <v>963572.1125474608</v>
      </c>
      <c r="G44" s="50">
        <f t="shared" si="2"/>
        <v>905637.9508078075</v>
      </c>
      <c r="H44" s="50">
        <f t="shared" si="2"/>
        <v>907516.8965939584</v>
      </c>
      <c r="I44" s="50">
        <f t="shared" si="2"/>
        <v>907516.8965939584</v>
      </c>
      <c r="J44" s="50">
        <f t="shared" si="2"/>
        <v>905637.9508078075</v>
      </c>
      <c r="K44" s="50">
        <f t="shared" si="2"/>
        <v>936014.2410172473</v>
      </c>
      <c r="L44" s="50">
        <f t="shared" si="2"/>
        <v>991693.6678135196</v>
      </c>
      <c r="M44" s="50">
        <f t="shared" si="2"/>
        <v>1043886.6063177118</v>
      </c>
    </row>
    <row r="45" spans="1:13" ht="12.75">
      <c r="A45" s="55" t="s">
        <v>96</v>
      </c>
      <c r="B45" s="50">
        <f>'Consumption-Table'!CE8</f>
        <v>991693.6678135196</v>
      </c>
      <c r="C45" s="50">
        <f>'Consumption-Table'!CF8</f>
        <v>991693.6678135196</v>
      </c>
      <c r="D45" s="50">
        <f>'Consumption-Table'!CG8</f>
        <v>1077874.6478716414</v>
      </c>
      <c r="E45" s="50">
        <f>'Consumption-Table'!CH8</f>
        <v>916431.4504904745</v>
      </c>
      <c r="F45" s="50">
        <f>'Consumption-Table'!CI8</f>
        <v>963572.1125474608</v>
      </c>
      <c r="G45" s="50">
        <f>'Consumption-Table'!CJ8</f>
        <v>905637.9508078075</v>
      </c>
      <c r="H45" s="50">
        <f>'Consumption-Table'!CK8</f>
        <v>907516.8965939584</v>
      </c>
      <c r="I45" s="50">
        <f>'Consumption-Table'!CL8</f>
        <v>907516.8965939584</v>
      </c>
      <c r="J45" s="50">
        <f>'Consumption-Table'!CM8</f>
        <v>905637.9508078075</v>
      </c>
      <c r="K45" s="50">
        <f>'Consumption-Table'!CN8</f>
        <v>936014.2410172473</v>
      </c>
      <c r="L45" s="50">
        <f>'Consumption-Table'!CO8</f>
        <v>991693.6678135196</v>
      </c>
      <c r="M45" s="50">
        <f>'Consumption-Table'!CP8</f>
        <v>1043886.6063177118</v>
      </c>
    </row>
    <row r="46" spans="1:13" ht="12.75">
      <c r="A46" s="55" t="s">
        <v>97</v>
      </c>
      <c r="B46" s="50">
        <f aca="true" t="shared" si="3" ref="B46:M46">B44-B45</f>
        <v>0</v>
      </c>
      <c r="C46" s="50">
        <f t="shared" si="3"/>
        <v>0</v>
      </c>
      <c r="D46" s="50">
        <f t="shared" si="3"/>
        <v>0</v>
      </c>
      <c r="E46" s="50">
        <f t="shared" si="3"/>
        <v>0</v>
      </c>
      <c r="F46" s="50">
        <f t="shared" si="3"/>
        <v>0</v>
      </c>
      <c r="G46" s="50">
        <f t="shared" si="3"/>
        <v>0</v>
      </c>
      <c r="H46" s="50">
        <f t="shared" si="3"/>
        <v>0</v>
      </c>
      <c r="I46" s="50">
        <f t="shared" si="3"/>
        <v>0</v>
      </c>
      <c r="J46" s="50">
        <f t="shared" si="3"/>
        <v>0</v>
      </c>
      <c r="K46" s="50">
        <f t="shared" si="3"/>
        <v>0</v>
      </c>
      <c r="L46" s="50">
        <f t="shared" si="3"/>
        <v>0</v>
      </c>
      <c r="M46" s="50">
        <f t="shared" si="3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17"/>
  <sheetViews>
    <sheetView zoomScale="90" zoomScaleNormal="90" workbookViewId="0" topLeftCell="A1">
      <pane xSplit="3" ySplit="6" topLeftCell="D25" activePane="bottomRight" state="frozen"/>
      <selection pane="topLeft" activeCell="C1" sqref="C1"/>
      <selection pane="topRight" activeCell="R1" sqref="R1"/>
      <selection pane="bottomLeft" activeCell="C26" sqref="C26"/>
      <selection pane="bottomRight" activeCell="CS12" sqref="CS12"/>
    </sheetView>
  </sheetViews>
  <sheetFormatPr defaultColWidth="11.421875" defaultRowHeight="12.75"/>
  <cols>
    <col min="1" max="1" width="5.8515625" style="0" bestFit="1" customWidth="1"/>
    <col min="2" max="2" width="39.57421875" style="0" bestFit="1" customWidth="1"/>
    <col min="3" max="3" width="7.7109375" style="0" bestFit="1" customWidth="1"/>
    <col min="4" max="4" width="9.8515625" style="0" customWidth="1"/>
    <col min="5" max="13" width="8.28125" style="0" bestFit="1" customWidth="1"/>
    <col min="14" max="14" width="9.8515625" style="0" bestFit="1" customWidth="1"/>
    <col min="15" max="27" width="8.28125" style="0" bestFit="1" customWidth="1"/>
    <col min="28" max="39" width="9.8515625" style="0" bestFit="1" customWidth="1"/>
    <col min="40" max="40" width="11.00390625" style="0" bestFit="1" customWidth="1"/>
    <col min="41" max="41" width="11.00390625" style="137" bestFit="1" customWidth="1"/>
    <col min="42" max="50" width="11.00390625" style="0" bestFit="1" customWidth="1"/>
    <col min="51" max="51" width="12.00390625" style="0" bestFit="1" customWidth="1"/>
    <col min="52" max="52" width="7.140625" style="0" bestFit="1" customWidth="1"/>
    <col min="53" max="53" width="7.140625" style="0" customWidth="1"/>
    <col min="55" max="66" width="9.8515625" style="0" bestFit="1" customWidth="1"/>
    <col min="67" max="67" width="13.28125" style="0" bestFit="1" customWidth="1"/>
    <col min="68" max="68" width="5.28125" style="0" customWidth="1"/>
    <col min="69" max="80" width="9.8515625" style="0" bestFit="1" customWidth="1"/>
    <col min="81" max="81" width="13.28125" style="0" bestFit="1" customWidth="1"/>
    <col min="82" max="82" width="5.8515625" style="0" customWidth="1"/>
    <col min="83" max="94" width="9.8515625" style="0" bestFit="1" customWidth="1"/>
    <col min="95" max="95" width="13.28125" style="0" bestFit="1" customWidth="1"/>
  </cols>
  <sheetData>
    <row r="1" ht="18.75" thickBot="1">
      <c r="B1" s="123" t="str">
        <f>'Basis data'!A1</f>
        <v>Shcheglovskaya-Glubokaya</v>
      </c>
    </row>
    <row r="2" spans="1:95" ht="12.75">
      <c r="A2" s="19" t="s">
        <v>0</v>
      </c>
      <c r="B2" s="20" t="s">
        <v>1</v>
      </c>
      <c r="C2" s="21"/>
      <c r="D2" s="21">
        <v>39083</v>
      </c>
      <c r="E2" s="21">
        <v>39114</v>
      </c>
      <c r="F2" s="21">
        <v>39142</v>
      </c>
      <c r="G2" s="21">
        <v>39173</v>
      </c>
      <c r="H2" s="21">
        <v>39203</v>
      </c>
      <c r="I2" s="21">
        <v>39234</v>
      </c>
      <c r="J2" s="21">
        <v>39264</v>
      </c>
      <c r="K2" s="21">
        <v>39295</v>
      </c>
      <c r="L2" s="21">
        <v>39326</v>
      </c>
      <c r="M2" s="21">
        <v>39356</v>
      </c>
      <c r="N2" s="21">
        <v>39387</v>
      </c>
      <c r="O2" s="21">
        <v>39417</v>
      </c>
      <c r="P2" s="21">
        <v>39448</v>
      </c>
      <c r="Q2" s="21">
        <v>39479</v>
      </c>
      <c r="R2" s="21">
        <v>39508</v>
      </c>
      <c r="S2" s="21">
        <v>39539</v>
      </c>
      <c r="T2" s="21">
        <v>39569</v>
      </c>
      <c r="U2" s="21">
        <v>39600</v>
      </c>
      <c r="V2" s="21">
        <v>39630</v>
      </c>
      <c r="W2" s="21">
        <v>39661</v>
      </c>
      <c r="X2" s="21">
        <v>39692</v>
      </c>
      <c r="Y2" s="21">
        <v>39722</v>
      </c>
      <c r="Z2" s="21">
        <v>39753</v>
      </c>
      <c r="AA2" s="21">
        <v>39783</v>
      </c>
      <c r="AB2" s="21">
        <v>39814</v>
      </c>
      <c r="AC2" s="21">
        <v>39845</v>
      </c>
      <c r="AD2" s="21">
        <v>39873</v>
      </c>
      <c r="AE2" s="21">
        <v>39904</v>
      </c>
      <c r="AF2" s="21">
        <v>39934</v>
      </c>
      <c r="AG2" s="21">
        <v>39965</v>
      </c>
      <c r="AH2" s="21">
        <v>39995</v>
      </c>
      <c r="AI2" s="21">
        <v>40026</v>
      </c>
      <c r="AJ2" s="21">
        <v>40057</v>
      </c>
      <c r="AK2" s="21">
        <v>40087</v>
      </c>
      <c r="AL2" s="21">
        <v>40118</v>
      </c>
      <c r="AM2" s="21">
        <v>40148</v>
      </c>
      <c r="AN2" s="22">
        <v>2007</v>
      </c>
      <c r="AO2" s="138">
        <v>2008</v>
      </c>
      <c r="AP2" s="23">
        <v>2009</v>
      </c>
      <c r="AQ2" s="23">
        <v>2010</v>
      </c>
      <c r="AR2" s="23">
        <v>2011</v>
      </c>
      <c r="AS2" s="23">
        <v>2012</v>
      </c>
      <c r="AT2" s="23">
        <v>2013</v>
      </c>
      <c r="AU2" s="23">
        <v>2014</v>
      </c>
      <c r="AV2" s="23">
        <v>2015</v>
      </c>
      <c r="AW2" s="23">
        <v>2016</v>
      </c>
      <c r="AX2" s="24">
        <v>2017</v>
      </c>
      <c r="AY2" s="170" t="s">
        <v>182</v>
      </c>
      <c r="BC2" s="150">
        <v>40179</v>
      </c>
      <c r="BD2" s="150">
        <v>40210</v>
      </c>
      <c r="BE2" s="150">
        <v>40238</v>
      </c>
      <c r="BF2" s="150">
        <v>40269</v>
      </c>
      <c r="BG2" s="150">
        <v>40299</v>
      </c>
      <c r="BH2" s="150">
        <v>40330</v>
      </c>
      <c r="BI2" s="150">
        <v>40360</v>
      </c>
      <c r="BJ2" s="150">
        <v>40391</v>
      </c>
      <c r="BK2" s="150">
        <v>40422</v>
      </c>
      <c r="BL2" s="150">
        <v>40452</v>
      </c>
      <c r="BM2" s="150">
        <v>40483</v>
      </c>
      <c r="BN2" s="150">
        <v>40513</v>
      </c>
      <c r="BO2" s="76">
        <v>2010</v>
      </c>
      <c r="BP2" s="64"/>
      <c r="BQ2" s="150">
        <v>40544</v>
      </c>
      <c r="BR2" s="150">
        <v>40575</v>
      </c>
      <c r="BS2" s="150">
        <v>40603</v>
      </c>
      <c r="BT2" s="150">
        <v>40634</v>
      </c>
      <c r="BU2" s="150">
        <v>40664</v>
      </c>
      <c r="BV2" s="150">
        <v>40695</v>
      </c>
      <c r="BW2" s="150">
        <v>40725</v>
      </c>
      <c r="BX2" s="150">
        <v>40756</v>
      </c>
      <c r="BY2" s="150">
        <v>40787</v>
      </c>
      <c r="BZ2" s="150">
        <v>40817</v>
      </c>
      <c r="CA2" s="150">
        <v>40848</v>
      </c>
      <c r="CB2" s="150">
        <v>40878</v>
      </c>
      <c r="CC2" s="76">
        <v>2011</v>
      </c>
      <c r="CD2" s="64"/>
      <c r="CE2" s="150">
        <v>40909</v>
      </c>
      <c r="CF2" s="150">
        <v>40940</v>
      </c>
      <c r="CG2" s="150">
        <v>40969</v>
      </c>
      <c r="CH2" s="150">
        <v>41000</v>
      </c>
      <c r="CI2" s="150">
        <v>41030</v>
      </c>
      <c r="CJ2" s="150">
        <v>41061</v>
      </c>
      <c r="CK2" s="150">
        <v>41091</v>
      </c>
      <c r="CL2" s="150">
        <v>41122</v>
      </c>
      <c r="CM2" s="150">
        <v>41153</v>
      </c>
      <c r="CN2" s="150">
        <v>41183</v>
      </c>
      <c r="CO2" s="150">
        <v>41214</v>
      </c>
      <c r="CP2" s="150">
        <v>41244</v>
      </c>
      <c r="CQ2" s="76">
        <v>2012</v>
      </c>
    </row>
    <row r="3" spans="1:95" s="127" customFormat="1" ht="12.75">
      <c r="A3" s="124"/>
      <c r="B3" s="125" t="s">
        <v>177</v>
      </c>
      <c r="C3" s="125"/>
      <c r="D3" s="126">
        <f aca="true" t="shared" si="0" ref="D3:AL3">D25-D24</f>
        <v>0</v>
      </c>
      <c r="E3" s="126">
        <f t="shared" si="0"/>
        <v>0</v>
      </c>
      <c r="F3" s="126">
        <f t="shared" si="0"/>
        <v>0</v>
      </c>
      <c r="G3" s="126">
        <f t="shared" si="0"/>
        <v>0</v>
      </c>
      <c r="H3" s="126">
        <f t="shared" si="0"/>
        <v>0</v>
      </c>
      <c r="I3" s="126">
        <f t="shared" si="0"/>
        <v>0</v>
      </c>
      <c r="J3" s="126">
        <f t="shared" si="0"/>
        <v>0</v>
      </c>
      <c r="K3" s="126">
        <f t="shared" si="0"/>
        <v>0</v>
      </c>
      <c r="L3" s="126">
        <f t="shared" si="0"/>
        <v>0</v>
      </c>
      <c r="M3" s="126">
        <f t="shared" si="0"/>
        <v>0</v>
      </c>
      <c r="N3" s="126">
        <f t="shared" si="0"/>
        <v>0</v>
      </c>
      <c r="O3" s="126">
        <f t="shared" si="0"/>
        <v>0</v>
      </c>
      <c r="P3" s="126">
        <f t="shared" si="0"/>
        <v>0</v>
      </c>
      <c r="Q3" s="126">
        <f t="shared" si="0"/>
        <v>0</v>
      </c>
      <c r="R3" s="126">
        <f t="shared" si="0"/>
        <v>0</v>
      </c>
      <c r="S3" s="126">
        <f t="shared" si="0"/>
        <v>0</v>
      </c>
      <c r="T3" s="126">
        <f t="shared" si="0"/>
        <v>0</v>
      </c>
      <c r="U3" s="126">
        <f t="shared" si="0"/>
        <v>0</v>
      </c>
      <c r="V3" s="126">
        <f t="shared" si="0"/>
        <v>0</v>
      </c>
      <c r="W3" s="126">
        <f t="shared" si="0"/>
        <v>0</v>
      </c>
      <c r="X3" s="126">
        <f t="shared" si="0"/>
        <v>0</v>
      </c>
      <c r="Y3" s="126">
        <f t="shared" si="0"/>
        <v>0</v>
      </c>
      <c r="Z3" s="126">
        <f t="shared" si="0"/>
        <v>0</v>
      </c>
      <c r="AA3" s="126">
        <f t="shared" si="0"/>
        <v>0</v>
      </c>
      <c r="AB3" s="126">
        <f t="shared" si="0"/>
        <v>0</v>
      </c>
      <c r="AC3" s="126">
        <f t="shared" si="0"/>
        <v>0</v>
      </c>
      <c r="AD3" s="126">
        <f t="shared" si="0"/>
        <v>0</v>
      </c>
      <c r="AE3" s="126">
        <f t="shared" si="0"/>
        <v>0</v>
      </c>
      <c r="AF3" s="126">
        <f t="shared" si="0"/>
        <v>0</v>
      </c>
      <c r="AG3" s="126">
        <f t="shared" si="0"/>
        <v>0</v>
      </c>
      <c r="AH3" s="126">
        <f t="shared" si="0"/>
        <v>0</v>
      </c>
      <c r="AI3" s="126">
        <f t="shared" si="0"/>
        <v>0</v>
      </c>
      <c r="AJ3" s="126">
        <f t="shared" si="0"/>
        <v>0</v>
      </c>
      <c r="AK3" s="126">
        <f t="shared" si="0"/>
        <v>0</v>
      </c>
      <c r="AL3" s="126">
        <f t="shared" si="0"/>
        <v>0</v>
      </c>
      <c r="AM3" s="126">
        <f>AM25-AM24</f>
        <v>0</v>
      </c>
      <c r="AN3" s="126">
        <f>SUM(O3:Z3)</f>
        <v>0</v>
      </c>
      <c r="AO3" s="139">
        <f>SUM(P3:AA3)</f>
        <v>0</v>
      </c>
      <c r="AP3" s="126">
        <f>SUM(AB3:AM3)</f>
        <v>0</v>
      </c>
      <c r="AQ3" s="126">
        <f>BO3</f>
        <v>0</v>
      </c>
      <c r="AR3" s="126">
        <f>CC3</f>
        <v>0</v>
      </c>
      <c r="AS3" s="126">
        <f>CQ3</f>
        <v>0</v>
      </c>
      <c r="AT3" s="126">
        <f>AS3</f>
        <v>0</v>
      </c>
      <c r="AU3" s="126">
        <f>AT3</f>
        <v>0</v>
      </c>
      <c r="AV3" s="126">
        <f>AU3</f>
        <v>0</v>
      </c>
      <c r="AW3" s="126">
        <f>AV3</f>
        <v>0</v>
      </c>
      <c r="AX3" s="126">
        <f>AW3</f>
        <v>0</v>
      </c>
      <c r="BC3" s="126">
        <f aca="true" t="shared" si="1" ref="BC3:BO3">BC25-BC24</f>
        <v>0</v>
      </c>
      <c r="BD3" s="126">
        <f t="shared" si="1"/>
        <v>0</v>
      </c>
      <c r="BE3" s="126">
        <f t="shared" si="1"/>
        <v>0</v>
      </c>
      <c r="BF3" s="126">
        <f t="shared" si="1"/>
        <v>0</v>
      </c>
      <c r="BG3" s="126">
        <f t="shared" si="1"/>
        <v>0</v>
      </c>
      <c r="BH3" s="126">
        <f t="shared" si="1"/>
        <v>0</v>
      </c>
      <c r="BI3" s="126">
        <f t="shared" si="1"/>
        <v>0</v>
      </c>
      <c r="BJ3" s="126">
        <f t="shared" si="1"/>
        <v>0</v>
      </c>
      <c r="BK3" s="126">
        <f t="shared" si="1"/>
        <v>0</v>
      </c>
      <c r="BL3" s="126">
        <f t="shared" si="1"/>
        <v>0</v>
      </c>
      <c r="BM3" s="126">
        <f t="shared" si="1"/>
        <v>0</v>
      </c>
      <c r="BN3" s="126">
        <f t="shared" si="1"/>
        <v>0</v>
      </c>
      <c r="BO3" s="126">
        <f t="shared" si="1"/>
        <v>0</v>
      </c>
      <c r="BP3" s="126"/>
      <c r="BQ3" s="126">
        <f aca="true" t="shared" si="2" ref="BQ3:CB3">BQ25-BQ24</f>
        <v>0</v>
      </c>
      <c r="BR3" s="126">
        <f t="shared" si="2"/>
        <v>0</v>
      </c>
      <c r="BS3" s="126">
        <f t="shared" si="2"/>
        <v>0</v>
      </c>
      <c r="BT3" s="126">
        <f t="shared" si="2"/>
        <v>0</v>
      </c>
      <c r="BU3" s="126">
        <f t="shared" si="2"/>
        <v>0</v>
      </c>
      <c r="BV3" s="126">
        <f t="shared" si="2"/>
        <v>0</v>
      </c>
      <c r="BW3" s="126">
        <f t="shared" si="2"/>
        <v>0</v>
      </c>
      <c r="BX3" s="126">
        <f t="shared" si="2"/>
        <v>0</v>
      </c>
      <c r="BY3" s="126">
        <f t="shared" si="2"/>
        <v>0</v>
      </c>
      <c r="BZ3" s="126">
        <f t="shared" si="2"/>
        <v>0</v>
      </c>
      <c r="CA3" s="126">
        <f t="shared" si="2"/>
        <v>0</v>
      </c>
      <c r="CB3" s="126">
        <f t="shared" si="2"/>
        <v>0</v>
      </c>
      <c r="CC3" s="126">
        <f>CC25-CC24</f>
        <v>0</v>
      </c>
      <c r="CD3" s="126"/>
      <c r="CE3" s="126">
        <f aca="true" t="shared" si="3" ref="CE3:CP3">CE25-CE24</f>
        <v>0</v>
      </c>
      <c r="CF3" s="126">
        <f t="shared" si="3"/>
        <v>0</v>
      </c>
      <c r="CG3" s="126">
        <f t="shared" si="3"/>
        <v>0</v>
      </c>
      <c r="CH3" s="126">
        <f t="shared" si="3"/>
        <v>0</v>
      </c>
      <c r="CI3" s="126">
        <f t="shared" si="3"/>
        <v>0</v>
      </c>
      <c r="CJ3" s="126">
        <f t="shared" si="3"/>
        <v>0</v>
      </c>
      <c r="CK3" s="126">
        <f t="shared" si="3"/>
        <v>0</v>
      </c>
      <c r="CL3" s="126">
        <f t="shared" si="3"/>
        <v>0</v>
      </c>
      <c r="CM3" s="126">
        <f t="shared" si="3"/>
        <v>0</v>
      </c>
      <c r="CN3" s="126">
        <f t="shared" si="3"/>
        <v>0</v>
      </c>
      <c r="CO3" s="126">
        <f t="shared" si="3"/>
        <v>0</v>
      </c>
      <c r="CP3" s="126">
        <f t="shared" si="3"/>
        <v>0</v>
      </c>
      <c r="CQ3" s="126">
        <f>CQ25-CQ24</f>
        <v>0</v>
      </c>
    </row>
    <row r="4" spans="1:95" ht="12.75">
      <c r="A4" s="28" t="s">
        <v>2</v>
      </c>
      <c r="B4" s="29" t="s">
        <v>40</v>
      </c>
      <c r="C4" s="26" t="s">
        <v>74</v>
      </c>
      <c r="D4" s="54">
        <f>D6*60*744</f>
        <v>892800</v>
      </c>
      <c r="E4" s="54">
        <f>E6*60*28*24</f>
        <v>806400</v>
      </c>
      <c r="F4" s="54">
        <f>F6*60*744</f>
        <v>892800</v>
      </c>
      <c r="G4" s="54">
        <f>G6*60*720</f>
        <v>864000</v>
      </c>
      <c r="H4" s="54">
        <f>H6*60*744</f>
        <v>892800</v>
      </c>
      <c r="I4" s="54">
        <f>I6*60*720</f>
        <v>864000</v>
      </c>
      <c r="J4" s="54">
        <f>J6*60*744</f>
        <v>892800</v>
      </c>
      <c r="K4" s="54">
        <f>K6*60*744</f>
        <v>892800</v>
      </c>
      <c r="L4" s="54">
        <f>L6*60*720</f>
        <v>864000</v>
      </c>
      <c r="M4" s="54">
        <f>M6*60*744</f>
        <v>892800</v>
      </c>
      <c r="N4" s="54">
        <f>N6*60*720</f>
        <v>864000</v>
      </c>
      <c r="O4" s="54">
        <f>O6*60*744</f>
        <v>892800</v>
      </c>
      <c r="P4" s="54">
        <f>P6*60*744</f>
        <v>892800</v>
      </c>
      <c r="Q4" s="54">
        <f>Q6*60*28*24</f>
        <v>806400</v>
      </c>
      <c r="R4" s="54">
        <f>R6*60*744</f>
        <v>892800</v>
      </c>
      <c r="S4" s="54">
        <f>S6*60*720</f>
        <v>864000</v>
      </c>
      <c r="T4" s="54">
        <f>T6*60*744</f>
        <v>892800</v>
      </c>
      <c r="U4" s="54">
        <f>U6*60*720</f>
        <v>864000</v>
      </c>
      <c r="V4" s="54">
        <f>V6*60*744</f>
        <v>892800</v>
      </c>
      <c r="W4" s="54">
        <f>W6*60*744</f>
        <v>892800</v>
      </c>
      <c r="X4" s="54">
        <f>X6*60*720</f>
        <v>864000</v>
      </c>
      <c r="Y4" s="54">
        <f>Y6*60*744</f>
        <v>892800</v>
      </c>
      <c r="Z4" s="54">
        <f>Z6*60*720</f>
        <v>864000</v>
      </c>
      <c r="AA4" s="54">
        <f>AA6*60*744</f>
        <v>892800</v>
      </c>
      <c r="AB4" s="54">
        <f>AB6*60*744</f>
        <v>1116000</v>
      </c>
      <c r="AC4" s="54">
        <f>AC6*60*28*24</f>
        <v>1008000</v>
      </c>
      <c r="AD4" s="54">
        <f>AD6*60*744</f>
        <v>1116000</v>
      </c>
      <c r="AE4" s="54">
        <f>AE6*60*720</f>
        <v>1080000</v>
      </c>
      <c r="AF4" s="54">
        <f>AF6*60*744</f>
        <v>1116000</v>
      </c>
      <c r="AG4" s="54">
        <f>AG6*60*720</f>
        <v>1080000</v>
      </c>
      <c r="AH4" s="54">
        <f>AH6*60*744</f>
        <v>1116000</v>
      </c>
      <c r="AI4" s="54">
        <f>AI6*60*744</f>
        <v>1116000</v>
      </c>
      <c r="AJ4" s="54">
        <f>AJ6*60*720</f>
        <v>1080000</v>
      </c>
      <c r="AK4" s="54">
        <f>AK6*60*744</f>
        <v>1116000</v>
      </c>
      <c r="AL4" s="54">
        <f>AL6*60*720</f>
        <v>1080000</v>
      </c>
      <c r="AM4" s="54">
        <f>AM6*60*744</f>
        <v>1116000</v>
      </c>
      <c r="AN4" s="14">
        <f>SUM(D4:O4)</f>
        <v>10512000</v>
      </c>
      <c r="AO4" s="140">
        <f>SUM(P4:AA4)</f>
        <v>10512000</v>
      </c>
      <c r="AP4" s="14">
        <f>SUM(AB4:AM4)</f>
        <v>13140000</v>
      </c>
      <c r="AQ4" s="52">
        <f>BO4</f>
        <v>13140000</v>
      </c>
      <c r="AR4" s="52">
        <f>CC4</f>
        <v>13140000</v>
      </c>
      <c r="AS4" s="52">
        <f>CQ4</f>
        <v>13140000</v>
      </c>
      <c r="AT4" s="52">
        <f>AT6*8760*60</f>
        <v>13140000</v>
      </c>
      <c r="AU4" s="52">
        <f>AU6*8760*60</f>
        <v>13140000</v>
      </c>
      <c r="AV4" s="52">
        <f>AV6*8760*60</f>
        <v>13140000</v>
      </c>
      <c r="AW4" s="52">
        <f>AW6*8760*60</f>
        <v>13140000</v>
      </c>
      <c r="AX4" s="52">
        <f>AX6*8760*60</f>
        <v>13140000</v>
      </c>
      <c r="AY4" s="52">
        <f>SUM(AO4:AX4)</f>
        <v>128772000</v>
      </c>
      <c r="BC4" s="54">
        <f>BC6*60*744</f>
        <v>1116000</v>
      </c>
      <c r="BD4" s="54">
        <f>BD6*60*28*24</f>
        <v>1008000</v>
      </c>
      <c r="BE4" s="54">
        <f>BE6*60*744</f>
        <v>1116000</v>
      </c>
      <c r="BF4" s="54">
        <f>BF6*60*720</f>
        <v>1080000</v>
      </c>
      <c r="BG4" s="54">
        <f>BG6*60*744</f>
        <v>1116000</v>
      </c>
      <c r="BH4" s="54">
        <f>BH6*60*720</f>
        <v>1080000</v>
      </c>
      <c r="BI4" s="54">
        <f>BI6*60*744</f>
        <v>1116000</v>
      </c>
      <c r="BJ4" s="54">
        <f>BJ6*60*744</f>
        <v>1116000</v>
      </c>
      <c r="BK4" s="54">
        <f>BK6*60*720</f>
        <v>1080000</v>
      </c>
      <c r="BL4" s="54">
        <f>BL6*60*744</f>
        <v>1116000</v>
      </c>
      <c r="BM4" s="54">
        <f>BM6*60*720</f>
        <v>1080000</v>
      </c>
      <c r="BN4" s="54">
        <f>BN6*60*744</f>
        <v>1116000</v>
      </c>
      <c r="BO4" s="50">
        <f>SUM(BC4:BN4)</f>
        <v>13140000</v>
      </c>
      <c r="BQ4" s="54">
        <f>BQ6*60*744</f>
        <v>1116000</v>
      </c>
      <c r="BR4" s="54">
        <f>BR6*60*28*24</f>
        <v>1008000</v>
      </c>
      <c r="BS4" s="54">
        <f>BS6*60*744</f>
        <v>1116000</v>
      </c>
      <c r="BT4" s="54">
        <f>BT6*60*720</f>
        <v>1080000</v>
      </c>
      <c r="BU4" s="54">
        <f>BU6*60*744</f>
        <v>1116000</v>
      </c>
      <c r="BV4" s="54">
        <f>BV6*60*720</f>
        <v>1080000</v>
      </c>
      <c r="BW4" s="54">
        <f>BW6*60*744</f>
        <v>1116000</v>
      </c>
      <c r="BX4" s="54">
        <f>BX6*60*744</f>
        <v>1116000</v>
      </c>
      <c r="BY4" s="54">
        <f>BY6*60*720</f>
        <v>1080000</v>
      </c>
      <c r="BZ4" s="54">
        <f>BZ6*60*744</f>
        <v>1116000</v>
      </c>
      <c r="CA4" s="54">
        <f>CA6*60*720</f>
        <v>1080000</v>
      </c>
      <c r="CB4" s="54">
        <f>CB6*60*744</f>
        <v>1116000</v>
      </c>
      <c r="CC4" s="50">
        <f>SUM(BQ4:CB4)</f>
        <v>13140000</v>
      </c>
      <c r="CE4" s="54">
        <f>CE6*60*744</f>
        <v>1116000</v>
      </c>
      <c r="CF4" s="54">
        <f>CF6*60*28*24</f>
        <v>1008000</v>
      </c>
      <c r="CG4" s="54">
        <f>CG6*60*744</f>
        <v>1116000</v>
      </c>
      <c r="CH4" s="54">
        <f>CH6*60*720</f>
        <v>1080000</v>
      </c>
      <c r="CI4" s="54">
        <f>CI6*60*744</f>
        <v>1116000</v>
      </c>
      <c r="CJ4" s="54">
        <f>CJ6*60*720</f>
        <v>1080000</v>
      </c>
      <c r="CK4" s="54">
        <f>CK6*60*744</f>
        <v>1116000</v>
      </c>
      <c r="CL4" s="54">
        <f>CL6*60*744</f>
        <v>1116000</v>
      </c>
      <c r="CM4" s="54">
        <f>CM6*60*720</f>
        <v>1080000</v>
      </c>
      <c r="CN4" s="54">
        <f>CN6*60*744</f>
        <v>1116000</v>
      </c>
      <c r="CO4" s="54">
        <f>CO6*60*720</f>
        <v>1080000</v>
      </c>
      <c r="CP4" s="54">
        <f>CP6*60*744</f>
        <v>1116000</v>
      </c>
      <c r="CQ4" s="50">
        <f>SUM(CE4:CP4)</f>
        <v>13140000</v>
      </c>
    </row>
    <row r="5" spans="1:95" ht="12.75">
      <c r="A5" s="28"/>
      <c r="B5" s="29" t="s">
        <v>41</v>
      </c>
      <c r="C5" s="26" t="s">
        <v>74</v>
      </c>
      <c r="D5" s="54">
        <f aca="true" t="shared" si="4" ref="D5:O5">D4-D8</f>
        <v>892800</v>
      </c>
      <c r="E5" s="54">
        <f t="shared" si="4"/>
        <v>806400</v>
      </c>
      <c r="F5" s="54">
        <f t="shared" si="4"/>
        <v>892800</v>
      </c>
      <c r="G5" s="54">
        <f t="shared" si="4"/>
        <v>864000</v>
      </c>
      <c r="H5" s="54">
        <f t="shared" si="4"/>
        <v>892800</v>
      </c>
      <c r="I5" s="54">
        <f t="shared" si="4"/>
        <v>207844.29524223087</v>
      </c>
      <c r="J5" s="54">
        <f t="shared" si="4"/>
        <v>236644.29524223087</v>
      </c>
      <c r="K5" s="54">
        <f t="shared" si="4"/>
        <v>236644.29524223087</v>
      </c>
      <c r="L5" s="54">
        <f t="shared" si="4"/>
        <v>207844.29524223087</v>
      </c>
      <c r="M5" s="54">
        <f t="shared" si="4"/>
        <v>164492.7770540357</v>
      </c>
      <c r="N5" s="54">
        <f t="shared" si="4"/>
        <v>-138445.41314538324</v>
      </c>
      <c r="O5" s="54">
        <f t="shared" si="4"/>
        <v>44323.75544198358</v>
      </c>
      <c r="P5" s="54">
        <f aca="true" t="shared" si="5" ref="P5:AM5">P4-P8</f>
        <v>96516.69394617574</v>
      </c>
      <c r="Q5" s="54">
        <f t="shared" si="5"/>
        <v>30993.869347852655</v>
      </c>
      <c r="R5" s="54">
        <f t="shared" si="5"/>
        <v>10335.713888053782</v>
      </c>
      <c r="S5" s="54">
        <f t="shared" si="5"/>
        <v>142978.911269221</v>
      </c>
      <c r="T5" s="54">
        <f t="shared" si="5"/>
        <v>124638.24921223451</v>
      </c>
      <c r="U5" s="54">
        <f t="shared" si="5"/>
        <v>153772.41095188784</v>
      </c>
      <c r="V5" s="54">
        <f t="shared" si="5"/>
        <v>180693.46516573697</v>
      </c>
      <c r="W5" s="54">
        <f t="shared" si="5"/>
        <v>180693.46516573697</v>
      </c>
      <c r="X5" s="54">
        <f t="shared" si="5"/>
        <v>153772.41095188784</v>
      </c>
      <c r="Y5" s="54">
        <f t="shared" si="5"/>
        <v>152196.12074244802</v>
      </c>
      <c r="Z5" s="54">
        <f t="shared" si="5"/>
        <v>67716.69394617574</v>
      </c>
      <c r="AA5" s="54">
        <f t="shared" si="5"/>
        <v>44323.75544198358</v>
      </c>
      <c r="AB5" s="54">
        <f t="shared" si="5"/>
        <v>124306.3321864804</v>
      </c>
      <c r="AC5" s="54">
        <f t="shared" si="5"/>
        <v>16306.332186480402</v>
      </c>
      <c r="AD5" s="54">
        <f t="shared" si="5"/>
        <v>38125.35212835856</v>
      </c>
      <c r="AE5" s="54">
        <f t="shared" si="5"/>
        <v>163568.54950952553</v>
      </c>
      <c r="AF5" s="54">
        <f t="shared" si="5"/>
        <v>152427.88745253917</v>
      </c>
      <c r="AG5" s="54">
        <f t="shared" si="5"/>
        <v>174362.0491921925</v>
      </c>
      <c r="AH5" s="54">
        <f t="shared" si="5"/>
        <v>208483.10340604163</v>
      </c>
      <c r="AI5" s="54">
        <f t="shared" si="5"/>
        <v>208483.10340604163</v>
      </c>
      <c r="AJ5" s="54">
        <f t="shared" si="5"/>
        <v>174362.0491921925</v>
      </c>
      <c r="AK5" s="54">
        <f t="shared" si="5"/>
        <v>179985.75898275268</v>
      </c>
      <c r="AL5" s="54">
        <f t="shared" si="5"/>
        <v>88306.3321864804</v>
      </c>
      <c r="AM5" s="54">
        <f t="shared" si="5"/>
        <v>72113.39368228824</v>
      </c>
      <c r="AN5" s="14">
        <f>SUM(D5:O5)</f>
        <v>5308148.300319562</v>
      </c>
      <c r="AO5" s="140">
        <f>SUM(P5:AA5)</f>
        <v>1338631.7600293946</v>
      </c>
      <c r="AP5" s="14">
        <f>SUM(AB5:AM5)</f>
        <v>1600830.2435113734</v>
      </c>
      <c r="AQ5" s="52">
        <f>BO5</f>
        <v>1600830.2435113734</v>
      </c>
      <c r="AR5" s="52">
        <f>CC5</f>
        <v>1600830.2435113734</v>
      </c>
      <c r="AS5" s="52">
        <f>CQ5</f>
        <v>1600830.2435113734</v>
      </c>
      <c r="AT5" s="52">
        <f>AT4-AT8</f>
        <v>1600830.243511375</v>
      </c>
      <c r="AU5" s="52">
        <f>AU4-AU8</f>
        <v>1600830.243511375</v>
      </c>
      <c r="AV5" s="52">
        <f>AV4-AV8</f>
        <v>1600830.243511375</v>
      </c>
      <c r="AW5" s="52">
        <f>AW4-AW8</f>
        <v>1600830.243511375</v>
      </c>
      <c r="AX5" s="52">
        <f>AX4-AX8</f>
        <v>1600830.243511375</v>
      </c>
      <c r="AY5" s="52">
        <f>SUM(AO5:AX5)</f>
        <v>15746103.951631762</v>
      </c>
      <c r="BC5" s="54">
        <f aca="true" t="shared" si="6" ref="BC5:BN5">BC4-BC8</f>
        <v>124306.3321864804</v>
      </c>
      <c r="BD5" s="54">
        <f t="shared" si="6"/>
        <v>16306.332186480402</v>
      </c>
      <c r="BE5" s="54">
        <f t="shared" si="6"/>
        <v>38125.35212835856</v>
      </c>
      <c r="BF5" s="54">
        <f t="shared" si="6"/>
        <v>163568.54950952553</v>
      </c>
      <c r="BG5" s="54">
        <f t="shared" si="6"/>
        <v>152427.88745253917</v>
      </c>
      <c r="BH5" s="54">
        <f t="shared" si="6"/>
        <v>174362.0491921925</v>
      </c>
      <c r="BI5" s="54">
        <f t="shared" si="6"/>
        <v>208483.10340604163</v>
      </c>
      <c r="BJ5" s="54">
        <f t="shared" si="6"/>
        <v>208483.10340604163</v>
      </c>
      <c r="BK5" s="54">
        <f t="shared" si="6"/>
        <v>174362.0491921925</v>
      </c>
      <c r="BL5" s="54">
        <f t="shared" si="6"/>
        <v>179985.75898275268</v>
      </c>
      <c r="BM5" s="54">
        <f t="shared" si="6"/>
        <v>88306.3321864804</v>
      </c>
      <c r="BN5" s="54">
        <f t="shared" si="6"/>
        <v>72113.39368228824</v>
      </c>
      <c r="BO5" s="50">
        <f>SUM(BC5:BN5)</f>
        <v>1600830.2435113734</v>
      </c>
      <c r="BQ5" s="54">
        <f aca="true" t="shared" si="7" ref="BQ5:CB5">BQ4-BQ8</f>
        <v>124306.3321864804</v>
      </c>
      <c r="BR5" s="54">
        <f t="shared" si="7"/>
        <v>16306.332186480402</v>
      </c>
      <c r="BS5" s="54">
        <f t="shared" si="7"/>
        <v>38125.35212835856</v>
      </c>
      <c r="BT5" s="54">
        <f t="shared" si="7"/>
        <v>163568.54950952553</v>
      </c>
      <c r="BU5" s="54">
        <f t="shared" si="7"/>
        <v>152427.88745253917</v>
      </c>
      <c r="BV5" s="54">
        <f t="shared" si="7"/>
        <v>174362.0491921925</v>
      </c>
      <c r="BW5" s="54">
        <f t="shared" si="7"/>
        <v>208483.10340604163</v>
      </c>
      <c r="BX5" s="54">
        <f t="shared" si="7"/>
        <v>208483.10340604163</v>
      </c>
      <c r="BY5" s="54">
        <f t="shared" si="7"/>
        <v>174362.0491921925</v>
      </c>
      <c r="BZ5" s="54">
        <f t="shared" si="7"/>
        <v>179985.75898275268</v>
      </c>
      <c r="CA5" s="54">
        <f t="shared" si="7"/>
        <v>88306.3321864804</v>
      </c>
      <c r="CB5" s="54">
        <f t="shared" si="7"/>
        <v>72113.39368228824</v>
      </c>
      <c r="CC5" s="50">
        <f>SUM(BQ5:CB5)</f>
        <v>1600830.2435113734</v>
      </c>
      <c r="CE5" s="54">
        <f aca="true" t="shared" si="8" ref="CE5:CP5">CE4-CE8</f>
        <v>124306.3321864804</v>
      </c>
      <c r="CF5" s="54">
        <f t="shared" si="8"/>
        <v>16306.332186480402</v>
      </c>
      <c r="CG5" s="54">
        <f t="shared" si="8"/>
        <v>38125.35212835856</v>
      </c>
      <c r="CH5" s="54">
        <f t="shared" si="8"/>
        <v>163568.54950952553</v>
      </c>
      <c r="CI5" s="54">
        <f t="shared" si="8"/>
        <v>152427.88745253917</v>
      </c>
      <c r="CJ5" s="54">
        <f t="shared" si="8"/>
        <v>174362.0491921925</v>
      </c>
      <c r="CK5" s="54">
        <f t="shared" si="8"/>
        <v>208483.10340604163</v>
      </c>
      <c r="CL5" s="54">
        <f t="shared" si="8"/>
        <v>208483.10340604163</v>
      </c>
      <c r="CM5" s="54">
        <f t="shared" si="8"/>
        <v>174362.0491921925</v>
      </c>
      <c r="CN5" s="54">
        <f t="shared" si="8"/>
        <v>179985.75898275268</v>
      </c>
      <c r="CO5" s="54">
        <f t="shared" si="8"/>
        <v>88306.3321864804</v>
      </c>
      <c r="CP5" s="54">
        <f t="shared" si="8"/>
        <v>72113.39368228824</v>
      </c>
      <c r="CQ5" s="50">
        <f>SUM(CE5:CP5)</f>
        <v>1600830.2435113734</v>
      </c>
    </row>
    <row r="6" spans="1:95" ht="12.75">
      <c r="A6" s="25"/>
      <c r="B6" s="26" t="s">
        <v>40</v>
      </c>
      <c r="C6" s="26" t="s">
        <v>75</v>
      </c>
      <c r="D6" s="38">
        <v>20</v>
      </c>
      <c r="E6" s="38">
        <v>20</v>
      </c>
      <c r="F6" s="38">
        <v>20</v>
      </c>
      <c r="G6" s="38">
        <v>20</v>
      </c>
      <c r="H6" s="38">
        <v>20</v>
      </c>
      <c r="I6" s="38">
        <v>20</v>
      </c>
      <c r="J6" s="38">
        <v>20</v>
      </c>
      <c r="K6" s="38">
        <v>20</v>
      </c>
      <c r="L6" s="38">
        <v>20</v>
      </c>
      <c r="M6" s="38">
        <v>20</v>
      </c>
      <c r="N6" s="38">
        <v>20</v>
      </c>
      <c r="O6" s="38">
        <v>20</v>
      </c>
      <c r="P6" s="38">
        <v>20</v>
      </c>
      <c r="Q6" s="38">
        <v>20</v>
      </c>
      <c r="R6" s="38">
        <v>20</v>
      </c>
      <c r="S6" s="38">
        <v>20</v>
      </c>
      <c r="T6" s="38">
        <v>20</v>
      </c>
      <c r="U6" s="38">
        <v>20</v>
      </c>
      <c r="V6" s="38">
        <v>20</v>
      </c>
      <c r="W6" s="38">
        <v>20</v>
      </c>
      <c r="X6" s="38">
        <v>20</v>
      </c>
      <c r="Y6" s="38">
        <v>20</v>
      </c>
      <c r="Z6" s="38">
        <v>20</v>
      </c>
      <c r="AA6" s="38">
        <v>20</v>
      </c>
      <c r="AB6" s="38">
        <v>25</v>
      </c>
      <c r="AC6" s="38">
        <v>25</v>
      </c>
      <c r="AD6" s="38">
        <v>25</v>
      </c>
      <c r="AE6" s="38">
        <v>25</v>
      </c>
      <c r="AF6" s="38">
        <v>25</v>
      </c>
      <c r="AG6" s="38">
        <v>25</v>
      </c>
      <c r="AH6" s="38">
        <v>25</v>
      </c>
      <c r="AI6" s="38">
        <v>25</v>
      </c>
      <c r="AJ6" s="38">
        <v>25</v>
      </c>
      <c r="AK6" s="38">
        <v>25</v>
      </c>
      <c r="AL6" s="38">
        <v>25</v>
      </c>
      <c r="AM6" s="38">
        <v>25</v>
      </c>
      <c r="AN6" s="61">
        <f>AVERAGE(D6:O6)</f>
        <v>20</v>
      </c>
      <c r="AO6" s="141">
        <f>AVERAGE(P6:AA6)</f>
        <v>20</v>
      </c>
      <c r="AP6" s="61">
        <f>AVERAGE(AB6:AM6)</f>
        <v>25</v>
      </c>
      <c r="AQ6" s="61">
        <f>BO6</f>
        <v>25</v>
      </c>
      <c r="AR6" s="61">
        <f>CC6</f>
        <v>25</v>
      </c>
      <c r="AS6" s="61">
        <f>CQ6</f>
        <v>25</v>
      </c>
      <c r="AT6" s="61">
        <f>AS6</f>
        <v>25</v>
      </c>
      <c r="AU6" s="61">
        <f>AT6</f>
        <v>25</v>
      </c>
      <c r="AV6" s="61">
        <f>AU6</f>
        <v>25</v>
      </c>
      <c r="AW6" s="61">
        <f>AV6</f>
        <v>25</v>
      </c>
      <c r="AX6" s="61">
        <f>AW6</f>
        <v>25</v>
      </c>
      <c r="BC6" s="38">
        <v>25</v>
      </c>
      <c r="BD6" s="38">
        <v>25</v>
      </c>
      <c r="BE6" s="38">
        <v>25</v>
      </c>
      <c r="BF6" s="38">
        <v>25</v>
      </c>
      <c r="BG6" s="38">
        <v>25</v>
      </c>
      <c r="BH6" s="38">
        <v>25</v>
      </c>
      <c r="BI6" s="38">
        <v>25</v>
      </c>
      <c r="BJ6" s="38">
        <v>25</v>
      </c>
      <c r="BK6" s="38">
        <v>25</v>
      </c>
      <c r="BL6" s="38">
        <v>25</v>
      </c>
      <c r="BM6" s="38">
        <v>25</v>
      </c>
      <c r="BN6" s="38">
        <v>25</v>
      </c>
      <c r="BO6" s="60">
        <f>AVERAGE(BC6:BN6)</f>
        <v>25</v>
      </c>
      <c r="BQ6" s="38">
        <v>25</v>
      </c>
      <c r="BR6" s="38">
        <v>25</v>
      </c>
      <c r="BS6" s="38">
        <v>25</v>
      </c>
      <c r="BT6" s="38">
        <v>25</v>
      </c>
      <c r="BU6" s="38">
        <v>25</v>
      </c>
      <c r="BV6" s="38">
        <v>25</v>
      </c>
      <c r="BW6" s="38">
        <v>25</v>
      </c>
      <c r="BX6" s="38">
        <v>25</v>
      </c>
      <c r="BY6" s="38">
        <v>25</v>
      </c>
      <c r="BZ6" s="38">
        <v>25</v>
      </c>
      <c r="CA6" s="38">
        <v>25</v>
      </c>
      <c r="CB6" s="38">
        <v>25</v>
      </c>
      <c r="CC6" s="60">
        <f>AVERAGE(BQ6:CB6)</f>
        <v>25</v>
      </c>
      <c r="CE6" s="38">
        <v>25</v>
      </c>
      <c r="CF6" s="38">
        <v>25</v>
      </c>
      <c r="CG6" s="38">
        <v>25</v>
      </c>
      <c r="CH6" s="38">
        <v>25</v>
      </c>
      <c r="CI6" s="38">
        <v>25</v>
      </c>
      <c r="CJ6" s="38">
        <v>25</v>
      </c>
      <c r="CK6" s="38">
        <v>25</v>
      </c>
      <c r="CL6" s="38">
        <v>25</v>
      </c>
      <c r="CM6" s="38">
        <v>25</v>
      </c>
      <c r="CN6" s="38">
        <v>25</v>
      </c>
      <c r="CO6" s="38">
        <v>25</v>
      </c>
      <c r="CP6" s="38">
        <v>25</v>
      </c>
      <c r="CQ6" s="60">
        <f>AVERAGE(CE6:CP6)</f>
        <v>25</v>
      </c>
    </row>
    <row r="7" spans="1:94" ht="12.75">
      <c r="A7" s="3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P7" s="26"/>
      <c r="AQ7" s="26"/>
      <c r="AR7" s="26"/>
      <c r="AS7" s="26"/>
      <c r="AT7" s="26"/>
      <c r="AU7" s="26"/>
      <c r="AV7" s="26"/>
      <c r="AW7" s="26"/>
      <c r="AX7" s="27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</row>
    <row r="8" spans="1:95" s="73" customFormat="1" ht="12.75">
      <c r="A8" s="70" t="s">
        <v>3</v>
      </c>
      <c r="B8" s="69" t="s">
        <v>42</v>
      </c>
      <c r="C8" s="69" t="s">
        <v>15</v>
      </c>
      <c r="D8" s="71">
        <f aca="true" t="shared" si="9" ref="D8:AM8">D26+D69+D104</f>
        <v>0</v>
      </c>
      <c r="E8" s="71">
        <f t="shared" si="9"/>
        <v>0</v>
      </c>
      <c r="F8" s="71">
        <f t="shared" si="9"/>
        <v>0</v>
      </c>
      <c r="G8" s="71">
        <f t="shared" si="9"/>
        <v>0</v>
      </c>
      <c r="H8" s="71">
        <f t="shared" si="9"/>
        <v>0</v>
      </c>
      <c r="I8" s="71">
        <f t="shared" si="9"/>
        <v>656155.7047577691</v>
      </c>
      <c r="J8" s="71">
        <f t="shared" si="9"/>
        <v>656155.7047577691</v>
      </c>
      <c r="K8" s="71">
        <f t="shared" si="9"/>
        <v>656155.7047577691</v>
      </c>
      <c r="L8" s="71">
        <f t="shared" si="9"/>
        <v>656155.7047577691</v>
      </c>
      <c r="M8" s="71">
        <f t="shared" si="9"/>
        <v>728307.2229459643</v>
      </c>
      <c r="N8" s="71">
        <f t="shared" si="9"/>
        <v>1002445.4131453832</v>
      </c>
      <c r="O8" s="71">
        <f t="shared" si="9"/>
        <v>848476.2445580164</v>
      </c>
      <c r="P8" s="71">
        <f t="shared" si="9"/>
        <v>796283.3060538243</v>
      </c>
      <c r="Q8" s="71">
        <f t="shared" si="9"/>
        <v>775406.1306521473</v>
      </c>
      <c r="R8" s="71">
        <f t="shared" si="9"/>
        <v>882464.2861119462</v>
      </c>
      <c r="S8" s="71">
        <f t="shared" si="9"/>
        <v>721021.088730779</v>
      </c>
      <c r="T8" s="71">
        <f t="shared" si="9"/>
        <v>768161.7507877655</v>
      </c>
      <c r="U8" s="71">
        <f t="shared" si="9"/>
        <v>710227.5890481122</v>
      </c>
      <c r="V8" s="71">
        <f t="shared" si="9"/>
        <v>712106.534834263</v>
      </c>
      <c r="W8" s="71">
        <f t="shared" si="9"/>
        <v>712106.534834263</v>
      </c>
      <c r="X8" s="71">
        <f t="shared" si="9"/>
        <v>710227.5890481122</v>
      </c>
      <c r="Y8" s="71">
        <f t="shared" si="9"/>
        <v>740603.879257552</v>
      </c>
      <c r="Z8" s="71">
        <f t="shared" si="9"/>
        <v>796283.3060538243</v>
      </c>
      <c r="AA8" s="71">
        <f t="shared" si="9"/>
        <v>848476.2445580164</v>
      </c>
      <c r="AB8" s="71">
        <f t="shared" si="9"/>
        <v>991693.6678135196</v>
      </c>
      <c r="AC8" s="71">
        <f t="shared" si="9"/>
        <v>991693.6678135196</v>
      </c>
      <c r="AD8" s="71">
        <f t="shared" si="9"/>
        <v>1077874.6478716414</v>
      </c>
      <c r="AE8" s="71">
        <f t="shared" si="9"/>
        <v>916431.4504904745</v>
      </c>
      <c r="AF8" s="71">
        <f t="shared" si="9"/>
        <v>963572.1125474608</v>
      </c>
      <c r="AG8" s="71">
        <f t="shared" si="9"/>
        <v>905637.9508078075</v>
      </c>
      <c r="AH8" s="71">
        <f t="shared" si="9"/>
        <v>907516.8965939584</v>
      </c>
      <c r="AI8" s="71">
        <f t="shared" si="9"/>
        <v>907516.8965939584</v>
      </c>
      <c r="AJ8" s="71">
        <f t="shared" si="9"/>
        <v>905637.9508078075</v>
      </c>
      <c r="AK8" s="71">
        <f t="shared" si="9"/>
        <v>936014.2410172473</v>
      </c>
      <c r="AL8" s="71">
        <f t="shared" si="9"/>
        <v>991693.6678135196</v>
      </c>
      <c r="AM8" s="71">
        <f t="shared" si="9"/>
        <v>1043886.6063177118</v>
      </c>
      <c r="AN8" s="136">
        <f>SUM(D8:O8)</f>
        <v>5203851.699680441</v>
      </c>
      <c r="AO8" s="142">
        <f>SUM(P8:AA8)</f>
        <v>9173368.239970604</v>
      </c>
      <c r="AP8" s="71">
        <f>SUM(AB8:AM8)</f>
        <v>11539169.756488625</v>
      </c>
      <c r="AQ8" s="71">
        <f aca="true" t="shared" si="10" ref="AQ8:AX8">AQ26+AQ69+AQ104</f>
        <v>11539169.756488625</v>
      </c>
      <c r="AR8" s="71">
        <f t="shared" si="10"/>
        <v>11539169.756488625</v>
      </c>
      <c r="AS8" s="71">
        <f t="shared" si="10"/>
        <v>11539169.756488625</v>
      </c>
      <c r="AT8" s="71">
        <f t="shared" si="10"/>
        <v>11539169.756488625</v>
      </c>
      <c r="AU8" s="71">
        <f t="shared" si="10"/>
        <v>11539169.756488625</v>
      </c>
      <c r="AV8" s="71">
        <f t="shared" si="10"/>
        <v>11539169.756488625</v>
      </c>
      <c r="AW8" s="71">
        <f t="shared" si="10"/>
        <v>11539169.756488625</v>
      </c>
      <c r="AX8" s="72">
        <f t="shared" si="10"/>
        <v>11539169.756488625</v>
      </c>
      <c r="AY8" s="74">
        <f>SUM(AO8:AX8)</f>
        <v>113025896.04836822</v>
      </c>
      <c r="BB8" s="75"/>
      <c r="BC8" s="71">
        <f aca="true" t="shared" si="11" ref="BC8:BN8">BC26+BC69+BC104</f>
        <v>991693.6678135196</v>
      </c>
      <c r="BD8" s="71">
        <f t="shared" si="11"/>
        <v>991693.6678135196</v>
      </c>
      <c r="BE8" s="71">
        <f t="shared" si="11"/>
        <v>1077874.6478716414</v>
      </c>
      <c r="BF8" s="71">
        <f t="shared" si="11"/>
        <v>916431.4504904745</v>
      </c>
      <c r="BG8" s="71">
        <f t="shared" si="11"/>
        <v>963572.1125474608</v>
      </c>
      <c r="BH8" s="71">
        <f t="shared" si="11"/>
        <v>905637.9508078075</v>
      </c>
      <c r="BI8" s="71">
        <f t="shared" si="11"/>
        <v>907516.8965939584</v>
      </c>
      <c r="BJ8" s="71">
        <f t="shared" si="11"/>
        <v>907516.8965939584</v>
      </c>
      <c r="BK8" s="71">
        <f t="shared" si="11"/>
        <v>905637.9508078075</v>
      </c>
      <c r="BL8" s="71">
        <f t="shared" si="11"/>
        <v>936014.2410172473</v>
      </c>
      <c r="BM8" s="71">
        <f t="shared" si="11"/>
        <v>991693.6678135196</v>
      </c>
      <c r="BN8" s="71">
        <f t="shared" si="11"/>
        <v>1043886.6063177118</v>
      </c>
      <c r="BO8" s="74">
        <f>SUM(BC8:BN8)</f>
        <v>11539169.756488625</v>
      </c>
      <c r="BP8" s="75"/>
      <c r="BQ8" s="71">
        <f aca="true" t="shared" si="12" ref="BQ8:CB8">BQ26+BQ69+BQ104</f>
        <v>991693.6678135196</v>
      </c>
      <c r="BR8" s="71">
        <f t="shared" si="12"/>
        <v>991693.6678135196</v>
      </c>
      <c r="BS8" s="71">
        <f t="shared" si="12"/>
        <v>1077874.6478716414</v>
      </c>
      <c r="BT8" s="71">
        <f t="shared" si="12"/>
        <v>916431.4504904745</v>
      </c>
      <c r="BU8" s="71">
        <f t="shared" si="12"/>
        <v>963572.1125474608</v>
      </c>
      <c r="BV8" s="71">
        <f t="shared" si="12"/>
        <v>905637.9508078075</v>
      </c>
      <c r="BW8" s="71">
        <f t="shared" si="12"/>
        <v>907516.8965939584</v>
      </c>
      <c r="BX8" s="71">
        <f t="shared" si="12"/>
        <v>907516.8965939584</v>
      </c>
      <c r="BY8" s="71">
        <f t="shared" si="12"/>
        <v>905637.9508078075</v>
      </c>
      <c r="BZ8" s="71">
        <f t="shared" si="12"/>
        <v>936014.2410172473</v>
      </c>
      <c r="CA8" s="71">
        <f t="shared" si="12"/>
        <v>991693.6678135196</v>
      </c>
      <c r="CB8" s="71">
        <f t="shared" si="12"/>
        <v>1043886.6063177118</v>
      </c>
      <c r="CC8" s="74">
        <f>SUM(BQ8:CB8)</f>
        <v>11539169.756488625</v>
      </c>
      <c r="CD8" s="75"/>
      <c r="CE8" s="71">
        <f aca="true" t="shared" si="13" ref="CE8:CP8">CE26+CE69+CE104</f>
        <v>991693.6678135196</v>
      </c>
      <c r="CF8" s="71">
        <f t="shared" si="13"/>
        <v>991693.6678135196</v>
      </c>
      <c r="CG8" s="71">
        <f t="shared" si="13"/>
        <v>1077874.6478716414</v>
      </c>
      <c r="CH8" s="71">
        <f t="shared" si="13"/>
        <v>916431.4504904745</v>
      </c>
      <c r="CI8" s="71">
        <f t="shared" si="13"/>
        <v>963572.1125474608</v>
      </c>
      <c r="CJ8" s="71">
        <f t="shared" si="13"/>
        <v>905637.9508078075</v>
      </c>
      <c r="CK8" s="71">
        <f t="shared" si="13"/>
        <v>907516.8965939584</v>
      </c>
      <c r="CL8" s="71">
        <f t="shared" si="13"/>
        <v>907516.8965939584</v>
      </c>
      <c r="CM8" s="71">
        <f t="shared" si="13"/>
        <v>905637.9508078075</v>
      </c>
      <c r="CN8" s="71">
        <f t="shared" si="13"/>
        <v>936014.2410172473</v>
      </c>
      <c r="CO8" s="71">
        <f t="shared" si="13"/>
        <v>991693.6678135196</v>
      </c>
      <c r="CP8" s="71">
        <f t="shared" si="13"/>
        <v>1043886.6063177118</v>
      </c>
      <c r="CQ8" s="74">
        <f>SUM(CE8:CP8)</f>
        <v>11539169.756488625</v>
      </c>
    </row>
    <row r="9" spans="1:99" ht="12.75">
      <c r="A9" s="32"/>
      <c r="B9" s="33" t="s">
        <v>114</v>
      </c>
      <c r="C9" s="33" t="s">
        <v>16</v>
      </c>
      <c r="D9" s="68">
        <f aca="true" t="shared" si="14" ref="D9:O9">SUM(D10:D14)</f>
        <v>0</v>
      </c>
      <c r="E9" s="68">
        <f t="shared" si="14"/>
        <v>0</v>
      </c>
      <c r="F9" s="68">
        <f t="shared" si="14"/>
        <v>0</v>
      </c>
      <c r="G9" s="68">
        <f t="shared" si="14"/>
        <v>0</v>
      </c>
      <c r="H9" s="68">
        <f t="shared" si="14"/>
        <v>0</v>
      </c>
      <c r="I9" s="68">
        <f t="shared" si="14"/>
        <v>10024.296446537728</v>
      </c>
      <c r="J9" s="68">
        <f t="shared" si="14"/>
        <v>10024.296446537728</v>
      </c>
      <c r="K9" s="68">
        <f t="shared" si="14"/>
        <v>10024.296446537728</v>
      </c>
      <c r="L9" s="68">
        <f t="shared" si="14"/>
        <v>10024.296446537728</v>
      </c>
      <c r="M9" s="68">
        <f t="shared" si="14"/>
        <v>11444.33083548922</v>
      </c>
      <c r="N9" s="68">
        <f t="shared" si="14"/>
        <v>19471.552014301466</v>
      </c>
      <c r="O9" s="68">
        <f t="shared" si="14"/>
        <v>16469.72123607876</v>
      </c>
      <c r="P9" s="68">
        <f aca="true" t="shared" si="15" ref="P9:AO9">SUM(P10:P14)</f>
        <v>15452.15148074903</v>
      </c>
      <c r="Q9" s="68">
        <f t="shared" si="15"/>
        <v>15045.123578617136</v>
      </c>
      <c r="R9" s="68">
        <f t="shared" si="15"/>
        <v>17105.670742382135</v>
      </c>
      <c r="S9" s="68">
        <f t="shared" si="15"/>
        <v>12616.855077237025</v>
      </c>
      <c r="T9" s="68">
        <f t="shared" si="15"/>
        <v>12208.001141475328</v>
      </c>
      <c r="U9" s="68">
        <f t="shared" si="15"/>
        <v>11078.498713059329</v>
      </c>
      <c r="V9" s="68">
        <f t="shared" si="15"/>
        <v>11115.1312242512</v>
      </c>
      <c r="W9" s="68">
        <f t="shared" si="15"/>
        <v>11115.1312242512</v>
      </c>
      <c r="X9" s="68">
        <f t="shared" si="15"/>
        <v>11078.498713059329</v>
      </c>
      <c r="Y9" s="68">
        <f t="shared" si="15"/>
        <v>12126.711249436741</v>
      </c>
      <c r="Z9" s="68">
        <f t="shared" si="15"/>
        <v>15452.15148074903</v>
      </c>
      <c r="AA9" s="68">
        <f t="shared" si="15"/>
        <v>16469.72123607876</v>
      </c>
      <c r="AB9" s="68">
        <f t="shared" si="15"/>
        <v>18868.68529776476</v>
      </c>
      <c r="AC9" s="68">
        <f t="shared" si="15"/>
        <v>18868.68529776476</v>
      </c>
      <c r="AD9" s="68">
        <f t="shared" si="15"/>
        <v>20522.204559397866</v>
      </c>
      <c r="AE9" s="68">
        <f t="shared" si="15"/>
        <v>16033.38889425276</v>
      </c>
      <c r="AF9" s="68">
        <f t="shared" si="15"/>
        <v>15624.534958491062</v>
      </c>
      <c r="AG9" s="68">
        <f t="shared" si="15"/>
        <v>14495.032530075063</v>
      </c>
      <c r="AH9" s="68">
        <f t="shared" si="15"/>
        <v>14531.665041266933</v>
      </c>
      <c r="AI9" s="68">
        <f t="shared" si="15"/>
        <v>14531.665041266933</v>
      </c>
      <c r="AJ9" s="68">
        <f t="shared" si="15"/>
        <v>14495.032530075063</v>
      </c>
      <c r="AK9" s="68">
        <f t="shared" si="15"/>
        <v>15543.245066452475</v>
      </c>
      <c r="AL9" s="68">
        <f t="shared" si="15"/>
        <v>18868.68529776476</v>
      </c>
      <c r="AM9" s="68">
        <f t="shared" si="15"/>
        <v>19886.25505309449</v>
      </c>
      <c r="AN9" s="68">
        <f>SUM(AN10:AN14)</f>
        <v>87482.78987202035</v>
      </c>
      <c r="AO9" s="143">
        <f t="shared" si="15"/>
        <v>160863.64586134625</v>
      </c>
      <c r="AP9" s="68">
        <f>SUM(AP10:AP14)</f>
        <v>202269.07956766692</v>
      </c>
      <c r="AQ9" s="68">
        <f aca="true" t="shared" si="16" ref="AQ9:AX9">SUM(AQ10:AQ14)</f>
        <v>202116.19956766692</v>
      </c>
      <c r="AR9" s="68">
        <f t="shared" si="16"/>
        <v>201952.39956766693</v>
      </c>
      <c r="AS9" s="68">
        <f t="shared" si="16"/>
        <v>201788.5995676669</v>
      </c>
      <c r="AT9" s="68">
        <f t="shared" si="16"/>
        <v>201788.5995676669</v>
      </c>
      <c r="AU9" s="68">
        <f t="shared" si="16"/>
        <v>201788.5995676669</v>
      </c>
      <c r="AV9" s="68">
        <f t="shared" si="16"/>
        <v>201788.5995676669</v>
      </c>
      <c r="AW9" s="68">
        <f t="shared" si="16"/>
        <v>201788.5995676669</v>
      </c>
      <c r="AX9" s="68">
        <f t="shared" si="16"/>
        <v>201788.5995676669</v>
      </c>
      <c r="AY9" s="122">
        <f aca="true" t="shared" si="17" ref="AY9:AY19">SUM(AO9:AX9)</f>
        <v>1977932.9219703483</v>
      </c>
      <c r="AZ9" s="68"/>
      <c r="BA9" s="68"/>
      <c r="BB9" s="52"/>
      <c r="BC9" s="68">
        <f aca="true" t="shared" si="18" ref="BC9:BO9">SUM(BC10:BC14)</f>
        <v>18855.945297764763</v>
      </c>
      <c r="BD9" s="68">
        <f t="shared" si="18"/>
        <v>18855.945297764763</v>
      </c>
      <c r="BE9" s="68">
        <f t="shared" si="18"/>
        <v>20509.464559397868</v>
      </c>
      <c r="BF9" s="68">
        <f t="shared" si="18"/>
        <v>16020.64889425276</v>
      </c>
      <c r="BG9" s="68">
        <f t="shared" si="18"/>
        <v>15611.794958491062</v>
      </c>
      <c r="BH9" s="68">
        <f t="shared" si="18"/>
        <v>14482.292530075063</v>
      </c>
      <c r="BI9" s="68">
        <f t="shared" si="18"/>
        <v>14518.925041266933</v>
      </c>
      <c r="BJ9" s="68">
        <f t="shared" si="18"/>
        <v>14518.925041266933</v>
      </c>
      <c r="BK9" s="68">
        <f t="shared" si="18"/>
        <v>14482.292530075063</v>
      </c>
      <c r="BL9" s="68">
        <f t="shared" si="18"/>
        <v>15530.505066452475</v>
      </c>
      <c r="BM9" s="68">
        <f t="shared" si="18"/>
        <v>18855.945297764763</v>
      </c>
      <c r="BN9" s="68">
        <f t="shared" si="18"/>
        <v>19873.515053094492</v>
      </c>
      <c r="BO9" s="68">
        <f t="shared" si="18"/>
        <v>202116.19956766692</v>
      </c>
      <c r="BP9" s="52"/>
      <c r="BQ9" s="68">
        <f aca="true" t="shared" si="19" ref="BQ9:CC9">SUM(BQ10:BQ14)</f>
        <v>18842.295297764762</v>
      </c>
      <c r="BR9" s="68">
        <f t="shared" si="19"/>
        <v>18842.295297764762</v>
      </c>
      <c r="BS9" s="68">
        <f t="shared" si="19"/>
        <v>20495.814559397866</v>
      </c>
      <c r="BT9" s="68">
        <f t="shared" si="19"/>
        <v>16006.99889425276</v>
      </c>
      <c r="BU9" s="68">
        <f t="shared" si="19"/>
        <v>15598.144958491062</v>
      </c>
      <c r="BV9" s="68">
        <f t="shared" si="19"/>
        <v>14468.642530075063</v>
      </c>
      <c r="BW9" s="68">
        <f t="shared" si="19"/>
        <v>14505.275041266934</v>
      </c>
      <c r="BX9" s="68">
        <f t="shared" si="19"/>
        <v>14505.275041266934</v>
      </c>
      <c r="BY9" s="68">
        <f t="shared" si="19"/>
        <v>14468.642530075063</v>
      </c>
      <c r="BZ9" s="68">
        <f t="shared" si="19"/>
        <v>15516.855066452476</v>
      </c>
      <c r="CA9" s="68">
        <f t="shared" si="19"/>
        <v>18842.295297764762</v>
      </c>
      <c r="CB9" s="68">
        <f t="shared" si="19"/>
        <v>19859.86505309449</v>
      </c>
      <c r="CC9" s="68">
        <f t="shared" si="19"/>
        <v>201952.39956766693</v>
      </c>
      <c r="CD9" s="52"/>
      <c r="CE9" s="68">
        <f aca="true" t="shared" si="20" ref="CE9:CQ9">SUM(CE10:CE14)</f>
        <v>18828.64529776476</v>
      </c>
      <c r="CF9" s="68">
        <f t="shared" si="20"/>
        <v>18828.64529776476</v>
      </c>
      <c r="CG9" s="68">
        <f t="shared" si="20"/>
        <v>20482.164559397865</v>
      </c>
      <c r="CH9" s="68">
        <f t="shared" si="20"/>
        <v>15993.34889425276</v>
      </c>
      <c r="CI9" s="68">
        <f t="shared" si="20"/>
        <v>15584.494958491063</v>
      </c>
      <c r="CJ9" s="68">
        <f t="shared" si="20"/>
        <v>14454.992530075064</v>
      </c>
      <c r="CK9" s="68">
        <f t="shared" si="20"/>
        <v>14491.625041266934</v>
      </c>
      <c r="CL9" s="68">
        <f t="shared" si="20"/>
        <v>14491.625041266934</v>
      </c>
      <c r="CM9" s="68">
        <f t="shared" si="20"/>
        <v>14454.992530075064</v>
      </c>
      <c r="CN9" s="68">
        <f t="shared" si="20"/>
        <v>15503.205066452476</v>
      </c>
      <c r="CO9" s="68">
        <f t="shared" si="20"/>
        <v>18828.64529776476</v>
      </c>
      <c r="CP9" s="68">
        <f t="shared" si="20"/>
        <v>19846.21505309449</v>
      </c>
      <c r="CQ9" s="68">
        <f t="shared" si="20"/>
        <v>201788.5995676669</v>
      </c>
      <c r="CR9" s="52"/>
      <c r="CS9" s="52"/>
      <c r="CT9" s="52"/>
      <c r="CU9" s="52"/>
    </row>
    <row r="10" spans="1:99" ht="12.75">
      <c r="A10" s="32"/>
      <c r="B10" s="33" t="s">
        <v>115</v>
      </c>
      <c r="C10" s="33" t="s">
        <v>16</v>
      </c>
      <c r="D10" s="68">
        <f aca="true" t="shared" si="21" ref="D10:O10">D105</f>
        <v>0</v>
      </c>
      <c r="E10" s="68">
        <f t="shared" si="21"/>
        <v>0</v>
      </c>
      <c r="F10" s="68">
        <f t="shared" si="21"/>
        <v>0</v>
      </c>
      <c r="G10" s="68">
        <f t="shared" si="21"/>
        <v>0</v>
      </c>
      <c r="H10" s="68">
        <f t="shared" si="21"/>
        <v>0</v>
      </c>
      <c r="I10" s="68">
        <f t="shared" si="21"/>
        <v>9007.945685940475</v>
      </c>
      <c r="J10" s="68">
        <f t="shared" si="21"/>
        <v>9007.945685940475</v>
      </c>
      <c r="K10" s="68">
        <f t="shared" si="21"/>
        <v>9007.945685940475</v>
      </c>
      <c r="L10" s="68">
        <f t="shared" si="21"/>
        <v>9007.945685940475</v>
      </c>
      <c r="M10" s="68">
        <f t="shared" si="21"/>
        <v>9007.945685940475</v>
      </c>
      <c r="N10" s="68">
        <f t="shared" si="21"/>
        <v>0</v>
      </c>
      <c r="O10" s="68">
        <f t="shared" si="21"/>
        <v>0</v>
      </c>
      <c r="P10" s="68">
        <f aca="true" t="shared" si="22" ref="P10:AM10">P105</f>
        <v>0</v>
      </c>
      <c r="Q10" s="68">
        <f t="shared" si="22"/>
        <v>0</v>
      </c>
      <c r="R10" s="68">
        <f t="shared" si="22"/>
        <v>0</v>
      </c>
      <c r="S10" s="68">
        <f t="shared" si="22"/>
        <v>4503.972842970237</v>
      </c>
      <c r="T10" s="68">
        <f t="shared" si="22"/>
        <v>9007.945685940475</v>
      </c>
      <c r="U10" s="68">
        <f t="shared" si="22"/>
        <v>9007.945685940475</v>
      </c>
      <c r="V10" s="68">
        <f t="shared" si="22"/>
        <v>9007.945685940475</v>
      </c>
      <c r="W10" s="68">
        <f t="shared" si="22"/>
        <v>9007.945685940475</v>
      </c>
      <c r="X10" s="68">
        <f t="shared" si="22"/>
        <v>9007.945685940475</v>
      </c>
      <c r="Y10" s="68">
        <f t="shared" si="22"/>
        <v>7506.621404950395</v>
      </c>
      <c r="Z10" s="68">
        <f t="shared" si="22"/>
        <v>0</v>
      </c>
      <c r="AA10" s="68">
        <f t="shared" si="22"/>
        <v>0</v>
      </c>
      <c r="AB10" s="68">
        <f t="shared" si="22"/>
        <v>0</v>
      </c>
      <c r="AC10" s="68">
        <f t="shared" si="22"/>
        <v>0</v>
      </c>
      <c r="AD10" s="68">
        <f t="shared" si="22"/>
        <v>0</v>
      </c>
      <c r="AE10" s="68">
        <f t="shared" si="22"/>
        <v>4503.972842970237</v>
      </c>
      <c r="AF10" s="68">
        <f t="shared" si="22"/>
        <v>9007.945685940475</v>
      </c>
      <c r="AG10" s="68">
        <f t="shared" si="22"/>
        <v>9007.945685940475</v>
      </c>
      <c r="AH10" s="68">
        <f t="shared" si="22"/>
        <v>9007.945685940475</v>
      </c>
      <c r="AI10" s="68">
        <f t="shared" si="22"/>
        <v>9007.945685940475</v>
      </c>
      <c r="AJ10" s="68">
        <f t="shared" si="22"/>
        <v>9007.945685940475</v>
      </c>
      <c r="AK10" s="68">
        <f t="shared" si="22"/>
        <v>7506.621404950395</v>
      </c>
      <c r="AL10" s="68">
        <f t="shared" si="22"/>
        <v>0</v>
      </c>
      <c r="AM10" s="68">
        <f t="shared" si="22"/>
        <v>0</v>
      </c>
      <c r="AN10" s="68">
        <f>AN105</f>
        <v>45039.72842970237</v>
      </c>
      <c r="AO10" s="143">
        <f>AO105</f>
        <v>57050.32267762301</v>
      </c>
      <c r="AP10" s="68">
        <f aca="true" t="shared" si="23" ref="AP10:AX10">AP105</f>
        <v>57050.32267762301</v>
      </c>
      <c r="AQ10" s="68">
        <f t="shared" si="23"/>
        <v>57050.32267762301</v>
      </c>
      <c r="AR10" s="68">
        <f t="shared" si="23"/>
        <v>57050.32267762301</v>
      </c>
      <c r="AS10" s="68">
        <f t="shared" si="23"/>
        <v>57050.32267762301</v>
      </c>
      <c r="AT10" s="68">
        <f t="shared" si="23"/>
        <v>57050.32267762301</v>
      </c>
      <c r="AU10" s="68">
        <f t="shared" si="23"/>
        <v>57050.32267762301</v>
      </c>
      <c r="AV10" s="68">
        <f t="shared" si="23"/>
        <v>57050.32267762301</v>
      </c>
      <c r="AW10" s="68">
        <f t="shared" si="23"/>
        <v>57050.32267762301</v>
      </c>
      <c r="AX10" s="68">
        <f t="shared" si="23"/>
        <v>57050.32267762301</v>
      </c>
      <c r="AY10" s="122">
        <f t="shared" si="17"/>
        <v>570503.22677623</v>
      </c>
      <c r="AZ10" s="68"/>
      <c r="BA10" s="68"/>
      <c r="BB10" s="52"/>
      <c r="BC10" s="68">
        <f aca="true" t="shared" si="24" ref="BC10:BO10">BC105</f>
        <v>0</v>
      </c>
      <c r="BD10" s="68">
        <f t="shared" si="24"/>
        <v>0</v>
      </c>
      <c r="BE10" s="68">
        <f t="shared" si="24"/>
        <v>0</v>
      </c>
      <c r="BF10" s="68">
        <f t="shared" si="24"/>
        <v>4503.972842970237</v>
      </c>
      <c r="BG10" s="68">
        <f t="shared" si="24"/>
        <v>9007.945685940475</v>
      </c>
      <c r="BH10" s="68">
        <f t="shared" si="24"/>
        <v>9007.945685940475</v>
      </c>
      <c r="BI10" s="68">
        <f t="shared" si="24"/>
        <v>9007.945685940475</v>
      </c>
      <c r="BJ10" s="68">
        <f t="shared" si="24"/>
        <v>9007.945685940475</v>
      </c>
      <c r="BK10" s="68">
        <f t="shared" si="24"/>
        <v>9007.945685940475</v>
      </c>
      <c r="BL10" s="68">
        <f t="shared" si="24"/>
        <v>7506.621404950395</v>
      </c>
      <c r="BM10" s="68">
        <f t="shared" si="24"/>
        <v>0</v>
      </c>
      <c r="BN10" s="68">
        <f t="shared" si="24"/>
        <v>0</v>
      </c>
      <c r="BO10" s="68">
        <f t="shared" si="24"/>
        <v>57050.32267762301</v>
      </c>
      <c r="BP10" s="52"/>
      <c r="BQ10" s="68">
        <f aca="true" t="shared" si="25" ref="BQ10:CC10">BQ105</f>
        <v>0</v>
      </c>
      <c r="BR10" s="68">
        <f t="shared" si="25"/>
        <v>0</v>
      </c>
      <c r="BS10" s="68">
        <f t="shared" si="25"/>
        <v>0</v>
      </c>
      <c r="BT10" s="68">
        <f t="shared" si="25"/>
        <v>4503.972842970237</v>
      </c>
      <c r="BU10" s="68">
        <f t="shared" si="25"/>
        <v>9007.945685940475</v>
      </c>
      <c r="BV10" s="68">
        <f t="shared" si="25"/>
        <v>9007.945685940475</v>
      </c>
      <c r="BW10" s="68">
        <f t="shared" si="25"/>
        <v>9007.945685940475</v>
      </c>
      <c r="BX10" s="68">
        <f t="shared" si="25"/>
        <v>9007.945685940475</v>
      </c>
      <c r="BY10" s="68">
        <f t="shared" si="25"/>
        <v>9007.945685940475</v>
      </c>
      <c r="BZ10" s="68">
        <f t="shared" si="25"/>
        <v>7506.621404950395</v>
      </c>
      <c r="CA10" s="68">
        <f t="shared" si="25"/>
        <v>0</v>
      </c>
      <c r="CB10" s="68">
        <f t="shared" si="25"/>
        <v>0</v>
      </c>
      <c r="CC10" s="68">
        <f t="shared" si="25"/>
        <v>57050.32267762301</v>
      </c>
      <c r="CD10" s="52"/>
      <c r="CE10" s="68">
        <f aca="true" t="shared" si="26" ref="CE10:CQ10">CE105</f>
        <v>0</v>
      </c>
      <c r="CF10" s="68">
        <f t="shared" si="26"/>
        <v>0</v>
      </c>
      <c r="CG10" s="68">
        <f t="shared" si="26"/>
        <v>0</v>
      </c>
      <c r="CH10" s="68">
        <f t="shared" si="26"/>
        <v>4503.972842970237</v>
      </c>
      <c r="CI10" s="68">
        <f t="shared" si="26"/>
        <v>9007.945685940475</v>
      </c>
      <c r="CJ10" s="68">
        <f t="shared" si="26"/>
        <v>9007.945685940475</v>
      </c>
      <c r="CK10" s="68">
        <f t="shared" si="26"/>
        <v>9007.945685940475</v>
      </c>
      <c r="CL10" s="68">
        <f t="shared" si="26"/>
        <v>9007.945685940475</v>
      </c>
      <c r="CM10" s="68">
        <f t="shared" si="26"/>
        <v>9007.945685940475</v>
      </c>
      <c r="CN10" s="68">
        <f t="shared" si="26"/>
        <v>7506.621404950395</v>
      </c>
      <c r="CO10" s="68">
        <f t="shared" si="26"/>
        <v>0</v>
      </c>
      <c r="CP10" s="68">
        <f t="shared" si="26"/>
        <v>0</v>
      </c>
      <c r="CQ10" s="68">
        <f t="shared" si="26"/>
        <v>57050.32267762301</v>
      </c>
      <c r="CR10" s="52"/>
      <c r="CS10" s="52"/>
      <c r="CT10" s="52"/>
      <c r="CU10" s="52"/>
    </row>
    <row r="11" spans="1:99" ht="12.75">
      <c r="A11" s="32"/>
      <c r="B11" s="33" t="s">
        <v>116</v>
      </c>
      <c r="C11" s="33" t="s">
        <v>16</v>
      </c>
      <c r="D11" s="68">
        <f aca="true" t="shared" si="27" ref="D11:O11">D30</f>
        <v>0</v>
      </c>
      <c r="E11" s="68">
        <f t="shared" si="27"/>
        <v>0</v>
      </c>
      <c r="F11" s="68">
        <f t="shared" si="27"/>
        <v>0</v>
      </c>
      <c r="G11" s="68">
        <f t="shared" si="27"/>
        <v>0</v>
      </c>
      <c r="H11" s="68">
        <f t="shared" si="27"/>
        <v>0</v>
      </c>
      <c r="I11" s="68">
        <f t="shared" si="27"/>
        <v>0</v>
      </c>
      <c r="J11" s="68">
        <f t="shared" si="27"/>
        <v>0</v>
      </c>
      <c r="K11" s="68">
        <f t="shared" si="27"/>
        <v>0</v>
      </c>
      <c r="L11" s="68">
        <f t="shared" si="27"/>
        <v>0</v>
      </c>
      <c r="M11" s="68">
        <f t="shared" si="27"/>
        <v>1086.3854093596553</v>
      </c>
      <c r="N11" s="68">
        <f t="shared" si="27"/>
        <v>14222.02982513278</v>
      </c>
      <c r="O11" s="68">
        <f t="shared" si="27"/>
        <v>11903.716053712797</v>
      </c>
      <c r="P11" s="68">
        <f aca="true" t="shared" si="28" ref="P11:AM11">P30</f>
        <v>11117.846978655176</v>
      </c>
      <c r="Q11" s="68">
        <f t="shared" si="28"/>
        <v>10803.499348632127</v>
      </c>
      <c r="R11" s="68">
        <f t="shared" si="28"/>
        <v>12415.47399539032</v>
      </c>
      <c r="S11" s="68">
        <f t="shared" si="28"/>
        <v>5480.650929451848</v>
      </c>
      <c r="T11" s="68">
        <f t="shared" si="28"/>
        <v>1686.4750350736547</v>
      </c>
      <c r="U11" s="68">
        <f t="shared" si="28"/>
        <v>814.1603617596954</v>
      </c>
      <c r="V11" s="68">
        <f t="shared" si="28"/>
        <v>842.4516484617698</v>
      </c>
      <c r="W11" s="68">
        <f t="shared" si="28"/>
        <v>842.4516484617698</v>
      </c>
      <c r="X11" s="68">
        <f t="shared" si="28"/>
        <v>814.1603617596954</v>
      </c>
      <c r="Y11" s="68">
        <f t="shared" si="28"/>
        <v>2772.86044443331</v>
      </c>
      <c r="Z11" s="68">
        <f t="shared" si="28"/>
        <v>11117.846978655176</v>
      </c>
      <c r="AA11" s="68">
        <f t="shared" si="28"/>
        <v>11903.716053712797</v>
      </c>
      <c r="AB11" s="68">
        <f t="shared" si="28"/>
        <v>11117.846978655176</v>
      </c>
      <c r="AC11" s="68">
        <f t="shared" si="28"/>
        <v>11117.846978655176</v>
      </c>
      <c r="AD11" s="68">
        <f t="shared" si="28"/>
        <v>12415.47399539032</v>
      </c>
      <c r="AE11" s="68">
        <f t="shared" si="28"/>
        <v>5480.650929451848</v>
      </c>
      <c r="AF11" s="68">
        <f t="shared" si="28"/>
        <v>1686.4750350736547</v>
      </c>
      <c r="AG11" s="68">
        <f t="shared" si="28"/>
        <v>814.1603617596954</v>
      </c>
      <c r="AH11" s="68">
        <f t="shared" si="28"/>
        <v>842.4516484617698</v>
      </c>
      <c r="AI11" s="68">
        <f t="shared" si="28"/>
        <v>842.4516484617698</v>
      </c>
      <c r="AJ11" s="68">
        <f t="shared" si="28"/>
        <v>814.1603617596954</v>
      </c>
      <c r="AK11" s="68">
        <f t="shared" si="28"/>
        <v>2772.86044443331</v>
      </c>
      <c r="AL11" s="68">
        <f t="shared" si="28"/>
        <v>11117.846978655176</v>
      </c>
      <c r="AM11" s="68">
        <f t="shared" si="28"/>
        <v>11903.716053712797</v>
      </c>
      <c r="AN11" s="68">
        <f>AN30</f>
        <v>27212.13128820523</v>
      </c>
      <c r="AO11" s="143">
        <f>AO30</f>
        <v>70611.59378444734</v>
      </c>
      <c r="AP11" s="68">
        <f aca="true" t="shared" si="29" ref="AP11:AX11">AP30</f>
        <v>70925.94141447038</v>
      </c>
      <c r="AQ11" s="68">
        <f t="shared" si="29"/>
        <v>70925.94141447038</v>
      </c>
      <c r="AR11" s="68">
        <f t="shared" si="29"/>
        <v>70925.94141447038</v>
      </c>
      <c r="AS11" s="68">
        <f t="shared" si="29"/>
        <v>70925.94141447038</v>
      </c>
      <c r="AT11" s="68">
        <f t="shared" si="29"/>
        <v>70925.94141447038</v>
      </c>
      <c r="AU11" s="68">
        <f t="shared" si="29"/>
        <v>70925.94141447038</v>
      </c>
      <c r="AV11" s="68">
        <f t="shared" si="29"/>
        <v>70925.94141447038</v>
      </c>
      <c r="AW11" s="68">
        <f t="shared" si="29"/>
        <v>70925.94141447038</v>
      </c>
      <c r="AX11" s="68">
        <f t="shared" si="29"/>
        <v>70925.94141447038</v>
      </c>
      <c r="AY11" s="122">
        <f t="shared" si="17"/>
        <v>708945.0665146806</v>
      </c>
      <c r="AZ11" s="68"/>
      <c r="BA11" s="68"/>
      <c r="BB11" s="52"/>
      <c r="BC11" s="68">
        <f aca="true" t="shared" si="30" ref="BC11:BO11">BC30</f>
        <v>11117.846978655176</v>
      </c>
      <c r="BD11" s="68">
        <f t="shared" si="30"/>
        <v>11117.846978655176</v>
      </c>
      <c r="BE11" s="68">
        <f t="shared" si="30"/>
        <v>12415.47399539032</v>
      </c>
      <c r="BF11" s="68">
        <f t="shared" si="30"/>
        <v>5480.650929451848</v>
      </c>
      <c r="BG11" s="68">
        <f t="shared" si="30"/>
        <v>1686.4750350736547</v>
      </c>
      <c r="BH11" s="68">
        <f t="shared" si="30"/>
        <v>814.1603617596954</v>
      </c>
      <c r="BI11" s="68">
        <f t="shared" si="30"/>
        <v>842.4516484617698</v>
      </c>
      <c r="BJ11" s="68">
        <f t="shared" si="30"/>
        <v>842.4516484617698</v>
      </c>
      <c r="BK11" s="68">
        <f t="shared" si="30"/>
        <v>814.1603617596954</v>
      </c>
      <c r="BL11" s="68">
        <f t="shared" si="30"/>
        <v>2772.86044443331</v>
      </c>
      <c r="BM11" s="68">
        <f t="shared" si="30"/>
        <v>11117.846978655176</v>
      </c>
      <c r="BN11" s="68">
        <f t="shared" si="30"/>
        <v>11903.716053712797</v>
      </c>
      <c r="BO11" s="68">
        <f t="shared" si="30"/>
        <v>70925.94141447038</v>
      </c>
      <c r="BP11" s="52"/>
      <c r="BQ11" s="68">
        <f aca="true" t="shared" si="31" ref="BQ11:CC11">BQ30</f>
        <v>11117.846978655176</v>
      </c>
      <c r="BR11" s="68">
        <f t="shared" si="31"/>
        <v>11117.846978655176</v>
      </c>
      <c r="BS11" s="68">
        <f t="shared" si="31"/>
        <v>12415.47399539032</v>
      </c>
      <c r="BT11" s="68">
        <f t="shared" si="31"/>
        <v>5480.650929451848</v>
      </c>
      <c r="BU11" s="68">
        <f t="shared" si="31"/>
        <v>1686.4750350736547</v>
      </c>
      <c r="BV11" s="68">
        <f t="shared" si="31"/>
        <v>814.1603617596954</v>
      </c>
      <c r="BW11" s="68">
        <f t="shared" si="31"/>
        <v>842.4516484617698</v>
      </c>
      <c r="BX11" s="68">
        <f t="shared" si="31"/>
        <v>842.4516484617698</v>
      </c>
      <c r="BY11" s="68">
        <f t="shared" si="31"/>
        <v>814.1603617596954</v>
      </c>
      <c r="BZ11" s="68">
        <f t="shared" si="31"/>
        <v>2772.86044443331</v>
      </c>
      <c r="CA11" s="68">
        <f t="shared" si="31"/>
        <v>11117.846978655176</v>
      </c>
      <c r="CB11" s="68">
        <f t="shared" si="31"/>
        <v>11903.716053712797</v>
      </c>
      <c r="CC11" s="68">
        <f t="shared" si="31"/>
        <v>70925.94141447038</v>
      </c>
      <c r="CD11" s="52"/>
      <c r="CE11" s="68">
        <f aca="true" t="shared" si="32" ref="CE11:CQ11">CE30</f>
        <v>11117.846978655176</v>
      </c>
      <c r="CF11" s="68">
        <f t="shared" si="32"/>
        <v>11117.846978655176</v>
      </c>
      <c r="CG11" s="68">
        <f t="shared" si="32"/>
        <v>12415.47399539032</v>
      </c>
      <c r="CH11" s="68">
        <f t="shared" si="32"/>
        <v>5480.650929451848</v>
      </c>
      <c r="CI11" s="68">
        <f t="shared" si="32"/>
        <v>1686.4750350736547</v>
      </c>
      <c r="CJ11" s="68">
        <f t="shared" si="32"/>
        <v>814.1603617596954</v>
      </c>
      <c r="CK11" s="68">
        <f t="shared" si="32"/>
        <v>842.4516484617698</v>
      </c>
      <c r="CL11" s="68">
        <f t="shared" si="32"/>
        <v>842.4516484617698</v>
      </c>
      <c r="CM11" s="68">
        <f t="shared" si="32"/>
        <v>814.1603617596954</v>
      </c>
      <c r="CN11" s="68">
        <f t="shared" si="32"/>
        <v>2772.86044443331</v>
      </c>
      <c r="CO11" s="68">
        <f t="shared" si="32"/>
        <v>11117.846978655176</v>
      </c>
      <c r="CP11" s="68">
        <f t="shared" si="32"/>
        <v>11903.716053712797</v>
      </c>
      <c r="CQ11" s="68">
        <f t="shared" si="32"/>
        <v>70925.94141447038</v>
      </c>
      <c r="CR11" s="52"/>
      <c r="CS11" s="52"/>
      <c r="CT11" s="52"/>
      <c r="CU11" s="52"/>
    </row>
    <row r="12" spans="1:99" ht="12.75">
      <c r="A12" s="32"/>
      <c r="B12" s="33" t="s">
        <v>117</v>
      </c>
      <c r="C12" s="33" t="s">
        <v>16</v>
      </c>
      <c r="D12" s="68">
        <f aca="true" t="shared" si="33" ref="D12:O12">D70</f>
        <v>0</v>
      </c>
      <c r="E12" s="68">
        <f t="shared" si="33"/>
        <v>0</v>
      </c>
      <c r="F12" s="68">
        <f t="shared" si="33"/>
        <v>0</v>
      </c>
      <c r="G12" s="68">
        <f t="shared" si="33"/>
        <v>0</v>
      </c>
      <c r="H12" s="68">
        <f t="shared" si="33"/>
        <v>0</v>
      </c>
      <c r="I12" s="68">
        <f t="shared" si="33"/>
        <v>871.7907605972543</v>
      </c>
      <c r="J12" s="68">
        <f t="shared" si="33"/>
        <v>871.7907605972543</v>
      </c>
      <c r="K12" s="68">
        <f t="shared" si="33"/>
        <v>871.7907605972543</v>
      </c>
      <c r="L12" s="68">
        <f t="shared" si="33"/>
        <v>871.7907605972543</v>
      </c>
      <c r="M12" s="68">
        <f t="shared" si="33"/>
        <v>871.7907605972543</v>
      </c>
      <c r="N12" s="68">
        <f t="shared" si="33"/>
        <v>871.7907605972543</v>
      </c>
      <c r="O12" s="68">
        <f t="shared" si="33"/>
        <v>871.7907605972543</v>
      </c>
      <c r="P12" s="68">
        <f aca="true" t="shared" si="34" ref="P12:AM12">P70</f>
        <v>871.7907605972543</v>
      </c>
      <c r="Q12" s="68">
        <f t="shared" si="34"/>
        <v>871.7907605972543</v>
      </c>
      <c r="R12" s="68">
        <f t="shared" si="34"/>
        <v>871.7907605972543</v>
      </c>
      <c r="S12" s="68">
        <f t="shared" si="34"/>
        <v>871.7907605972543</v>
      </c>
      <c r="T12" s="68">
        <f t="shared" si="34"/>
        <v>871.7907605972543</v>
      </c>
      <c r="U12" s="68">
        <f t="shared" si="34"/>
        <v>871.7907605972543</v>
      </c>
      <c r="V12" s="68">
        <f t="shared" si="34"/>
        <v>871.7907605972543</v>
      </c>
      <c r="W12" s="68">
        <f t="shared" si="34"/>
        <v>871.7907605972543</v>
      </c>
      <c r="X12" s="68">
        <f t="shared" si="34"/>
        <v>871.7907605972543</v>
      </c>
      <c r="Y12" s="68">
        <f t="shared" si="34"/>
        <v>871.7907605972543</v>
      </c>
      <c r="Z12" s="68">
        <f t="shared" si="34"/>
        <v>871.7907605972543</v>
      </c>
      <c r="AA12" s="68">
        <f t="shared" si="34"/>
        <v>871.7907605972543</v>
      </c>
      <c r="AB12" s="68">
        <f t="shared" si="34"/>
        <v>3814.084577612988</v>
      </c>
      <c r="AC12" s="68">
        <f t="shared" si="34"/>
        <v>3814.084577612988</v>
      </c>
      <c r="AD12" s="68">
        <f t="shared" si="34"/>
        <v>3814.084577612988</v>
      </c>
      <c r="AE12" s="68">
        <f t="shared" si="34"/>
        <v>3814.084577612988</v>
      </c>
      <c r="AF12" s="68">
        <f t="shared" si="34"/>
        <v>3814.084577612988</v>
      </c>
      <c r="AG12" s="68">
        <f t="shared" si="34"/>
        <v>3814.084577612988</v>
      </c>
      <c r="AH12" s="68">
        <f t="shared" si="34"/>
        <v>3814.084577612988</v>
      </c>
      <c r="AI12" s="68">
        <f t="shared" si="34"/>
        <v>3814.084577612988</v>
      </c>
      <c r="AJ12" s="68">
        <f t="shared" si="34"/>
        <v>3814.084577612988</v>
      </c>
      <c r="AK12" s="68">
        <f t="shared" si="34"/>
        <v>3814.084577612988</v>
      </c>
      <c r="AL12" s="68">
        <f t="shared" si="34"/>
        <v>3814.084577612988</v>
      </c>
      <c r="AM12" s="68">
        <f t="shared" si="34"/>
        <v>3814.084577612988</v>
      </c>
      <c r="AN12" s="68">
        <f>AN70</f>
        <v>6102.53532418078</v>
      </c>
      <c r="AO12" s="143">
        <f>AO70</f>
        <v>10461.489127167051</v>
      </c>
      <c r="AP12" s="68">
        <f aca="true" t="shared" si="35" ref="AP12:AX12">AP70</f>
        <v>45769.01493135584</v>
      </c>
      <c r="AQ12" s="68">
        <f t="shared" si="35"/>
        <v>45769.01493135584</v>
      </c>
      <c r="AR12" s="68">
        <f t="shared" si="35"/>
        <v>45769.01493135584</v>
      </c>
      <c r="AS12" s="68">
        <f t="shared" si="35"/>
        <v>45769.01493135584</v>
      </c>
      <c r="AT12" s="68">
        <f t="shared" si="35"/>
        <v>45769.01493135584</v>
      </c>
      <c r="AU12" s="68">
        <f t="shared" si="35"/>
        <v>45769.01493135584</v>
      </c>
      <c r="AV12" s="68">
        <f t="shared" si="35"/>
        <v>45769.01493135584</v>
      </c>
      <c r="AW12" s="68">
        <f t="shared" si="35"/>
        <v>45769.01493135584</v>
      </c>
      <c r="AX12" s="68">
        <f t="shared" si="35"/>
        <v>45769.01493135584</v>
      </c>
      <c r="AY12" s="122">
        <f t="shared" si="17"/>
        <v>422382.6235093696</v>
      </c>
      <c r="AZ12" s="68"/>
      <c r="BA12" s="68"/>
      <c r="BB12" s="52"/>
      <c r="BC12" s="68">
        <f aca="true" t="shared" si="36" ref="BC12:BO12">BC70</f>
        <v>3814.084577612988</v>
      </c>
      <c r="BD12" s="68">
        <f t="shared" si="36"/>
        <v>3814.084577612988</v>
      </c>
      <c r="BE12" s="68">
        <f t="shared" si="36"/>
        <v>3814.084577612988</v>
      </c>
      <c r="BF12" s="68">
        <f t="shared" si="36"/>
        <v>3814.084577612988</v>
      </c>
      <c r="BG12" s="68">
        <f t="shared" si="36"/>
        <v>3814.084577612988</v>
      </c>
      <c r="BH12" s="68">
        <f t="shared" si="36"/>
        <v>3814.084577612988</v>
      </c>
      <c r="BI12" s="68">
        <f t="shared" si="36"/>
        <v>3814.084577612988</v>
      </c>
      <c r="BJ12" s="68">
        <f t="shared" si="36"/>
        <v>3814.084577612988</v>
      </c>
      <c r="BK12" s="68">
        <f t="shared" si="36"/>
        <v>3814.084577612988</v>
      </c>
      <c r="BL12" s="68">
        <f t="shared" si="36"/>
        <v>3814.084577612988</v>
      </c>
      <c r="BM12" s="68">
        <f t="shared" si="36"/>
        <v>3814.084577612988</v>
      </c>
      <c r="BN12" s="68">
        <f t="shared" si="36"/>
        <v>3814.084577612988</v>
      </c>
      <c r="BO12" s="68">
        <f t="shared" si="36"/>
        <v>45769.01493135584</v>
      </c>
      <c r="BP12" s="52"/>
      <c r="BQ12" s="68">
        <f aca="true" t="shared" si="37" ref="BQ12:CC12">BQ70</f>
        <v>3814.084577612988</v>
      </c>
      <c r="BR12" s="68">
        <f t="shared" si="37"/>
        <v>3814.084577612988</v>
      </c>
      <c r="BS12" s="68">
        <f t="shared" si="37"/>
        <v>3814.084577612988</v>
      </c>
      <c r="BT12" s="68">
        <f t="shared" si="37"/>
        <v>3814.084577612988</v>
      </c>
      <c r="BU12" s="68">
        <f t="shared" si="37"/>
        <v>3814.084577612988</v>
      </c>
      <c r="BV12" s="68">
        <f t="shared" si="37"/>
        <v>3814.084577612988</v>
      </c>
      <c r="BW12" s="68">
        <f t="shared" si="37"/>
        <v>3814.084577612988</v>
      </c>
      <c r="BX12" s="68">
        <f t="shared" si="37"/>
        <v>3814.084577612988</v>
      </c>
      <c r="BY12" s="68">
        <f t="shared" si="37"/>
        <v>3814.084577612988</v>
      </c>
      <c r="BZ12" s="68">
        <f t="shared" si="37"/>
        <v>3814.084577612988</v>
      </c>
      <c r="CA12" s="68">
        <f t="shared" si="37"/>
        <v>3814.084577612988</v>
      </c>
      <c r="CB12" s="68">
        <f t="shared" si="37"/>
        <v>3814.084577612988</v>
      </c>
      <c r="CC12" s="68">
        <f t="shared" si="37"/>
        <v>45769.01493135584</v>
      </c>
      <c r="CD12" s="52"/>
      <c r="CE12" s="68">
        <f aca="true" t="shared" si="38" ref="CE12:CQ12">CE70</f>
        <v>3814.084577612988</v>
      </c>
      <c r="CF12" s="68">
        <f t="shared" si="38"/>
        <v>3814.084577612988</v>
      </c>
      <c r="CG12" s="68">
        <f t="shared" si="38"/>
        <v>3814.084577612988</v>
      </c>
      <c r="CH12" s="68">
        <f t="shared" si="38"/>
        <v>3814.084577612988</v>
      </c>
      <c r="CI12" s="68">
        <f t="shared" si="38"/>
        <v>3814.084577612988</v>
      </c>
      <c r="CJ12" s="68">
        <f t="shared" si="38"/>
        <v>3814.084577612988</v>
      </c>
      <c r="CK12" s="68">
        <f t="shared" si="38"/>
        <v>3814.084577612988</v>
      </c>
      <c r="CL12" s="68">
        <f t="shared" si="38"/>
        <v>3814.084577612988</v>
      </c>
      <c r="CM12" s="68">
        <f t="shared" si="38"/>
        <v>3814.084577612988</v>
      </c>
      <c r="CN12" s="68">
        <f t="shared" si="38"/>
        <v>3814.084577612988</v>
      </c>
      <c r="CO12" s="68">
        <f t="shared" si="38"/>
        <v>3814.084577612988</v>
      </c>
      <c r="CP12" s="68">
        <f t="shared" si="38"/>
        <v>3814.084577612988</v>
      </c>
      <c r="CQ12" s="68">
        <f t="shared" si="38"/>
        <v>45769.01493135584</v>
      </c>
      <c r="CR12" s="52"/>
      <c r="CS12" s="52"/>
      <c r="CT12" s="52"/>
      <c r="CU12" s="52"/>
    </row>
    <row r="13" spans="1:99" ht="12.75">
      <c r="A13" s="32"/>
      <c r="B13" s="33" t="s">
        <v>121</v>
      </c>
      <c r="C13" s="33" t="s">
        <v>16</v>
      </c>
      <c r="D13" s="68">
        <f aca="true" t="shared" si="39" ref="D13:O13">D29</f>
        <v>0</v>
      </c>
      <c r="E13" s="68">
        <f t="shared" si="39"/>
        <v>0</v>
      </c>
      <c r="F13" s="68">
        <f t="shared" si="39"/>
        <v>0</v>
      </c>
      <c r="G13" s="68">
        <f t="shared" si="39"/>
        <v>0</v>
      </c>
      <c r="H13" s="68">
        <f t="shared" si="39"/>
        <v>0</v>
      </c>
      <c r="I13" s="68">
        <f t="shared" si="39"/>
        <v>0</v>
      </c>
      <c r="J13" s="68">
        <f t="shared" si="39"/>
        <v>0</v>
      </c>
      <c r="K13" s="68">
        <f t="shared" si="39"/>
        <v>0</v>
      </c>
      <c r="L13" s="68">
        <f t="shared" si="39"/>
        <v>0</v>
      </c>
      <c r="M13" s="68">
        <f t="shared" si="39"/>
        <v>333.64897959183673</v>
      </c>
      <c r="N13" s="68">
        <f t="shared" si="39"/>
        <v>4233.171428571429</v>
      </c>
      <c r="O13" s="68">
        <f t="shared" si="39"/>
        <v>3549.654421768708</v>
      </c>
      <c r="P13" s="68">
        <f aca="true" t="shared" si="40" ref="P13:AM13">P29</f>
        <v>3317.953741496599</v>
      </c>
      <c r="Q13" s="68">
        <f t="shared" si="40"/>
        <v>3225.2734693877555</v>
      </c>
      <c r="R13" s="68">
        <f t="shared" si="40"/>
        <v>3673.845986394558</v>
      </c>
      <c r="S13" s="68">
        <f t="shared" si="40"/>
        <v>1615.8805442176872</v>
      </c>
      <c r="T13" s="68">
        <f t="shared" si="40"/>
        <v>497.2296598639456</v>
      </c>
      <c r="U13" s="68">
        <f t="shared" si="40"/>
        <v>240.0419047619048</v>
      </c>
      <c r="V13" s="68">
        <f t="shared" si="40"/>
        <v>248.38312925170072</v>
      </c>
      <c r="W13" s="68">
        <f t="shared" si="40"/>
        <v>248.38312925170072</v>
      </c>
      <c r="X13" s="68">
        <f t="shared" si="40"/>
        <v>240.0419047619048</v>
      </c>
      <c r="Y13" s="68">
        <f t="shared" si="40"/>
        <v>830.8786394557824</v>
      </c>
      <c r="Z13" s="68">
        <f t="shared" si="40"/>
        <v>3317.953741496599</v>
      </c>
      <c r="AA13" s="68">
        <f t="shared" si="40"/>
        <v>3549.654421768708</v>
      </c>
      <c r="AB13" s="68">
        <f t="shared" si="40"/>
        <v>3317.953741496599</v>
      </c>
      <c r="AC13" s="68">
        <f t="shared" si="40"/>
        <v>3317.953741496599</v>
      </c>
      <c r="AD13" s="68">
        <f t="shared" si="40"/>
        <v>3673.845986394558</v>
      </c>
      <c r="AE13" s="68">
        <f t="shared" si="40"/>
        <v>1615.8805442176872</v>
      </c>
      <c r="AF13" s="68">
        <f t="shared" si="40"/>
        <v>497.2296598639456</v>
      </c>
      <c r="AG13" s="68">
        <f t="shared" si="40"/>
        <v>240.0419047619048</v>
      </c>
      <c r="AH13" s="68">
        <f t="shared" si="40"/>
        <v>248.38312925170072</v>
      </c>
      <c r="AI13" s="68">
        <f t="shared" si="40"/>
        <v>248.38312925170072</v>
      </c>
      <c r="AJ13" s="68">
        <f t="shared" si="40"/>
        <v>240.0419047619048</v>
      </c>
      <c r="AK13" s="68">
        <f t="shared" si="40"/>
        <v>830.8786394557824</v>
      </c>
      <c r="AL13" s="68">
        <f t="shared" si="40"/>
        <v>3317.953741496599</v>
      </c>
      <c r="AM13" s="68">
        <f t="shared" si="40"/>
        <v>3549.654421768708</v>
      </c>
      <c r="AN13" s="68">
        <f>AN29</f>
        <v>8116.4748299319735</v>
      </c>
      <c r="AO13" s="143">
        <f>AO29</f>
        <v>21005.520272108846</v>
      </c>
      <c r="AP13" s="68">
        <f aca="true" t="shared" si="41" ref="AP13:AX13">AP29</f>
        <v>21098.200544217692</v>
      </c>
      <c r="AQ13" s="68">
        <f t="shared" si="41"/>
        <v>21098.20054421769</v>
      </c>
      <c r="AR13" s="68">
        <f t="shared" si="41"/>
        <v>21098.20054421769</v>
      </c>
      <c r="AS13" s="68">
        <f t="shared" si="41"/>
        <v>21098.20054421769</v>
      </c>
      <c r="AT13" s="68">
        <f t="shared" si="41"/>
        <v>21098.20054421769</v>
      </c>
      <c r="AU13" s="68">
        <f t="shared" si="41"/>
        <v>21098.20054421769</v>
      </c>
      <c r="AV13" s="68">
        <f t="shared" si="41"/>
        <v>21098.20054421769</v>
      </c>
      <c r="AW13" s="68">
        <f t="shared" si="41"/>
        <v>21098.20054421769</v>
      </c>
      <c r="AX13" s="68">
        <f t="shared" si="41"/>
        <v>21098.20054421769</v>
      </c>
      <c r="AY13" s="122">
        <f t="shared" si="17"/>
        <v>210889.32517006804</v>
      </c>
      <c r="AZ13" s="68"/>
      <c r="BA13" s="68"/>
      <c r="BB13" s="52"/>
      <c r="BC13" s="68">
        <f aca="true" t="shared" si="42" ref="BC13:BO13">BC29</f>
        <v>3317.953741496599</v>
      </c>
      <c r="BD13" s="68">
        <f t="shared" si="42"/>
        <v>3317.953741496599</v>
      </c>
      <c r="BE13" s="68">
        <f t="shared" si="42"/>
        <v>3673.845986394558</v>
      </c>
      <c r="BF13" s="68">
        <f t="shared" si="42"/>
        <v>1615.8805442176872</v>
      </c>
      <c r="BG13" s="68">
        <f t="shared" si="42"/>
        <v>497.2296598639456</v>
      </c>
      <c r="BH13" s="68">
        <f t="shared" si="42"/>
        <v>240.0419047619048</v>
      </c>
      <c r="BI13" s="68">
        <f t="shared" si="42"/>
        <v>248.38312925170072</v>
      </c>
      <c r="BJ13" s="68">
        <f t="shared" si="42"/>
        <v>248.38312925170072</v>
      </c>
      <c r="BK13" s="68">
        <f t="shared" si="42"/>
        <v>240.0419047619048</v>
      </c>
      <c r="BL13" s="68">
        <f t="shared" si="42"/>
        <v>830.8786394557824</v>
      </c>
      <c r="BM13" s="68">
        <f t="shared" si="42"/>
        <v>3317.953741496599</v>
      </c>
      <c r="BN13" s="68">
        <f t="shared" si="42"/>
        <v>3549.654421768708</v>
      </c>
      <c r="BO13" s="68">
        <f t="shared" si="42"/>
        <v>21098.200544217692</v>
      </c>
      <c r="BP13" s="52"/>
      <c r="BQ13" s="68">
        <f aca="true" t="shared" si="43" ref="BQ13:CC13">BQ29</f>
        <v>3317.953741496599</v>
      </c>
      <c r="BR13" s="68">
        <f t="shared" si="43"/>
        <v>3317.953741496599</v>
      </c>
      <c r="BS13" s="68">
        <f t="shared" si="43"/>
        <v>3673.845986394558</v>
      </c>
      <c r="BT13" s="68">
        <f t="shared" si="43"/>
        <v>1615.8805442176872</v>
      </c>
      <c r="BU13" s="68">
        <f t="shared" si="43"/>
        <v>497.2296598639456</v>
      </c>
      <c r="BV13" s="68">
        <f t="shared" si="43"/>
        <v>240.0419047619048</v>
      </c>
      <c r="BW13" s="68">
        <f t="shared" si="43"/>
        <v>248.38312925170072</v>
      </c>
      <c r="BX13" s="68">
        <f t="shared" si="43"/>
        <v>248.38312925170072</v>
      </c>
      <c r="BY13" s="68">
        <f t="shared" si="43"/>
        <v>240.0419047619048</v>
      </c>
      <c r="BZ13" s="68">
        <f t="shared" si="43"/>
        <v>830.8786394557824</v>
      </c>
      <c r="CA13" s="68">
        <f t="shared" si="43"/>
        <v>3317.953741496599</v>
      </c>
      <c r="CB13" s="68">
        <f t="shared" si="43"/>
        <v>3549.654421768708</v>
      </c>
      <c r="CC13" s="68">
        <f t="shared" si="43"/>
        <v>21098.200544217692</v>
      </c>
      <c r="CD13" s="52"/>
      <c r="CE13" s="68">
        <f aca="true" t="shared" si="44" ref="CE13:CQ13">CE29</f>
        <v>3317.953741496599</v>
      </c>
      <c r="CF13" s="68">
        <f t="shared" si="44"/>
        <v>3317.953741496599</v>
      </c>
      <c r="CG13" s="68">
        <f t="shared" si="44"/>
        <v>3673.845986394558</v>
      </c>
      <c r="CH13" s="68">
        <f t="shared" si="44"/>
        <v>1615.8805442176872</v>
      </c>
      <c r="CI13" s="68">
        <f t="shared" si="44"/>
        <v>497.2296598639456</v>
      </c>
      <c r="CJ13" s="68">
        <f t="shared" si="44"/>
        <v>240.0419047619048</v>
      </c>
      <c r="CK13" s="68">
        <f t="shared" si="44"/>
        <v>248.38312925170072</v>
      </c>
      <c r="CL13" s="68">
        <f t="shared" si="44"/>
        <v>248.38312925170072</v>
      </c>
      <c r="CM13" s="68">
        <f t="shared" si="44"/>
        <v>240.0419047619048</v>
      </c>
      <c r="CN13" s="68">
        <f t="shared" si="44"/>
        <v>830.8786394557824</v>
      </c>
      <c r="CO13" s="68">
        <f t="shared" si="44"/>
        <v>3317.953741496599</v>
      </c>
      <c r="CP13" s="68">
        <f t="shared" si="44"/>
        <v>3549.654421768708</v>
      </c>
      <c r="CQ13" s="68">
        <f t="shared" si="44"/>
        <v>21098.200544217692</v>
      </c>
      <c r="CR13" s="52"/>
      <c r="CS13" s="52"/>
      <c r="CT13" s="52"/>
      <c r="CU13" s="52"/>
    </row>
    <row r="14" spans="1:99" ht="12.75">
      <c r="A14" s="32"/>
      <c r="B14" s="33" t="s">
        <v>120</v>
      </c>
      <c r="C14" s="33" t="s">
        <v>16</v>
      </c>
      <c r="D14" s="68">
        <f aca="true" t="shared" si="45" ref="D14:O14">D71</f>
        <v>0</v>
      </c>
      <c r="E14" s="68">
        <f t="shared" si="45"/>
        <v>0</v>
      </c>
      <c r="F14" s="68">
        <f t="shared" si="45"/>
        <v>0</v>
      </c>
      <c r="G14" s="68">
        <f t="shared" si="45"/>
        <v>0</v>
      </c>
      <c r="H14" s="68">
        <f t="shared" si="45"/>
        <v>0</v>
      </c>
      <c r="I14" s="68">
        <f t="shared" si="45"/>
        <v>144.56</v>
      </c>
      <c r="J14" s="68">
        <f t="shared" si="45"/>
        <v>144.56</v>
      </c>
      <c r="K14" s="68">
        <f t="shared" si="45"/>
        <v>144.56</v>
      </c>
      <c r="L14" s="68">
        <f t="shared" si="45"/>
        <v>144.56</v>
      </c>
      <c r="M14" s="68">
        <f t="shared" si="45"/>
        <v>144.56</v>
      </c>
      <c r="N14" s="68">
        <f t="shared" si="45"/>
        <v>144.56</v>
      </c>
      <c r="O14" s="68">
        <f t="shared" si="45"/>
        <v>144.56</v>
      </c>
      <c r="P14" s="68">
        <f aca="true" t="shared" si="46" ref="P14:AM14">P71</f>
        <v>144.56</v>
      </c>
      <c r="Q14" s="68">
        <f t="shared" si="46"/>
        <v>144.56</v>
      </c>
      <c r="R14" s="68">
        <f t="shared" si="46"/>
        <v>144.56</v>
      </c>
      <c r="S14" s="68">
        <f t="shared" si="46"/>
        <v>144.56</v>
      </c>
      <c r="T14" s="68">
        <f t="shared" si="46"/>
        <v>144.56</v>
      </c>
      <c r="U14" s="68">
        <f t="shared" si="46"/>
        <v>144.56</v>
      </c>
      <c r="V14" s="68">
        <f t="shared" si="46"/>
        <v>144.56</v>
      </c>
      <c r="W14" s="68">
        <f t="shared" si="46"/>
        <v>144.56</v>
      </c>
      <c r="X14" s="68">
        <f t="shared" si="46"/>
        <v>144.56</v>
      </c>
      <c r="Y14" s="68">
        <f t="shared" si="46"/>
        <v>144.56</v>
      </c>
      <c r="Z14" s="68">
        <f t="shared" si="46"/>
        <v>144.56</v>
      </c>
      <c r="AA14" s="68">
        <f t="shared" si="46"/>
        <v>144.56</v>
      </c>
      <c r="AB14" s="68">
        <f t="shared" si="46"/>
        <v>618.8</v>
      </c>
      <c r="AC14" s="68">
        <f t="shared" si="46"/>
        <v>618.8</v>
      </c>
      <c r="AD14" s="68">
        <f t="shared" si="46"/>
        <v>618.8</v>
      </c>
      <c r="AE14" s="68">
        <f t="shared" si="46"/>
        <v>618.8</v>
      </c>
      <c r="AF14" s="68">
        <f t="shared" si="46"/>
        <v>618.8</v>
      </c>
      <c r="AG14" s="68">
        <f t="shared" si="46"/>
        <v>618.8</v>
      </c>
      <c r="AH14" s="68">
        <f t="shared" si="46"/>
        <v>618.8</v>
      </c>
      <c r="AI14" s="68">
        <f t="shared" si="46"/>
        <v>618.8</v>
      </c>
      <c r="AJ14" s="68">
        <f t="shared" si="46"/>
        <v>618.8</v>
      </c>
      <c r="AK14" s="68">
        <f t="shared" si="46"/>
        <v>618.8</v>
      </c>
      <c r="AL14" s="68">
        <f t="shared" si="46"/>
        <v>618.8</v>
      </c>
      <c r="AM14" s="68">
        <f t="shared" si="46"/>
        <v>618.8</v>
      </c>
      <c r="AN14" s="68">
        <f>AN71</f>
        <v>1011.9199999999998</v>
      </c>
      <c r="AO14" s="143">
        <f>AO71</f>
        <v>1734.7199999999996</v>
      </c>
      <c r="AP14" s="68">
        <f aca="true" t="shared" si="47" ref="AP14:AX14">AP71</f>
        <v>7425.600000000001</v>
      </c>
      <c r="AQ14" s="68">
        <f t="shared" si="47"/>
        <v>7272.720000000001</v>
      </c>
      <c r="AR14" s="68">
        <f t="shared" si="47"/>
        <v>7108.920000000001</v>
      </c>
      <c r="AS14" s="68">
        <f t="shared" si="47"/>
        <v>6945.119999999998</v>
      </c>
      <c r="AT14" s="68">
        <f t="shared" si="47"/>
        <v>6945.119999999998</v>
      </c>
      <c r="AU14" s="68">
        <f t="shared" si="47"/>
        <v>6945.119999999998</v>
      </c>
      <c r="AV14" s="68">
        <f t="shared" si="47"/>
        <v>6945.119999999998</v>
      </c>
      <c r="AW14" s="68">
        <f t="shared" si="47"/>
        <v>6945.119999999998</v>
      </c>
      <c r="AX14" s="68">
        <f t="shared" si="47"/>
        <v>6945.119999999998</v>
      </c>
      <c r="AY14" s="122">
        <f t="shared" si="17"/>
        <v>65212.67999999998</v>
      </c>
      <c r="AZ14" s="68"/>
      <c r="BA14" s="68"/>
      <c r="BB14" s="52"/>
      <c r="BC14" s="68">
        <f aca="true" t="shared" si="48" ref="BC14:BO14">BC71</f>
        <v>606.0600000000001</v>
      </c>
      <c r="BD14" s="68">
        <f t="shared" si="48"/>
        <v>606.0600000000001</v>
      </c>
      <c r="BE14" s="68">
        <f t="shared" si="48"/>
        <v>606.0600000000001</v>
      </c>
      <c r="BF14" s="68">
        <f t="shared" si="48"/>
        <v>606.0600000000001</v>
      </c>
      <c r="BG14" s="68">
        <f t="shared" si="48"/>
        <v>606.0600000000001</v>
      </c>
      <c r="BH14" s="68">
        <f t="shared" si="48"/>
        <v>606.0600000000001</v>
      </c>
      <c r="BI14" s="68">
        <f t="shared" si="48"/>
        <v>606.0600000000001</v>
      </c>
      <c r="BJ14" s="68">
        <f t="shared" si="48"/>
        <v>606.0600000000001</v>
      </c>
      <c r="BK14" s="68">
        <f t="shared" si="48"/>
        <v>606.0600000000001</v>
      </c>
      <c r="BL14" s="68">
        <f t="shared" si="48"/>
        <v>606.0600000000001</v>
      </c>
      <c r="BM14" s="68">
        <f t="shared" si="48"/>
        <v>606.0600000000001</v>
      </c>
      <c r="BN14" s="68">
        <f t="shared" si="48"/>
        <v>606.0600000000001</v>
      </c>
      <c r="BO14" s="68">
        <f t="shared" si="48"/>
        <v>7272.720000000002</v>
      </c>
      <c r="BP14" s="52"/>
      <c r="BQ14" s="68">
        <f aca="true" t="shared" si="49" ref="BQ14:CC14">BQ71</f>
        <v>592.4100000000001</v>
      </c>
      <c r="BR14" s="68">
        <f t="shared" si="49"/>
        <v>592.4100000000001</v>
      </c>
      <c r="BS14" s="68">
        <f t="shared" si="49"/>
        <v>592.4100000000001</v>
      </c>
      <c r="BT14" s="68">
        <f t="shared" si="49"/>
        <v>592.4100000000001</v>
      </c>
      <c r="BU14" s="68">
        <f t="shared" si="49"/>
        <v>592.4100000000001</v>
      </c>
      <c r="BV14" s="68">
        <f t="shared" si="49"/>
        <v>592.4100000000001</v>
      </c>
      <c r="BW14" s="68">
        <f t="shared" si="49"/>
        <v>592.4100000000001</v>
      </c>
      <c r="BX14" s="68">
        <f t="shared" si="49"/>
        <v>592.4100000000001</v>
      </c>
      <c r="BY14" s="68">
        <f t="shared" si="49"/>
        <v>592.4100000000001</v>
      </c>
      <c r="BZ14" s="68">
        <f t="shared" si="49"/>
        <v>592.4100000000001</v>
      </c>
      <c r="CA14" s="68">
        <f t="shared" si="49"/>
        <v>592.4100000000001</v>
      </c>
      <c r="CB14" s="68">
        <f t="shared" si="49"/>
        <v>592.4100000000001</v>
      </c>
      <c r="CC14" s="68">
        <f t="shared" si="49"/>
        <v>7108.919999999999</v>
      </c>
      <c r="CD14" s="52"/>
      <c r="CE14" s="68">
        <f aca="true" t="shared" si="50" ref="CE14:CQ14">CE71</f>
        <v>578.76</v>
      </c>
      <c r="CF14" s="68">
        <f t="shared" si="50"/>
        <v>578.76</v>
      </c>
      <c r="CG14" s="68">
        <f t="shared" si="50"/>
        <v>578.76</v>
      </c>
      <c r="CH14" s="68">
        <f t="shared" si="50"/>
        <v>578.76</v>
      </c>
      <c r="CI14" s="68">
        <f t="shared" si="50"/>
        <v>578.76</v>
      </c>
      <c r="CJ14" s="68">
        <f t="shared" si="50"/>
        <v>578.76</v>
      </c>
      <c r="CK14" s="68">
        <f t="shared" si="50"/>
        <v>578.76</v>
      </c>
      <c r="CL14" s="68">
        <f t="shared" si="50"/>
        <v>578.76</v>
      </c>
      <c r="CM14" s="68">
        <f t="shared" si="50"/>
        <v>578.76</v>
      </c>
      <c r="CN14" s="68">
        <f t="shared" si="50"/>
        <v>578.76</v>
      </c>
      <c r="CO14" s="68">
        <f t="shared" si="50"/>
        <v>578.76</v>
      </c>
      <c r="CP14" s="68">
        <f t="shared" si="50"/>
        <v>578.76</v>
      </c>
      <c r="CQ14" s="68">
        <f t="shared" si="50"/>
        <v>6945.120000000002</v>
      </c>
      <c r="CR14" s="52"/>
      <c r="CS14" s="52"/>
      <c r="CT14" s="52"/>
      <c r="CU14" s="52"/>
    </row>
    <row r="15" spans="1:99" ht="12.75">
      <c r="A15" s="32"/>
      <c r="B15" s="33" t="s">
        <v>118</v>
      </c>
      <c r="C15" s="33" t="s">
        <v>16</v>
      </c>
      <c r="D15" s="68">
        <f aca="true" t="shared" si="51" ref="D15:O15">SUM(D16:D19)</f>
        <v>0</v>
      </c>
      <c r="E15" s="68">
        <f t="shared" si="51"/>
        <v>0</v>
      </c>
      <c r="F15" s="68">
        <f t="shared" si="51"/>
        <v>0</v>
      </c>
      <c r="G15" s="68">
        <f t="shared" si="51"/>
        <v>0</v>
      </c>
      <c r="H15" s="68">
        <f t="shared" si="51"/>
        <v>0</v>
      </c>
      <c r="I15" s="68">
        <f t="shared" si="51"/>
        <v>1298.8346108561313</v>
      </c>
      <c r="J15" s="68">
        <f t="shared" si="51"/>
        <v>1298.8346108561313</v>
      </c>
      <c r="K15" s="68">
        <f t="shared" si="51"/>
        <v>1298.8346108561313</v>
      </c>
      <c r="L15" s="68">
        <f t="shared" si="51"/>
        <v>1298.8346108561313</v>
      </c>
      <c r="M15" s="68">
        <f t="shared" si="51"/>
        <v>1441.0993668437052</v>
      </c>
      <c r="N15" s="68">
        <f t="shared" si="51"/>
        <v>1981.6313433694095</v>
      </c>
      <c r="O15" s="68">
        <f t="shared" si="51"/>
        <v>1678.0426352072689</v>
      </c>
      <c r="P15" s="68">
        <f aca="true" t="shared" si="52" ref="P15:AM15">SUM(P16:P19)</f>
        <v>1575.1312087116278</v>
      </c>
      <c r="Q15" s="68">
        <f t="shared" si="52"/>
        <v>1533.9666381133716</v>
      </c>
      <c r="R15" s="68">
        <f t="shared" si="52"/>
        <v>1745.0585561412302</v>
      </c>
      <c r="S15" s="68">
        <f t="shared" si="52"/>
        <v>1426.7329317049139</v>
      </c>
      <c r="T15" s="68">
        <f t="shared" si="52"/>
        <v>1519.6825321157767</v>
      </c>
      <c r="U15" s="68">
        <f t="shared" si="52"/>
        <v>1405.4508487056153</v>
      </c>
      <c r="V15" s="68">
        <f t="shared" si="52"/>
        <v>1409.1556600594583</v>
      </c>
      <c r="W15" s="68">
        <f t="shared" si="52"/>
        <v>1409.1556600594583</v>
      </c>
      <c r="X15" s="68">
        <f t="shared" si="52"/>
        <v>1405.4508487056153</v>
      </c>
      <c r="Y15" s="68">
        <f t="shared" si="52"/>
        <v>1465.3452989260782</v>
      </c>
      <c r="Z15" s="68">
        <f t="shared" si="52"/>
        <v>1575.1312087116278</v>
      </c>
      <c r="AA15" s="68">
        <f t="shared" si="52"/>
        <v>1678.0426352072689</v>
      </c>
      <c r="AB15" s="68">
        <f t="shared" si="52"/>
        <v>1977.029989511307</v>
      </c>
      <c r="AC15" s="68">
        <f t="shared" si="52"/>
        <v>1977.029989511307</v>
      </c>
      <c r="AD15" s="68">
        <f t="shared" si="52"/>
        <v>2146.9573369409095</v>
      </c>
      <c r="AE15" s="68">
        <f t="shared" si="52"/>
        <v>1828.631712504593</v>
      </c>
      <c r="AF15" s="68">
        <f t="shared" si="52"/>
        <v>1921.5813129154558</v>
      </c>
      <c r="AG15" s="68">
        <f t="shared" si="52"/>
        <v>1807.3496295052944</v>
      </c>
      <c r="AH15" s="68">
        <f t="shared" si="52"/>
        <v>1811.0544408591375</v>
      </c>
      <c r="AI15" s="68">
        <f t="shared" si="52"/>
        <v>1811.0544408591375</v>
      </c>
      <c r="AJ15" s="68">
        <f t="shared" si="52"/>
        <v>1807.3496295052944</v>
      </c>
      <c r="AK15" s="68">
        <f t="shared" si="52"/>
        <v>1867.2440797257573</v>
      </c>
      <c r="AL15" s="68">
        <f t="shared" si="52"/>
        <v>1977.029989511307</v>
      </c>
      <c r="AM15" s="68">
        <f t="shared" si="52"/>
        <v>2079.9414160069477</v>
      </c>
      <c r="AN15" s="68">
        <f aca="true" t="shared" si="53" ref="AN15:AX15">SUM(AN16:AN19)</f>
        <v>10296.111788844908</v>
      </c>
      <c r="AO15" s="143">
        <f t="shared" si="53"/>
        <v>18148.30402716204</v>
      </c>
      <c r="AP15" s="68">
        <f t="shared" si="53"/>
        <v>23012.25396735645</v>
      </c>
      <c r="AQ15" s="68">
        <f t="shared" si="53"/>
        <v>23006.90316735645</v>
      </c>
      <c r="AR15" s="68">
        <f t="shared" si="53"/>
        <v>23001.17016735645</v>
      </c>
      <c r="AS15" s="68">
        <f t="shared" si="53"/>
        <v>22995.43716735645</v>
      </c>
      <c r="AT15" s="68">
        <f t="shared" si="53"/>
        <v>22995.43716735645</v>
      </c>
      <c r="AU15" s="68">
        <f t="shared" si="53"/>
        <v>22995.43716735645</v>
      </c>
      <c r="AV15" s="68">
        <f t="shared" si="53"/>
        <v>22995.43716735645</v>
      </c>
      <c r="AW15" s="68">
        <f t="shared" si="53"/>
        <v>22995.43716735645</v>
      </c>
      <c r="AX15" s="68">
        <f t="shared" si="53"/>
        <v>22995.43716735645</v>
      </c>
      <c r="AY15" s="122">
        <f t="shared" si="17"/>
        <v>225141.25433337013</v>
      </c>
      <c r="AZ15" s="68"/>
      <c r="BA15" s="68"/>
      <c r="BB15" s="52"/>
      <c r="BC15" s="68">
        <f aca="true" t="shared" si="54" ref="BC15:BO15">SUM(BC16:BC19)</f>
        <v>1976.584089511307</v>
      </c>
      <c r="BD15" s="68">
        <f t="shared" si="54"/>
        <v>1976.584089511307</v>
      </c>
      <c r="BE15" s="68">
        <f t="shared" si="54"/>
        <v>2146.51143694091</v>
      </c>
      <c r="BF15" s="68">
        <f t="shared" si="54"/>
        <v>1828.185812504593</v>
      </c>
      <c r="BG15" s="68">
        <f t="shared" si="54"/>
        <v>1921.1354129154558</v>
      </c>
      <c r="BH15" s="68">
        <f t="shared" si="54"/>
        <v>1806.9037295052945</v>
      </c>
      <c r="BI15" s="68">
        <f t="shared" si="54"/>
        <v>1810.6085408591375</v>
      </c>
      <c r="BJ15" s="68">
        <f t="shared" si="54"/>
        <v>1810.6085408591375</v>
      </c>
      <c r="BK15" s="68">
        <f t="shared" si="54"/>
        <v>1806.9037295052945</v>
      </c>
      <c r="BL15" s="68">
        <f t="shared" si="54"/>
        <v>1866.7981797257573</v>
      </c>
      <c r="BM15" s="68">
        <f t="shared" si="54"/>
        <v>1976.584089511307</v>
      </c>
      <c r="BN15" s="68">
        <f t="shared" si="54"/>
        <v>2079.495516006948</v>
      </c>
      <c r="BO15" s="68">
        <f t="shared" si="54"/>
        <v>23006.90316735645</v>
      </c>
      <c r="BP15" s="52"/>
      <c r="BQ15" s="68">
        <f aca="true" t="shared" si="55" ref="BQ15:CC15">SUM(BQ16:BQ19)</f>
        <v>1976.106339511307</v>
      </c>
      <c r="BR15" s="68">
        <f t="shared" si="55"/>
        <v>1976.106339511307</v>
      </c>
      <c r="BS15" s="68">
        <f t="shared" si="55"/>
        <v>2146.03368694091</v>
      </c>
      <c r="BT15" s="68">
        <f t="shared" si="55"/>
        <v>1827.708062504593</v>
      </c>
      <c r="BU15" s="68">
        <f t="shared" si="55"/>
        <v>1920.6576629154558</v>
      </c>
      <c r="BV15" s="68">
        <f t="shared" si="55"/>
        <v>1806.4259795052944</v>
      </c>
      <c r="BW15" s="68">
        <f t="shared" si="55"/>
        <v>1810.1307908591375</v>
      </c>
      <c r="BX15" s="68">
        <f t="shared" si="55"/>
        <v>1810.1307908591375</v>
      </c>
      <c r="BY15" s="68">
        <f t="shared" si="55"/>
        <v>1806.4259795052944</v>
      </c>
      <c r="BZ15" s="68">
        <f t="shared" si="55"/>
        <v>1866.3204297257573</v>
      </c>
      <c r="CA15" s="68">
        <f t="shared" si="55"/>
        <v>1976.106339511307</v>
      </c>
      <c r="CB15" s="68">
        <f t="shared" si="55"/>
        <v>2079.017766006948</v>
      </c>
      <c r="CC15" s="68">
        <f t="shared" si="55"/>
        <v>23001.17016735645</v>
      </c>
      <c r="CD15" s="52"/>
      <c r="CE15" s="68">
        <f aca="true" t="shared" si="56" ref="CE15:CQ15">SUM(CE16:CE19)</f>
        <v>1975.628589511307</v>
      </c>
      <c r="CF15" s="68">
        <f t="shared" si="56"/>
        <v>1975.628589511307</v>
      </c>
      <c r="CG15" s="68">
        <f t="shared" si="56"/>
        <v>2145.5559369409098</v>
      </c>
      <c r="CH15" s="68">
        <f t="shared" si="56"/>
        <v>1827.230312504593</v>
      </c>
      <c r="CI15" s="68">
        <f t="shared" si="56"/>
        <v>1920.1799129154558</v>
      </c>
      <c r="CJ15" s="68">
        <f t="shared" si="56"/>
        <v>1805.9482295052944</v>
      </c>
      <c r="CK15" s="68">
        <f t="shared" si="56"/>
        <v>1809.6530408591375</v>
      </c>
      <c r="CL15" s="68">
        <f t="shared" si="56"/>
        <v>1809.6530408591375</v>
      </c>
      <c r="CM15" s="68">
        <f t="shared" si="56"/>
        <v>1805.9482295052944</v>
      </c>
      <c r="CN15" s="68">
        <f t="shared" si="56"/>
        <v>1865.8426797257573</v>
      </c>
      <c r="CO15" s="68">
        <f t="shared" si="56"/>
        <v>1975.628589511307</v>
      </c>
      <c r="CP15" s="68">
        <f t="shared" si="56"/>
        <v>2078.540016006948</v>
      </c>
      <c r="CQ15" s="68">
        <f t="shared" si="56"/>
        <v>22995.43716735645</v>
      </c>
      <c r="CR15" s="52"/>
      <c r="CS15" s="52"/>
      <c r="CT15" s="52"/>
      <c r="CU15" s="52"/>
    </row>
    <row r="16" spans="1:99" ht="12.75">
      <c r="A16" s="32"/>
      <c r="B16" s="33" t="s">
        <v>180</v>
      </c>
      <c r="C16" s="33" t="s">
        <v>16</v>
      </c>
      <c r="D16" s="68">
        <f aca="true" t="shared" si="57" ref="D16:O16">D106</f>
        <v>0</v>
      </c>
      <c r="E16" s="68">
        <f t="shared" si="57"/>
        <v>0</v>
      </c>
      <c r="F16" s="68">
        <f t="shared" si="57"/>
        <v>0</v>
      </c>
      <c r="G16" s="68">
        <f t="shared" si="57"/>
        <v>0</v>
      </c>
      <c r="H16" s="68">
        <f t="shared" si="57"/>
        <v>0</v>
      </c>
      <c r="I16" s="68">
        <f t="shared" si="57"/>
        <v>1179.6119350636336</v>
      </c>
      <c r="J16" s="68">
        <f t="shared" si="57"/>
        <v>1179.6119350636336</v>
      </c>
      <c r="K16" s="68">
        <f t="shared" si="57"/>
        <v>1179.6119350636336</v>
      </c>
      <c r="L16" s="68">
        <f t="shared" si="57"/>
        <v>1179.6119350636336</v>
      </c>
      <c r="M16" s="68">
        <f t="shared" si="57"/>
        <v>1179.6119350636336</v>
      </c>
      <c r="N16" s="68">
        <f t="shared" si="57"/>
        <v>0</v>
      </c>
      <c r="O16" s="68">
        <f t="shared" si="57"/>
        <v>0</v>
      </c>
      <c r="P16" s="68">
        <f>P106</f>
        <v>0</v>
      </c>
      <c r="Q16" s="68">
        <f>Q106</f>
        <v>0</v>
      </c>
      <c r="R16" s="68">
        <f>R106</f>
        <v>0</v>
      </c>
      <c r="S16" s="68">
        <f>S106</f>
        <v>589.8059675318168</v>
      </c>
      <c r="T16" s="68">
        <f aca="true" t="shared" si="58" ref="T16:Z16">T106</f>
        <v>1179.6119350636336</v>
      </c>
      <c r="U16" s="68">
        <f t="shared" si="58"/>
        <v>1179.6119350636336</v>
      </c>
      <c r="V16" s="68">
        <f t="shared" si="58"/>
        <v>1179.6119350636336</v>
      </c>
      <c r="W16" s="68">
        <f t="shared" si="58"/>
        <v>1179.6119350636336</v>
      </c>
      <c r="X16" s="68">
        <f t="shared" si="58"/>
        <v>1179.6119350636336</v>
      </c>
      <c r="Y16" s="68">
        <f t="shared" si="58"/>
        <v>983.0099458863613</v>
      </c>
      <c r="Z16" s="68">
        <f t="shared" si="58"/>
        <v>0</v>
      </c>
      <c r="AA16" s="68">
        <f aca="true" t="shared" si="59" ref="AA16:AM16">AA106</f>
        <v>0</v>
      </c>
      <c r="AB16" s="68">
        <f t="shared" si="59"/>
        <v>0</v>
      </c>
      <c r="AC16" s="68">
        <f t="shared" si="59"/>
        <v>0</v>
      </c>
      <c r="AD16" s="68">
        <f t="shared" si="59"/>
        <v>0</v>
      </c>
      <c r="AE16" s="68">
        <f t="shared" si="59"/>
        <v>589.8059675318168</v>
      </c>
      <c r="AF16" s="68">
        <f t="shared" si="59"/>
        <v>1179.6119350636336</v>
      </c>
      <c r="AG16" s="68">
        <f t="shared" si="59"/>
        <v>1179.6119350636336</v>
      </c>
      <c r="AH16" s="68">
        <f t="shared" si="59"/>
        <v>1179.6119350636336</v>
      </c>
      <c r="AI16" s="68">
        <f t="shared" si="59"/>
        <v>1179.6119350636336</v>
      </c>
      <c r="AJ16" s="68">
        <f t="shared" si="59"/>
        <v>1179.6119350636336</v>
      </c>
      <c r="AK16" s="68">
        <f t="shared" si="59"/>
        <v>983.0099458863613</v>
      </c>
      <c r="AL16" s="68">
        <f t="shared" si="59"/>
        <v>0</v>
      </c>
      <c r="AM16" s="68">
        <f t="shared" si="59"/>
        <v>0</v>
      </c>
      <c r="AN16" s="68">
        <f>AN106</f>
        <v>5898.059675318168</v>
      </c>
      <c r="AO16" s="143">
        <f>AO106</f>
        <v>7470.875588736347</v>
      </c>
      <c r="AP16" s="68">
        <f aca="true" t="shared" si="60" ref="AP16:AX16">AP106</f>
        <v>7470.875588736347</v>
      </c>
      <c r="AQ16" s="68">
        <f t="shared" si="60"/>
        <v>7470.875588736347</v>
      </c>
      <c r="AR16" s="68">
        <f t="shared" si="60"/>
        <v>7470.875588736347</v>
      </c>
      <c r="AS16" s="68">
        <f t="shared" si="60"/>
        <v>7470.875588736347</v>
      </c>
      <c r="AT16" s="68">
        <f t="shared" si="60"/>
        <v>7470.875588736347</v>
      </c>
      <c r="AU16" s="68">
        <f t="shared" si="60"/>
        <v>7470.875588736347</v>
      </c>
      <c r="AV16" s="68">
        <f t="shared" si="60"/>
        <v>7470.875588736347</v>
      </c>
      <c r="AW16" s="68">
        <f t="shared" si="60"/>
        <v>7470.875588736347</v>
      </c>
      <c r="AX16" s="68">
        <f t="shared" si="60"/>
        <v>7470.875588736347</v>
      </c>
      <c r="AY16" s="122">
        <f t="shared" si="17"/>
        <v>74708.75588736347</v>
      </c>
      <c r="AZ16" s="68"/>
      <c r="BA16" s="68"/>
      <c r="BB16" s="52"/>
      <c r="BC16" s="68">
        <f aca="true" t="shared" si="61" ref="BC16:BN16">BC106</f>
        <v>0</v>
      </c>
      <c r="BD16" s="68">
        <f t="shared" si="61"/>
        <v>0</v>
      </c>
      <c r="BE16" s="68">
        <f t="shared" si="61"/>
        <v>0</v>
      </c>
      <c r="BF16" s="68">
        <f t="shared" si="61"/>
        <v>589.8059675318168</v>
      </c>
      <c r="BG16" s="68">
        <f t="shared" si="61"/>
        <v>1179.6119350636336</v>
      </c>
      <c r="BH16" s="68">
        <f t="shared" si="61"/>
        <v>1179.6119350636336</v>
      </c>
      <c r="BI16" s="68">
        <f t="shared" si="61"/>
        <v>1179.6119350636336</v>
      </c>
      <c r="BJ16" s="68">
        <f t="shared" si="61"/>
        <v>1179.6119350636336</v>
      </c>
      <c r="BK16" s="68">
        <f t="shared" si="61"/>
        <v>1179.6119350636336</v>
      </c>
      <c r="BL16" s="68">
        <f t="shared" si="61"/>
        <v>983.0099458863613</v>
      </c>
      <c r="BM16" s="68">
        <f t="shared" si="61"/>
        <v>0</v>
      </c>
      <c r="BN16" s="68">
        <f t="shared" si="61"/>
        <v>0</v>
      </c>
      <c r="BO16" s="68">
        <f>BO106</f>
        <v>7470.875588736347</v>
      </c>
      <c r="BP16" s="52"/>
      <c r="BQ16" s="68">
        <f aca="true" t="shared" si="62" ref="BQ16:CB16">BQ106</f>
        <v>0</v>
      </c>
      <c r="BR16" s="68">
        <f t="shared" si="62"/>
        <v>0</v>
      </c>
      <c r="BS16" s="68">
        <f t="shared" si="62"/>
        <v>0</v>
      </c>
      <c r="BT16" s="68">
        <f t="shared" si="62"/>
        <v>589.8059675318168</v>
      </c>
      <c r="BU16" s="68">
        <f t="shared" si="62"/>
        <v>1179.6119350636336</v>
      </c>
      <c r="BV16" s="68">
        <f t="shared" si="62"/>
        <v>1179.6119350636336</v>
      </c>
      <c r="BW16" s="68">
        <f t="shared" si="62"/>
        <v>1179.6119350636336</v>
      </c>
      <c r="BX16" s="68">
        <f t="shared" si="62"/>
        <v>1179.6119350636336</v>
      </c>
      <c r="BY16" s="68">
        <f t="shared" si="62"/>
        <v>1179.6119350636336</v>
      </c>
      <c r="BZ16" s="68">
        <f t="shared" si="62"/>
        <v>983.0099458863613</v>
      </c>
      <c r="CA16" s="68">
        <f t="shared" si="62"/>
        <v>0</v>
      </c>
      <c r="CB16" s="68">
        <f t="shared" si="62"/>
        <v>0</v>
      </c>
      <c r="CC16" s="68">
        <f>CC106</f>
        <v>7470.875588736347</v>
      </c>
      <c r="CD16" s="52"/>
      <c r="CE16" s="68">
        <f aca="true" t="shared" si="63" ref="CE16:CP16">CE106</f>
        <v>0</v>
      </c>
      <c r="CF16" s="68">
        <f t="shared" si="63"/>
        <v>0</v>
      </c>
      <c r="CG16" s="68">
        <f t="shared" si="63"/>
        <v>0</v>
      </c>
      <c r="CH16" s="68">
        <f t="shared" si="63"/>
        <v>589.8059675318168</v>
      </c>
      <c r="CI16" s="68">
        <f t="shared" si="63"/>
        <v>1179.6119350636336</v>
      </c>
      <c r="CJ16" s="68">
        <f t="shared" si="63"/>
        <v>1179.6119350636336</v>
      </c>
      <c r="CK16" s="68">
        <f t="shared" si="63"/>
        <v>1179.6119350636336</v>
      </c>
      <c r="CL16" s="68">
        <f t="shared" si="63"/>
        <v>1179.6119350636336</v>
      </c>
      <c r="CM16" s="68">
        <f t="shared" si="63"/>
        <v>1179.6119350636336</v>
      </c>
      <c r="CN16" s="68">
        <f t="shared" si="63"/>
        <v>983.0099458863613</v>
      </c>
      <c r="CO16" s="68">
        <f t="shared" si="63"/>
        <v>0</v>
      </c>
      <c r="CP16" s="68">
        <f t="shared" si="63"/>
        <v>0</v>
      </c>
      <c r="CQ16" s="68">
        <f>CQ106</f>
        <v>7470.875588736347</v>
      </c>
      <c r="CR16" s="52"/>
      <c r="CS16" s="52"/>
      <c r="CT16" s="52"/>
      <c r="CU16" s="52"/>
    </row>
    <row r="17" spans="1:99" ht="12.75">
      <c r="A17" s="32"/>
      <c r="B17" s="33" t="s">
        <v>116</v>
      </c>
      <c r="C17" s="33" t="s">
        <v>16</v>
      </c>
      <c r="D17" s="68">
        <f>D28</f>
        <v>0</v>
      </c>
      <c r="E17" s="68">
        <f>E28</f>
        <v>0</v>
      </c>
      <c r="F17" s="68">
        <f>F28</f>
        <v>0</v>
      </c>
      <c r="G17" s="68">
        <f>G28</f>
        <v>0</v>
      </c>
      <c r="H17" s="68">
        <f aca="true" t="shared" si="64" ref="H17:O17">H28</f>
        <v>0</v>
      </c>
      <c r="I17" s="68">
        <f t="shared" si="64"/>
        <v>0</v>
      </c>
      <c r="J17" s="68">
        <f t="shared" si="64"/>
        <v>0</v>
      </c>
      <c r="K17" s="68">
        <f t="shared" si="64"/>
        <v>0</v>
      </c>
      <c r="L17" s="68">
        <f t="shared" si="64"/>
        <v>0</v>
      </c>
      <c r="M17" s="68">
        <f t="shared" si="64"/>
        <v>142.26475598757392</v>
      </c>
      <c r="N17" s="68">
        <f t="shared" si="64"/>
        <v>1862.4086675769117</v>
      </c>
      <c r="O17" s="68">
        <f t="shared" si="64"/>
        <v>1558.8199594147711</v>
      </c>
      <c r="P17" s="68">
        <f>P28</f>
        <v>1455.90853291913</v>
      </c>
      <c r="Q17" s="68">
        <f>Q28</f>
        <v>1414.7439623208738</v>
      </c>
      <c r="R17" s="68">
        <f>R28</f>
        <v>1625.8358803487324</v>
      </c>
      <c r="S17" s="68">
        <f>S28</f>
        <v>717.7042883805992</v>
      </c>
      <c r="T17" s="68">
        <f aca="true" t="shared" si="65" ref="T17:Z17">T28</f>
        <v>220.84792125964526</v>
      </c>
      <c r="U17" s="68">
        <f t="shared" si="65"/>
        <v>106.61623784948392</v>
      </c>
      <c r="V17" s="68">
        <f t="shared" si="65"/>
        <v>110.321049203327</v>
      </c>
      <c r="W17" s="68">
        <f t="shared" si="65"/>
        <v>110.321049203327</v>
      </c>
      <c r="X17" s="68">
        <f t="shared" si="65"/>
        <v>106.61623784948392</v>
      </c>
      <c r="Y17" s="68">
        <f t="shared" si="65"/>
        <v>363.11267724721915</v>
      </c>
      <c r="Z17" s="68">
        <f t="shared" si="65"/>
        <v>1455.90853291913</v>
      </c>
      <c r="AA17" s="68">
        <f aca="true" t="shared" si="66" ref="AA17:AM17">AA28</f>
        <v>1558.8199594147711</v>
      </c>
      <c r="AB17" s="68">
        <f t="shared" si="66"/>
        <v>1455.90853291913</v>
      </c>
      <c r="AC17" s="68">
        <f t="shared" si="66"/>
        <v>1455.90853291913</v>
      </c>
      <c r="AD17" s="68">
        <f t="shared" si="66"/>
        <v>1625.8358803487324</v>
      </c>
      <c r="AE17" s="68">
        <f t="shared" si="66"/>
        <v>717.7042883805992</v>
      </c>
      <c r="AF17" s="68">
        <f t="shared" si="66"/>
        <v>220.84792125964526</v>
      </c>
      <c r="AG17" s="68">
        <f t="shared" si="66"/>
        <v>106.61623784948392</v>
      </c>
      <c r="AH17" s="68">
        <f t="shared" si="66"/>
        <v>110.321049203327</v>
      </c>
      <c r="AI17" s="68">
        <f t="shared" si="66"/>
        <v>110.321049203327</v>
      </c>
      <c r="AJ17" s="68">
        <f t="shared" si="66"/>
        <v>106.61623784948392</v>
      </c>
      <c r="AK17" s="68">
        <f t="shared" si="66"/>
        <v>363.11267724721915</v>
      </c>
      <c r="AL17" s="68">
        <f t="shared" si="66"/>
        <v>1455.90853291913</v>
      </c>
      <c r="AM17" s="68">
        <f t="shared" si="66"/>
        <v>1558.8199594147711</v>
      </c>
      <c r="AN17" s="68">
        <f>AN28</f>
        <v>3563.4933829792567</v>
      </c>
      <c r="AO17" s="143">
        <f>AO28</f>
        <v>9246.756328915722</v>
      </c>
      <c r="AP17" s="68">
        <f aca="true" t="shared" si="67" ref="AP17:AX17">AP28</f>
        <v>9287.920899513978</v>
      </c>
      <c r="AQ17" s="68">
        <f t="shared" si="67"/>
        <v>9287.920899513978</v>
      </c>
      <c r="AR17" s="68">
        <f t="shared" si="67"/>
        <v>9287.920899513978</v>
      </c>
      <c r="AS17" s="68">
        <f t="shared" si="67"/>
        <v>9287.920899513978</v>
      </c>
      <c r="AT17" s="68">
        <f t="shared" si="67"/>
        <v>9287.920899513978</v>
      </c>
      <c r="AU17" s="68">
        <f t="shared" si="67"/>
        <v>9287.920899513978</v>
      </c>
      <c r="AV17" s="68">
        <f t="shared" si="67"/>
        <v>9287.920899513978</v>
      </c>
      <c r="AW17" s="68">
        <f t="shared" si="67"/>
        <v>9287.920899513978</v>
      </c>
      <c r="AX17" s="68">
        <f t="shared" si="67"/>
        <v>9287.920899513978</v>
      </c>
      <c r="AY17" s="122">
        <f t="shared" si="17"/>
        <v>92838.04442454153</v>
      </c>
      <c r="AZ17" s="68"/>
      <c r="BA17" s="68"/>
      <c r="BB17" s="52"/>
      <c r="BC17" s="68">
        <f aca="true" t="shared" si="68" ref="BC17:BN17">BC28</f>
        <v>1455.90853291913</v>
      </c>
      <c r="BD17" s="68">
        <f t="shared" si="68"/>
        <v>1455.90853291913</v>
      </c>
      <c r="BE17" s="68">
        <f t="shared" si="68"/>
        <v>1625.8358803487324</v>
      </c>
      <c r="BF17" s="68">
        <f t="shared" si="68"/>
        <v>717.7042883805992</v>
      </c>
      <c r="BG17" s="68">
        <f t="shared" si="68"/>
        <v>220.84792125964526</v>
      </c>
      <c r="BH17" s="68">
        <f t="shared" si="68"/>
        <v>106.61623784948392</v>
      </c>
      <c r="BI17" s="68">
        <f t="shared" si="68"/>
        <v>110.321049203327</v>
      </c>
      <c r="BJ17" s="68">
        <f t="shared" si="68"/>
        <v>110.321049203327</v>
      </c>
      <c r="BK17" s="68">
        <f t="shared" si="68"/>
        <v>106.61623784948392</v>
      </c>
      <c r="BL17" s="68">
        <f t="shared" si="68"/>
        <v>363.11267724721915</v>
      </c>
      <c r="BM17" s="68">
        <f t="shared" si="68"/>
        <v>1455.90853291913</v>
      </c>
      <c r="BN17" s="68">
        <f t="shared" si="68"/>
        <v>1558.8199594147711</v>
      </c>
      <c r="BO17" s="68">
        <f>BO28</f>
        <v>9287.920899513978</v>
      </c>
      <c r="BP17" s="52"/>
      <c r="BQ17" s="68">
        <f aca="true" t="shared" si="69" ref="BQ17:CB17">BQ28</f>
        <v>1455.90853291913</v>
      </c>
      <c r="BR17" s="68">
        <f t="shared" si="69"/>
        <v>1455.90853291913</v>
      </c>
      <c r="BS17" s="68">
        <f t="shared" si="69"/>
        <v>1625.8358803487324</v>
      </c>
      <c r="BT17" s="68">
        <f t="shared" si="69"/>
        <v>717.7042883805992</v>
      </c>
      <c r="BU17" s="68">
        <f t="shared" si="69"/>
        <v>220.84792125964526</v>
      </c>
      <c r="BV17" s="68">
        <f t="shared" si="69"/>
        <v>106.61623784948392</v>
      </c>
      <c r="BW17" s="68">
        <f t="shared" si="69"/>
        <v>110.321049203327</v>
      </c>
      <c r="BX17" s="68">
        <f t="shared" si="69"/>
        <v>110.321049203327</v>
      </c>
      <c r="BY17" s="68">
        <f t="shared" si="69"/>
        <v>106.61623784948392</v>
      </c>
      <c r="BZ17" s="68">
        <f t="shared" si="69"/>
        <v>363.11267724721915</v>
      </c>
      <c r="CA17" s="68">
        <f t="shared" si="69"/>
        <v>1455.90853291913</v>
      </c>
      <c r="CB17" s="68">
        <f t="shared" si="69"/>
        <v>1558.8199594147711</v>
      </c>
      <c r="CC17" s="68">
        <f>CC28</f>
        <v>9287.920899513978</v>
      </c>
      <c r="CD17" s="52"/>
      <c r="CE17" s="68">
        <f aca="true" t="shared" si="70" ref="CE17:CP17">CE28</f>
        <v>1455.90853291913</v>
      </c>
      <c r="CF17" s="68">
        <f t="shared" si="70"/>
        <v>1455.90853291913</v>
      </c>
      <c r="CG17" s="68">
        <f t="shared" si="70"/>
        <v>1625.8358803487324</v>
      </c>
      <c r="CH17" s="68">
        <f t="shared" si="70"/>
        <v>717.7042883805992</v>
      </c>
      <c r="CI17" s="68">
        <f t="shared" si="70"/>
        <v>220.84792125964526</v>
      </c>
      <c r="CJ17" s="68">
        <f t="shared" si="70"/>
        <v>106.61623784948392</v>
      </c>
      <c r="CK17" s="68">
        <f t="shared" si="70"/>
        <v>110.321049203327</v>
      </c>
      <c r="CL17" s="68">
        <f t="shared" si="70"/>
        <v>110.321049203327</v>
      </c>
      <c r="CM17" s="68">
        <f t="shared" si="70"/>
        <v>106.61623784948392</v>
      </c>
      <c r="CN17" s="68">
        <f t="shared" si="70"/>
        <v>363.11267724721915</v>
      </c>
      <c r="CO17" s="68">
        <f t="shared" si="70"/>
        <v>1455.90853291913</v>
      </c>
      <c r="CP17" s="68">
        <f t="shared" si="70"/>
        <v>1558.8199594147711</v>
      </c>
      <c r="CQ17" s="68">
        <f>CQ28</f>
        <v>9287.920899513978</v>
      </c>
      <c r="CR17" s="52"/>
      <c r="CS17" s="52"/>
      <c r="CT17" s="52"/>
      <c r="CU17" s="52"/>
    </row>
    <row r="18" spans="1:99" ht="12.75">
      <c r="A18" s="32"/>
      <c r="B18" s="33" t="s">
        <v>117</v>
      </c>
      <c r="C18" s="33" t="s">
        <v>16</v>
      </c>
      <c r="D18" s="68">
        <f>D72</f>
        <v>0</v>
      </c>
      <c r="E18" s="68">
        <f>E72</f>
        <v>0</v>
      </c>
      <c r="F18" s="68">
        <f>F72</f>
        <v>0</v>
      </c>
      <c r="G18" s="68">
        <f>G72</f>
        <v>0</v>
      </c>
      <c r="H18" s="68">
        <f aca="true" t="shared" si="71" ref="H18:O18">H72</f>
        <v>0</v>
      </c>
      <c r="I18" s="68">
        <f t="shared" si="71"/>
        <v>114.1630757924976</v>
      </c>
      <c r="J18" s="68">
        <f t="shared" si="71"/>
        <v>114.1630757924976</v>
      </c>
      <c r="K18" s="68">
        <f t="shared" si="71"/>
        <v>114.1630757924976</v>
      </c>
      <c r="L18" s="68">
        <f t="shared" si="71"/>
        <v>114.1630757924976</v>
      </c>
      <c r="M18" s="68">
        <f t="shared" si="71"/>
        <v>114.1630757924976</v>
      </c>
      <c r="N18" s="68">
        <f t="shared" si="71"/>
        <v>114.1630757924976</v>
      </c>
      <c r="O18" s="68">
        <f t="shared" si="71"/>
        <v>114.1630757924976</v>
      </c>
      <c r="P18" s="68">
        <f>P72</f>
        <v>114.1630757924976</v>
      </c>
      <c r="Q18" s="68">
        <f>Q72</f>
        <v>114.1630757924976</v>
      </c>
      <c r="R18" s="68">
        <f>R72</f>
        <v>114.1630757924976</v>
      </c>
      <c r="S18" s="68">
        <f>S72</f>
        <v>114.1630757924976</v>
      </c>
      <c r="T18" s="68">
        <f aca="true" t="shared" si="72" ref="T18:Z18">T72</f>
        <v>114.1630757924976</v>
      </c>
      <c r="U18" s="68">
        <f t="shared" si="72"/>
        <v>114.1630757924976</v>
      </c>
      <c r="V18" s="68">
        <f t="shared" si="72"/>
        <v>114.1630757924976</v>
      </c>
      <c r="W18" s="68">
        <f t="shared" si="72"/>
        <v>114.1630757924976</v>
      </c>
      <c r="X18" s="68">
        <f t="shared" si="72"/>
        <v>114.1630757924976</v>
      </c>
      <c r="Y18" s="68">
        <f t="shared" si="72"/>
        <v>114.1630757924976</v>
      </c>
      <c r="Z18" s="68">
        <f t="shared" si="72"/>
        <v>114.1630757924976</v>
      </c>
      <c r="AA18" s="68">
        <f aca="true" t="shared" si="73" ref="AA18:AM18">AA72</f>
        <v>114.1630757924976</v>
      </c>
      <c r="AB18" s="68">
        <f t="shared" si="73"/>
        <v>499.46345659217695</v>
      </c>
      <c r="AC18" s="68">
        <f t="shared" si="73"/>
        <v>499.46345659217695</v>
      </c>
      <c r="AD18" s="68">
        <f t="shared" si="73"/>
        <v>499.46345659217695</v>
      </c>
      <c r="AE18" s="68">
        <f t="shared" si="73"/>
        <v>499.46345659217695</v>
      </c>
      <c r="AF18" s="68">
        <f t="shared" si="73"/>
        <v>499.46345659217695</v>
      </c>
      <c r="AG18" s="68">
        <f t="shared" si="73"/>
        <v>499.46345659217695</v>
      </c>
      <c r="AH18" s="68">
        <f t="shared" si="73"/>
        <v>499.46345659217695</v>
      </c>
      <c r="AI18" s="68">
        <f t="shared" si="73"/>
        <v>499.46345659217695</v>
      </c>
      <c r="AJ18" s="68">
        <f t="shared" si="73"/>
        <v>499.46345659217695</v>
      </c>
      <c r="AK18" s="68">
        <f t="shared" si="73"/>
        <v>499.46345659217695</v>
      </c>
      <c r="AL18" s="68">
        <f t="shared" si="73"/>
        <v>499.46345659217695</v>
      </c>
      <c r="AM18" s="68">
        <f t="shared" si="73"/>
        <v>499.46345659217695</v>
      </c>
      <c r="AN18" s="68">
        <f>AN72</f>
        <v>799.1415305474832</v>
      </c>
      <c r="AO18" s="143">
        <f>AO72</f>
        <v>1369.9569095099714</v>
      </c>
      <c r="AP18" s="68">
        <f aca="true" t="shared" si="74" ref="AP18:AX18">AP72</f>
        <v>5993.561479106123</v>
      </c>
      <c r="AQ18" s="68">
        <f t="shared" si="74"/>
        <v>5993.561479106123</v>
      </c>
      <c r="AR18" s="68">
        <f t="shared" si="74"/>
        <v>5993.561479106123</v>
      </c>
      <c r="AS18" s="68">
        <f t="shared" si="74"/>
        <v>5993.561479106123</v>
      </c>
      <c r="AT18" s="68">
        <f t="shared" si="74"/>
        <v>5993.561479106123</v>
      </c>
      <c r="AU18" s="68">
        <f t="shared" si="74"/>
        <v>5993.561479106123</v>
      </c>
      <c r="AV18" s="68">
        <f t="shared" si="74"/>
        <v>5993.561479106123</v>
      </c>
      <c r="AW18" s="68">
        <f t="shared" si="74"/>
        <v>5993.561479106123</v>
      </c>
      <c r="AX18" s="68">
        <f t="shared" si="74"/>
        <v>5993.561479106123</v>
      </c>
      <c r="AY18" s="122">
        <f t="shared" si="17"/>
        <v>55312.01022146508</v>
      </c>
      <c r="AZ18" s="68"/>
      <c r="BA18" s="68"/>
      <c r="BB18" s="52"/>
      <c r="BC18" s="68">
        <f aca="true" t="shared" si="75" ref="BC18:BN18">BC72</f>
        <v>499.46345659217695</v>
      </c>
      <c r="BD18" s="68">
        <f t="shared" si="75"/>
        <v>499.46345659217695</v>
      </c>
      <c r="BE18" s="68">
        <f t="shared" si="75"/>
        <v>499.46345659217695</v>
      </c>
      <c r="BF18" s="68">
        <f t="shared" si="75"/>
        <v>499.46345659217695</v>
      </c>
      <c r="BG18" s="68">
        <f t="shared" si="75"/>
        <v>499.46345659217695</v>
      </c>
      <c r="BH18" s="68">
        <f t="shared" si="75"/>
        <v>499.46345659217695</v>
      </c>
      <c r="BI18" s="68">
        <f t="shared" si="75"/>
        <v>499.46345659217695</v>
      </c>
      <c r="BJ18" s="68">
        <f t="shared" si="75"/>
        <v>499.46345659217695</v>
      </c>
      <c r="BK18" s="68">
        <f t="shared" si="75"/>
        <v>499.46345659217695</v>
      </c>
      <c r="BL18" s="68">
        <f t="shared" si="75"/>
        <v>499.46345659217695</v>
      </c>
      <c r="BM18" s="68">
        <f t="shared" si="75"/>
        <v>499.46345659217695</v>
      </c>
      <c r="BN18" s="68">
        <f t="shared" si="75"/>
        <v>499.46345659217695</v>
      </c>
      <c r="BO18" s="68">
        <f>BO72</f>
        <v>5993.561479106123</v>
      </c>
      <c r="BP18" s="52"/>
      <c r="BQ18" s="68">
        <f aca="true" t="shared" si="76" ref="BQ18:CB18">BQ72</f>
        <v>499.46345659217695</v>
      </c>
      <c r="BR18" s="68">
        <f t="shared" si="76"/>
        <v>499.46345659217695</v>
      </c>
      <c r="BS18" s="68">
        <f t="shared" si="76"/>
        <v>499.46345659217695</v>
      </c>
      <c r="BT18" s="68">
        <f t="shared" si="76"/>
        <v>499.46345659217695</v>
      </c>
      <c r="BU18" s="68">
        <f t="shared" si="76"/>
        <v>499.46345659217695</v>
      </c>
      <c r="BV18" s="68">
        <f t="shared" si="76"/>
        <v>499.46345659217695</v>
      </c>
      <c r="BW18" s="68">
        <f t="shared" si="76"/>
        <v>499.46345659217695</v>
      </c>
      <c r="BX18" s="68">
        <f t="shared" si="76"/>
        <v>499.46345659217695</v>
      </c>
      <c r="BY18" s="68">
        <f t="shared" si="76"/>
        <v>499.46345659217695</v>
      </c>
      <c r="BZ18" s="68">
        <f t="shared" si="76"/>
        <v>499.46345659217695</v>
      </c>
      <c r="CA18" s="68">
        <f t="shared" si="76"/>
        <v>499.46345659217695</v>
      </c>
      <c r="CB18" s="68">
        <f t="shared" si="76"/>
        <v>499.46345659217695</v>
      </c>
      <c r="CC18" s="68">
        <f>CC72</f>
        <v>5993.561479106123</v>
      </c>
      <c r="CD18" s="52"/>
      <c r="CE18" s="68">
        <f aca="true" t="shared" si="77" ref="CE18:CP18">CE72</f>
        <v>499.46345659217695</v>
      </c>
      <c r="CF18" s="68">
        <f t="shared" si="77"/>
        <v>499.46345659217695</v>
      </c>
      <c r="CG18" s="68">
        <f t="shared" si="77"/>
        <v>499.46345659217695</v>
      </c>
      <c r="CH18" s="68">
        <f t="shared" si="77"/>
        <v>499.46345659217695</v>
      </c>
      <c r="CI18" s="68">
        <f t="shared" si="77"/>
        <v>499.46345659217695</v>
      </c>
      <c r="CJ18" s="68">
        <f t="shared" si="77"/>
        <v>499.46345659217695</v>
      </c>
      <c r="CK18" s="68">
        <f t="shared" si="77"/>
        <v>499.46345659217695</v>
      </c>
      <c r="CL18" s="68">
        <f t="shared" si="77"/>
        <v>499.46345659217695</v>
      </c>
      <c r="CM18" s="68">
        <f t="shared" si="77"/>
        <v>499.46345659217695</v>
      </c>
      <c r="CN18" s="68">
        <f t="shared" si="77"/>
        <v>499.46345659217695</v>
      </c>
      <c r="CO18" s="68">
        <f t="shared" si="77"/>
        <v>499.46345659217695</v>
      </c>
      <c r="CP18" s="68">
        <f t="shared" si="77"/>
        <v>499.46345659217695</v>
      </c>
      <c r="CQ18" s="68">
        <f>CQ72</f>
        <v>5993.561479106123</v>
      </c>
      <c r="CR18" s="52"/>
      <c r="CS18" s="52"/>
      <c r="CT18" s="52"/>
      <c r="CU18" s="52"/>
    </row>
    <row r="19" spans="1:99" ht="12.75">
      <c r="A19" s="32"/>
      <c r="B19" s="33" t="s">
        <v>178</v>
      </c>
      <c r="C19" s="33" t="s">
        <v>16</v>
      </c>
      <c r="D19" s="68">
        <f aca="true" t="shared" si="78" ref="D19:AX19">D73+D108</f>
        <v>0</v>
      </c>
      <c r="E19" s="68">
        <f t="shared" si="78"/>
        <v>0</v>
      </c>
      <c r="F19" s="68">
        <f t="shared" si="78"/>
        <v>0</v>
      </c>
      <c r="G19" s="68">
        <f t="shared" si="78"/>
        <v>0</v>
      </c>
      <c r="H19" s="68">
        <f t="shared" si="78"/>
        <v>0</v>
      </c>
      <c r="I19" s="68">
        <f t="shared" si="78"/>
        <v>5.0596000000000005</v>
      </c>
      <c r="J19" s="68">
        <f t="shared" si="78"/>
        <v>5.0596000000000005</v>
      </c>
      <c r="K19" s="68">
        <f t="shared" si="78"/>
        <v>5.0596000000000005</v>
      </c>
      <c r="L19" s="68">
        <f t="shared" si="78"/>
        <v>5.0596000000000005</v>
      </c>
      <c r="M19" s="68">
        <f t="shared" si="78"/>
        <v>5.0596000000000005</v>
      </c>
      <c r="N19" s="68">
        <f t="shared" si="78"/>
        <v>5.0596000000000005</v>
      </c>
      <c r="O19" s="68">
        <f t="shared" si="78"/>
        <v>5.0596000000000005</v>
      </c>
      <c r="P19" s="68">
        <f t="shared" si="78"/>
        <v>5.0596000000000005</v>
      </c>
      <c r="Q19" s="68">
        <f t="shared" si="78"/>
        <v>5.0596000000000005</v>
      </c>
      <c r="R19" s="68">
        <f t="shared" si="78"/>
        <v>5.0596000000000005</v>
      </c>
      <c r="S19" s="68">
        <f t="shared" si="78"/>
        <v>5.0596000000000005</v>
      </c>
      <c r="T19" s="68">
        <f t="shared" si="78"/>
        <v>5.0596000000000005</v>
      </c>
      <c r="U19" s="68">
        <f t="shared" si="78"/>
        <v>5.0596000000000005</v>
      </c>
      <c r="V19" s="68">
        <f t="shared" si="78"/>
        <v>5.0596000000000005</v>
      </c>
      <c r="W19" s="68">
        <f t="shared" si="78"/>
        <v>5.0596000000000005</v>
      </c>
      <c r="X19" s="68">
        <f t="shared" si="78"/>
        <v>5.0596000000000005</v>
      </c>
      <c r="Y19" s="68">
        <f t="shared" si="78"/>
        <v>5.0596000000000005</v>
      </c>
      <c r="Z19" s="68">
        <f t="shared" si="78"/>
        <v>5.0596000000000005</v>
      </c>
      <c r="AA19" s="68">
        <f t="shared" si="78"/>
        <v>5.0596000000000005</v>
      </c>
      <c r="AB19" s="68">
        <f t="shared" si="78"/>
        <v>21.658000000000005</v>
      </c>
      <c r="AC19" s="68">
        <f t="shared" si="78"/>
        <v>21.658000000000005</v>
      </c>
      <c r="AD19" s="68">
        <f t="shared" si="78"/>
        <v>21.658000000000005</v>
      </c>
      <c r="AE19" s="68">
        <f t="shared" si="78"/>
        <v>21.658000000000005</v>
      </c>
      <c r="AF19" s="68">
        <f t="shared" si="78"/>
        <v>21.658000000000005</v>
      </c>
      <c r="AG19" s="68">
        <f t="shared" si="78"/>
        <v>21.658000000000005</v>
      </c>
      <c r="AH19" s="68">
        <f t="shared" si="78"/>
        <v>21.658000000000005</v>
      </c>
      <c r="AI19" s="68">
        <f t="shared" si="78"/>
        <v>21.658000000000005</v>
      </c>
      <c r="AJ19" s="68">
        <f t="shared" si="78"/>
        <v>21.658000000000005</v>
      </c>
      <c r="AK19" s="68">
        <f t="shared" si="78"/>
        <v>21.658000000000005</v>
      </c>
      <c r="AL19" s="68">
        <f t="shared" si="78"/>
        <v>21.658000000000005</v>
      </c>
      <c r="AM19" s="68">
        <f t="shared" si="78"/>
        <v>21.658000000000005</v>
      </c>
      <c r="AN19" s="68">
        <f t="shared" si="78"/>
        <v>35.4172</v>
      </c>
      <c r="AO19" s="143">
        <f t="shared" si="78"/>
        <v>60.71520000000002</v>
      </c>
      <c r="AP19" s="68">
        <f t="shared" si="78"/>
        <v>259.8960000000001</v>
      </c>
      <c r="AQ19" s="68">
        <f t="shared" si="78"/>
        <v>254.54520000000002</v>
      </c>
      <c r="AR19" s="68">
        <f t="shared" si="78"/>
        <v>248.81220000000002</v>
      </c>
      <c r="AS19" s="68">
        <f t="shared" si="78"/>
        <v>243.07920000000001</v>
      </c>
      <c r="AT19" s="68">
        <f t="shared" si="78"/>
        <v>243.07920000000001</v>
      </c>
      <c r="AU19" s="68">
        <f t="shared" si="78"/>
        <v>243.07920000000001</v>
      </c>
      <c r="AV19" s="68">
        <f t="shared" si="78"/>
        <v>243.07920000000001</v>
      </c>
      <c r="AW19" s="68">
        <f t="shared" si="78"/>
        <v>243.07920000000001</v>
      </c>
      <c r="AX19" s="68">
        <f t="shared" si="78"/>
        <v>243.07920000000001</v>
      </c>
      <c r="AY19" s="122">
        <f t="shared" si="17"/>
        <v>2282.443800000001</v>
      </c>
      <c r="AZ19" s="68"/>
      <c r="BA19" s="68"/>
      <c r="BB19" s="52"/>
      <c r="BC19" s="68">
        <f aca="true" t="shared" si="79" ref="BC19:BO19">BC73+BC108</f>
        <v>21.212100000000007</v>
      </c>
      <c r="BD19" s="68">
        <f t="shared" si="79"/>
        <v>21.212100000000007</v>
      </c>
      <c r="BE19" s="68">
        <f t="shared" si="79"/>
        <v>21.212100000000007</v>
      </c>
      <c r="BF19" s="68">
        <f t="shared" si="79"/>
        <v>21.212100000000007</v>
      </c>
      <c r="BG19" s="68">
        <f t="shared" si="79"/>
        <v>21.212100000000007</v>
      </c>
      <c r="BH19" s="68">
        <f t="shared" si="79"/>
        <v>21.212100000000007</v>
      </c>
      <c r="BI19" s="68">
        <f t="shared" si="79"/>
        <v>21.212100000000007</v>
      </c>
      <c r="BJ19" s="68">
        <f t="shared" si="79"/>
        <v>21.212100000000007</v>
      </c>
      <c r="BK19" s="68">
        <f t="shared" si="79"/>
        <v>21.212100000000007</v>
      </c>
      <c r="BL19" s="68">
        <f t="shared" si="79"/>
        <v>21.212100000000007</v>
      </c>
      <c r="BM19" s="68">
        <f t="shared" si="79"/>
        <v>21.212100000000007</v>
      </c>
      <c r="BN19" s="68">
        <f t="shared" si="79"/>
        <v>21.212100000000007</v>
      </c>
      <c r="BO19" s="68">
        <f t="shared" si="79"/>
        <v>254.54520000000002</v>
      </c>
      <c r="BP19" s="52"/>
      <c r="BQ19" s="68">
        <f aca="true" t="shared" si="80" ref="BQ19:CC19">BQ73+BQ108</f>
        <v>20.734350000000006</v>
      </c>
      <c r="BR19" s="68">
        <f t="shared" si="80"/>
        <v>20.734350000000006</v>
      </c>
      <c r="BS19" s="68">
        <f t="shared" si="80"/>
        <v>20.734350000000006</v>
      </c>
      <c r="BT19" s="68">
        <f t="shared" si="80"/>
        <v>20.734350000000006</v>
      </c>
      <c r="BU19" s="68">
        <f t="shared" si="80"/>
        <v>20.734350000000006</v>
      </c>
      <c r="BV19" s="68">
        <f t="shared" si="80"/>
        <v>20.734350000000006</v>
      </c>
      <c r="BW19" s="68">
        <f t="shared" si="80"/>
        <v>20.734350000000006</v>
      </c>
      <c r="BX19" s="68">
        <f t="shared" si="80"/>
        <v>20.734350000000006</v>
      </c>
      <c r="BY19" s="68">
        <f t="shared" si="80"/>
        <v>20.734350000000006</v>
      </c>
      <c r="BZ19" s="68">
        <f t="shared" si="80"/>
        <v>20.734350000000006</v>
      </c>
      <c r="CA19" s="68">
        <f t="shared" si="80"/>
        <v>20.734350000000006</v>
      </c>
      <c r="CB19" s="68">
        <f t="shared" si="80"/>
        <v>20.734350000000006</v>
      </c>
      <c r="CC19" s="68">
        <f t="shared" si="80"/>
        <v>248.81220000000002</v>
      </c>
      <c r="CD19" s="52"/>
      <c r="CE19" s="68">
        <f aca="true" t="shared" si="81" ref="CE19:CQ19">CE73+CE108</f>
        <v>20.256600000000002</v>
      </c>
      <c r="CF19" s="68">
        <f t="shared" si="81"/>
        <v>20.256600000000002</v>
      </c>
      <c r="CG19" s="68">
        <f t="shared" si="81"/>
        <v>20.256600000000002</v>
      </c>
      <c r="CH19" s="68">
        <f t="shared" si="81"/>
        <v>20.256600000000002</v>
      </c>
      <c r="CI19" s="68">
        <f t="shared" si="81"/>
        <v>20.256600000000002</v>
      </c>
      <c r="CJ19" s="68">
        <f t="shared" si="81"/>
        <v>20.256600000000002</v>
      </c>
      <c r="CK19" s="68">
        <f t="shared" si="81"/>
        <v>20.256600000000002</v>
      </c>
      <c r="CL19" s="68">
        <f t="shared" si="81"/>
        <v>20.256600000000002</v>
      </c>
      <c r="CM19" s="68">
        <f t="shared" si="81"/>
        <v>20.256600000000002</v>
      </c>
      <c r="CN19" s="68">
        <f t="shared" si="81"/>
        <v>20.256600000000002</v>
      </c>
      <c r="CO19" s="68">
        <f t="shared" si="81"/>
        <v>20.256600000000002</v>
      </c>
      <c r="CP19" s="68">
        <f t="shared" si="81"/>
        <v>20.256600000000002</v>
      </c>
      <c r="CQ19" s="68">
        <f t="shared" si="81"/>
        <v>243.07920000000001</v>
      </c>
      <c r="CR19" s="52"/>
      <c r="CS19" s="52"/>
      <c r="CT19" s="52"/>
      <c r="CU19" s="52"/>
    </row>
    <row r="20" spans="1:99" ht="12.75">
      <c r="A20" s="32"/>
      <c r="B20" s="33" t="s">
        <v>119</v>
      </c>
      <c r="C20" s="33" t="s">
        <v>16</v>
      </c>
      <c r="D20" s="68">
        <f>D9-D15</f>
        <v>0</v>
      </c>
      <c r="E20" s="68">
        <f>E9-E15</f>
        <v>0</v>
      </c>
      <c r="F20" s="68">
        <f>F9-F15</f>
        <v>0</v>
      </c>
      <c r="G20" s="68">
        <f>G9-G15</f>
        <v>0</v>
      </c>
      <c r="H20" s="68">
        <f aca="true" t="shared" si="82" ref="H20:O20">H9-H15</f>
        <v>0</v>
      </c>
      <c r="I20" s="68">
        <f t="shared" si="82"/>
        <v>8725.461835681597</v>
      </c>
      <c r="J20" s="68">
        <f t="shared" si="82"/>
        <v>8725.461835681597</v>
      </c>
      <c r="K20" s="68">
        <f t="shared" si="82"/>
        <v>8725.461835681597</v>
      </c>
      <c r="L20" s="68">
        <f t="shared" si="82"/>
        <v>8725.461835681597</v>
      </c>
      <c r="M20" s="68">
        <f t="shared" si="82"/>
        <v>10003.231468645514</v>
      </c>
      <c r="N20" s="68">
        <f t="shared" si="82"/>
        <v>17489.920670932057</v>
      </c>
      <c r="O20" s="68">
        <f t="shared" si="82"/>
        <v>14791.678600871492</v>
      </c>
      <c r="P20" s="68">
        <f>P9-P15</f>
        <v>13877.020272037402</v>
      </c>
      <c r="Q20" s="68">
        <f>Q9-Q15</f>
        <v>13511.156940503764</v>
      </c>
      <c r="R20" s="68">
        <f>R9-R15</f>
        <v>15360.612186240905</v>
      </c>
      <c r="S20" s="68">
        <f>S9-S15</f>
        <v>11190.122145532112</v>
      </c>
      <c r="T20" s="68">
        <f aca="true" t="shared" si="83" ref="T20:Z20">T9-T15</f>
        <v>10688.31860935955</v>
      </c>
      <c r="U20" s="68">
        <f t="shared" si="83"/>
        <v>9673.047864353714</v>
      </c>
      <c r="V20" s="68">
        <f t="shared" si="83"/>
        <v>9705.975564191742</v>
      </c>
      <c r="W20" s="68">
        <f t="shared" si="83"/>
        <v>9705.975564191742</v>
      </c>
      <c r="X20" s="68">
        <f t="shared" si="83"/>
        <v>9673.047864353714</v>
      </c>
      <c r="Y20" s="68">
        <f t="shared" si="83"/>
        <v>10661.365950510663</v>
      </c>
      <c r="Z20" s="68">
        <f t="shared" si="83"/>
        <v>13877.020272037402</v>
      </c>
      <c r="AA20" s="68">
        <f aca="true" t="shared" si="84" ref="AA20:AM20">AA9-AA15</f>
        <v>14791.678600871492</v>
      </c>
      <c r="AB20" s="68">
        <f t="shared" si="84"/>
        <v>16891.655308253456</v>
      </c>
      <c r="AC20" s="68">
        <f t="shared" si="84"/>
        <v>16891.655308253456</v>
      </c>
      <c r="AD20" s="68">
        <f t="shared" si="84"/>
        <v>18375.247222456957</v>
      </c>
      <c r="AE20" s="68">
        <f t="shared" si="84"/>
        <v>14204.757181748166</v>
      </c>
      <c r="AF20" s="68">
        <f t="shared" si="84"/>
        <v>13702.953645575606</v>
      </c>
      <c r="AG20" s="68">
        <f t="shared" si="84"/>
        <v>12687.68290056977</v>
      </c>
      <c r="AH20" s="68">
        <f t="shared" si="84"/>
        <v>12720.610600407796</v>
      </c>
      <c r="AI20" s="68">
        <f t="shared" si="84"/>
        <v>12720.610600407796</v>
      </c>
      <c r="AJ20" s="68">
        <f t="shared" si="84"/>
        <v>12687.68290056977</v>
      </c>
      <c r="AK20" s="68">
        <f t="shared" si="84"/>
        <v>13676.000986726718</v>
      </c>
      <c r="AL20" s="68">
        <f t="shared" si="84"/>
        <v>16891.655308253456</v>
      </c>
      <c r="AM20" s="68">
        <f t="shared" si="84"/>
        <v>17806.313637087544</v>
      </c>
      <c r="AN20" s="68">
        <f>AN9-AN15</f>
        <v>77186.67808317544</v>
      </c>
      <c r="AO20" s="143">
        <f>AO9-AO15</f>
        <v>142715.3418341842</v>
      </c>
      <c r="AP20" s="68">
        <f aca="true" t="shared" si="85" ref="AP20:AX20">AP9-AP15</f>
        <v>179256.82560031046</v>
      </c>
      <c r="AQ20" s="68">
        <f t="shared" si="85"/>
        <v>179109.29640031047</v>
      </c>
      <c r="AR20" s="68">
        <f t="shared" si="85"/>
        <v>178951.2294003105</v>
      </c>
      <c r="AS20" s="68">
        <f t="shared" si="85"/>
        <v>178793.16240031045</v>
      </c>
      <c r="AT20" s="68">
        <f t="shared" si="85"/>
        <v>178793.16240031045</v>
      </c>
      <c r="AU20" s="68">
        <f t="shared" si="85"/>
        <v>178793.16240031045</v>
      </c>
      <c r="AV20" s="68">
        <f t="shared" si="85"/>
        <v>178793.16240031045</v>
      </c>
      <c r="AW20" s="68">
        <f t="shared" si="85"/>
        <v>178793.16240031045</v>
      </c>
      <c r="AX20" s="68">
        <f t="shared" si="85"/>
        <v>178793.16240031045</v>
      </c>
      <c r="AY20" s="122">
        <f>SUM(AO20:AX20)</f>
        <v>1752791.667636978</v>
      </c>
      <c r="AZ20" s="68"/>
      <c r="BA20" s="68"/>
      <c r="BB20" s="52"/>
      <c r="BC20" s="68">
        <f aca="true" t="shared" si="86" ref="BC20:BN20">BC9-BC15</f>
        <v>16879.361208253456</v>
      </c>
      <c r="BD20" s="68">
        <f t="shared" si="86"/>
        <v>16879.361208253456</v>
      </c>
      <c r="BE20" s="68">
        <f t="shared" si="86"/>
        <v>18362.95312245696</v>
      </c>
      <c r="BF20" s="68">
        <f t="shared" si="86"/>
        <v>14192.463081748167</v>
      </c>
      <c r="BG20" s="68">
        <f t="shared" si="86"/>
        <v>13690.659545575607</v>
      </c>
      <c r="BH20" s="68">
        <f t="shared" si="86"/>
        <v>12675.388800569768</v>
      </c>
      <c r="BI20" s="68">
        <f t="shared" si="86"/>
        <v>12708.316500407796</v>
      </c>
      <c r="BJ20" s="68">
        <f t="shared" si="86"/>
        <v>12708.316500407796</v>
      </c>
      <c r="BK20" s="68">
        <f t="shared" si="86"/>
        <v>12675.388800569768</v>
      </c>
      <c r="BL20" s="68">
        <f t="shared" si="86"/>
        <v>13663.706886726717</v>
      </c>
      <c r="BM20" s="68">
        <f t="shared" si="86"/>
        <v>16879.361208253456</v>
      </c>
      <c r="BN20" s="68">
        <f t="shared" si="86"/>
        <v>17794.019537087544</v>
      </c>
      <c r="BO20" s="68">
        <f>BO9-BO15</f>
        <v>179109.29640031047</v>
      </c>
      <c r="BP20" s="52"/>
      <c r="BQ20" s="68">
        <f aca="true" t="shared" si="87" ref="BQ20:CB20">BQ9-BQ15</f>
        <v>16866.188958253457</v>
      </c>
      <c r="BR20" s="68">
        <f t="shared" si="87"/>
        <v>16866.188958253457</v>
      </c>
      <c r="BS20" s="68">
        <f t="shared" si="87"/>
        <v>18349.780872456955</v>
      </c>
      <c r="BT20" s="68">
        <f t="shared" si="87"/>
        <v>14179.290831748167</v>
      </c>
      <c r="BU20" s="68">
        <f t="shared" si="87"/>
        <v>13677.487295575607</v>
      </c>
      <c r="BV20" s="68">
        <f t="shared" si="87"/>
        <v>12662.216550569769</v>
      </c>
      <c r="BW20" s="68">
        <f t="shared" si="87"/>
        <v>12695.144250407797</v>
      </c>
      <c r="BX20" s="68">
        <f t="shared" si="87"/>
        <v>12695.144250407797</v>
      </c>
      <c r="BY20" s="68">
        <f t="shared" si="87"/>
        <v>12662.216550569769</v>
      </c>
      <c r="BZ20" s="68">
        <f t="shared" si="87"/>
        <v>13650.534636726718</v>
      </c>
      <c r="CA20" s="68">
        <f t="shared" si="87"/>
        <v>16866.188958253457</v>
      </c>
      <c r="CB20" s="68">
        <f t="shared" si="87"/>
        <v>17780.84728708754</v>
      </c>
      <c r="CC20" s="68">
        <f>CC9-CC15</f>
        <v>178951.2294003105</v>
      </c>
      <c r="CD20" s="52"/>
      <c r="CE20" s="68">
        <f aca="true" t="shared" si="88" ref="CE20:CP20">CE9-CE15</f>
        <v>16853.016708253454</v>
      </c>
      <c r="CF20" s="68">
        <f t="shared" si="88"/>
        <v>16853.016708253454</v>
      </c>
      <c r="CG20" s="68">
        <f t="shared" si="88"/>
        <v>18336.608622456955</v>
      </c>
      <c r="CH20" s="68">
        <f t="shared" si="88"/>
        <v>14166.118581748167</v>
      </c>
      <c r="CI20" s="68">
        <f t="shared" si="88"/>
        <v>13664.315045575608</v>
      </c>
      <c r="CJ20" s="68">
        <f t="shared" si="88"/>
        <v>12649.044300569769</v>
      </c>
      <c r="CK20" s="68">
        <f t="shared" si="88"/>
        <v>12681.972000407797</v>
      </c>
      <c r="CL20" s="68">
        <f t="shared" si="88"/>
        <v>12681.972000407797</v>
      </c>
      <c r="CM20" s="68">
        <f t="shared" si="88"/>
        <v>12649.044300569769</v>
      </c>
      <c r="CN20" s="68">
        <f t="shared" si="88"/>
        <v>13637.362386726718</v>
      </c>
      <c r="CO20" s="68">
        <f t="shared" si="88"/>
        <v>16853.016708253454</v>
      </c>
      <c r="CP20" s="68">
        <f t="shared" si="88"/>
        <v>17767.67503708754</v>
      </c>
      <c r="CQ20" s="68">
        <f>CQ9-CQ15</f>
        <v>178793.16240031045</v>
      </c>
      <c r="CR20" s="52"/>
      <c r="CS20" s="52"/>
      <c r="CT20" s="52"/>
      <c r="CU20" s="52"/>
    </row>
    <row r="21" spans="1:99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144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</row>
    <row r="22" spans="1:94" ht="12.75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P22" s="26"/>
      <c r="AQ22" s="26"/>
      <c r="AR22" s="26"/>
      <c r="AS22" s="26"/>
      <c r="AT22" s="26"/>
      <c r="AU22" s="26"/>
      <c r="AV22" s="26"/>
      <c r="AW22" s="26"/>
      <c r="AX22" s="27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</row>
    <row r="23" spans="1:94" ht="12.75">
      <c r="A23" s="31" t="s">
        <v>4</v>
      </c>
      <c r="B23" s="34" t="s">
        <v>43</v>
      </c>
      <c r="C23" s="2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26"/>
      <c r="AP23" s="26"/>
      <c r="AQ23" s="26"/>
      <c r="AR23" s="26"/>
      <c r="AS23" s="26"/>
      <c r="AT23" s="26"/>
      <c r="AU23" s="26"/>
      <c r="AV23" s="26"/>
      <c r="AW23" s="26"/>
      <c r="AX23" s="27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</row>
    <row r="24" spans="1:95" ht="12.75">
      <c r="A24" s="31"/>
      <c r="B24" s="56" t="s">
        <v>82</v>
      </c>
      <c r="C24" s="26" t="s">
        <v>14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720</v>
      </c>
      <c r="N24" s="163">
        <v>9135</v>
      </c>
      <c r="O24" s="163">
        <v>7660</v>
      </c>
      <c r="P24" s="163">
        <v>7160</v>
      </c>
      <c r="Q24" s="163">
        <v>6960</v>
      </c>
      <c r="R24" s="163">
        <v>7928</v>
      </c>
      <c r="S24" s="163">
        <v>3487</v>
      </c>
      <c r="T24" s="163">
        <v>1073</v>
      </c>
      <c r="U24" s="163">
        <v>518</v>
      </c>
      <c r="V24" s="163">
        <v>536</v>
      </c>
      <c r="W24" s="163">
        <v>536</v>
      </c>
      <c r="X24" s="163">
        <v>518</v>
      </c>
      <c r="Y24" s="163">
        <v>1793</v>
      </c>
      <c r="Z24" s="163">
        <v>7160</v>
      </c>
      <c r="AA24" s="163">
        <v>7660</v>
      </c>
      <c r="AB24" s="163">
        <v>7160</v>
      </c>
      <c r="AC24" s="163">
        <v>7160</v>
      </c>
      <c r="AD24" s="163">
        <v>7928</v>
      </c>
      <c r="AE24" s="163">
        <v>3487</v>
      </c>
      <c r="AF24" s="163">
        <v>1073</v>
      </c>
      <c r="AG24" s="163">
        <v>518</v>
      </c>
      <c r="AH24" s="163">
        <v>536</v>
      </c>
      <c r="AI24" s="163">
        <v>536</v>
      </c>
      <c r="AJ24" s="163">
        <v>518</v>
      </c>
      <c r="AK24" s="163">
        <v>1793</v>
      </c>
      <c r="AL24" s="163">
        <v>7160</v>
      </c>
      <c r="AM24" s="163">
        <v>7660</v>
      </c>
      <c r="AN24" s="14">
        <f>SUM(D24:O24)</f>
        <v>17515</v>
      </c>
      <c r="AO24" s="140">
        <f>SUM(P24:AA24)</f>
        <v>45329</v>
      </c>
      <c r="AP24" s="14">
        <f>SUM(AB24:AM24)</f>
        <v>45529</v>
      </c>
      <c r="AQ24" s="52">
        <f>BO24</f>
        <v>45529</v>
      </c>
      <c r="AR24" s="52">
        <f>CC24</f>
        <v>45529</v>
      </c>
      <c r="AS24" s="52">
        <f>CQ24</f>
        <v>45529</v>
      </c>
      <c r="AT24" s="52">
        <f>AS24</f>
        <v>45529</v>
      </c>
      <c r="AU24" s="52">
        <f>AT24</f>
        <v>45529</v>
      </c>
      <c r="AV24" s="52">
        <f>AU24</f>
        <v>45529</v>
      </c>
      <c r="AW24" s="52">
        <f>AV24</f>
        <v>45529</v>
      </c>
      <c r="AX24" s="52">
        <f>AW24</f>
        <v>45529</v>
      </c>
      <c r="BC24" s="162">
        <v>7160</v>
      </c>
      <c r="BD24" s="162">
        <v>7160</v>
      </c>
      <c r="BE24" s="162">
        <v>7928</v>
      </c>
      <c r="BF24" s="162">
        <v>3487</v>
      </c>
      <c r="BG24" s="162">
        <v>1073</v>
      </c>
      <c r="BH24" s="162">
        <v>518</v>
      </c>
      <c r="BI24" s="162">
        <v>536</v>
      </c>
      <c r="BJ24" s="162">
        <v>536</v>
      </c>
      <c r="BK24" s="162">
        <v>518</v>
      </c>
      <c r="BL24" s="162">
        <v>1793</v>
      </c>
      <c r="BM24" s="162">
        <v>7160</v>
      </c>
      <c r="BN24" s="162">
        <v>7660</v>
      </c>
      <c r="BO24" s="50">
        <f>SUM(BC24:BN24)</f>
        <v>45529</v>
      </c>
      <c r="BQ24" s="162">
        <v>7160</v>
      </c>
      <c r="BR24" s="162">
        <v>7160</v>
      </c>
      <c r="BS24" s="162">
        <v>7928</v>
      </c>
      <c r="BT24" s="162">
        <v>3487</v>
      </c>
      <c r="BU24" s="162">
        <v>1073</v>
      </c>
      <c r="BV24" s="162">
        <v>518</v>
      </c>
      <c r="BW24" s="162">
        <v>536</v>
      </c>
      <c r="BX24" s="162">
        <v>536</v>
      </c>
      <c r="BY24" s="162">
        <v>518</v>
      </c>
      <c r="BZ24" s="162">
        <v>1793</v>
      </c>
      <c r="CA24" s="162">
        <v>7160</v>
      </c>
      <c r="CB24" s="162">
        <v>7660</v>
      </c>
      <c r="CC24" s="50">
        <f>SUM(BQ24:CB24)</f>
        <v>45529</v>
      </c>
      <c r="CE24" s="162">
        <v>7160</v>
      </c>
      <c r="CF24" s="162">
        <v>7160</v>
      </c>
      <c r="CG24" s="162">
        <v>7928</v>
      </c>
      <c r="CH24" s="162">
        <v>3487</v>
      </c>
      <c r="CI24" s="162">
        <v>1073</v>
      </c>
      <c r="CJ24" s="162">
        <v>518</v>
      </c>
      <c r="CK24" s="162">
        <v>536</v>
      </c>
      <c r="CL24" s="162">
        <v>536</v>
      </c>
      <c r="CM24" s="162">
        <v>518</v>
      </c>
      <c r="CN24" s="162">
        <v>1793</v>
      </c>
      <c r="CO24" s="162">
        <v>7160</v>
      </c>
      <c r="CP24" s="162">
        <v>7660</v>
      </c>
      <c r="CQ24" s="50">
        <f>SUM(CE24:CP24)</f>
        <v>45529</v>
      </c>
    </row>
    <row r="25" spans="1:95" ht="12.75">
      <c r="A25" s="31"/>
      <c r="B25" s="129" t="s">
        <v>166</v>
      </c>
      <c r="C25" s="26" t="s">
        <v>14</v>
      </c>
      <c r="D25" s="14">
        <f>D36+D47+D58</f>
        <v>0</v>
      </c>
      <c r="E25" s="14">
        <f aca="true" t="shared" si="89" ref="E25:AM25">E36+E47+E58</f>
        <v>0</v>
      </c>
      <c r="F25" s="14">
        <f t="shared" si="89"/>
        <v>0</v>
      </c>
      <c r="G25" s="14">
        <f t="shared" si="89"/>
        <v>0</v>
      </c>
      <c r="H25" s="14">
        <f t="shared" si="89"/>
        <v>0</v>
      </c>
      <c r="I25" s="14">
        <f t="shared" si="89"/>
        <v>0</v>
      </c>
      <c r="J25" s="14">
        <f t="shared" si="89"/>
        <v>0</v>
      </c>
      <c r="K25" s="14">
        <f t="shared" si="89"/>
        <v>0</v>
      </c>
      <c r="L25" s="14">
        <f t="shared" si="89"/>
        <v>0</v>
      </c>
      <c r="M25" s="14">
        <f t="shared" si="89"/>
        <v>720</v>
      </c>
      <c r="N25" s="14">
        <f t="shared" si="89"/>
        <v>9135</v>
      </c>
      <c r="O25" s="14">
        <f t="shared" si="89"/>
        <v>7660</v>
      </c>
      <c r="P25" s="14">
        <f t="shared" si="89"/>
        <v>7160</v>
      </c>
      <c r="Q25" s="14">
        <f t="shared" si="89"/>
        <v>6960</v>
      </c>
      <c r="R25" s="14">
        <f t="shared" si="89"/>
        <v>7928</v>
      </c>
      <c r="S25" s="14">
        <f t="shared" si="89"/>
        <v>3487</v>
      </c>
      <c r="T25" s="14">
        <f t="shared" si="89"/>
        <v>1073</v>
      </c>
      <c r="U25" s="14">
        <f t="shared" si="89"/>
        <v>518</v>
      </c>
      <c r="V25" s="14">
        <f t="shared" si="89"/>
        <v>536</v>
      </c>
      <c r="W25" s="14">
        <f t="shared" si="89"/>
        <v>536</v>
      </c>
      <c r="X25" s="14">
        <f t="shared" si="89"/>
        <v>518</v>
      </c>
      <c r="Y25" s="14">
        <f t="shared" si="89"/>
        <v>1793</v>
      </c>
      <c r="Z25" s="14">
        <f t="shared" si="89"/>
        <v>7160</v>
      </c>
      <c r="AA25" s="14">
        <f t="shared" si="89"/>
        <v>7660</v>
      </c>
      <c r="AB25" s="14">
        <f t="shared" si="89"/>
        <v>7160</v>
      </c>
      <c r="AC25" s="14">
        <f t="shared" si="89"/>
        <v>7160</v>
      </c>
      <c r="AD25" s="14">
        <f t="shared" si="89"/>
        <v>7928</v>
      </c>
      <c r="AE25" s="14">
        <f t="shared" si="89"/>
        <v>3487</v>
      </c>
      <c r="AF25" s="14">
        <f t="shared" si="89"/>
        <v>1073</v>
      </c>
      <c r="AG25" s="14">
        <f t="shared" si="89"/>
        <v>518</v>
      </c>
      <c r="AH25" s="14">
        <f t="shared" si="89"/>
        <v>536</v>
      </c>
      <c r="AI25" s="14">
        <f t="shared" si="89"/>
        <v>536</v>
      </c>
      <c r="AJ25" s="14">
        <f t="shared" si="89"/>
        <v>518</v>
      </c>
      <c r="AK25" s="14">
        <f t="shared" si="89"/>
        <v>1793</v>
      </c>
      <c r="AL25" s="14">
        <f t="shared" si="89"/>
        <v>7160</v>
      </c>
      <c r="AM25" s="14">
        <f t="shared" si="89"/>
        <v>7660</v>
      </c>
      <c r="AN25" s="14">
        <f aca="true" t="shared" si="90" ref="AN25:AN30">SUM(D25:O25)</f>
        <v>17515</v>
      </c>
      <c r="AO25" s="140">
        <f aca="true" t="shared" si="91" ref="AO25:AO30">SUM(P25:AA25)</f>
        <v>45329</v>
      </c>
      <c r="AP25" s="14">
        <f aca="true" t="shared" si="92" ref="AP25:AP30">SUM(AB25:AM25)</f>
        <v>45529</v>
      </c>
      <c r="AQ25" s="52">
        <f>BO25</f>
        <v>45529</v>
      </c>
      <c r="AR25" s="52">
        <f aca="true" t="shared" si="93" ref="AR25:AX25">AR36+AR47+AR58</f>
        <v>45529</v>
      </c>
      <c r="AS25" s="52">
        <f t="shared" si="93"/>
        <v>45529</v>
      </c>
      <c r="AT25" s="52">
        <f t="shared" si="93"/>
        <v>45529</v>
      </c>
      <c r="AU25" s="52">
        <f t="shared" si="93"/>
        <v>45529</v>
      </c>
      <c r="AV25" s="52">
        <f t="shared" si="93"/>
        <v>45529</v>
      </c>
      <c r="AW25" s="52">
        <f t="shared" si="93"/>
        <v>45529</v>
      </c>
      <c r="AX25" s="53">
        <f t="shared" si="93"/>
        <v>45529</v>
      </c>
      <c r="BC25" s="14">
        <f>BC36+BC47+BC58</f>
        <v>7160</v>
      </c>
      <c r="BD25" s="14">
        <f aca="true" t="shared" si="94" ref="BD25:BN25">BD36+BD47+BD58</f>
        <v>7160</v>
      </c>
      <c r="BE25" s="14">
        <f t="shared" si="94"/>
        <v>7928</v>
      </c>
      <c r="BF25" s="14">
        <f t="shared" si="94"/>
        <v>3487</v>
      </c>
      <c r="BG25" s="14">
        <f t="shared" si="94"/>
        <v>1073</v>
      </c>
      <c r="BH25" s="14">
        <f t="shared" si="94"/>
        <v>518</v>
      </c>
      <c r="BI25" s="14">
        <f t="shared" si="94"/>
        <v>536</v>
      </c>
      <c r="BJ25" s="14">
        <f t="shared" si="94"/>
        <v>536</v>
      </c>
      <c r="BK25" s="14">
        <f t="shared" si="94"/>
        <v>518</v>
      </c>
      <c r="BL25" s="14">
        <f t="shared" si="94"/>
        <v>1793</v>
      </c>
      <c r="BM25" s="14">
        <f t="shared" si="94"/>
        <v>7160</v>
      </c>
      <c r="BN25" s="14">
        <f t="shared" si="94"/>
        <v>7660</v>
      </c>
      <c r="BO25" s="50">
        <f aca="true" t="shared" si="95" ref="BO25:BO31">SUM(BC25:BN25)</f>
        <v>45529</v>
      </c>
      <c r="BQ25" s="14">
        <f aca="true" t="shared" si="96" ref="BQ25:CB25">BQ36+BQ47+BQ58</f>
        <v>7160</v>
      </c>
      <c r="BR25" s="14">
        <f t="shared" si="96"/>
        <v>7160</v>
      </c>
      <c r="BS25" s="14">
        <f t="shared" si="96"/>
        <v>7928</v>
      </c>
      <c r="BT25" s="14">
        <f t="shared" si="96"/>
        <v>3487</v>
      </c>
      <c r="BU25" s="14">
        <f t="shared" si="96"/>
        <v>1073</v>
      </c>
      <c r="BV25" s="14">
        <f t="shared" si="96"/>
        <v>518</v>
      </c>
      <c r="BW25" s="14">
        <f t="shared" si="96"/>
        <v>536</v>
      </c>
      <c r="BX25" s="14">
        <f t="shared" si="96"/>
        <v>536</v>
      </c>
      <c r="BY25" s="14">
        <f t="shared" si="96"/>
        <v>518</v>
      </c>
      <c r="BZ25" s="14">
        <f t="shared" si="96"/>
        <v>1793</v>
      </c>
      <c r="CA25" s="14">
        <f t="shared" si="96"/>
        <v>7160</v>
      </c>
      <c r="CB25" s="14">
        <f t="shared" si="96"/>
        <v>7660</v>
      </c>
      <c r="CC25" s="50">
        <f aca="true" t="shared" si="97" ref="CC25:CC31">SUM(BQ25:CB25)</f>
        <v>45529</v>
      </c>
      <c r="CE25" s="14">
        <f aca="true" t="shared" si="98" ref="CE25:CP25">CE36+CE47+CE58</f>
        <v>7160</v>
      </c>
      <c r="CF25" s="14">
        <f t="shared" si="98"/>
        <v>7160</v>
      </c>
      <c r="CG25" s="14">
        <f t="shared" si="98"/>
        <v>7928</v>
      </c>
      <c r="CH25" s="14">
        <f t="shared" si="98"/>
        <v>3487</v>
      </c>
      <c r="CI25" s="14">
        <f t="shared" si="98"/>
        <v>1073</v>
      </c>
      <c r="CJ25" s="14">
        <f t="shared" si="98"/>
        <v>518</v>
      </c>
      <c r="CK25" s="14">
        <f t="shared" si="98"/>
        <v>536</v>
      </c>
      <c r="CL25" s="14">
        <f t="shared" si="98"/>
        <v>536</v>
      </c>
      <c r="CM25" s="14">
        <f t="shared" si="98"/>
        <v>518</v>
      </c>
      <c r="CN25" s="14">
        <f t="shared" si="98"/>
        <v>1793</v>
      </c>
      <c r="CO25" s="14">
        <f t="shared" si="98"/>
        <v>7160</v>
      </c>
      <c r="CP25" s="14">
        <f t="shared" si="98"/>
        <v>7660</v>
      </c>
      <c r="CQ25" s="50">
        <f aca="true" t="shared" si="99" ref="CQ25:CQ31">SUM(CE25:CP25)</f>
        <v>45529</v>
      </c>
    </row>
    <row r="26" spans="1:95" ht="12.75">
      <c r="A26" s="31"/>
      <c r="B26" s="26" t="s">
        <v>45</v>
      </c>
      <c r="C26" s="26" t="s">
        <v>15</v>
      </c>
      <c r="D26" s="14">
        <f aca="true" t="shared" si="100" ref="D26:AM26">D38+D49+D60</f>
        <v>0</v>
      </c>
      <c r="E26" s="14">
        <f t="shared" si="100"/>
        <v>0</v>
      </c>
      <c r="F26" s="14">
        <f t="shared" si="100"/>
        <v>0</v>
      </c>
      <c r="G26" s="14">
        <f t="shared" si="100"/>
        <v>0</v>
      </c>
      <c r="H26" s="14">
        <f t="shared" si="100"/>
        <v>0</v>
      </c>
      <c r="I26" s="14">
        <f t="shared" si="100"/>
        <v>0</v>
      </c>
      <c r="J26" s="14">
        <f t="shared" si="100"/>
        <v>0</v>
      </c>
      <c r="K26" s="14">
        <f t="shared" si="100"/>
        <v>0</v>
      </c>
      <c r="L26" s="14">
        <f t="shared" si="100"/>
        <v>0</v>
      </c>
      <c r="M26" s="14">
        <f t="shared" si="100"/>
        <v>72151.51818819522</v>
      </c>
      <c r="N26" s="14">
        <f t="shared" si="100"/>
        <v>944546.046698066</v>
      </c>
      <c r="O26" s="14">
        <f t="shared" si="100"/>
        <v>790576.8781106992</v>
      </c>
      <c r="P26" s="14">
        <f t="shared" si="100"/>
        <v>738383.9396065071</v>
      </c>
      <c r="Q26" s="14">
        <f t="shared" si="100"/>
        <v>717506.7642048302</v>
      </c>
      <c r="R26" s="14">
        <f t="shared" si="100"/>
        <v>824564.919664629</v>
      </c>
      <c r="S26" s="14">
        <f t="shared" si="100"/>
        <v>363993.553128236</v>
      </c>
      <c r="T26" s="14">
        <f t="shared" si="100"/>
        <v>112006.04602999633</v>
      </c>
      <c r="U26" s="14">
        <f t="shared" si="100"/>
        <v>54071.884290343056</v>
      </c>
      <c r="V26" s="14">
        <f t="shared" si="100"/>
        <v>55950.83007649398</v>
      </c>
      <c r="W26" s="14">
        <f t="shared" si="100"/>
        <v>55950.83007649398</v>
      </c>
      <c r="X26" s="14">
        <f t="shared" si="100"/>
        <v>54071.884290343056</v>
      </c>
      <c r="Y26" s="14">
        <f t="shared" si="100"/>
        <v>184157.56421819155</v>
      </c>
      <c r="Z26" s="14">
        <f t="shared" si="100"/>
        <v>738383.9396065071</v>
      </c>
      <c r="AA26" s="14">
        <f t="shared" si="100"/>
        <v>790576.8781106992</v>
      </c>
      <c r="AB26" s="14">
        <f t="shared" si="100"/>
        <v>738383.9396065071</v>
      </c>
      <c r="AC26" s="14">
        <f t="shared" si="100"/>
        <v>738383.9396065071</v>
      </c>
      <c r="AD26" s="14">
        <f t="shared" si="100"/>
        <v>824564.919664629</v>
      </c>
      <c r="AE26" s="14">
        <f t="shared" si="100"/>
        <v>363993.553128236</v>
      </c>
      <c r="AF26" s="14">
        <f t="shared" si="100"/>
        <v>112006.04602999633</v>
      </c>
      <c r="AG26" s="14">
        <f t="shared" si="100"/>
        <v>54071.884290343056</v>
      </c>
      <c r="AH26" s="14">
        <f t="shared" si="100"/>
        <v>55950.83007649398</v>
      </c>
      <c r="AI26" s="14">
        <f t="shared" si="100"/>
        <v>55950.83007649398</v>
      </c>
      <c r="AJ26" s="14">
        <f t="shared" si="100"/>
        <v>54071.884290343056</v>
      </c>
      <c r="AK26" s="14">
        <f t="shared" si="100"/>
        <v>184157.56421819155</v>
      </c>
      <c r="AL26" s="14">
        <f t="shared" si="100"/>
        <v>738383.9396065071</v>
      </c>
      <c r="AM26" s="14">
        <f t="shared" si="100"/>
        <v>790576.8781106992</v>
      </c>
      <c r="AN26" s="14">
        <f t="shared" si="90"/>
        <v>1807274.4429969606</v>
      </c>
      <c r="AO26" s="140">
        <f t="shared" si="91"/>
        <v>4689619.03330327</v>
      </c>
      <c r="AP26" s="14">
        <f t="shared" si="92"/>
        <v>4710496.2087049475</v>
      </c>
      <c r="AQ26" s="14">
        <f aca="true" t="shared" si="101" ref="AQ26:AX26">AQ38+AQ49+AQ60</f>
        <v>4710496.208704947</v>
      </c>
      <c r="AR26" s="14">
        <f t="shared" si="101"/>
        <v>4710496.208704947</v>
      </c>
      <c r="AS26" s="14">
        <f t="shared" si="101"/>
        <v>4710496.208704947</v>
      </c>
      <c r="AT26" s="14">
        <f t="shared" si="101"/>
        <v>4710496.208704947</v>
      </c>
      <c r="AU26" s="14">
        <f t="shared" si="101"/>
        <v>4710496.208704947</v>
      </c>
      <c r="AV26" s="14">
        <f t="shared" si="101"/>
        <v>4710496.208704947</v>
      </c>
      <c r="AW26" s="14">
        <f t="shared" si="101"/>
        <v>4710496.208704947</v>
      </c>
      <c r="AX26" s="30">
        <f t="shared" si="101"/>
        <v>4710496.208704947</v>
      </c>
      <c r="BC26" s="14">
        <f aca="true" t="shared" si="102" ref="BC26:BN26">BC38+BC49+BC60</f>
        <v>738383.9396065071</v>
      </c>
      <c r="BD26" s="14">
        <f t="shared" si="102"/>
        <v>738383.9396065071</v>
      </c>
      <c r="BE26" s="14">
        <f t="shared" si="102"/>
        <v>824564.919664629</v>
      </c>
      <c r="BF26" s="14">
        <f t="shared" si="102"/>
        <v>363993.553128236</v>
      </c>
      <c r="BG26" s="14">
        <f t="shared" si="102"/>
        <v>112006.04602999633</v>
      </c>
      <c r="BH26" s="14">
        <f t="shared" si="102"/>
        <v>54071.884290343056</v>
      </c>
      <c r="BI26" s="14">
        <f t="shared" si="102"/>
        <v>55950.83007649398</v>
      </c>
      <c r="BJ26" s="14">
        <f t="shared" si="102"/>
        <v>55950.83007649398</v>
      </c>
      <c r="BK26" s="14">
        <f t="shared" si="102"/>
        <v>54071.884290343056</v>
      </c>
      <c r="BL26" s="14">
        <f t="shared" si="102"/>
        <v>184157.56421819155</v>
      </c>
      <c r="BM26" s="14">
        <f t="shared" si="102"/>
        <v>738383.9396065071</v>
      </c>
      <c r="BN26" s="14">
        <f t="shared" si="102"/>
        <v>790576.8781106992</v>
      </c>
      <c r="BO26" s="50">
        <f t="shared" si="95"/>
        <v>4710496.2087049475</v>
      </c>
      <c r="BQ26" s="14">
        <f aca="true" t="shared" si="103" ref="BQ26:CB26">BQ38+BQ49+BQ60</f>
        <v>738383.9396065071</v>
      </c>
      <c r="BR26" s="14">
        <f t="shared" si="103"/>
        <v>738383.9396065071</v>
      </c>
      <c r="BS26" s="14">
        <f t="shared" si="103"/>
        <v>824564.919664629</v>
      </c>
      <c r="BT26" s="14">
        <f t="shared" si="103"/>
        <v>363993.553128236</v>
      </c>
      <c r="BU26" s="14">
        <f t="shared" si="103"/>
        <v>112006.04602999633</v>
      </c>
      <c r="BV26" s="14">
        <f t="shared" si="103"/>
        <v>54071.884290343056</v>
      </c>
      <c r="BW26" s="14">
        <f t="shared" si="103"/>
        <v>55950.83007649398</v>
      </c>
      <c r="BX26" s="14">
        <f t="shared" si="103"/>
        <v>55950.83007649398</v>
      </c>
      <c r="BY26" s="14">
        <f t="shared" si="103"/>
        <v>54071.884290343056</v>
      </c>
      <c r="BZ26" s="14">
        <f t="shared" si="103"/>
        <v>184157.56421819155</v>
      </c>
      <c r="CA26" s="14">
        <f t="shared" si="103"/>
        <v>738383.9396065071</v>
      </c>
      <c r="CB26" s="14">
        <f t="shared" si="103"/>
        <v>790576.8781106992</v>
      </c>
      <c r="CC26" s="50">
        <f t="shared" si="97"/>
        <v>4710496.2087049475</v>
      </c>
      <c r="CE26" s="14">
        <f aca="true" t="shared" si="104" ref="CE26:CP26">CE38+CE49+CE60</f>
        <v>738383.9396065071</v>
      </c>
      <c r="CF26" s="14">
        <f t="shared" si="104"/>
        <v>738383.9396065071</v>
      </c>
      <c r="CG26" s="14">
        <f t="shared" si="104"/>
        <v>824564.919664629</v>
      </c>
      <c r="CH26" s="14">
        <f t="shared" si="104"/>
        <v>363993.553128236</v>
      </c>
      <c r="CI26" s="14">
        <f t="shared" si="104"/>
        <v>112006.04602999633</v>
      </c>
      <c r="CJ26" s="14">
        <f t="shared" si="104"/>
        <v>54071.884290343056</v>
      </c>
      <c r="CK26" s="14">
        <f t="shared" si="104"/>
        <v>55950.83007649398</v>
      </c>
      <c r="CL26" s="14">
        <f t="shared" si="104"/>
        <v>55950.83007649398</v>
      </c>
      <c r="CM26" s="14">
        <f t="shared" si="104"/>
        <v>54071.884290343056</v>
      </c>
      <c r="CN26" s="14">
        <f t="shared" si="104"/>
        <v>184157.56421819155</v>
      </c>
      <c r="CO26" s="14">
        <f t="shared" si="104"/>
        <v>738383.9396065071</v>
      </c>
      <c r="CP26" s="14">
        <f t="shared" si="104"/>
        <v>790576.8781106992</v>
      </c>
      <c r="CQ26" s="50">
        <f t="shared" si="99"/>
        <v>4710496.2087049475</v>
      </c>
    </row>
    <row r="27" spans="1:105" ht="12.75">
      <c r="A27" s="31"/>
      <c r="B27" s="26" t="s">
        <v>46</v>
      </c>
      <c r="C27" s="26" t="s">
        <v>21</v>
      </c>
      <c r="D27" s="14">
        <f aca="true" t="shared" si="105" ref="D27:O27">D41+D52+D63</f>
        <v>0</v>
      </c>
      <c r="E27" s="14">
        <f t="shared" si="105"/>
        <v>0</v>
      </c>
      <c r="F27" s="14">
        <f t="shared" si="105"/>
        <v>0</v>
      </c>
      <c r="G27" s="14">
        <f t="shared" si="105"/>
        <v>0</v>
      </c>
      <c r="H27" s="14">
        <f t="shared" si="105"/>
        <v>0</v>
      </c>
      <c r="I27" s="14">
        <f t="shared" si="105"/>
        <v>0</v>
      </c>
      <c r="J27" s="14">
        <f t="shared" si="105"/>
        <v>0</v>
      </c>
      <c r="K27" s="14">
        <f t="shared" si="105"/>
        <v>0</v>
      </c>
      <c r="L27" s="14">
        <f t="shared" si="105"/>
        <v>0</v>
      </c>
      <c r="M27" s="14">
        <f t="shared" si="105"/>
        <v>192.07683073229293</v>
      </c>
      <c r="N27" s="14">
        <f t="shared" si="105"/>
        <v>2436.9747899159665</v>
      </c>
      <c r="O27" s="14">
        <f t="shared" si="105"/>
        <v>2043.484060290783</v>
      </c>
      <c r="P27" s="14">
        <f aca="true" t="shared" si="106" ref="P27:AM27">P41+P52+P63</f>
        <v>1910.0973722822464</v>
      </c>
      <c r="Q27" s="14">
        <f t="shared" si="106"/>
        <v>1856.7426970788315</v>
      </c>
      <c r="R27" s="14">
        <f t="shared" si="106"/>
        <v>2114.979325063359</v>
      </c>
      <c r="S27" s="14">
        <f t="shared" si="106"/>
        <v>930.2387621715353</v>
      </c>
      <c r="T27" s="14">
        <f t="shared" si="106"/>
        <v>286.2478324663199</v>
      </c>
      <c r="U27" s="14">
        <f t="shared" si="106"/>
        <v>138.1886087768441</v>
      </c>
      <c r="V27" s="14">
        <f t="shared" si="106"/>
        <v>142.99052954515142</v>
      </c>
      <c r="W27" s="14">
        <f t="shared" si="106"/>
        <v>142.99052954515142</v>
      </c>
      <c r="X27" s="14">
        <f t="shared" si="106"/>
        <v>138.1886087768441</v>
      </c>
      <c r="Y27" s="14">
        <f t="shared" si="106"/>
        <v>478.3246631986128</v>
      </c>
      <c r="Z27" s="14">
        <f t="shared" si="106"/>
        <v>1910.0973722822464</v>
      </c>
      <c r="AA27" s="14">
        <f t="shared" si="106"/>
        <v>2043.484060290783</v>
      </c>
      <c r="AB27" s="14">
        <f t="shared" si="106"/>
        <v>1910.0973722822464</v>
      </c>
      <c r="AC27" s="14">
        <f t="shared" si="106"/>
        <v>1910.0973722822464</v>
      </c>
      <c r="AD27" s="14">
        <f t="shared" si="106"/>
        <v>2114.979325063359</v>
      </c>
      <c r="AE27" s="14">
        <f t="shared" si="106"/>
        <v>930.2387621715353</v>
      </c>
      <c r="AF27" s="14">
        <f t="shared" si="106"/>
        <v>286.2478324663199</v>
      </c>
      <c r="AG27" s="14">
        <f t="shared" si="106"/>
        <v>138.1886087768441</v>
      </c>
      <c r="AH27" s="14">
        <f t="shared" si="106"/>
        <v>142.99052954515142</v>
      </c>
      <c r="AI27" s="14">
        <f t="shared" si="106"/>
        <v>142.99052954515142</v>
      </c>
      <c r="AJ27" s="14">
        <f t="shared" si="106"/>
        <v>138.1886087768441</v>
      </c>
      <c r="AK27" s="14">
        <f t="shared" si="106"/>
        <v>478.3246631986128</v>
      </c>
      <c r="AL27" s="14">
        <f t="shared" si="106"/>
        <v>1910.0973722822464</v>
      </c>
      <c r="AM27" s="14">
        <f t="shared" si="106"/>
        <v>2043.484060290783</v>
      </c>
      <c r="AN27" s="14">
        <f t="shared" si="90"/>
        <v>4672.535680939042</v>
      </c>
      <c r="AO27" s="140">
        <f t="shared" si="91"/>
        <v>12092.570361477927</v>
      </c>
      <c r="AP27" s="14">
        <f t="shared" si="92"/>
        <v>12145.92503668134</v>
      </c>
      <c r="AQ27" s="14">
        <f aca="true" t="shared" si="107" ref="AQ27:AX27">AQ41+AQ52+AQ63</f>
        <v>12145.925036681341</v>
      </c>
      <c r="AR27" s="14">
        <f t="shared" si="107"/>
        <v>12145.925036681341</v>
      </c>
      <c r="AS27" s="14">
        <f t="shared" si="107"/>
        <v>12145.925036681341</v>
      </c>
      <c r="AT27" s="14">
        <f t="shared" si="107"/>
        <v>12145.925036681341</v>
      </c>
      <c r="AU27" s="14">
        <f t="shared" si="107"/>
        <v>12145.925036681341</v>
      </c>
      <c r="AV27" s="14">
        <f t="shared" si="107"/>
        <v>12145.925036681341</v>
      </c>
      <c r="AW27" s="14">
        <f t="shared" si="107"/>
        <v>12145.925036681341</v>
      </c>
      <c r="AX27" s="14">
        <f t="shared" si="107"/>
        <v>12145.925036681341</v>
      </c>
      <c r="AY27" s="52">
        <f>AX26*0.717/1000</f>
        <v>3377.4257816414465</v>
      </c>
      <c r="AZ27" s="50"/>
      <c r="BA27" s="50"/>
      <c r="BB27" s="50"/>
      <c r="BC27" s="14">
        <f aca="true" t="shared" si="108" ref="BC27:BN27">BC41+BC52+BC63</f>
        <v>1910.0973722822464</v>
      </c>
      <c r="BD27" s="14">
        <f t="shared" si="108"/>
        <v>1910.0973722822464</v>
      </c>
      <c r="BE27" s="14">
        <f t="shared" si="108"/>
        <v>2114.979325063359</v>
      </c>
      <c r="BF27" s="14">
        <f t="shared" si="108"/>
        <v>930.2387621715353</v>
      </c>
      <c r="BG27" s="14">
        <f t="shared" si="108"/>
        <v>286.2478324663199</v>
      </c>
      <c r="BH27" s="14">
        <f t="shared" si="108"/>
        <v>138.1886087768441</v>
      </c>
      <c r="BI27" s="14">
        <f t="shared" si="108"/>
        <v>142.99052954515142</v>
      </c>
      <c r="BJ27" s="14">
        <f t="shared" si="108"/>
        <v>142.99052954515142</v>
      </c>
      <c r="BK27" s="14">
        <f t="shared" si="108"/>
        <v>138.1886087768441</v>
      </c>
      <c r="BL27" s="14">
        <f t="shared" si="108"/>
        <v>478.3246631986128</v>
      </c>
      <c r="BM27" s="14">
        <f t="shared" si="108"/>
        <v>1910.0973722822464</v>
      </c>
      <c r="BN27" s="14">
        <f t="shared" si="108"/>
        <v>2043.484060290783</v>
      </c>
      <c r="BO27" s="50">
        <f t="shared" si="95"/>
        <v>12145.92503668134</v>
      </c>
      <c r="BP27" s="50"/>
      <c r="BQ27" s="14">
        <f aca="true" t="shared" si="109" ref="BQ27:CB27">BQ41+BQ52+BQ63</f>
        <v>1910.0973722822464</v>
      </c>
      <c r="BR27" s="14">
        <f t="shared" si="109"/>
        <v>1910.0973722822464</v>
      </c>
      <c r="BS27" s="14">
        <f t="shared" si="109"/>
        <v>2114.979325063359</v>
      </c>
      <c r="BT27" s="14">
        <f t="shared" si="109"/>
        <v>930.2387621715353</v>
      </c>
      <c r="BU27" s="14">
        <f t="shared" si="109"/>
        <v>286.2478324663199</v>
      </c>
      <c r="BV27" s="14">
        <f t="shared" si="109"/>
        <v>138.1886087768441</v>
      </c>
      <c r="BW27" s="14">
        <f t="shared" si="109"/>
        <v>142.99052954515142</v>
      </c>
      <c r="BX27" s="14">
        <f t="shared" si="109"/>
        <v>142.99052954515142</v>
      </c>
      <c r="BY27" s="14">
        <f t="shared" si="109"/>
        <v>138.1886087768441</v>
      </c>
      <c r="BZ27" s="14">
        <f t="shared" si="109"/>
        <v>478.3246631986128</v>
      </c>
      <c r="CA27" s="14">
        <f t="shared" si="109"/>
        <v>1910.0973722822464</v>
      </c>
      <c r="CB27" s="14">
        <f t="shared" si="109"/>
        <v>2043.484060290783</v>
      </c>
      <c r="CC27" s="50">
        <f t="shared" si="97"/>
        <v>12145.92503668134</v>
      </c>
      <c r="CD27" s="50"/>
      <c r="CE27" s="14">
        <f aca="true" t="shared" si="110" ref="CE27:CP27">CE41+CE52+CE63</f>
        <v>1910.0973722822464</v>
      </c>
      <c r="CF27" s="14">
        <f t="shared" si="110"/>
        <v>1910.0973722822464</v>
      </c>
      <c r="CG27" s="14">
        <f t="shared" si="110"/>
        <v>2114.979325063359</v>
      </c>
      <c r="CH27" s="14">
        <f t="shared" si="110"/>
        <v>930.2387621715353</v>
      </c>
      <c r="CI27" s="14">
        <f t="shared" si="110"/>
        <v>286.2478324663199</v>
      </c>
      <c r="CJ27" s="14">
        <f t="shared" si="110"/>
        <v>138.1886087768441</v>
      </c>
      <c r="CK27" s="14">
        <f t="shared" si="110"/>
        <v>142.99052954515142</v>
      </c>
      <c r="CL27" s="14">
        <f t="shared" si="110"/>
        <v>142.99052954515142</v>
      </c>
      <c r="CM27" s="14">
        <f t="shared" si="110"/>
        <v>138.1886087768441</v>
      </c>
      <c r="CN27" s="14">
        <f t="shared" si="110"/>
        <v>478.3246631986128</v>
      </c>
      <c r="CO27" s="14">
        <f t="shared" si="110"/>
        <v>1910.0973722822464</v>
      </c>
      <c r="CP27" s="14">
        <f t="shared" si="110"/>
        <v>2043.484060290783</v>
      </c>
      <c r="CQ27" s="50">
        <f t="shared" si="99"/>
        <v>12145.92503668134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</row>
    <row r="28" spans="1:105" ht="12.75">
      <c r="A28" s="31"/>
      <c r="B28" s="26" t="s">
        <v>126</v>
      </c>
      <c r="C28" s="26" t="s">
        <v>16</v>
      </c>
      <c r="D28" s="14">
        <f aca="true" t="shared" si="111" ref="D28:AM28">D40+D51+D62</f>
        <v>0</v>
      </c>
      <c r="E28" s="14">
        <f t="shared" si="111"/>
        <v>0</v>
      </c>
      <c r="F28" s="14">
        <f t="shared" si="111"/>
        <v>0</v>
      </c>
      <c r="G28" s="14">
        <f t="shared" si="111"/>
        <v>0</v>
      </c>
      <c r="H28" s="14">
        <f t="shared" si="111"/>
        <v>0</v>
      </c>
      <c r="I28" s="14">
        <f t="shared" si="111"/>
        <v>0</v>
      </c>
      <c r="J28" s="14">
        <f t="shared" si="111"/>
        <v>0</v>
      </c>
      <c r="K28" s="14">
        <f t="shared" si="111"/>
        <v>0</v>
      </c>
      <c r="L28" s="14">
        <f t="shared" si="111"/>
        <v>0</v>
      </c>
      <c r="M28" s="14">
        <f t="shared" si="111"/>
        <v>142.26475598757392</v>
      </c>
      <c r="N28" s="14">
        <f t="shared" si="111"/>
        <v>1862.4086675769117</v>
      </c>
      <c r="O28" s="14">
        <f t="shared" si="111"/>
        <v>1558.8199594147711</v>
      </c>
      <c r="P28" s="14">
        <f t="shared" si="111"/>
        <v>1455.90853291913</v>
      </c>
      <c r="Q28" s="14">
        <f t="shared" si="111"/>
        <v>1414.7439623208738</v>
      </c>
      <c r="R28" s="14">
        <f t="shared" si="111"/>
        <v>1625.8358803487324</v>
      </c>
      <c r="S28" s="14">
        <f t="shared" si="111"/>
        <v>717.7042883805992</v>
      </c>
      <c r="T28" s="14">
        <f t="shared" si="111"/>
        <v>220.84792125964526</v>
      </c>
      <c r="U28" s="14">
        <f t="shared" si="111"/>
        <v>106.61623784948392</v>
      </c>
      <c r="V28" s="14">
        <f t="shared" si="111"/>
        <v>110.321049203327</v>
      </c>
      <c r="W28" s="14">
        <f t="shared" si="111"/>
        <v>110.321049203327</v>
      </c>
      <c r="X28" s="14">
        <f t="shared" si="111"/>
        <v>106.61623784948392</v>
      </c>
      <c r="Y28" s="14">
        <f t="shared" si="111"/>
        <v>363.11267724721915</v>
      </c>
      <c r="Z28" s="14">
        <f t="shared" si="111"/>
        <v>1455.90853291913</v>
      </c>
      <c r="AA28" s="14">
        <f t="shared" si="111"/>
        <v>1558.8199594147711</v>
      </c>
      <c r="AB28" s="14">
        <f t="shared" si="111"/>
        <v>1455.90853291913</v>
      </c>
      <c r="AC28" s="14">
        <f t="shared" si="111"/>
        <v>1455.90853291913</v>
      </c>
      <c r="AD28" s="14">
        <f t="shared" si="111"/>
        <v>1625.8358803487324</v>
      </c>
      <c r="AE28" s="14">
        <f t="shared" si="111"/>
        <v>717.7042883805992</v>
      </c>
      <c r="AF28" s="14">
        <f t="shared" si="111"/>
        <v>220.84792125964526</v>
      </c>
      <c r="AG28" s="14">
        <f t="shared" si="111"/>
        <v>106.61623784948392</v>
      </c>
      <c r="AH28" s="14">
        <f t="shared" si="111"/>
        <v>110.321049203327</v>
      </c>
      <c r="AI28" s="14">
        <f t="shared" si="111"/>
        <v>110.321049203327</v>
      </c>
      <c r="AJ28" s="14">
        <f t="shared" si="111"/>
        <v>106.61623784948392</v>
      </c>
      <c r="AK28" s="14">
        <f t="shared" si="111"/>
        <v>363.11267724721915</v>
      </c>
      <c r="AL28" s="14">
        <f t="shared" si="111"/>
        <v>1455.90853291913</v>
      </c>
      <c r="AM28" s="14">
        <f t="shared" si="111"/>
        <v>1558.8199594147711</v>
      </c>
      <c r="AN28" s="14">
        <f t="shared" si="90"/>
        <v>3563.4933829792567</v>
      </c>
      <c r="AO28" s="140">
        <f t="shared" si="91"/>
        <v>9246.756328915722</v>
      </c>
      <c r="AP28" s="14">
        <f t="shared" si="92"/>
        <v>9287.920899513978</v>
      </c>
      <c r="AQ28" s="14">
        <f aca="true" t="shared" si="112" ref="AQ28:AX28">AQ40+AQ51+AQ62</f>
        <v>9287.920899513978</v>
      </c>
      <c r="AR28" s="14">
        <f t="shared" si="112"/>
        <v>9287.920899513978</v>
      </c>
      <c r="AS28" s="14">
        <f t="shared" si="112"/>
        <v>9287.920899513978</v>
      </c>
      <c r="AT28" s="14">
        <f t="shared" si="112"/>
        <v>9287.920899513978</v>
      </c>
      <c r="AU28" s="14">
        <f t="shared" si="112"/>
        <v>9287.920899513978</v>
      </c>
      <c r="AV28" s="14">
        <f t="shared" si="112"/>
        <v>9287.920899513978</v>
      </c>
      <c r="AW28" s="14">
        <f t="shared" si="112"/>
        <v>9287.920899513978</v>
      </c>
      <c r="AX28" s="30">
        <f t="shared" si="112"/>
        <v>9287.920899513978</v>
      </c>
      <c r="AY28" s="50"/>
      <c r="AZ28" s="50"/>
      <c r="BA28" s="50"/>
      <c r="BB28" s="50"/>
      <c r="BC28" s="14">
        <f aca="true" t="shared" si="113" ref="BC28:BN28">BC40+BC51+BC62</f>
        <v>1455.90853291913</v>
      </c>
      <c r="BD28" s="14">
        <f t="shared" si="113"/>
        <v>1455.90853291913</v>
      </c>
      <c r="BE28" s="14">
        <f t="shared" si="113"/>
        <v>1625.8358803487324</v>
      </c>
      <c r="BF28" s="14">
        <f t="shared" si="113"/>
        <v>717.7042883805992</v>
      </c>
      <c r="BG28" s="14">
        <f t="shared" si="113"/>
        <v>220.84792125964526</v>
      </c>
      <c r="BH28" s="14">
        <f t="shared" si="113"/>
        <v>106.61623784948392</v>
      </c>
      <c r="BI28" s="14">
        <f t="shared" si="113"/>
        <v>110.321049203327</v>
      </c>
      <c r="BJ28" s="14">
        <f t="shared" si="113"/>
        <v>110.321049203327</v>
      </c>
      <c r="BK28" s="14">
        <f t="shared" si="113"/>
        <v>106.61623784948392</v>
      </c>
      <c r="BL28" s="14">
        <f t="shared" si="113"/>
        <v>363.11267724721915</v>
      </c>
      <c r="BM28" s="14">
        <f t="shared" si="113"/>
        <v>1455.90853291913</v>
      </c>
      <c r="BN28" s="14">
        <f t="shared" si="113"/>
        <v>1558.8199594147711</v>
      </c>
      <c r="BO28" s="50">
        <f t="shared" si="95"/>
        <v>9287.920899513978</v>
      </c>
      <c r="BP28" s="50"/>
      <c r="BQ28" s="14">
        <f aca="true" t="shared" si="114" ref="BQ28:CB28">BQ40+BQ51+BQ62</f>
        <v>1455.90853291913</v>
      </c>
      <c r="BR28" s="14">
        <f t="shared" si="114"/>
        <v>1455.90853291913</v>
      </c>
      <c r="BS28" s="14">
        <f t="shared" si="114"/>
        <v>1625.8358803487324</v>
      </c>
      <c r="BT28" s="14">
        <f t="shared" si="114"/>
        <v>717.7042883805992</v>
      </c>
      <c r="BU28" s="14">
        <f t="shared" si="114"/>
        <v>220.84792125964526</v>
      </c>
      <c r="BV28" s="14">
        <f t="shared" si="114"/>
        <v>106.61623784948392</v>
      </c>
      <c r="BW28" s="14">
        <f t="shared" si="114"/>
        <v>110.321049203327</v>
      </c>
      <c r="BX28" s="14">
        <f t="shared" si="114"/>
        <v>110.321049203327</v>
      </c>
      <c r="BY28" s="14">
        <f t="shared" si="114"/>
        <v>106.61623784948392</v>
      </c>
      <c r="BZ28" s="14">
        <f t="shared" si="114"/>
        <v>363.11267724721915</v>
      </c>
      <c r="CA28" s="14">
        <f t="shared" si="114"/>
        <v>1455.90853291913</v>
      </c>
      <c r="CB28" s="14">
        <f t="shared" si="114"/>
        <v>1558.8199594147711</v>
      </c>
      <c r="CC28" s="50">
        <f t="shared" si="97"/>
        <v>9287.920899513978</v>
      </c>
      <c r="CD28" s="50"/>
      <c r="CE28" s="14">
        <f aca="true" t="shared" si="115" ref="CE28:CP28">CE40+CE51+CE62</f>
        <v>1455.90853291913</v>
      </c>
      <c r="CF28" s="14">
        <f t="shared" si="115"/>
        <v>1455.90853291913</v>
      </c>
      <c r="CG28" s="14">
        <f t="shared" si="115"/>
        <v>1625.8358803487324</v>
      </c>
      <c r="CH28" s="14">
        <f t="shared" si="115"/>
        <v>717.7042883805992</v>
      </c>
      <c r="CI28" s="14">
        <f t="shared" si="115"/>
        <v>220.84792125964526</v>
      </c>
      <c r="CJ28" s="14">
        <f t="shared" si="115"/>
        <v>106.61623784948392</v>
      </c>
      <c r="CK28" s="14">
        <f t="shared" si="115"/>
        <v>110.321049203327</v>
      </c>
      <c r="CL28" s="14">
        <f t="shared" si="115"/>
        <v>110.321049203327</v>
      </c>
      <c r="CM28" s="14">
        <f t="shared" si="115"/>
        <v>106.61623784948392</v>
      </c>
      <c r="CN28" s="14">
        <f t="shared" si="115"/>
        <v>363.11267724721915</v>
      </c>
      <c r="CO28" s="14">
        <f t="shared" si="115"/>
        <v>1455.90853291913</v>
      </c>
      <c r="CP28" s="14">
        <f t="shared" si="115"/>
        <v>1558.8199594147711</v>
      </c>
      <c r="CQ28" s="50">
        <f t="shared" si="99"/>
        <v>9287.920899513978</v>
      </c>
      <c r="CR28" s="50"/>
      <c r="CS28" s="50"/>
      <c r="CT28" s="50"/>
      <c r="CU28" s="50"/>
      <c r="CV28" s="50"/>
      <c r="CW28" s="50"/>
      <c r="CX28" s="50"/>
      <c r="CY28" s="50"/>
      <c r="CZ28" s="50"/>
      <c r="DA28" s="50"/>
    </row>
    <row r="29" spans="1:105" ht="12.75">
      <c r="A29" s="31"/>
      <c r="B29" s="26" t="s">
        <v>124</v>
      </c>
      <c r="C29" s="26" t="s">
        <v>16</v>
      </c>
      <c r="D29" s="14">
        <f aca="true" t="shared" si="116" ref="D29:O29">D42+D53+D64</f>
        <v>0</v>
      </c>
      <c r="E29" s="14">
        <f t="shared" si="116"/>
        <v>0</v>
      </c>
      <c r="F29" s="14">
        <f t="shared" si="116"/>
        <v>0</v>
      </c>
      <c r="G29" s="14">
        <f t="shared" si="116"/>
        <v>0</v>
      </c>
      <c r="H29" s="14">
        <f t="shared" si="116"/>
        <v>0</v>
      </c>
      <c r="I29" s="14">
        <f t="shared" si="116"/>
        <v>0</v>
      </c>
      <c r="J29" s="14">
        <f t="shared" si="116"/>
        <v>0</v>
      </c>
      <c r="K29" s="14">
        <f t="shared" si="116"/>
        <v>0</v>
      </c>
      <c r="L29" s="14">
        <f t="shared" si="116"/>
        <v>0</v>
      </c>
      <c r="M29" s="14">
        <f t="shared" si="116"/>
        <v>333.64897959183673</v>
      </c>
      <c r="N29" s="14">
        <f t="shared" si="116"/>
        <v>4233.171428571429</v>
      </c>
      <c r="O29" s="14">
        <f t="shared" si="116"/>
        <v>3549.654421768708</v>
      </c>
      <c r="P29" s="14">
        <f aca="true" t="shared" si="117" ref="P29:AL29">P42+P53+P64</f>
        <v>3317.953741496599</v>
      </c>
      <c r="Q29" s="14">
        <f t="shared" si="117"/>
        <v>3225.2734693877555</v>
      </c>
      <c r="R29" s="14">
        <f t="shared" si="117"/>
        <v>3673.845986394558</v>
      </c>
      <c r="S29" s="14">
        <f t="shared" si="117"/>
        <v>1615.8805442176872</v>
      </c>
      <c r="T29" s="14">
        <f t="shared" si="117"/>
        <v>497.2296598639456</v>
      </c>
      <c r="U29" s="14">
        <f t="shared" si="117"/>
        <v>240.0419047619048</v>
      </c>
      <c r="V29" s="14">
        <f t="shared" si="117"/>
        <v>248.38312925170072</v>
      </c>
      <c r="W29" s="14">
        <f t="shared" si="117"/>
        <v>248.38312925170072</v>
      </c>
      <c r="X29" s="14">
        <f t="shared" si="117"/>
        <v>240.0419047619048</v>
      </c>
      <c r="Y29" s="14">
        <f t="shared" si="117"/>
        <v>830.8786394557824</v>
      </c>
      <c r="Z29" s="14">
        <f t="shared" si="117"/>
        <v>3317.953741496599</v>
      </c>
      <c r="AA29" s="14">
        <f t="shared" si="117"/>
        <v>3549.654421768708</v>
      </c>
      <c r="AB29" s="14">
        <f t="shared" si="117"/>
        <v>3317.953741496599</v>
      </c>
      <c r="AC29" s="14">
        <f t="shared" si="117"/>
        <v>3317.953741496599</v>
      </c>
      <c r="AD29" s="14">
        <f t="shared" si="117"/>
        <v>3673.845986394558</v>
      </c>
      <c r="AE29" s="14">
        <f t="shared" si="117"/>
        <v>1615.8805442176872</v>
      </c>
      <c r="AF29" s="14">
        <f t="shared" si="117"/>
        <v>497.2296598639456</v>
      </c>
      <c r="AG29" s="14">
        <f t="shared" si="117"/>
        <v>240.0419047619048</v>
      </c>
      <c r="AH29" s="14">
        <f t="shared" si="117"/>
        <v>248.38312925170072</v>
      </c>
      <c r="AI29" s="14">
        <f t="shared" si="117"/>
        <v>248.38312925170072</v>
      </c>
      <c r="AJ29" s="14">
        <f t="shared" si="117"/>
        <v>240.0419047619048</v>
      </c>
      <c r="AK29" s="14">
        <f t="shared" si="117"/>
        <v>830.8786394557824</v>
      </c>
      <c r="AL29" s="14">
        <f t="shared" si="117"/>
        <v>3317.953741496599</v>
      </c>
      <c r="AM29" s="14">
        <f>AM42+AM53+AM64</f>
        <v>3549.654421768708</v>
      </c>
      <c r="AN29" s="14">
        <f t="shared" si="90"/>
        <v>8116.4748299319735</v>
      </c>
      <c r="AO29" s="140">
        <f t="shared" si="91"/>
        <v>21005.520272108846</v>
      </c>
      <c r="AP29" s="14">
        <f>SUM(AB29:AM29)</f>
        <v>21098.200544217692</v>
      </c>
      <c r="AQ29" s="14">
        <f>AQ42+AQ53+AQ64</f>
        <v>21098.20054421769</v>
      </c>
      <c r="AR29" s="14">
        <f aca="true" t="shared" si="118" ref="AR29:AX29">AR42+AR53+AR64</f>
        <v>21098.20054421769</v>
      </c>
      <c r="AS29" s="14">
        <f t="shared" si="118"/>
        <v>21098.20054421769</v>
      </c>
      <c r="AT29" s="14">
        <f t="shared" si="118"/>
        <v>21098.20054421769</v>
      </c>
      <c r="AU29" s="14">
        <f t="shared" si="118"/>
        <v>21098.20054421769</v>
      </c>
      <c r="AV29" s="14">
        <f t="shared" si="118"/>
        <v>21098.20054421769</v>
      </c>
      <c r="AW29" s="14">
        <f t="shared" si="118"/>
        <v>21098.20054421769</v>
      </c>
      <c r="AX29" s="14">
        <f t="shared" si="118"/>
        <v>21098.20054421769</v>
      </c>
      <c r="AY29" s="50"/>
      <c r="AZ29" s="50"/>
      <c r="BA29" s="50"/>
      <c r="BB29" s="50"/>
      <c r="BC29" s="14">
        <f aca="true" t="shared" si="119" ref="BC29:BM29">BC42+BC53+BC64</f>
        <v>3317.953741496599</v>
      </c>
      <c r="BD29" s="14">
        <f t="shared" si="119"/>
        <v>3317.953741496599</v>
      </c>
      <c r="BE29" s="14">
        <f t="shared" si="119"/>
        <v>3673.845986394558</v>
      </c>
      <c r="BF29" s="14">
        <f t="shared" si="119"/>
        <v>1615.8805442176872</v>
      </c>
      <c r="BG29" s="14">
        <f t="shared" si="119"/>
        <v>497.2296598639456</v>
      </c>
      <c r="BH29" s="14">
        <f t="shared" si="119"/>
        <v>240.0419047619048</v>
      </c>
      <c r="BI29" s="14">
        <f t="shared" si="119"/>
        <v>248.38312925170072</v>
      </c>
      <c r="BJ29" s="14">
        <f t="shared" si="119"/>
        <v>248.38312925170072</v>
      </c>
      <c r="BK29" s="14">
        <f t="shared" si="119"/>
        <v>240.0419047619048</v>
      </c>
      <c r="BL29" s="14">
        <f t="shared" si="119"/>
        <v>830.8786394557824</v>
      </c>
      <c r="BM29" s="14">
        <f t="shared" si="119"/>
        <v>3317.953741496599</v>
      </c>
      <c r="BN29" s="14">
        <f>BN42+BN53+BN64</f>
        <v>3549.654421768708</v>
      </c>
      <c r="BO29" s="50">
        <f t="shared" si="95"/>
        <v>21098.200544217692</v>
      </c>
      <c r="BP29" s="50"/>
      <c r="BQ29" s="14">
        <f aca="true" t="shared" si="120" ref="BQ29:CA29">BQ42+BQ53+BQ64</f>
        <v>3317.953741496599</v>
      </c>
      <c r="BR29" s="14">
        <f t="shared" si="120"/>
        <v>3317.953741496599</v>
      </c>
      <c r="BS29" s="14">
        <f t="shared" si="120"/>
        <v>3673.845986394558</v>
      </c>
      <c r="BT29" s="14">
        <f t="shared" si="120"/>
        <v>1615.8805442176872</v>
      </c>
      <c r="BU29" s="14">
        <f t="shared" si="120"/>
        <v>497.2296598639456</v>
      </c>
      <c r="BV29" s="14">
        <f t="shared" si="120"/>
        <v>240.0419047619048</v>
      </c>
      <c r="BW29" s="14">
        <f t="shared" si="120"/>
        <v>248.38312925170072</v>
      </c>
      <c r="BX29" s="14">
        <f t="shared" si="120"/>
        <v>248.38312925170072</v>
      </c>
      <c r="BY29" s="14">
        <f t="shared" si="120"/>
        <v>240.0419047619048</v>
      </c>
      <c r="BZ29" s="14">
        <f t="shared" si="120"/>
        <v>830.8786394557824</v>
      </c>
      <c r="CA29" s="14">
        <f t="shared" si="120"/>
        <v>3317.953741496599</v>
      </c>
      <c r="CB29" s="14">
        <f>CB42+CB53+CB64</f>
        <v>3549.654421768708</v>
      </c>
      <c r="CC29" s="50">
        <f t="shared" si="97"/>
        <v>21098.200544217692</v>
      </c>
      <c r="CD29" s="50"/>
      <c r="CE29" s="14">
        <f aca="true" t="shared" si="121" ref="CE29:CO29">CE42+CE53+CE64</f>
        <v>3317.953741496599</v>
      </c>
      <c r="CF29" s="14">
        <f t="shared" si="121"/>
        <v>3317.953741496599</v>
      </c>
      <c r="CG29" s="14">
        <f t="shared" si="121"/>
        <v>3673.845986394558</v>
      </c>
      <c r="CH29" s="14">
        <f t="shared" si="121"/>
        <v>1615.8805442176872</v>
      </c>
      <c r="CI29" s="14">
        <f t="shared" si="121"/>
        <v>497.2296598639456</v>
      </c>
      <c r="CJ29" s="14">
        <f t="shared" si="121"/>
        <v>240.0419047619048</v>
      </c>
      <c r="CK29" s="14">
        <f t="shared" si="121"/>
        <v>248.38312925170072</v>
      </c>
      <c r="CL29" s="14">
        <f t="shared" si="121"/>
        <v>248.38312925170072</v>
      </c>
      <c r="CM29" s="14">
        <f t="shared" si="121"/>
        <v>240.0419047619048</v>
      </c>
      <c r="CN29" s="14">
        <f t="shared" si="121"/>
        <v>830.8786394557824</v>
      </c>
      <c r="CO29" s="14">
        <f t="shared" si="121"/>
        <v>3317.953741496599</v>
      </c>
      <c r="CP29" s="14">
        <f>CP42+CP53+CP64</f>
        <v>3549.654421768708</v>
      </c>
      <c r="CQ29" s="50">
        <f t="shared" si="99"/>
        <v>21098.200544217692</v>
      </c>
      <c r="CR29" s="50"/>
      <c r="CS29" s="50"/>
      <c r="CT29" s="50"/>
      <c r="CU29" s="50"/>
      <c r="CV29" s="50"/>
      <c r="CW29" s="50"/>
      <c r="CX29" s="50"/>
      <c r="CY29" s="50"/>
      <c r="CZ29" s="50"/>
      <c r="DA29" s="50"/>
    </row>
    <row r="30" spans="1:105" ht="12.75">
      <c r="A30" s="31"/>
      <c r="B30" s="26" t="s">
        <v>125</v>
      </c>
      <c r="C30" s="26" t="s">
        <v>16</v>
      </c>
      <c r="D30" s="14">
        <f aca="true" t="shared" si="122" ref="D30:AM30">D39+D50+D61</f>
        <v>0</v>
      </c>
      <c r="E30" s="14">
        <f t="shared" si="122"/>
        <v>0</v>
      </c>
      <c r="F30" s="14">
        <f t="shared" si="122"/>
        <v>0</v>
      </c>
      <c r="G30" s="14">
        <f t="shared" si="122"/>
        <v>0</v>
      </c>
      <c r="H30" s="14">
        <f t="shared" si="122"/>
        <v>0</v>
      </c>
      <c r="I30" s="14">
        <f t="shared" si="122"/>
        <v>0</v>
      </c>
      <c r="J30" s="14">
        <f t="shared" si="122"/>
        <v>0</v>
      </c>
      <c r="K30" s="14">
        <f t="shared" si="122"/>
        <v>0</v>
      </c>
      <c r="L30" s="14">
        <f t="shared" si="122"/>
        <v>0</v>
      </c>
      <c r="M30" s="14">
        <f t="shared" si="122"/>
        <v>1086.3854093596553</v>
      </c>
      <c r="N30" s="14">
        <f t="shared" si="122"/>
        <v>14222.02982513278</v>
      </c>
      <c r="O30" s="14">
        <f t="shared" si="122"/>
        <v>11903.716053712797</v>
      </c>
      <c r="P30" s="14">
        <f t="shared" si="122"/>
        <v>11117.846978655176</v>
      </c>
      <c r="Q30" s="14">
        <f t="shared" si="122"/>
        <v>10803.499348632127</v>
      </c>
      <c r="R30" s="14">
        <f t="shared" si="122"/>
        <v>12415.47399539032</v>
      </c>
      <c r="S30" s="14">
        <f t="shared" si="122"/>
        <v>5480.650929451848</v>
      </c>
      <c r="T30" s="14">
        <f t="shared" si="122"/>
        <v>1686.4750350736547</v>
      </c>
      <c r="U30" s="14">
        <f t="shared" si="122"/>
        <v>814.1603617596954</v>
      </c>
      <c r="V30" s="14">
        <f t="shared" si="122"/>
        <v>842.4516484617698</v>
      </c>
      <c r="W30" s="14">
        <f t="shared" si="122"/>
        <v>842.4516484617698</v>
      </c>
      <c r="X30" s="14">
        <f t="shared" si="122"/>
        <v>814.1603617596954</v>
      </c>
      <c r="Y30" s="14">
        <f t="shared" si="122"/>
        <v>2772.86044443331</v>
      </c>
      <c r="Z30" s="14">
        <f t="shared" si="122"/>
        <v>11117.846978655176</v>
      </c>
      <c r="AA30" s="14">
        <f t="shared" si="122"/>
        <v>11903.716053712797</v>
      </c>
      <c r="AB30" s="14">
        <f t="shared" si="122"/>
        <v>11117.846978655176</v>
      </c>
      <c r="AC30" s="14">
        <f t="shared" si="122"/>
        <v>11117.846978655176</v>
      </c>
      <c r="AD30" s="14">
        <f t="shared" si="122"/>
        <v>12415.47399539032</v>
      </c>
      <c r="AE30" s="14">
        <f t="shared" si="122"/>
        <v>5480.650929451848</v>
      </c>
      <c r="AF30" s="14">
        <f t="shared" si="122"/>
        <v>1686.4750350736547</v>
      </c>
      <c r="AG30" s="14">
        <f t="shared" si="122"/>
        <v>814.1603617596954</v>
      </c>
      <c r="AH30" s="14">
        <f t="shared" si="122"/>
        <v>842.4516484617698</v>
      </c>
      <c r="AI30" s="14">
        <f t="shared" si="122"/>
        <v>842.4516484617698</v>
      </c>
      <c r="AJ30" s="14">
        <f t="shared" si="122"/>
        <v>814.1603617596954</v>
      </c>
      <c r="AK30" s="14">
        <f t="shared" si="122"/>
        <v>2772.86044443331</v>
      </c>
      <c r="AL30" s="14">
        <f t="shared" si="122"/>
        <v>11117.846978655176</v>
      </c>
      <c r="AM30" s="14">
        <f t="shared" si="122"/>
        <v>11903.716053712797</v>
      </c>
      <c r="AN30" s="14">
        <f t="shared" si="90"/>
        <v>27212.13128820523</v>
      </c>
      <c r="AO30" s="140">
        <f t="shared" si="91"/>
        <v>70611.59378444734</v>
      </c>
      <c r="AP30" s="14">
        <f t="shared" si="92"/>
        <v>70925.94141447038</v>
      </c>
      <c r="AQ30" s="14">
        <f aca="true" t="shared" si="123" ref="AQ30:AX30">AQ39+AQ50+AQ61</f>
        <v>70925.94141447038</v>
      </c>
      <c r="AR30" s="14">
        <f t="shared" si="123"/>
        <v>70925.94141447038</v>
      </c>
      <c r="AS30" s="14">
        <f t="shared" si="123"/>
        <v>70925.94141447038</v>
      </c>
      <c r="AT30" s="14">
        <f t="shared" si="123"/>
        <v>70925.94141447038</v>
      </c>
      <c r="AU30" s="14">
        <f t="shared" si="123"/>
        <v>70925.94141447038</v>
      </c>
      <c r="AV30" s="14">
        <f t="shared" si="123"/>
        <v>70925.94141447038</v>
      </c>
      <c r="AW30" s="14">
        <f t="shared" si="123"/>
        <v>70925.94141447038</v>
      </c>
      <c r="AX30" s="30">
        <f t="shared" si="123"/>
        <v>70925.94141447038</v>
      </c>
      <c r="AY30" s="52">
        <f>(CO2_Methan_destr_2017+AX82+AX94+CO2_Fackel_reduc_2017)*(18.25/21)</f>
        <v>150992.92105609277</v>
      </c>
      <c r="AZ30" s="50"/>
      <c r="BA30" s="50"/>
      <c r="BB30" s="50"/>
      <c r="BC30" s="14">
        <f aca="true" t="shared" si="124" ref="BC30:BN30">BC39+BC50+BC61</f>
        <v>11117.846978655176</v>
      </c>
      <c r="BD30" s="14">
        <f t="shared" si="124"/>
        <v>11117.846978655176</v>
      </c>
      <c r="BE30" s="14">
        <f t="shared" si="124"/>
        <v>12415.47399539032</v>
      </c>
      <c r="BF30" s="14">
        <f t="shared" si="124"/>
        <v>5480.650929451848</v>
      </c>
      <c r="BG30" s="14">
        <f t="shared" si="124"/>
        <v>1686.4750350736547</v>
      </c>
      <c r="BH30" s="14">
        <f t="shared" si="124"/>
        <v>814.1603617596954</v>
      </c>
      <c r="BI30" s="14">
        <f t="shared" si="124"/>
        <v>842.4516484617698</v>
      </c>
      <c r="BJ30" s="14">
        <f t="shared" si="124"/>
        <v>842.4516484617698</v>
      </c>
      <c r="BK30" s="14">
        <f t="shared" si="124"/>
        <v>814.1603617596954</v>
      </c>
      <c r="BL30" s="14">
        <f t="shared" si="124"/>
        <v>2772.86044443331</v>
      </c>
      <c r="BM30" s="14">
        <f t="shared" si="124"/>
        <v>11117.846978655176</v>
      </c>
      <c r="BN30" s="14">
        <f t="shared" si="124"/>
        <v>11903.716053712797</v>
      </c>
      <c r="BO30" s="50">
        <f t="shared" si="95"/>
        <v>70925.94141447038</v>
      </c>
      <c r="BP30" s="50"/>
      <c r="BQ30" s="14">
        <f aca="true" t="shared" si="125" ref="BQ30:CB30">BQ39+BQ50+BQ61</f>
        <v>11117.846978655176</v>
      </c>
      <c r="BR30" s="14">
        <f t="shared" si="125"/>
        <v>11117.846978655176</v>
      </c>
      <c r="BS30" s="14">
        <f t="shared" si="125"/>
        <v>12415.47399539032</v>
      </c>
      <c r="BT30" s="14">
        <f t="shared" si="125"/>
        <v>5480.650929451848</v>
      </c>
      <c r="BU30" s="14">
        <f t="shared" si="125"/>
        <v>1686.4750350736547</v>
      </c>
      <c r="BV30" s="14">
        <f t="shared" si="125"/>
        <v>814.1603617596954</v>
      </c>
      <c r="BW30" s="14">
        <f t="shared" si="125"/>
        <v>842.4516484617698</v>
      </c>
      <c r="BX30" s="14">
        <f t="shared" si="125"/>
        <v>842.4516484617698</v>
      </c>
      <c r="BY30" s="14">
        <f t="shared" si="125"/>
        <v>814.1603617596954</v>
      </c>
      <c r="BZ30" s="14">
        <f t="shared" si="125"/>
        <v>2772.86044443331</v>
      </c>
      <c r="CA30" s="14">
        <f t="shared" si="125"/>
        <v>11117.846978655176</v>
      </c>
      <c r="CB30" s="14">
        <f t="shared" si="125"/>
        <v>11903.716053712797</v>
      </c>
      <c r="CC30" s="50">
        <f t="shared" si="97"/>
        <v>70925.94141447038</v>
      </c>
      <c r="CD30" s="50"/>
      <c r="CE30" s="14">
        <f aca="true" t="shared" si="126" ref="CE30:CP30">CE39+CE50+CE61</f>
        <v>11117.846978655176</v>
      </c>
      <c r="CF30" s="14">
        <f t="shared" si="126"/>
        <v>11117.846978655176</v>
      </c>
      <c r="CG30" s="14">
        <f t="shared" si="126"/>
        <v>12415.47399539032</v>
      </c>
      <c r="CH30" s="14">
        <f t="shared" si="126"/>
        <v>5480.650929451848</v>
      </c>
      <c r="CI30" s="14">
        <f t="shared" si="126"/>
        <v>1686.4750350736547</v>
      </c>
      <c r="CJ30" s="14">
        <f t="shared" si="126"/>
        <v>814.1603617596954</v>
      </c>
      <c r="CK30" s="14">
        <f t="shared" si="126"/>
        <v>842.4516484617698</v>
      </c>
      <c r="CL30" s="14">
        <f t="shared" si="126"/>
        <v>842.4516484617698</v>
      </c>
      <c r="CM30" s="14">
        <f t="shared" si="126"/>
        <v>814.1603617596954</v>
      </c>
      <c r="CN30" s="14">
        <f t="shared" si="126"/>
        <v>2772.86044443331</v>
      </c>
      <c r="CO30" s="14">
        <f t="shared" si="126"/>
        <v>11117.846978655176</v>
      </c>
      <c r="CP30" s="14">
        <f t="shared" si="126"/>
        <v>11903.716053712797</v>
      </c>
      <c r="CQ30" s="50">
        <f t="shared" si="99"/>
        <v>70925.94141447038</v>
      </c>
      <c r="CR30" s="50"/>
      <c r="CS30" s="50"/>
      <c r="CT30" s="50"/>
      <c r="CU30" s="50"/>
      <c r="CV30" s="50"/>
      <c r="CW30" s="50"/>
      <c r="CX30" s="50"/>
      <c r="CY30" s="50"/>
      <c r="CZ30" s="50"/>
      <c r="DA30" s="50"/>
    </row>
    <row r="31" spans="1:105" ht="12.75">
      <c r="A31" s="31"/>
      <c r="B31" s="51" t="s">
        <v>78</v>
      </c>
      <c r="C31" s="26" t="s">
        <v>16</v>
      </c>
      <c r="D31" s="14">
        <f aca="true" t="shared" si="127" ref="D31:O31">D30+D29-D28</f>
        <v>0</v>
      </c>
      <c r="E31" s="14">
        <f t="shared" si="127"/>
        <v>0</v>
      </c>
      <c r="F31" s="14">
        <f t="shared" si="127"/>
        <v>0</v>
      </c>
      <c r="G31" s="14">
        <f t="shared" si="127"/>
        <v>0</v>
      </c>
      <c r="H31" s="14">
        <f t="shared" si="127"/>
        <v>0</v>
      </c>
      <c r="I31" s="14">
        <f t="shared" si="127"/>
        <v>0</v>
      </c>
      <c r="J31" s="14">
        <f t="shared" si="127"/>
        <v>0</v>
      </c>
      <c r="K31" s="14">
        <f t="shared" si="127"/>
        <v>0</v>
      </c>
      <c r="L31" s="14">
        <f t="shared" si="127"/>
        <v>0</v>
      </c>
      <c r="M31" s="14">
        <f t="shared" si="127"/>
        <v>1277.7696329639182</v>
      </c>
      <c r="N31" s="14">
        <f t="shared" si="127"/>
        <v>16592.7925861273</v>
      </c>
      <c r="O31" s="14">
        <f t="shared" si="127"/>
        <v>13894.550516066733</v>
      </c>
      <c r="P31" s="14">
        <f aca="true" t="shared" si="128" ref="P31:AX31">P30+P29-P28</f>
        <v>12979.892187232646</v>
      </c>
      <c r="Q31" s="14">
        <f t="shared" si="128"/>
        <v>12614.028855699009</v>
      </c>
      <c r="R31" s="14">
        <f t="shared" si="128"/>
        <v>14463.484101436148</v>
      </c>
      <c r="S31" s="14">
        <f t="shared" si="128"/>
        <v>6378.827185288937</v>
      </c>
      <c r="T31" s="14">
        <f t="shared" si="128"/>
        <v>1962.856773677955</v>
      </c>
      <c r="U31" s="14">
        <f t="shared" si="128"/>
        <v>947.5860286721163</v>
      </c>
      <c r="V31" s="14">
        <f t="shared" si="128"/>
        <v>980.5137285101434</v>
      </c>
      <c r="W31" s="14">
        <f t="shared" si="128"/>
        <v>980.5137285101434</v>
      </c>
      <c r="X31" s="14">
        <f t="shared" si="128"/>
        <v>947.5860286721163</v>
      </c>
      <c r="Y31" s="14">
        <f t="shared" si="128"/>
        <v>3240.6264066418735</v>
      </c>
      <c r="Z31" s="14">
        <f t="shared" si="128"/>
        <v>12979.892187232646</v>
      </c>
      <c r="AA31" s="14">
        <f t="shared" si="128"/>
        <v>13894.550516066733</v>
      </c>
      <c r="AB31" s="14">
        <f t="shared" si="128"/>
        <v>12979.892187232646</v>
      </c>
      <c r="AC31" s="14">
        <f t="shared" si="128"/>
        <v>12979.892187232646</v>
      </c>
      <c r="AD31" s="14">
        <f t="shared" si="128"/>
        <v>14463.484101436148</v>
      </c>
      <c r="AE31" s="14">
        <f t="shared" si="128"/>
        <v>6378.827185288937</v>
      </c>
      <c r="AF31" s="14">
        <f t="shared" si="128"/>
        <v>1962.856773677955</v>
      </c>
      <c r="AG31" s="14">
        <f t="shared" si="128"/>
        <v>947.5860286721163</v>
      </c>
      <c r="AH31" s="14">
        <f t="shared" si="128"/>
        <v>980.5137285101434</v>
      </c>
      <c r="AI31" s="14">
        <f t="shared" si="128"/>
        <v>980.5137285101434</v>
      </c>
      <c r="AJ31" s="14">
        <f t="shared" si="128"/>
        <v>947.5860286721163</v>
      </c>
      <c r="AK31" s="14">
        <f t="shared" si="128"/>
        <v>3240.6264066418735</v>
      </c>
      <c r="AL31" s="14">
        <f t="shared" si="128"/>
        <v>12979.892187232646</v>
      </c>
      <c r="AM31" s="14">
        <f t="shared" si="128"/>
        <v>13894.550516066733</v>
      </c>
      <c r="AN31" s="14">
        <f>AN30+AN29-AN28</f>
        <v>31765.11273515795</v>
      </c>
      <c r="AO31" s="140">
        <f t="shared" si="128"/>
        <v>82370.35772764045</v>
      </c>
      <c r="AP31" s="14">
        <f t="shared" si="128"/>
        <v>82736.22105917409</v>
      </c>
      <c r="AQ31" s="14">
        <f t="shared" si="128"/>
        <v>82736.22105917409</v>
      </c>
      <c r="AR31" s="14">
        <f t="shared" si="128"/>
        <v>82736.22105917409</v>
      </c>
      <c r="AS31" s="14">
        <f t="shared" si="128"/>
        <v>82736.22105917409</v>
      </c>
      <c r="AT31" s="14">
        <f t="shared" si="128"/>
        <v>82736.22105917409</v>
      </c>
      <c r="AU31" s="14">
        <f t="shared" si="128"/>
        <v>82736.22105917409</v>
      </c>
      <c r="AV31" s="14">
        <f t="shared" si="128"/>
        <v>82736.22105917409</v>
      </c>
      <c r="AW31" s="14">
        <f t="shared" si="128"/>
        <v>82736.22105917409</v>
      </c>
      <c r="AX31" s="14">
        <f t="shared" si="128"/>
        <v>82736.22105917409</v>
      </c>
      <c r="AY31" s="52"/>
      <c r="AZ31" s="50"/>
      <c r="BA31" s="50"/>
      <c r="BB31" s="50"/>
      <c r="BC31" s="14">
        <f aca="true" t="shared" si="129" ref="BC31:BN31">BC30+BC29-BC28</f>
        <v>12979.892187232646</v>
      </c>
      <c r="BD31" s="14">
        <f t="shared" si="129"/>
        <v>12979.892187232646</v>
      </c>
      <c r="BE31" s="14">
        <f t="shared" si="129"/>
        <v>14463.484101436148</v>
      </c>
      <c r="BF31" s="14">
        <f t="shared" si="129"/>
        <v>6378.827185288937</v>
      </c>
      <c r="BG31" s="14">
        <f t="shared" si="129"/>
        <v>1962.856773677955</v>
      </c>
      <c r="BH31" s="14">
        <f t="shared" si="129"/>
        <v>947.5860286721163</v>
      </c>
      <c r="BI31" s="14">
        <f t="shared" si="129"/>
        <v>980.5137285101434</v>
      </c>
      <c r="BJ31" s="14">
        <f t="shared" si="129"/>
        <v>980.5137285101434</v>
      </c>
      <c r="BK31" s="14">
        <f t="shared" si="129"/>
        <v>947.5860286721163</v>
      </c>
      <c r="BL31" s="14">
        <f t="shared" si="129"/>
        <v>3240.6264066418735</v>
      </c>
      <c r="BM31" s="14">
        <f t="shared" si="129"/>
        <v>12979.892187232646</v>
      </c>
      <c r="BN31" s="14">
        <f t="shared" si="129"/>
        <v>13894.550516066733</v>
      </c>
      <c r="BO31" s="50">
        <f t="shared" si="95"/>
        <v>82736.22105917412</v>
      </c>
      <c r="BP31" s="50"/>
      <c r="BQ31" s="14">
        <f aca="true" t="shared" si="130" ref="BQ31:CB31">BQ30+BQ29-BQ28</f>
        <v>12979.892187232646</v>
      </c>
      <c r="BR31" s="14">
        <f t="shared" si="130"/>
        <v>12979.892187232646</v>
      </c>
      <c r="BS31" s="14">
        <f t="shared" si="130"/>
        <v>14463.484101436148</v>
      </c>
      <c r="BT31" s="14">
        <f t="shared" si="130"/>
        <v>6378.827185288937</v>
      </c>
      <c r="BU31" s="14">
        <f t="shared" si="130"/>
        <v>1962.856773677955</v>
      </c>
      <c r="BV31" s="14">
        <f t="shared" si="130"/>
        <v>947.5860286721163</v>
      </c>
      <c r="BW31" s="14">
        <f t="shared" si="130"/>
        <v>980.5137285101434</v>
      </c>
      <c r="BX31" s="14">
        <f t="shared" si="130"/>
        <v>980.5137285101434</v>
      </c>
      <c r="BY31" s="14">
        <f t="shared" si="130"/>
        <v>947.5860286721163</v>
      </c>
      <c r="BZ31" s="14">
        <f t="shared" si="130"/>
        <v>3240.6264066418735</v>
      </c>
      <c r="CA31" s="14">
        <f t="shared" si="130"/>
        <v>12979.892187232646</v>
      </c>
      <c r="CB31" s="14">
        <f t="shared" si="130"/>
        <v>13894.550516066733</v>
      </c>
      <c r="CC31" s="50">
        <f t="shared" si="97"/>
        <v>82736.22105917412</v>
      </c>
      <c r="CD31" s="50"/>
      <c r="CE31" s="14">
        <f aca="true" t="shared" si="131" ref="CE31:CP31">CE30+CE29-CE28</f>
        <v>12979.892187232646</v>
      </c>
      <c r="CF31" s="14">
        <f t="shared" si="131"/>
        <v>12979.892187232646</v>
      </c>
      <c r="CG31" s="14">
        <f t="shared" si="131"/>
        <v>14463.484101436148</v>
      </c>
      <c r="CH31" s="14">
        <f t="shared" si="131"/>
        <v>6378.827185288937</v>
      </c>
      <c r="CI31" s="14">
        <f t="shared" si="131"/>
        <v>1962.856773677955</v>
      </c>
      <c r="CJ31" s="14">
        <f t="shared" si="131"/>
        <v>947.5860286721163</v>
      </c>
      <c r="CK31" s="14">
        <f t="shared" si="131"/>
        <v>980.5137285101434</v>
      </c>
      <c r="CL31" s="14">
        <f t="shared" si="131"/>
        <v>980.5137285101434</v>
      </c>
      <c r="CM31" s="14">
        <f t="shared" si="131"/>
        <v>947.5860286721163</v>
      </c>
      <c r="CN31" s="14">
        <f t="shared" si="131"/>
        <v>3240.6264066418735</v>
      </c>
      <c r="CO31" s="14">
        <f t="shared" si="131"/>
        <v>12979.892187232646</v>
      </c>
      <c r="CP31" s="14">
        <f t="shared" si="131"/>
        <v>13894.550516066733</v>
      </c>
      <c r="CQ31" s="50">
        <f t="shared" si="99"/>
        <v>82736.22105917412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</row>
    <row r="32" spans="1:94" ht="12.75">
      <c r="A32" s="3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P32" s="26"/>
      <c r="AQ32" s="26"/>
      <c r="AR32" s="26"/>
      <c r="AS32" s="26"/>
      <c r="AT32" s="26"/>
      <c r="AU32" s="26"/>
      <c r="AV32" s="26"/>
      <c r="AW32" s="26"/>
      <c r="AX32" s="27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</row>
    <row r="33" spans="1:94" ht="12.75">
      <c r="A33" s="37" t="s">
        <v>5</v>
      </c>
      <c r="B33" s="26" t="s">
        <v>152</v>
      </c>
      <c r="C33" s="26"/>
      <c r="D33" s="26" t="s">
        <v>153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4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P33" s="26"/>
      <c r="AQ33" s="26"/>
      <c r="AR33" s="26"/>
      <c r="AS33" s="26"/>
      <c r="AT33" s="26"/>
      <c r="AU33" s="26"/>
      <c r="AV33" s="26"/>
      <c r="AW33" s="26"/>
      <c r="AX33" s="27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</row>
    <row r="34" spans="1:95" ht="12.75">
      <c r="A34" s="25"/>
      <c r="B34" s="51" t="s">
        <v>187</v>
      </c>
      <c r="C34" s="51"/>
      <c r="D34" s="52">
        <f aca="true" t="shared" si="132" ref="D34:AL34">D76*D78*0.795</f>
        <v>0</v>
      </c>
      <c r="E34" s="52">
        <f t="shared" si="132"/>
        <v>0</v>
      </c>
      <c r="F34" s="52">
        <f t="shared" si="132"/>
        <v>0</v>
      </c>
      <c r="G34" s="52">
        <f t="shared" si="132"/>
        <v>0</v>
      </c>
      <c r="H34" s="52">
        <f t="shared" si="132"/>
        <v>0</v>
      </c>
      <c r="I34" s="52">
        <f t="shared" si="132"/>
        <v>413.40000000000003</v>
      </c>
      <c r="J34" s="52">
        <f t="shared" si="132"/>
        <v>413.40000000000003</v>
      </c>
      <c r="K34" s="52">
        <f t="shared" si="132"/>
        <v>413.40000000000003</v>
      </c>
      <c r="L34" s="52">
        <f t="shared" si="132"/>
        <v>413.40000000000003</v>
      </c>
      <c r="M34" s="52">
        <f t="shared" si="132"/>
        <v>413.40000000000003</v>
      </c>
      <c r="N34" s="52">
        <f t="shared" si="132"/>
        <v>413.40000000000003</v>
      </c>
      <c r="O34" s="52">
        <f t="shared" si="132"/>
        <v>413.40000000000003</v>
      </c>
      <c r="P34" s="52">
        <f t="shared" si="132"/>
        <v>413.40000000000003</v>
      </c>
      <c r="Q34" s="52">
        <f t="shared" si="132"/>
        <v>413.40000000000003</v>
      </c>
      <c r="R34" s="52">
        <f t="shared" si="132"/>
        <v>413.40000000000003</v>
      </c>
      <c r="S34" s="52">
        <f t="shared" si="132"/>
        <v>413.40000000000003</v>
      </c>
      <c r="T34" s="52">
        <f t="shared" si="132"/>
        <v>413.40000000000003</v>
      </c>
      <c r="U34" s="52">
        <f t="shared" si="132"/>
        <v>413.40000000000003</v>
      </c>
      <c r="V34" s="52">
        <f t="shared" si="132"/>
        <v>413.40000000000003</v>
      </c>
      <c r="W34" s="52">
        <f t="shared" si="132"/>
        <v>413.40000000000003</v>
      </c>
      <c r="X34" s="52">
        <f t="shared" si="132"/>
        <v>413.40000000000003</v>
      </c>
      <c r="Y34" s="52">
        <f t="shared" si="132"/>
        <v>413.40000000000003</v>
      </c>
      <c r="Z34" s="52">
        <f t="shared" si="132"/>
        <v>413.40000000000003</v>
      </c>
      <c r="AA34" s="52">
        <f t="shared" si="132"/>
        <v>413.40000000000003</v>
      </c>
      <c r="AB34" s="52">
        <f t="shared" si="132"/>
        <v>413.40000000000003</v>
      </c>
      <c r="AC34" s="52">
        <f t="shared" si="132"/>
        <v>413.40000000000003</v>
      </c>
      <c r="AD34" s="52">
        <f t="shared" si="132"/>
        <v>413.40000000000003</v>
      </c>
      <c r="AE34" s="52">
        <f t="shared" si="132"/>
        <v>413.40000000000003</v>
      </c>
      <c r="AF34" s="52">
        <f t="shared" si="132"/>
        <v>413.40000000000003</v>
      </c>
      <c r="AG34" s="52">
        <f t="shared" si="132"/>
        <v>413.40000000000003</v>
      </c>
      <c r="AH34" s="52">
        <f t="shared" si="132"/>
        <v>413.40000000000003</v>
      </c>
      <c r="AI34" s="52">
        <f t="shared" si="132"/>
        <v>413.40000000000003</v>
      </c>
      <c r="AJ34" s="52">
        <f t="shared" si="132"/>
        <v>413.40000000000003</v>
      </c>
      <c r="AK34" s="52">
        <f t="shared" si="132"/>
        <v>413.40000000000003</v>
      </c>
      <c r="AL34" s="52">
        <f t="shared" si="132"/>
        <v>413.40000000000003</v>
      </c>
      <c r="AM34" s="52">
        <f>AM76*AM78*0.795</f>
        <v>413.40000000000003</v>
      </c>
      <c r="AN34" s="52">
        <f aca="true" t="shared" si="133" ref="AN34:AN42">SUM(D34:O34)</f>
        <v>2893.8</v>
      </c>
      <c r="AO34" s="151">
        <f>SUM(P34:AA34)</f>
        <v>4960.799999999999</v>
      </c>
      <c r="AP34" s="52">
        <f>SUM(AB34:AM34)</f>
        <v>4960.799999999999</v>
      </c>
      <c r="AQ34" s="52">
        <f>BO34</f>
        <v>4960.799999999999</v>
      </c>
      <c r="AR34" s="52">
        <f>CC34</f>
        <v>4960.799999999999</v>
      </c>
      <c r="AS34" s="52">
        <f>CQ34</f>
        <v>4960.799999999999</v>
      </c>
      <c r="AT34" s="52">
        <f>AS34</f>
        <v>4960.799999999999</v>
      </c>
      <c r="AU34" s="52">
        <f aca="true" t="shared" si="134" ref="AU34:AX36">AT34</f>
        <v>4960.799999999999</v>
      </c>
      <c r="AV34" s="52">
        <f t="shared" si="134"/>
        <v>4960.799999999999</v>
      </c>
      <c r="AW34" s="52">
        <f t="shared" si="134"/>
        <v>4960.799999999999</v>
      </c>
      <c r="AX34" s="52">
        <f t="shared" si="134"/>
        <v>4960.799999999999</v>
      </c>
      <c r="BC34" s="52">
        <f aca="true" t="shared" si="135" ref="BC34:BN34">BC76*BC78*0.795</f>
        <v>413.40000000000003</v>
      </c>
      <c r="BD34" s="52">
        <f t="shared" si="135"/>
        <v>413.40000000000003</v>
      </c>
      <c r="BE34" s="52">
        <f t="shared" si="135"/>
        <v>413.40000000000003</v>
      </c>
      <c r="BF34" s="52">
        <f t="shared" si="135"/>
        <v>413.40000000000003</v>
      </c>
      <c r="BG34" s="52">
        <f t="shared" si="135"/>
        <v>413.40000000000003</v>
      </c>
      <c r="BH34" s="52">
        <f t="shared" si="135"/>
        <v>413.40000000000003</v>
      </c>
      <c r="BI34" s="52">
        <f t="shared" si="135"/>
        <v>413.40000000000003</v>
      </c>
      <c r="BJ34" s="52">
        <f t="shared" si="135"/>
        <v>413.40000000000003</v>
      </c>
      <c r="BK34" s="52">
        <f t="shared" si="135"/>
        <v>413.40000000000003</v>
      </c>
      <c r="BL34" s="52">
        <f t="shared" si="135"/>
        <v>413.40000000000003</v>
      </c>
      <c r="BM34" s="52">
        <f t="shared" si="135"/>
        <v>413.40000000000003</v>
      </c>
      <c r="BN34" s="52">
        <f t="shared" si="135"/>
        <v>413.40000000000003</v>
      </c>
      <c r="BO34" s="50">
        <f>SUM(BC34:BN34)</f>
        <v>4960.799999999999</v>
      </c>
      <c r="BQ34" s="52">
        <f aca="true" t="shared" si="136" ref="BQ34:CB34">BQ76*BQ78*0.795</f>
        <v>413.40000000000003</v>
      </c>
      <c r="BR34" s="52">
        <f t="shared" si="136"/>
        <v>413.40000000000003</v>
      </c>
      <c r="BS34" s="52">
        <f t="shared" si="136"/>
        <v>413.40000000000003</v>
      </c>
      <c r="BT34" s="52">
        <f t="shared" si="136"/>
        <v>413.40000000000003</v>
      </c>
      <c r="BU34" s="52">
        <f t="shared" si="136"/>
        <v>413.40000000000003</v>
      </c>
      <c r="BV34" s="52">
        <f t="shared" si="136"/>
        <v>413.40000000000003</v>
      </c>
      <c r="BW34" s="52">
        <f t="shared" si="136"/>
        <v>413.40000000000003</v>
      </c>
      <c r="BX34" s="52">
        <f t="shared" si="136"/>
        <v>413.40000000000003</v>
      </c>
      <c r="BY34" s="52">
        <f t="shared" si="136"/>
        <v>413.40000000000003</v>
      </c>
      <c r="BZ34" s="52">
        <f t="shared" si="136"/>
        <v>413.40000000000003</v>
      </c>
      <c r="CA34" s="52">
        <f t="shared" si="136"/>
        <v>413.40000000000003</v>
      </c>
      <c r="CB34" s="52">
        <f t="shared" si="136"/>
        <v>413.40000000000003</v>
      </c>
      <c r="CC34" s="50">
        <f>SUM(BQ34:CB34)</f>
        <v>4960.799999999999</v>
      </c>
      <c r="CE34" s="52">
        <f aca="true" t="shared" si="137" ref="CE34:CP34">CE76*CE78*0.795</f>
        <v>413.40000000000003</v>
      </c>
      <c r="CF34" s="52">
        <f t="shared" si="137"/>
        <v>413.40000000000003</v>
      </c>
      <c r="CG34" s="52">
        <f t="shared" si="137"/>
        <v>413.40000000000003</v>
      </c>
      <c r="CH34" s="52">
        <f t="shared" si="137"/>
        <v>413.40000000000003</v>
      </c>
      <c r="CI34" s="52">
        <f t="shared" si="137"/>
        <v>413.40000000000003</v>
      </c>
      <c r="CJ34" s="52">
        <f t="shared" si="137"/>
        <v>413.40000000000003</v>
      </c>
      <c r="CK34" s="52">
        <f t="shared" si="137"/>
        <v>413.40000000000003</v>
      </c>
      <c r="CL34" s="52">
        <f t="shared" si="137"/>
        <v>413.40000000000003</v>
      </c>
      <c r="CM34" s="52">
        <f t="shared" si="137"/>
        <v>413.40000000000003</v>
      </c>
      <c r="CN34" s="52">
        <f t="shared" si="137"/>
        <v>413.40000000000003</v>
      </c>
      <c r="CO34" s="52">
        <f t="shared" si="137"/>
        <v>413.40000000000003</v>
      </c>
      <c r="CP34" s="52">
        <f t="shared" si="137"/>
        <v>413.40000000000003</v>
      </c>
      <c r="CQ34" s="50">
        <f>SUM(CE34:CP34)</f>
        <v>4960.799999999999</v>
      </c>
    </row>
    <row r="35" spans="2:95" s="75" customFormat="1" ht="12.75">
      <c r="B35" s="51" t="s">
        <v>188</v>
      </c>
      <c r="C35" s="51" t="s">
        <v>14</v>
      </c>
      <c r="D35" s="52">
        <f aca="true" t="shared" si="138" ref="D35:AL35">D24-D47-D58</f>
        <v>0</v>
      </c>
      <c r="E35" s="52">
        <f t="shared" si="138"/>
        <v>0</v>
      </c>
      <c r="F35" s="52">
        <f t="shared" si="138"/>
        <v>0</v>
      </c>
      <c r="G35" s="52">
        <f t="shared" si="138"/>
        <v>0</v>
      </c>
      <c r="H35" s="52">
        <f t="shared" si="138"/>
        <v>0</v>
      </c>
      <c r="I35" s="52">
        <f t="shared" si="138"/>
        <v>0</v>
      </c>
      <c r="J35" s="52">
        <f t="shared" si="138"/>
        <v>0</v>
      </c>
      <c r="K35" s="52">
        <f t="shared" si="138"/>
        <v>0</v>
      </c>
      <c r="L35" s="52">
        <f t="shared" si="138"/>
        <v>0</v>
      </c>
      <c r="M35" s="52">
        <f t="shared" si="138"/>
        <v>0</v>
      </c>
      <c r="N35" s="52">
        <f t="shared" si="138"/>
        <v>0</v>
      </c>
      <c r="O35" s="52">
        <f t="shared" si="138"/>
        <v>0</v>
      </c>
      <c r="P35" s="52">
        <f t="shared" si="138"/>
        <v>0</v>
      </c>
      <c r="Q35" s="52">
        <f t="shared" si="138"/>
        <v>0</v>
      </c>
      <c r="R35" s="52">
        <f t="shared" si="138"/>
        <v>0</v>
      </c>
      <c r="S35" s="52">
        <f t="shared" si="138"/>
        <v>0</v>
      </c>
      <c r="T35" s="52">
        <f t="shared" si="138"/>
        <v>0</v>
      </c>
      <c r="U35" s="52">
        <f t="shared" si="138"/>
        <v>0</v>
      </c>
      <c r="V35" s="52">
        <f t="shared" si="138"/>
        <v>0</v>
      </c>
      <c r="W35" s="52">
        <f t="shared" si="138"/>
        <v>0</v>
      </c>
      <c r="X35" s="52">
        <f t="shared" si="138"/>
        <v>0</v>
      </c>
      <c r="Y35" s="52">
        <f t="shared" si="138"/>
        <v>0</v>
      </c>
      <c r="Z35" s="52">
        <f t="shared" si="138"/>
        <v>0</v>
      </c>
      <c r="AA35" s="52">
        <f t="shared" si="138"/>
        <v>0</v>
      </c>
      <c r="AB35" s="52">
        <f t="shared" si="138"/>
        <v>0</v>
      </c>
      <c r="AC35" s="52">
        <f t="shared" si="138"/>
        <v>0</v>
      </c>
      <c r="AD35" s="52">
        <f t="shared" si="138"/>
        <v>0</v>
      </c>
      <c r="AE35" s="52">
        <f t="shared" si="138"/>
        <v>0</v>
      </c>
      <c r="AF35" s="52">
        <f t="shared" si="138"/>
        <v>0</v>
      </c>
      <c r="AG35" s="52">
        <f t="shared" si="138"/>
        <v>0</v>
      </c>
      <c r="AH35" s="52">
        <f t="shared" si="138"/>
        <v>0</v>
      </c>
      <c r="AI35" s="52">
        <f t="shared" si="138"/>
        <v>0</v>
      </c>
      <c r="AJ35" s="52">
        <f t="shared" si="138"/>
        <v>0</v>
      </c>
      <c r="AK35" s="52">
        <f t="shared" si="138"/>
        <v>0</v>
      </c>
      <c r="AL35" s="52">
        <f t="shared" si="138"/>
        <v>0</v>
      </c>
      <c r="AM35" s="52">
        <f>AM24-AM47-AM58</f>
        <v>0</v>
      </c>
      <c r="AN35" s="52">
        <f t="shared" si="133"/>
        <v>0</v>
      </c>
      <c r="AO35" s="151">
        <f>SUM(P35:AA35)</f>
        <v>0</v>
      </c>
      <c r="AP35" s="52">
        <f>SUM(AB35:AM35)</f>
        <v>0</v>
      </c>
      <c r="AQ35" s="52">
        <f>BO35</f>
        <v>0</v>
      </c>
      <c r="AR35" s="52">
        <f>CC35</f>
        <v>0</v>
      </c>
      <c r="AS35" s="52">
        <f>CQ35</f>
        <v>0</v>
      </c>
      <c r="AT35" s="52">
        <f>AS35</f>
        <v>0</v>
      </c>
      <c r="AU35" s="52">
        <f t="shared" si="134"/>
        <v>0</v>
      </c>
      <c r="AV35" s="52">
        <f t="shared" si="134"/>
        <v>0</v>
      </c>
      <c r="AW35" s="52">
        <f t="shared" si="134"/>
        <v>0</v>
      </c>
      <c r="AX35" s="52">
        <f t="shared" si="134"/>
        <v>0</v>
      </c>
      <c r="BC35" s="52">
        <f aca="true" t="shared" si="139" ref="BC35:BN35">BC24-BC47-BC58</f>
        <v>0</v>
      </c>
      <c r="BD35" s="52">
        <f t="shared" si="139"/>
        <v>0</v>
      </c>
      <c r="BE35" s="52">
        <f t="shared" si="139"/>
        <v>0</v>
      </c>
      <c r="BF35" s="52">
        <f t="shared" si="139"/>
        <v>0</v>
      </c>
      <c r="BG35" s="52">
        <f t="shared" si="139"/>
        <v>0</v>
      </c>
      <c r="BH35" s="52">
        <f t="shared" si="139"/>
        <v>0</v>
      </c>
      <c r="BI35" s="52">
        <f t="shared" si="139"/>
        <v>0</v>
      </c>
      <c r="BJ35" s="52">
        <f t="shared" si="139"/>
        <v>0</v>
      </c>
      <c r="BK35" s="52">
        <f t="shared" si="139"/>
        <v>0</v>
      </c>
      <c r="BL35" s="52">
        <f t="shared" si="139"/>
        <v>0</v>
      </c>
      <c r="BM35" s="52">
        <f t="shared" si="139"/>
        <v>0</v>
      </c>
      <c r="BN35" s="52">
        <f t="shared" si="139"/>
        <v>0</v>
      </c>
      <c r="BO35" s="62">
        <f>SUM(BC35:BN35)</f>
        <v>0</v>
      </c>
      <c r="BQ35" s="52">
        <f aca="true" t="shared" si="140" ref="BQ35:CB35">BQ24-BQ47-BQ58</f>
        <v>0</v>
      </c>
      <c r="BR35" s="52">
        <f t="shared" si="140"/>
        <v>0</v>
      </c>
      <c r="BS35" s="52">
        <f t="shared" si="140"/>
        <v>0</v>
      </c>
      <c r="BT35" s="52">
        <f t="shared" si="140"/>
        <v>0</v>
      </c>
      <c r="BU35" s="52">
        <f t="shared" si="140"/>
        <v>0</v>
      </c>
      <c r="BV35" s="52">
        <f t="shared" si="140"/>
        <v>0</v>
      </c>
      <c r="BW35" s="52">
        <f t="shared" si="140"/>
        <v>0</v>
      </c>
      <c r="BX35" s="52">
        <f t="shared" si="140"/>
        <v>0</v>
      </c>
      <c r="BY35" s="52">
        <f t="shared" si="140"/>
        <v>0</v>
      </c>
      <c r="BZ35" s="52">
        <f t="shared" si="140"/>
        <v>0</v>
      </c>
      <c r="CA35" s="52">
        <f t="shared" si="140"/>
        <v>0</v>
      </c>
      <c r="CB35" s="52">
        <f t="shared" si="140"/>
        <v>0</v>
      </c>
      <c r="CC35" s="62">
        <f>SUM(BQ35:CB35)</f>
        <v>0</v>
      </c>
      <c r="CE35" s="52">
        <f aca="true" t="shared" si="141" ref="CE35:CP35">CE24-CE47-CE58</f>
        <v>0</v>
      </c>
      <c r="CF35" s="52">
        <f t="shared" si="141"/>
        <v>0</v>
      </c>
      <c r="CG35" s="52">
        <f t="shared" si="141"/>
        <v>0</v>
      </c>
      <c r="CH35" s="52">
        <f t="shared" si="141"/>
        <v>0</v>
      </c>
      <c r="CI35" s="52">
        <f t="shared" si="141"/>
        <v>0</v>
      </c>
      <c r="CJ35" s="52">
        <f t="shared" si="141"/>
        <v>0</v>
      </c>
      <c r="CK35" s="52">
        <f t="shared" si="141"/>
        <v>0</v>
      </c>
      <c r="CL35" s="52">
        <f t="shared" si="141"/>
        <v>0</v>
      </c>
      <c r="CM35" s="52">
        <f t="shared" si="141"/>
        <v>0</v>
      </c>
      <c r="CN35" s="52">
        <f t="shared" si="141"/>
        <v>0</v>
      </c>
      <c r="CO35" s="52">
        <f t="shared" si="141"/>
        <v>0</v>
      </c>
      <c r="CP35" s="52">
        <f t="shared" si="141"/>
        <v>0</v>
      </c>
      <c r="CQ35" s="62">
        <f>SUM(CE35:CP35)</f>
        <v>0</v>
      </c>
    </row>
    <row r="36" spans="1:95" s="127" customFormat="1" ht="12.75">
      <c r="A36" s="128"/>
      <c r="B36" s="129" t="s">
        <v>166</v>
      </c>
      <c r="C36" s="125" t="s">
        <v>14</v>
      </c>
      <c r="D36" s="154">
        <f aca="true" t="shared" si="142" ref="D36:AM36">IF(D34&gt;D35,D35,D34)</f>
        <v>0</v>
      </c>
      <c r="E36" s="154">
        <f t="shared" si="142"/>
        <v>0</v>
      </c>
      <c r="F36" s="154">
        <f t="shared" si="142"/>
        <v>0</v>
      </c>
      <c r="G36" s="154">
        <f t="shared" si="142"/>
        <v>0</v>
      </c>
      <c r="H36" s="154">
        <f t="shared" si="142"/>
        <v>0</v>
      </c>
      <c r="I36" s="154">
        <f t="shared" si="142"/>
        <v>0</v>
      </c>
      <c r="J36" s="154">
        <f t="shared" si="142"/>
        <v>0</v>
      </c>
      <c r="K36" s="154">
        <f t="shared" si="142"/>
        <v>0</v>
      </c>
      <c r="L36" s="154">
        <f t="shared" si="142"/>
        <v>0</v>
      </c>
      <c r="M36" s="154">
        <f t="shared" si="142"/>
        <v>0</v>
      </c>
      <c r="N36" s="154">
        <f t="shared" si="142"/>
        <v>0</v>
      </c>
      <c r="O36" s="154">
        <f t="shared" si="142"/>
        <v>0</v>
      </c>
      <c r="P36" s="154">
        <f t="shared" si="142"/>
        <v>0</v>
      </c>
      <c r="Q36" s="154">
        <f t="shared" si="142"/>
        <v>0</v>
      </c>
      <c r="R36" s="154">
        <f t="shared" si="142"/>
        <v>0</v>
      </c>
      <c r="S36" s="154">
        <f t="shared" si="142"/>
        <v>0</v>
      </c>
      <c r="T36" s="154">
        <f t="shared" si="142"/>
        <v>0</v>
      </c>
      <c r="U36" s="154">
        <f t="shared" si="142"/>
        <v>0</v>
      </c>
      <c r="V36" s="154">
        <f t="shared" si="142"/>
        <v>0</v>
      </c>
      <c r="W36" s="154">
        <f t="shared" si="142"/>
        <v>0</v>
      </c>
      <c r="X36" s="154">
        <f t="shared" si="142"/>
        <v>0</v>
      </c>
      <c r="Y36" s="154">
        <f t="shared" si="142"/>
        <v>0</v>
      </c>
      <c r="Z36" s="154">
        <f t="shared" si="142"/>
        <v>0</v>
      </c>
      <c r="AA36" s="154">
        <f t="shared" si="142"/>
        <v>0</v>
      </c>
      <c r="AB36" s="154">
        <f t="shared" si="142"/>
        <v>0</v>
      </c>
      <c r="AC36" s="154">
        <f t="shared" si="142"/>
        <v>0</v>
      </c>
      <c r="AD36" s="154">
        <f t="shared" si="142"/>
        <v>0</v>
      </c>
      <c r="AE36" s="154">
        <f t="shared" si="142"/>
        <v>0</v>
      </c>
      <c r="AF36" s="154">
        <f t="shared" si="142"/>
        <v>0</v>
      </c>
      <c r="AG36" s="154">
        <f t="shared" si="142"/>
        <v>0</v>
      </c>
      <c r="AH36" s="154">
        <f t="shared" si="142"/>
        <v>0</v>
      </c>
      <c r="AI36" s="154">
        <f t="shared" si="142"/>
        <v>0</v>
      </c>
      <c r="AJ36" s="154">
        <f t="shared" si="142"/>
        <v>0</v>
      </c>
      <c r="AK36" s="154">
        <f t="shared" si="142"/>
        <v>0</v>
      </c>
      <c r="AL36" s="154">
        <f t="shared" si="142"/>
        <v>0</v>
      </c>
      <c r="AM36" s="154">
        <f t="shared" si="142"/>
        <v>0</v>
      </c>
      <c r="AN36" s="154">
        <f t="shared" si="133"/>
        <v>0</v>
      </c>
      <c r="AO36" s="155">
        <f>SUM(P36:AA36)</f>
        <v>0</v>
      </c>
      <c r="AP36" s="154">
        <f>SUM(AB36:AM36)</f>
        <v>0</v>
      </c>
      <c r="AQ36" s="154">
        <f>BO36</f>
        <v>0</v>
      </c>
      <c r="AR36" s="154">
        <f>CC36</f>
        <v>0</v>
      </c>
      <c r="AS36" s="154">
        <f>CQ36</f>
        <v>0</v>
      </c>
      <c r="AT36" s="154">
        <f>AS36</f>
        <v>0</v>
      </c>
      <c r="AU36" s="154">
        <f t="shared" si="134"/>
        <v>0</v>
      </c>
      <c r="AV36" s="154">
        <f t="shared" si="134"/>
        <v>0</v>
      </c>
      <c r="AW36" s="154">
        <f t="shared" si="134"/>
        <v>0</v>
      </c>
      <c r="AX36" s="154">
        <f t="shared" si="134"/>
        <v>0</v>
      </c>
      <c r="BC36" s="154">
        <f aca="true" t="shared" si="143" ref="BC36:BN36">IF(BC34&gt;BC35,BC35,BC34)</f>
        <v>0</v>
      </c>
      <c r="BD36" s="154">
        <f t="shared" si="143"/>
        <v>0</v>
      </c>
      <c r="BE36" s="154">
        <f t="shared" si="143"/>
        <v>0</v>
      </c>
      <c r="BF36" s="154">
        <f t="shared" si="143"/>
        <v>0</v>
      </c>
      <c r="BG36" s="154">
        <f t="shared" si="143"/>
        <v>0</v>
      </c>
      <c r="BH36" s="154">
        <f t="shared" si="143"/>
        <v>0</v>
      </c>
      <c r="BI36" s="154">
        <f t="shared" si="143"/>
        <v>0</v>
      </c>
      <c r="BJ36" s="154">
        <f t="shared" si="143"/>
        <v>0</v>
      </c>
      <c r="BK36" s="154">
        <f t="shared" si="143"/>
        <v>0</v>
      </c>
      <c r="BL36" s="154">
        <f t="shared" si="143"/>
        <v>0</v>
      </c>
      <c r="BM36" s="154">
        <f t="shared" si="143"/>
        <v>0</v>
      </c>
      <c r="BN36" s="154">
        <f t="shared" si="143"/>
        <v>0</v>
      </c>
      <c r="BO36" s="130">
        <f>SUM(BC36:BN36)</f>
        <v>0</v>
      </c>
      <c r="BQ36" s="154">
        <f aca="true" t="shared" si="144" ref="BQ36:CB36">IF(BQ34&gt;BQ35,BQ35,BQ34)</f>
        <v>0</v>
      </c>
      <c r="BR36" s="154">
        <f t="shared" si="144"/>
        <v>0</v>
      </c>
      <c r="BS36" s="154">
        <f t="shared" si="144"/>
        <v>0</v>
      </c>
      <c r="BT36" s="154">
        <f t="shared" si="144"/>
        <v>0</v>
      </c>
      <c r="BU36" s="154">
        <f t="shared" si="144"/>
        <v>0</v>
      </c>
      <c r="BV36" s="154">
        <f t="shared" si="144"/>
        <v>0</v>
      </c>
      <c r="BW36" s="154">
        <f t="shared" si="144"/>
        <v>0</v>
      </c>
      <c r="BX36" s="154">
        <f t="shared" si="144"/>
        <v>0</v>
      </c>
      <c r="BY36" s="154">
        <f t="shared" si="144"/>
        <v>0</v>
      </c>
      <c r="BZ36" s="154">
        <f t="shared" si="144"/>
        <v>0</v>
      </c>
      <c r="CA36" s="154">
        <f t="shared" si="144"/>
        <v>0</v>
      </c>
      <c r="CB36" s="154">
        <f t="shared" si="144"/>
        <v>0</v>
      </c>
      <c r="CC36" s="130">
        <f>SUM(BQ36:CB36)</f>
        <v>0</v>
      </c>
      <c r="CE36" s="154">
        <f aca="true" t="shared" si="145" ref="CE36:CP36">IF(CE34&gt;CE35,CE35,CE34)</f>
        <v>0</v>
      </c>
      <c r="CF36" s="154">
        <f t="shared" si="145"/>
        <v>0</v>
      </c>
      <c r="CG36" s="154">
        <f t="shared" si="145"/>
        <v>0</v>
      </c>
      <c r="CH36" s="154">
        <f t="shared" si="145"/>
        <v>0</v>
      </c>
      <c r="CI36" s="154">
        <f t="shared" si="145"/>
        <v>0</v>
      </c>
      <c r="CJ36" s="154">
        <f t="shared" si="145"/>
        <v>0</v>
      </c>
      <c r="CK36" s="154">
        <f t="shared" si="145"/>
        <v>0</v>
      </c>
      <c r="CL36" s="154">
        <f t="shared" si="145"/>
        <v>0</v>
      </c>
      <c r="CM36" s="154">
        <f t="shared" si="145"/>
        <v>0</v>
      </c>
      <c r="CN36" s="154">
        <f t="shared" si="145"/>
        <v>0</v>
      </c>
      <c r="CO36" s="154">
        <f t="shared" si="145"/>
        <v>0</v>
      </c>
      <c r="CP36" s="154">
        <f t="shared" si="145"/>
        <v>0</v>
      </c>
      <c r="CQ36" s="130">
        <f>SUM(CE36:CP36)</f>
        <v>0</v>
      </c>
    </row>
    <row r="37" spans="1:94" s="75" customFormat="1" ht="12.75">
      <c r="A37" s="153"/>
      <c r="B37" s="51" t="s">
        <v>47</v>
      </c>
      <c r="C37" s="51" t="s">
        <v>19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</row>
    <row r="38" spans="1:95" ht="12.75">
      <c r="A38" s="25"/>
      <c r="B38" s="26" t="s">
        <v>48</v>
      </c>
      <c r="C38" s="26" t="s">
        <v>15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>
        <f t="shared" si="133"/>
        <v>0</v>
      </c>
      <c r="AO38" s="140">
        <f>SUM(P38:AA38)</f>
        <v>0</v>
      </c>
      <c r="AP38" s="14">
        <f>SUM(AB38:AM38)</f>
        <v>0</v>
      </c>
      <c r="AQ38" s="52">
        <f>BO38</f>
        <v>0</v>
      </c>
      <c r="AR38" s="52">
        <f>CC38</f>
        <v>0</v>
      </c>
      <c r="AS38" s="52">
        <f>CQ38</f>
        <v>0</v>
      </c>
      <c r="AT38" s="52">
        <f aca="true" t="shared" si="146" ref="AT38:AX40">AS38</f>
        <v>0</v>
      </c>
      <c r="AU38" s="52">
        <f t="shared" si="146"/>
        <v>0</v>
      </c>
      <c r="AV38" s="52">
        <f t="shared" si="146"/>
        <v>0</v>
      </c>
      <c r="AW38" s="52">
        <f t="shared" si="146"/>
        <v>0</v>
      </c>
      <c r="AX38" s="52">
        <f t="shared" si="146"/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50">
        <f aca="true" t="shared" si="147" ref="BO38:BO43">SUM(BC38:BN38)</f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50">
        <f aca="true" t="shared" si="148" ref="CC38:CC43">SUM(BQ38:CB38)</f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50">
        <f aca="true" t="shared" si="149" ref="CQ38:CQ43">SUM(CE38:CP38)</f>
        <v>0</v>
      </c>
    </row>
    <row r="39" spans="1:95" ht="12.75">
      <c r="A39" s="25"/>
      <c r="B39" s="26" t="s">
        <v>49</v>
      </c>
      <c r="C39" s="26" t="s">
        <v>16</v>
      </c>
      <c r="D39" s="14">
        <f aca="true" t="shared" si="150" ref="D39:AM39">D38*Gewicht_Methan*21/1000</f>
        <v>0</v>
      </c>
      <c r="E39" s="14">
        <f t="shared" si="150"/>
        <v>0</v>
      </c>
      <c r="F39" s="14">
        <f t="shared" si="150"/>
        <v>0</v>
      </c>
      <c r="G39" s="14">
        <f t="shared" si="150"/>
        <v>0</v>
      </c>
      <c r="H39" s="14">
        <f t="shared" si="150"/>
        <v>0</v>
      </c>
      <c r="I39" s="14">
        <f t="shared" si="150"/>
        <v>0</v>
      </c>
      <c r="J39" s="14">
        <f t="shared" si="150"/>
        <v>0</v>
      </c>
      <c r="K39" s="14">
        <f t="shared" si="150"/>
        <v>0</v>
      </c>
      <c r="L39" s="14">
        <f t="shared" si="150"/>
        <v>0</v>
      </c>
      <c r="M39" s="14">
        <f t="shared" si="150"/>
        <v>0</v>
      </c>
      <c r="N39" s="14">
        <f t="shared" si="150"/>
        <v>0</v>
      </c>
      <c r="O39" s="14">
        <f t="shared" si="150"/>
        <v>0</v>
      </c>
      <c r="P39" s="14">
        <f t="shared" si="150"/>
        <v>0</v>
      </c>
      <c r="Q39" s="14">
        <f t="shared" si="150"/>
        <v>0</v>
      </c>
      <c r="R39" s="14">
        <f t="shared" si="150"/>
        <v>0</v>
      </c>
      <c r="S39" s="14">
        <f t="shared" si="150"/>
        <v>0</v>
      </c>
      <c r="T39" s="14">
        <f t="shared" si="150"/>
        <v>0</v>
      </c>
      <c r="U39" s="14">
        <f t="shared" si="150"/>
        <v>0</v>
      </c>
      <c r="V39" s="14">
        <f t="shared" si="150"/>
        <v>0</v>
      </c>
      <c r="W39" s="14">
        <f t="shared" si="150"/>
        <v>0</v>
      </c>
      <c r="X39" s="14">
        <f t="shared" si="150"/>
        <v>0</v>
      </c>
      <c r="Y39" s="14">
        <f t="shared" si="150"/>
        <v>0</v>
      </c>
      <c r="Z39" s="14">
        <f t="shared" si="150"/>
        <v>0</v>
      </c>
      <c r="AA39" s="14">
        <f t="shared" si="150"/>
        <v>0</v>
      </c>
      <c r="AB39" s="14">
        <f t="shared" si="150"/>
        <v>0</v>
      </c>
      <c r="AC39" s="14">
        <f t="shared" si="150"/>
        <v>0</v>
      </c>
      <c r="AD39" s="14">
        <f t="shared" si="150"/>
        <v>0</v>
      </c>
      <c r="AE39" s="14">
        <f t="shared" si="150"/>
        <v>0</v>
      </c>
      <c r="AF39" s="14">
        <f t="shared" si="150"/>
        <v>0</v>
      </c>
      <c r="AG39" s="14">
        <f t="shared" si="150"/>
        <v>0</v>
      </c>
      <c r="AH39" s="14">
        <f t="shared" si="150"/>
        <v>0</v>
      </c>
      <c r="AI39" s="14">
        <f t="shared" si="150"/>
        <v>0</v>
      </c>
      <c r="AJ39" s="14">
        <f t="shared" si="150"/>
        <v>0</v>
      </c>
      <c r="AK39" s="14">
        <f t="shared" si="150"/>
        <v>0</v>
      </c>
      <c r="AL39" s="14">
        <f t="shared" si="150"/>
        <v>0</v>
      </c>
      <c r="AM39" s="14">
        <f t="shared" si="150"/>
        <v>0</v>
      </c>
      <c r="AN39" s="14">
        <f t="shared" si="133"/>
        <v>0</v>
      </c>
      <c r="AO39" s="140">
        <f>SUM(P39:AA39)</f>
        <v>0</v>
      </c>
      <c r="AP39" s="14">
        <f>SUM(AB39:AM39)</f>
        <v>0</v>
      </c>
      <c r="AQ39" s="52">
        <f>BO39</f>
        <v>0</v>
      </c>
      <c r="AR39" s="52">
        <f>CC39</f>
        <v>0</v>
      </c>
      <c r="AS39" s="52">
        <f>CQ39</f>
        <v>0</v>
      </c>
      <c r="AT39" s="52">
        <f t="shared" si="146"/>
        <v>0</v>
      </c>
      <c r="AU39" s="52">
        <f t="shared" si="146"/>
        <v>0</v>
      </c>
      <c r="AV39" s="52">
        <f t="shared" si="146"/>
        <v>0</v>
      </c>
      <c r="AW39" s="52">
        <f t="shared" si="146"/>
        <v>0</v>
      </c>
      <c r="AX39" s="52">
        <f t="shared" si="146"/>
        <v>0</v>
      </c>
      <c r="AY39" s="52">
        <f>AX38*0.717/1000</f>
        <v>0</v>
      </c>
      <c r="AZ39" s="50"/>
      <c r="BA39" s="50"/>
      <c r="BC39" s="14">
        <f aca="true" t="shared" si="151" ref="BC39:BN39">BC38*Gewicht_Methan*21/1000</f>
        <v>0</v>
      </c>
      <c r="BD39" s="14">
        <f t="shared" si="151"/>
        <v>0</v>
      </c>
      <c r="BE39" s="14">
        <f t="shared" si="151"/>
        <v>0</v>
      </c>
      <c r="BF39" s="14">
        <f t="shared" si="151"/>
        <v>0</v>
      </c>
      <c r="BG39" s="14">
        <f t="shared" si="151"/>
        <v>0</v>
      </c>
      <c r="BH39" s="14">
        <f t="shared" si="151"/>
        <v>0</v>
      </c>
      <c r="BI39" s="14">
        <f t="shared" si="151"/>
        <v>0</v>
      </c>
      <c r="BJ39" s="14">
        <f t="shared" si="151"/>
        <v>0</v>
      </c>
      <c r="BK39" s="14">
        <f t="shared" si="151"/>
        <v>0</v>
      </c>
      <c r="BL39" s="14">
        <f t="shared" si="151"/>
        <v>0</v>
      </c>
      <c r="BM39" s="14">
        <f t="shared" si="151"/>
        <v>0</v>
      </c>
      <c r="BN39" s="14">
        <f t="shared" si="151"/>
        <v>0</v>
      </c>
      <c r="BO39" s="50">
        <f t="shared" si="147"/>
        <v>0</v>
      </c>
      <c r="BQ39" s="14">
        <f aca="true" t="shared" si="152" ref="BQ39:CB39">BQ38*Gewicht_Methan*21/1000</f>
        <v>0</v>
      </c>
      <c r="BR39" s="14">
        <f t="shared" si="152"/>
        <v>0</v>
      </c>
      <c r="BS39" s="14">
        <f t="shared" si="152"/>
        <v>0</v>
      </c>
      <c r="BT39" s="14">
        <f t="shared" si="152"/>
        <v>0</v>
      </c>
      <c r="BU39" s="14">
        <f t="shared" si="152"/>
        <v>0</v>
      </c>
      <c r="BV39" s="14">
        <f t="shared" si="152"/>
        <v>0</v>
      </c>
      <c r="BW39" s="14">
        <f t="shared" si="152"/>
        <v>0</v>
      </c>
      <c r="BX39" s="14">
        <f t="shared" si="152"/>
        <v>0</v>
      </c>
      <c r="BY39" s="14">
        <f t="shared" si="152"/>
        <v>0</v>
      </c>
      <c r="BZ39" s="14">
        <f t="shared" si="152"/>
        <v>0</v>
      </c>
      <c r="CA39" s="14">
        <f t="shared" si="152"/>
        <v>0</v>
      </c>
      <c r="CB39" s="14">
        <f t="shared" si="152"/>
        <v>0</v>
      </c>
      <c r="CC39" s="50">
        <f t="shared" si="148"/>
        <v>0</v>
      </c>
      <c r="CE39" s="14">
        <f aca="true" t="shared" si="153" ref="CE39:CP39">CE38*Gewicht_Methan*21/1000</f>
        <v>0</v>
      </c>
      <c r="CF39" s="14">
        <f t="shared" si="153"/>
        <v>0</v>
      </c>
      <c r="CG39" s="14">
        <f t="shared" si="153"/>
        <v>0</v>
      </c>
      <c r="CH39" s="14">
        <f t="shared" si="153"/>
        <v>0</v>
      </c>
      <c r="CI39" s="14">
        <f t="shared" si="153"/>
        <v>0</v>
      </c>
      <c r="CJ39" s="14">
        <f t="shared" si="153"/>
        <v>0</v>
      </c>
      <c r="CK39" s="14">
        <f t="shared" si="153"/>
        <v>0</v>
      </c>
      <c r="CL39" s="14">
        <f t="shared" si="153"/>
        <v>0</v>
      </c>
      <c r="CM39" s="14">
        <f t="shared" si="153"/>
        <v>0</v>
      </c>
      <c r="CN39" s="14">
        <f t="shared" si="153"/>
        <v>0</v>
      </c>
      <c r="CO39" s="14">
        <f t="shared" si="153"/>
        <v>0</v>
      </c>
      <c r="CP39" s="14">
        <f t="shared" si="153"/>
        <v>0</v>
      </c>
      <c r="CQ39" s="50">
        <f t="shared" si="149"/>
        <v>0</v>
      </c>
    </row>
    <row r="40" spans="1:95" ht="12.75">
      <c r="A40" s="25"/>
      <c r="B40" s="26" t="s">
        <v>123</v>
      </c>
      <c r="C40" s="26" t="s">
        <v>16</v>
      </c>
      <c r="D40" s="14">
        <f aca="true" t="shared" si="154" ref="D40:N40">D38*Gewicht_Methan*2.75/1000</f>
        <v>0</v>
      </c>
      <c r="E40" s="14">
        <f t="shared" si="154"/>
        <v>0</v>
      </c>
      <c r="F40" s="14">
        <f t="shared" si="154"/>
        <v>0</v>
      </c>
      <c r="G40" s="14">
        <f t="shared" si="154"/>
        <v>0</v>
      </c>
      <c r="H40" s="14">
        <f t="shared" si="154"/>
        <v>0</v>
      </c>
      <c r="I40" s="14">
        <f t="shared" si="154"/>
        <v>0</v>
      </c>
      <c r="J40" s="14">
        <f t="shared" si="154"/>
        <v>0</v>
      </c>
      <c r="K40" s="14">
        <f t="shared" si="154"/>
        <v>0</v>
      </c>
      <c r="L40" s="14">
        <f t="shared" si="154"/>
        <v>0</v>
      </c>
      <c r="M40" s="14">
        <f t="shared" si="154"/>
        <v>0</v>
      </c>
      <c r="N40" s="14">
        <f t="shared" si="154"/>
        <v>0</v>
      </c>
      <c r="O40" s="14">
        <f aca="true" t="shared" si="155" ref="O40:AM40">O38*Gewicht_Methan*2.75/1000</f>
        <v>0</v>
      </c>
      <c r="P40" s="14">
        <f t="shared" si="155"/>
        <v>0</v>
      </c>
      <c r="Q40" s="14">
        <f t="shared" si="155"/>
        <v>0</v>
      </c>
      <c r="R40" s="14">
        <f t="shared" si="155"/>
        <v>0</v>
      </c>
      <c r="S40" s="14">
        <f t="shared" si="155"/>
        <v>0</v>
      </c>
      <c r="T40" s="14">
        <f t="shared" si="155"/>
        <v>0</v>
      </c>
      <c r="U40" s="14">
        <f t="shared" si="155"/>
        <v>0</v>
      </c>
      <c r="V40" s="14">
        <f t="shared" si="155"/>
        <v>0</v>
      </c>
      <c r="W40" s="14">
        <f t="shared" si="155"/>
        <v>0</v>
      </c>
      <c r="X40" s="14">
        <f t="shared" si="155"/>
        <v>0</v>
      </c>
      <c r="Y40" s="14">
        <f t="shared" si="155"/>
        <v>0</v>
      </c>
      <c r="Z40" s="14">
        <f t="shared" si="155"/>
        <v>0</v>
      </c>
      <c r="AA40" s="14">
        <f t="shared" si="155"/>
        <v>0</v>
      </c>
      <c r="AB40" s="14">
        <f t="shared" si="155"/>
        <v>0</v>
      </c>
      <c r="AC40" s="14">
        <f t="shared" si="155"/>
        <v>0</v>
      </c>
      <c r="AD40" s="14">
        <f t="shared" si="155"/>
        <v>0</v>
      </c>
      <c r="AE40" s="14">
        <f t="shared" si="155"/>
        <v>0</v>
      </c>
      <c r="AF40" s="14">
        <f t="shared" si="155"/>
        <v>0</v>
      </c>
      <c r="AG40" s="14">
        <f t="shared" si="155"/>
        <v>0</v>
      </c>
      <c r="AH40" s="14">
        <f t="shared" si="155"/>
        <v>0</v>
      </c>
      <c r="AI40" s="14">
        <f t="shared" si="155"/>
        <v>0</v>
      </c>
      <c r="AJ40" s="14">
        <f t="shared" si="155"/>
        <v>0</v>
      </c>
      <c r="AK40" s="14">
        <f t="shared" si="155"/>
        <v>0</v>
      </c>
      <c r="AL40" s="14">
        <f t="shared" si="155"/>
        <v>0</v>
      </c>
      <c r="AM40" s="14">
        <f t="shared" si="155"/>
        <v>0</v>
      </c>
      <c r="AN40" s="14">
        <f t="shared" si="133"/>
        <v>0</v>
      </c>
      <c r="AO40" s="140">
        <f>SUM(P40:AA40)</f>
        <v>0</v>
      </c>
      <c r="AP40" s="14">
        <f>SUM(AB40:AM40)</f>
        <v>0</v>
      </c>
      <c r="AQ40" s="52">
        <f>BO40</f>
        <v>0</v>
      </c>
      <c r="AR40" s="52">
        <f>CC40</f>
        <v>0</v>
      </c>
      <c r="AS40" s="52">
        <f>CQ40</f>
        <v>0</v>
      </c>
      <c r="AT40" s="52">
        <f t="shared" si="146"/>
        <v>0</v>
      </c>
      <c r="AU40" s="52">
        <f t="shared" si="146"/>
        <v>0</v>
      </c>
      <c r="AV40" s="52">
        <f t="shared" si="146"/>
        <v>0</v>
      </c>
      <c r="AW40" s="52">
        <f t="shared" si="146"/>
        <v>0</v>
      </c>
      <c r="AX40" s="52">
        <f t="shared" si="146"/>
        <v>0</v>
      </c>
      <c r="BC40" s="14">
        <f aca="true" t="shared" si="156" ref="BC40:BN40">BC38*Gewicht_Methan*2.75/1000</f>
        <v>0</v>
      </c>
      <c r="BD40" s="14">
        <f t="shared" si="156"/>
        <v>0</v>
      </c>
      <c r="BE40" s="14">
        <f t="shared" si="156"/>
        <v>0</v>
      </c>
      <c r="BF40" s="14">
        <f t="shared" si="156"/>
        <v>0</v>
      </c>
      <c r="BG40" s="14">
        <f t="shared" si="156"/>
        <v>0</v>
      </c>
      <c r="BH40" s="14">
        <f t="shared" si="156"/>
        <v>0</v>
      </c>
      <c r="BI40" s="14">
        <f t="shared" si="156"/>
        <v>0</v>
      </c>
      <c r="BJ40" s="14">
        <f t="shared" si="156"/>
        <v>0</v>
      </c>
      <c r="BK40" s="14">
        <f t="shared" si="156"/>
        <v>0</v>
      </c>
      <c r="BL40" s="14">
        <f t="shared" si="156"/>
        <v>0</v>
      </c>
      <c r="BM40" s="14">
        <f t="shared" si="156"/>
        <v>0</v>
      </c>
      <c r="BN40" s="14">
        <f t="shared" si="156"/>
        <v>0</v>
      </c>
      <c r="BO40" s="50">
        <f t="shared" si="147"/>
        <v>0</v>
      </c>
      <c r="BQ40" s="14">
        <f aca="true" t="shared" si="157" ref="BQ40:CB40">BQ38*Gewicht_Methan*2.75/1000</f>
        <v>0</v>
      </c>
      <c r="BR40" s="14">
        <f t="shared" si="157"/>
        <v>0</v>
      </c>
      <c r="BS40" s="14">
        <f t="shared" si="157"/>
        <v>0</v>
      </c>
      <c r="BT40" s="14">
        <f t="shared" si="157"/>
        <v>0</v>
      </c>
      <c r="BU40" s="14">
        <f t="shared" si="157"/>
        <v>0</v>
      </c>
      <c r="BV40" s="14">
        <f t="shared" si="157"/>
        <v>0</v>
      </c>
      <c r="BW40" s="14">
        <f t="shared" si="157"/>
        <v>0</v>
      </c>
      <c r="BX40" s="14">
        <f t="shared" si="157"/>
        <v>0</v>
      </c>
      <c r="BY40" s="14">
        <f t="shared" si="157"/>
        <v>0</v>
      </c>
      <c r="BZ40" s="14">
        <f t="shared" si="157"/>
        <v>0</v>
      </c>
      <c r="CA40" s="14">
        <f t="shared" si="157"/>
        <v>0</v>
      </c>
      <c r="CB40" s="14">
        <f t="shared" si="157"/>
        <v>0</v>
      </c>
      <c r="CC40" s="50">
        <f t="shared" si="148"/>
        <v>0</v>
      </c>
      <c r="CE40" s="14">
        <f aca="true" t="shared" si="158" ref="CE40:CP40">CE38*Gewicht_Methan*2.75/1000</f>
        <v>0</v>
      </c>
      <c r="CF40" s="14">
        <f t="shared" si="158"/>
        <v>0</v>
      </c>
      <c r="CG40" s="14">
        <f t="shared" si="158"/>
        <v>0</v>
      </c>
      <c r="CH40" s="14">
        <f t="shared" si="158"/>
        <v>0</v>
      </c>
      <c r="CI40" s="14">
        <f t="shared" si="158"/>
        <v>0</v>
      </c>
      <c r="CJ40" s="14">
        <f t="shared" si="158"/>
        <v>0</v>
      </c>
      <c r="CK40" s="14">
        <f t="shared" si="158"/>
        <v>0</v>
      </c>
      <c r="CL40" s="14">
        <f t="shared" si="158"/>
        <v>0</v>
      </c>
      <c r="CM40" s="14">
        <f t="shared" si="158"/>
        <v>0</v>
      </c>
      <c r="CN40" s="14">
        <f t="shared" si="158"/>
        <v>0</v>
      </c>
      <c r="CO40" s="14">
        <f t="shared" si="158"/>
        <v>0</v>
      </c>
      <c r="CP40" s="14">
        <f t="shared" si="158"/>
        <v>0</v>
      </c>
      <c r="CQ40" s="50">
        <f t="shared" si="149"/>
        <v>0</v>
      </c>
    </row>
    <row r="41" spans="1:106" ht="12.75">
      <c r="A41" s="25"/>
      <c r="B41" s="26" t="s">
        <v>46</v>
      </c>
      <c r="C41" s="26" t="s">
        <v>21</v>
      </c>
      <c r="D41" s="14">
        <f aca="true" t="shared" si="159" ref="D41:N41">D36/Heizwert_Kohle/Wirkungsgrad_Kohlekessel</f>
        <v>0</v>
      </c>
      <c r="E41" s="14">
        <f t="shared" si="159"/>
        <v>0</v>
      </c>
      <c r="F41" s="14">
        <f t="shared" si="159"/>
        <v>0</v>
      </c>
      <c r="G41" s="14">
        <f t="shared" si="159"/>
        <v>0</v>
      </c>
      <c r="H41" s="14">
        <f t="shared" si="159"/>
        <v>0</v>
      </c>
      <c r="I41" s="14">
        <f t="shared" si="159"/>
        <v>0</v>
      </c>
      <c r="J41" s="14">
        <f t="shared" si="159"/>
        <v>0</v>
      </c>
      <c r="K41" s="14">
        <f t="shared" si="159"/>
        <v>0</v>
      </c>
      <c r="L41" s="14">
        <f t="shared" si="159"/>
        <v>0</v>
      </c>
      <c r="M41" s="14">
        <f t="shared" si="159"/>
        <v>0</v>
      </c>
      <c r="N41" s="14">
        <f t="shared" si="159"/>
        <v>0</v>
      </c>
      <c r="O41" s="14">
        <f aca="true" t="shared" si="160" ref="O41:AM41">O36/Heizwert_Kohle/Wirkungsgrad_Kohlekessel</f>
        <v>0</v>
      </c>
      <c r="P41" s="14">
        <f t="shared" si="160"/>
        <v>0</v>
      </c>
      <c r="Q41" s="14">
        <f t="shared" si="160"/>
        <v>0</v>
      </c>
      <c r="R41" s="14">
        <f t="shared" si="160"/>
        <v>0</v>
      </c>
      <c r="S41" s="14">
        <f t="shared" si="160"/>
        <v>0</v>
      </c>
      <c r="T41" s="14">
        <f t="shared" si="160"/>
        <v>0</v>
      </c>
      <c r="U41" s="14">
        <f t="shared" si="160"/>
        <v>0</v>
      </c>
      <c r="V41" s="14">
        <f t="shared" si="160"/>
        <v>0</v>
      </c>
      <c r="W41" s="14">
        <f t="shared" si="160"/>
        <v>0</v>
      </c>
      <c r="X41" s="14">
        <f t="shared" si="160"/>
        <v>0</v>
      </c>
      <c r="Y41" s="14">
        <f t="shared" si="160"/>
        <v>0</v>
      </c>
      <c r="Z41" s="14">
        <f t="shared" si="160"/>
        <v>0</v>
      </c>
      <c r="AA41" s="14">
        <f t="shared" si="160"/>
        <v>0</v>
      </c>
      <c r="AB41" s="14">
        <f t="shared" si="160"/>
        <v>0</v>
      </c>
      <c r="AC41" s="14">
        <f t="shared" si="160"/>
        <v>0</v>
      </c>
      <c r="AD41" s="14">
        <f t="shared" si="160"/>
        <v>0</v>
      </c>
      <c r="AE41" s="14">
        <f t="shared" si="160"/>
        <v>0</v>
      </c>
      <c r="AF41" s="14">
        <f t="shared" si="160"/>
        <v>0</v>
      </c>
      <c r="AG41" s="14">
        <f t="shared" si="160"/>
        <v>0</v>
      </c>
      <c r="AH41" s="14">
        <f t="shared" si="160"/>
        <v>0</v>
      </c>
      <c r="AI41" s="14">
        <f t="shared" si="160"/>
        <v>0</v>
      </c>
      <c r="AJ41" s="14">
        <f t="shared" si="160"/>
        <v>0</v>
      </c>
      <c r="AK41" s="14">
        <f t="shared" si="160"/>
        <v>0</v>
      </c>
      <c r="AL41" s="14">
        <f t="shared" si="160"/>
        <v>0</v>
      </c>
      <c r="AM41" s="14">
        <f t="shared" si="160"/>
        <v>0</v>
      </c>
      <c r="AN41" s="14">
        <f t="shared" si="133"/>
        <v>0</v>
      </c>
      <c r="AO41" s="140">
        <f>SUM(P41:AA41)</f>
        <v>0</v>
      </c>
      <c r="AP41" s="14">
        <f>SUM(AB41:AM41)</f>
        <v>0</v>
      </c>
      <c r="AQ41" s="52">
        <f>BO41</f>
        <v>0</v>
      </c>
      <c r="AR41" s="52">
        <f>CC41</f>
        <v>0</v>
      </c>
      <c r="AS41" s="52">
        <f>CQ41</f>
        <v>0</v>
      </c>
      <c r="AT41" s="52">
        <f aca="true" t="shared" si="161" ref="AT41:AX42">AS41</f>
        <v>0</v>
      </c>
      <c r="AU41" s="52">
        <f t="shared" si="161"/>
        <v>0</v>
      </c>
      <c r="AV41" s="52">
        <f t="shared" si="161"/>
        <v>0</v>
      </c>
      <c r="AW41" s="52">
        <f t="shared" si="161"/>
        <v>0</v>
      </c>
      <c r="AX41" s="52">
        <f t="shared" si="161"/>
        <v>0</v>
      </c>
      <c r="AY41" s="50"/>
      <c r="AZ41" s="50"/>
      <c r="BA41" s="50"/>
      <c r="BB41" s="50"/>
      <c r="BC41" s="14">
        <f aca="true" t="shared" si="162" ref="BC41:BN41">BC36/Heizwert_Kohle/Wirkungsgrad_Kohlekessel</f>
        <v>0</v>
      </c>
      <c r="BD41" s="14">
        <f t="shared" si="162"/>
        <v>0</v>
      </c>
      <c r="BE41" s="14">
        <f t="shared" si="162"/>
        <v>0</v>
      </c>
      <c r="BF41" s="14">
        <f t="shared" si="162"/>
        <v>0</v>
      </c>
      <c r="BG41" s="14">
        <f t="shared" si="162"/>
        <v>0</v>
      </c>
      <c r="BH41" s="14">
        <f t="shared" si="162"/>
        <v>0</v>
      </c>
      <c r="BI41" s="14">
        <f t="shared" si="162"/>
        <v>0</v>
      </c>
      <c r="BJ41" s="14">
        <f t="shared" si="162"/>
        <v>0</v>
      </c>
      <c r="BK41" s="14">
        <f t="shared" si="162"/>
        <v>0</v>
      </c>
      <c r="BL41" s="14">
        <f t="shared" si="162"/>
        <v>0</v>
      </c>
      <c r="BM41" s="14">
        <f t="shared" si="162"/>
        <v>0</v>
      </c>
      <c r="BN41" s="14">
        <f t="shared" si="162"/>
        <v>0</v>
      </c>
      <c r="BO41" s="50">
        <f t="shared" si="147"/>
        <v>0</v>
      </c>
      <c r="BP41" s="50"/>
      <c r="BQ41" s="14">
        <f aca="true" t="shared" si="163" ref="BQ41:CB41">BQ36/Heizwert_Kohle/Wirkungsgrad_Kohlekessel</f>
        <v>0</v>
      </c>
      <c r="BR41" s="14">
        <f t="shared" si="163"/>
        <v>0</v>
      </c>
      <c r="BS41" s="14">
        <f t="shared" si="163"/>
        <v>0</v>
      </c>
      <c r="BT41" s="14">
        <f t="shared" si="163"/>
        <v>0</v>
      </c>
      <c r="BU41" s="14">
        <f t="shared" si="163"/>
        <v>0</v>
      </c>
      <c r="BV41" s="14">
        <f t="shared" si="163"/>
        <v>0</v>
      </c>
      <c r="BW41" s="14">
        <f t="shared" si="163"/>
        <v>0</v>
      </c>
      <c r="BX41" s="14">
        <f t="shared" si="163"/>
        <v>0</v>
      </c>
      <c r="BY41" s="14">
        <f t="shared" si="163"/>
        <v>0</v>
      </c>
      <c r="BZ41" s="14">
        <f t="shared" si="163"/>
        <v>0</v>
      </c>
      <c r="CA41" s="14">
        <f t="shared" si="163"/>
        <v>0</v>
      </c>
      <c r="CB41" s="14">
        <f t="shared" si="163"/>
        <v>0</v>
      </c>
      <c r="CC41" s="50">
        <f t="shared" si="148"/>
        <v>0</v>
      </c>
      <c r="CD41" s="50"/>
      <c r="CE41" s="14">
        <f aca="true" t="shared" si="164" ref="CE41:CP41">CE36/Heizwert_Kohle/Wirkungsgrad_Kohlekessel</f>
        <v>0</v>
      </c>
      <c r="CF41" s="14">
        <f t="shared" si="164"/>
        <v>0</v>
      </c>
      <c r="CG41" s="14">
        <f t="shared" si="164"/>
        <v>0</v>
      </c>
      <c r="CH41" s="14">
        <f t="shared" si="164"/>
        <v>0</v>
      </c>
      <c r="CI41" s="14">
        <f t="shared" si="164"/>
        <v>0</v>
      </c>
      <c r="CJ41" s="14">
        <f t="shared" si="164"/>
        <v>0</v>
      </c>
      <c r="CK41" s="14">
        <f t="shared" si="164"/>
        <v>0</v>
      </c>
      <c r="CL41" s="14">
        <f t="shared" si="164"/>
        <v>0</v>
      </c>
      <c r="CM41" s="14">
        <f t="shared" si="164"/>
        <v>0</v>
      </c>
      <c r="CN41" s="14">
        <f t="shared" si="164"/>
        <v>0</v>
      </c>
      <c r="CO41" s="14">
        <f t="shared" si="164"/>
        <v>0</v>
      </c>
      <c r="CP41" s="14">
        <f t="shared" si="164"/>
        <v>0</v>
      </c>
      <c r="CQ41" s="50">
        <f t="shared" si="149"/>
        <v>0</v>
      </c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</row>
    <row r="42" spans="1:106" ht="12.75">
      <c r="A42" s="25"/>
      <c r="B42" s="26" t="s">
        <v>50</v>
      </c>
      <c r="C42" s="26" t="s">
        <v>16</v>
      </c>
      <c r="D42" s="14">
        <f aca="true" t="shared" si="165" ref="D42:N42">D36/Wirkungsgrad_Kohlekessel*CO2_Vermeidung_Kohle</f>
        <v>0</v>
      </c>
      <c r="E42" s="14">
        <f t="shared" si="165"/>
        <v>0</v>
      </c>
      <c r="F42" s="14">
        <f t="shared" si="165"/>
        <v>0</v>
      </c>
      <c r="G42" s="14">
        <f t="shared" si="165"/>
        <v>0</v>
      </c>
      <c r="H42" s="14">
        <f t="shared" si="165"/>
        <v>0</v>
      </c>
      <c r="I42" s="14">
        <f t="shared" si="165"/>
        <v>0</v>
      </c>
      <c r="J42" s="14">
        <f t="shared" si="165"/>
        <v>0</v>
      </c>
      <c r="K42" s="14">
        <f t="shared" si="165"/>
        <v>0</v>
      </c>
      <c r="L42" s="14">
        <f t="shared" si="165"/>
        <v>0</v>
      </c>
      <c r="M42" s="14">
        <f t="shared" si="165"/>
        <v>0</v>
      </c>
      <c r="N42" s="14">
        <f t="shared" si="165"/>
        <v>0</v>
      </c>
      <c r="O42" s="14">
        <f aca="true" t="shared" si="166" ref="O42:AM42">O36/Wirkungsgrad_Kohlekessel*CO2_Vermeidung_Kohle</f>
        <v>0</v>
      </c>
      <c r="P42" s="14">
        <f t="shared" si="166"/>
        <v>0</v>
      </c>
      <c r="Q42" s="14">
        <f t="shared" si="166"/>
        <v>0</v>
      </c>
      <c r="R42" s="14">
        <f t="shared" si="166"/>
        <v>0</v>
      </c>
      <c r="S42" s="14">
        <f t="shared" si="166"/>
        <v>0</v>
      </c>
      <c r="T42" s="14">
        <f t="shared" si="166"/>
        <v>0</v>
      </c>
      <c r="U42" s="14">
        <f t="shared" si="166"/>
        <v>0</v>
      </c>
      <c r="V42" s="14">
        <f t="shared" si="166"/>
        <v>0</v>
      </c>
      <c r="W42" s="14">
        <f t="shared" si="166"/>
        <v>0</v>
      </c>
      <c r="X42" s="14">
        <f t="shared" si="166"/>
        <v>0</v>
      </c>
      <c r="Y42" s="14">
        <f t="shared" si="166"/>
        <v>0</v>
      </c>
      <c r="Z42" s="14">
        <f t="shared" si="166"/>
        <v>0</v>
      </c>
      <c r="AA42" s="14">
        <f t="shared" si="166"/>
        <v>0</v>
      </c>
      <c r="AB42" s="14">
        <f t="shared" si="166"/>
        <v>0</v>
      </c>
      <c r="AC42" s="14">
        <f t="shared" si="166"/>
        <v>0</v>
      </c>
      <c r="AD42" s="14">
        <f t="shared" si="166"/>
        <v>0</v>
      </c>
      <c r="AE42" s="14">
        <f t="shared" si="166"/>
        <v>0</v>
      </c>
      <c r="AF42" s="14">
        <f t="shared" si="166"/>
        <v>0</v>
      </c>
      <c r="AG42" s="14">
        <f t="shared" si="166"/>
        <v>0</v>
      </c>
      <c r="AH42" s="14">
        <f t="shared" si="166"/>
        <v>0</v>
      </c>
      <c r="AI42" s="14">
        <f t="shared" si="166"/>
        <v>0</v>
      </c>
      <c r="AJ42" s="14">
        <f t="shared" si="166"/>
        <v>0</v>
      </c>
      <c r="AK42" s="14">
        <f t="shared" si="166"/>
        <v>0</v>
      </c>
      <c r="AL42" s="14">
        <f t="shared" si="166"/>
        <v>0</v>
      </c>
      <c r="AM42" s="14">
        <f t="shared" si="166"/>
        <v>0</v>
      </c>
      <c r="AN42" s="14">
        <f t="shared" si="133"/>
        <v>0</v>
      </c>
      <c r="AO42" s="140">
        <f>SUM(P42:AA42)</f>
        <v>0</v>
      </c>
      <c r="AP42" s="14">
        <f>SUM(AB42:AM42)</f>
        <v>0</v>
      </c>
      <c r="AQ42" s="52">
        <f>BO42</f>
        <v>0</v>
      </c>
      <c r="AR42" s="52">
        <f>CC42</f>
        <v>0</v>
      </c>
      <c r="AS42" s="52">
        <f>CQ42</f>
        <v>0</v>
      </c>
      <c r="AT42" s="52">
        <f t="shared" si="161"/>
        <v>0</v>
      </c>
      <c r="AU42" s="52">
        <f t="shared" si="161"/>
        <v>0</v>
      </c>
      <c r="AV42" s="52">
        <f t="shared" si="161"/>
        <v>0</v>
      </c>
      <c r="AW42" s="52">
        <f t="shared" si="161"/>
        <v>0</v>
      </c>
      <c r="AX42" s="52">
        <f t="shared" si="161"/>
        <v>0</v>
      </c>
      <c r="AY42" s="50"/>
      <c r="AZ42" s="50"/>
      <c r="BA42" s="50"/>
      <c r="BB42" s="50"/>
      <c r="BC42" s="14">
        <f aca="true" t="shared" si="167" ref="BC42:BN42">BC36/Wirkungsgrad_Kohlekessel*CO2_Vermeidung_Kohle</f>
        <v>0</v>
      </c>
      <c r="BD42" s="14">
        <f t="shared" si="167"/>
        <v>0</v>
      </c>
      <c r="BE42" s="14">
        <f t="shared" si="167"/>
        <v>0</v>
      </c>
      <c r="BF42" s="14">
        <f t="shared" si="167"/>
        <v>0</v>
      </c>
      <c r="BG42" s="14">
        <f t="shared" si="167"/>
        <v>0</v>
      </c>
      <c r="BH42" s="14">
        <f t="shared" si="167"/>
        <v>0</v>
      </c>
      <c r="BI42" s="14">
        <f t="shared" si="167"/>
        <v>0</v>
      </c>
      <c r="BJ42" s="14">
        <f t="shared" si="167"/>
        <v>0</v>
      </c>
      <c r="BK42" s="14">
        <f t="shared" si="167"/>
        <v>0</v>
      </c>
      <c r="BL42" s="14">
        <f t="shared" si="167"/>
        <v>0</v>
      </c>
      <c r="BM42" s="14">
        <f t="shared" si="167"/>
        <v>0</v>
      </c>
      <c r="BN42" s="14">
        <f t="shared" si="167"/>
        <v>0</v>
      </c>
      <c r="BO42" s="50">
        <f t="shared" si="147"/>
        <v>0</v>
      </c>
      <c r="BP42" s="50"/>
      <c r="BQ42" s="14">
        <f aca="true" t="shared" si="168" ref="BQ42:CB42">BQ36/Wirkungsgrad_Kohlekessel*CO2_Vermeidung_Kohle</f>
        <v>0</v>
      </c>
      <c r="BR42" s="14">
        <f t="shared" si="168"/>
        <v>0</v>
      </c>
      <c r="BS42" s="14">
        <f t="shared" si="168"/>
        <v>0</v>
      </c>
      <c r="BT42" s="14">
        <f t="shared" si="168"/>
        <v>0</v>
      </c>
      <c r="BU42" s="14">
        <f t="shared" si="168"/>
        <v>0</v>
      </c>
      <c r="BV42" s="14">
        <f t="shared" si="168"/>
        <v>0</v>
      </c>
      <c r="BW42" s="14">
        <f t="shared" si="168"/>
        <v>0</v>
      </c>
      <c r="BX42" s="14">
        <f t="shared" si="168"/>
        <v>0</v>
      </c>
      <c r="BY42" s="14">
        <f t="shared" si="168"/>
        <v>0</v>
      </c>
      <c r="BZ42" s="14">
        <f t="shared" si="168"/>
        <v>0</v>
      </c>
      <c r="CA42" s="14">
        <f t="shared" si="168"/>
        <v>0</v>
      </c>
      <c r="CB42" s="14">
        <f t="shared" si="168"/>
        <v>0</v>
      </c>
      <c r="CC42" s="50">
        <f t="shared" si="148"/>
        <v>0</v>
      </c>
      <c r="CD42" s="50"/>
      <c r="CE42" s="14">
        <f aca="true" t="shared" si="169" ref="CE42:CP42">CE36/Wirkungsgrad_Kohlekessel*CO2_Vermeidung_Kohle</f>
        <v>0</v>
      </c>
      <c r="CF42" s="14">
        <f t="shared" si="169"/>
        <v>0</v>
      </c>
      <c r="CG42" s="14">
        <f t="shared" si="169"/>
        <v>0</v>
      </c>
      <c r="CH42" s="14">
        <f t="shared" si="169"/>
        <v>0</v>
      </c>
      <c r="CI42" s="14">
        <f t="shared" si="169"/>
        <v>0</v>
      </c>
      <c r="CJ42" s="14">
        <f t="shared" si="169"/>
        <v>0</v>
      </c>
      <c r="CK42" s="14">
        <f t="shared" si="169"/>
        <v>0</v>
      </c>
      <c r="CL42" s="14">
        <f t="shared" si="169"/>
        <v>0</v>
      </c>
      <c r="CM42" s="14">
        <f t="shared" si="169"/>
        <v>0</v>
      </c>
      <c r="CN42" s="14">
        <f t="shared" si="169"/>
        <v>0</v>
      </c>
      <c r="CO42" s="14">
        <f t="shared" si="169"/>
        <v>0</v>
      </c>
      <c r="CP42" s="14">
        <f t="shared" si="169"/>
        <v>0</v>
      </c>
      <c r="CQ42" s="50">
        <f t="shared" si="149"/>
        <v>0</v>
      </c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</row>
    <row r="43" spans="1:106" ht="12.75">
      <c r="A43" s="25"/>
      <c r="B43" s="51" t="s">
        <v>154</v>
      </c>
      <c r="C43" s="26" t="s">
        <v>16</v>
      </c>
      <c r="D43" s="14">
        <f aca="true" t="shared" si="170" ref="D43:AX43">D42+D39-D40</f>
        <v>0</v>
      </c>
      <c r="E43" s="14">
        <f t="shared" si="170"/>
        <v>0</v>
      </c>
      <c r="F43" s="14">
        <f t="shared" si="170"/>
        <v>0</v>
      </c>
      <c r="G43" s="14">
        <f t="shared" si="170"/>
        <v>0</v>
      </c>
      <c r="H43" s="14">
        <f t="shared" si="170"/>
        <v>0</v>
      </c>
      <c r="I43" s="14">
        <f t="shared" si="170"/>
        <v>0</v>
      </c>
      <c r="J43" s="14">
        <f t="shared" si="170"/>
        <v>0</v>
      </c>
      <c r="K43" s="14">
        <f t="shared" si="170"/>
        <v>0</v>
      </c>
      <c r="L43" s="14">
        <f t="shared" si="170"/>
        <v>0</v>
      </c>
      <c r="M43" s="14">
        <f t="shared" si="170"/>
        <v>0</v>
      </c>
      <c r="N43" s="14">
        <f t="shared" si="170"/>
        <v>0</v>
      </c>
      <c r="O43" s="14">
        <f t="shared" si="170"/>
        <v>0</v>
      </c>
      <c r="P43" s="14">
        <f t="shared" si="170"/>
        <v>0</v>
      </c>
      <c r="Q43" s="14">
        <f t="shared" si="170"/>
        <v>0</v>
      </c>
      <c r="R43" s="14">
        <f t="shared" si="170"/>
        <v>0</v>
      </c>
      <c r="S43" s="14">
        <f t="shared" si="170"/>
        <v>0</v>
      </c>
      <c r="T43" s="14">
        <f t="shared" si="170"/>
        <v>0</v>
      </c>
      <c r="U43" s="14">
        <f t="shared" si="170"/>
        <v>0</v>
      </c>
      <c r="V43" s="14">
        <f t="shared" si="170"/>
        <v>0</v>
      </c>
      <c r="W43" s="14">
        <f t="shared" si="170"/>
        <v>0</v>
      </c>
      <c r="X43" s="14">
        <f t="shared" si="170"/>
        <v>0</v>
      </c>
      <c r="Y43" s="14">
        <f t="shared" si="170"/>
        <v>0</v>
      </c>
      <c r="Z43" s="14">
        <f t="shared" si="170"/>
        <v>0</v>
      </c>
      <c r="AA43" s="14">
        <f t="shared" si="170"/>
        <v>0</v>
      </c>
      <c r="AB43" s="14">
        <f t="shared" si="170"/>
        <v>0</v>
      </c>
      <c r="AC43" s="14">
        <f t="shared" si="170"/>
        <v>0</v>
      </c>
      <c r="AD43" s="14">
        <f t="shared" si="170"/>
        <v>0</v>
      </c>
      <c r="AE43" s="14">
        <f t="shared" si="170"/>
        <v>0</v>
      </c>
      <c r="AF43" s="14">
        <f t="shared" si="170"/>
        <v>0</v>
      </c>
      <c r="AG43" s="14">
        <f t="shared" si="170"/>
        <v>0</v>
      </c>
      <c r="AH43" s="14">
        <f t="shared" si="170"/>
        <v>0</v>
      </c>
      <c r="AI43" s="14">
        <f t="shared" si="170"/>
        <v>0</v>
      </c>
      <c r="AJ43" s="14">
        <f t="shared" si="170"/>
        <v>0</v>
      </c>
      <c r="AK43" s="14">
        <f t="shared" si="170"/>
        <v>0</v>
      </c>
      <c r="AL43" s="14">
        <f t="shared" si="170"/>
        <v>0</v>
      </c>
      <c r="AM43" s="14">
        <f t="shared" si="170"/>
        <v>0</v>
      </c>
      <c r="AN43" s="14">
        <f t="shared" si="170"/>
        <v>0</v>
      </c>
      <c r="AO43" s="140">
        <f t="shared" si="170"/>
        <v>0</v>
      </c>
      <c r="AP43" s="14">
        <f t="shared" si="170"/>
        <v>0</v>
      </c>
      <c r="AQ43" s="14">
        <f t="shared" si="170"/>
        <v>0</v>
      </c>
      <c r="AR43" s="14">
        <f t="shared" si="170"/>
        <v>0</v>
      </c>
      <c r="AS43" s="14">
        <f t="shared" si="170"/>
        <v>0</v>
      </c>
      <c r="AT43" s="14">
        <f t="shared" si="170"/>
        <v>0</v>
      </c>
      <c r="AU43" s="14">
        <f t="shared" si="170"/>
        <v>0</v>
      </c>
      <c r="AV43" s="14">
        <f t="shared" si="170"/>
        <v>0</v>
      </c>
      <c r="AW43" s="14">
        <f t="shared" si="170"/>
        <v>0</v>
      </c>
      <c r="AX43" s="14">
        <f t="shared" si="170"/>
        <v>0</v>
      </c>
      <c r="AY43" s="50"/>
      <c r="AZ43" s="50"/>
      <c r="BA43" s="50"/>
      <c r="BB43" s="50"/>
      <c r="BC43" s="14">
        <f aca="true" t="shared" si="171" ref="BC43:BN43">BC42+BC39-BC40</f>
        <v>0</v>
      </c>
      <c r="BD43" s="14">
        <f t="shared" si="171"/>
        <v>0</v>
      </c>
      <c r="BE43" s="14">
        <f t="shared" si="171"/>
        <v>0</v>
      </c>
      <c r="BF43" s="14">
        <f t="shared" si="171"/>
        <v>0</v>
      </c>
      <c r="BG43" s="14">
        <f t="shared" si="171"/>
        <v>0</v>
      </c>
      <c r="BH43" s="14">
        <f t="shared" si="171"/>
        <v>0</v>
      </c>
      <c r="BI43" s="14">
        <f t="shared" si="171"/>
        <v>0</v>
      </c>
      <c r="BJ43" s="14">
        <f t="shared" si="171"/>
        <v>0</v>
      </c>
      <c r="BK43" s="14">
        <f t="shared" si="171"/>
        <v>0</v>
      </c>
      <c r="BL43" s="14">
        <f t="shared" si="171"/>
        <v>0</v>
      </c>
      <c r="BM43" s="14">
        <f t="shared" si="171"/>
        <v>0</v>
      </c>
      <c r="BN43" s="14">
        <f t="shared" si="171"/>
        <v>0</v>
      </c>
      <c r="BO43" s="50">
        <f t="shared" si="147"/>
        <v>0</v>
      </c>
      <c r="BP43" s="50"/>
      <c r="BQ43" s="14">
        <f aca="true" t="shared" si="172" ref="BQ43:CB43">BQ42+BQ39-BQ40</f>
        <v>0</v>
      </c>
      <c r="BR43" s="14">
        <f t="shared" si="172"/>
        <v>0</v>
      </c>
      <c r="BS43" s="14">
        <f t="shared" si="172"/>
        <v>0</v>
      </c>
      <c r="BT43" s="14">
        <f t="shared" si="172"/>
        <v>0</v>
      </c>
      <c r="BU43" s="14">
        <f t="shared" si="172"/>
        <v>0</v>
      </c>
      <c r="BV43" s="14">
        <f t="shared" si="172"/>
        <v>0</v>
      </c>
      <c r="BW43" s="14">
        <f t="shared" si="172"/>
        <v>0</v>
      </c>
      <c r="BX43" s="14">
        <f t="shared" si="172"/>
        <v>0</v>
      </c>
      <c r="BY43" s="14">
        <f t="shared" si="172"/>
        <v>0</v>
      </c>
      <c r="BZ43" s="14">
        <f t="shared" si="172"/>
        <v>0</v>
      </c>
      <c r="CA43" s="14">
        <f t="shared" si="172"/>
        <v>0</v>
      </c>
      <c r="CB43" s="14">
        <f t="shared" si="172"/>
        <v>0</v>
      </c>
      <c r="CC43" s="50">
        <f t="shared" si="148"/>
        <v>0</v>
      </c>
      <c r="CD43" s="50"/>
      <c r="CE43" s="14">
        <f aca="true" t="shared" si="173" ref="CE43:CP43">CE42+CE39-CE40</f>
        <v>0</v>
      </c>
      <c r="CF43" s="14">
        <f t="shared" si="173"/>
        <v>0</v>
      </c>
      <c r="CG43" s="14">
        <f t="shared" si="173"/>
        <v>0</v>
      </c>
      <c r="CH43" s="14">
        <f t="shared" si="173"/>
        <v>0</v>
      </c>
      <c r="CI43" s="14">
        <f t="shared" si="173"/>
        <v>0</v>
      </c>
      <c r="CJ43" s="14">
        <f t="shared" si="173"/>
        <v>0</v>
      </c>
      <c r="CK43" s="14">
        <f t="shared" si="173"/>
        <v>0</v>
      </c>
      <c r="CL43" s="14">
        <f t="shared" si="173"/>
        <v>0</v>
      </c>
      <c r="CM43" s="14">
        <f t="shared" si="173"/>
        <v>0</v>
      </c>
      <c r="CN43" s="14">
        <f t="shared" si="173"/>
        <v>0</v>
      </c>
      <c r="CO43" s="14">
        <f t="shared" si="173"/>
        <v>0</v>
      </c>
      <c r="CP43" s="14">
        <f t="shared" si="173"/>
        <v>0</v>
      </c>
      <c r="CQ43" s="50">
        <f t="shared" si="149"/>
        <v>0</v>
      </c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</row>
    <row r="44" spans="1:94" ht="12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P44" s="26"/>
      <c r="AQ44" s="26"/>
      <c r="AR44" s="26"/>
      <c r="AS44" s="26"/>
      <c r="AT44" s="26"/>
      <c r="AU44" s="26"/>
      <c r="AV44" s="26"/>
      <c r="AW44" s="26"/>
      <c r="AX44" s="27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</row>
    <row r="45" spans="1:94" ht="12.75">
      <c r="A45" s="39" t="s">
        <v>6</v>
      </c>
      <c r="B45" s="26" t="s">
        <v>155</v>
      </c>
      <c r="C45" s="26"/>
      <c r="D45" s="26"/>
      <c r="F45" s="26"/>
      <c r="G45" s="26"/>
      <c r="H45" s="26"/>
      <c r="I45" s="26"/>
      <c r="J45" s="26"/>
      <c r="K45" s="26"/>
      <c r="L45" s="26"/>
      <c r="M45" s="26"/>
      <c r="N45" s="26"/>
      <c r="O45" s="5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1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P45" s="26"/>
      <c r="AQ45" s="26"/>
      <c r="AR45" s="26"/>
      <c r="AS45" s="26"/>
      <c r="AT45" s="26"/>
      <c r="AU45" s="26"/>
      <c r="AV45" s="26"/>
      <c r="AW45" s="26"/>
      <c r="AX45" s="27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</row>
    <row r="46" spans="1:94" ht="12.75">
      <c r="A46" s="25"/>
      <c r="B46" s="26" t="s">
        <v>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P46" s="26"/>
      <c r="AQ46" s="26"/>
      <c r="AR46" s="26"/>
      <c r="AS46" s="26"/>
      <c r="AT46" s="26"/>
      <c r="AU46" s="26"/>
      <c r="AV46" s="26"/>
      <c r="AW46" s="26"/>
      <c r="AX46" s="27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</row>
    <row r="47" spans="2:95" s="161" customFormat="1" ht="12.75">
      <c r="B47" s="164" t="s">
        <v>122</v>
      </c>
      <c r="C47" s="158" t="s">
        <v>14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6975</v>
      </c>
      <c r="O47" s="165">
        <v>5500</v>
      </c>
      <c r="P47" s="165">
        <v>5000</v>
      </c>
      <c r="Q47" s="165">
        <v>4800</v>
      </c>
      <c r="R47" s="165">
        <v>7208</v>
      </c>
      <c r="S47" s="165">
        <v>3487</v>
      </c>
      <c r="T47" s="165">
        <v>1073</v>
      </c>
      <c r="U47" s="165">
        <v>518</v>
      </c>
      <c r="V47" s="165">
        <v>536</v>
      </c>
      <c r="W47" s="165">
        <v>536</v>
      </c>
      <c r="X47" s="165">
        <v>518</v>
      </c>
      <c r="Y47" s="165">
        <v>1073</v>
      </c>
      <c r="Z47" s="165">
        <v>5000</v>
      </c>
      <c r="AA47" s="165">
        <v>5500</v>
      </c>
      <c r="AB47" s="165">
        <v>5000</v>
      </c>
      <c r="AC47" s="165">
        <v>5000</v>
      </c>
      <c r="AD47" s="165">
        <v>7208</v>
      </c>
      <c r="AE47" s="165">
        <v>3487</v>
      </c>
      <c r="AF47" s="165">
        <v>1073</v>
      </c>
      <c r="AG47" s="165">
        <v>518</v>
      </c>
      <c r="AH47" s="165">
        <v>536</v>
      </c>
      <c r="AI47" s="165">
        <v>536</v>
      </c>
      <c r="AJ47" s="165">
        <v>518</v>
      </c>
      <c r="AK47" s="165">
        <v>1073</v>
      </c>
      <c r="AL47" s="165">
        <v>5000</v>
      </c>
      <c r="AM47" s="165">
        <v>5500</v>
      </c>
      <c r="AN47" s="166">
        <f>SUM(D47:O47)</f>
        <v>12475</v>
      </c>
      <c r="AO47" s="167">
        <f>SUM(P47:AA47)</f>
        <v>35249</v>
      </c>
      <c r="AP47" s="166">
        <f>SUM(AB47:AM47)</f>
        <v>35449</v>
      </c>
      <c r="AQ47" s="166">
        <f>BO47</f>
        <v>35449</v>
      </c>
      <c r="AR47" s="166">
        <f>CC47</f>
        <v>35449</v>
      </c>
      <c r="AS47" s="166">
        <f>CQ47</f>
        <v>35449</v>
      </c>
      <c r="AT47" s="166">
        <f>AS47</f>
        <v>35449</v>
      </c>
      <c r="AU47" s="166">
        <f>AT47</f>
        <v>35449</v>
      </c>
      <c r="AV47" s="166">
        <f>AU47</f>
        <v>35449</v>
      </c>
      <c r="AW47" s="166">
        <f>AV47</f>
        <v>35449</v>
      </c>
      <c r="AX47" s="166">
        <f>AW47</f>
        <v>35449</v>
      </c>
      <c r="AY47" s="168"/>
      <c r="AZ47" s="168"/>
      <c r="BA47" s="168"/>
      <c r="BB47" s="168"/>
      <c r="BC47" s="165">
        <v>5000</v>
      </c>
      <c r="BD47" s="165">
        <v>5000</v>
      </c>
      <c r="BE47" s="165">
        <v>7208</v>
      </c>
      <c r="BF47" s="165">
        <v>3487</v>
      </c>
      <c r="BG47" s="165">
        <v>1073</v>
      </c>
      <c r="BH47" s="165">
        <v>518</v>
      </c>
      <c r="BI47" s="165">
        <v>536</v>
      </c>
      <c r="BJ47" s="165">
        <v>536</v>
      </c>
      <c r="BK47" s="165">
        <v>518</v>
      </c>
      <c r="BL47" s="165">
        <v>1073</v>
      </c>
      <c r="BM47" s="165">
        <v>5000</v>
      </c>
      <c r="BN47" s="165">
        <v>5500</v>
      </c>
      <c r="BO47" s="169">
        <f>SUM(BC47:BN47)</f>
        <v>35449</v>
      </c>
      <c r="BQ47" s="165">
        <v>5000</v>
      </c>
      <c r="BR47" s="165">
        <v>5000</v>
      </c>
      <c r="BS47" s="165">
        <v>7208</v>
      </c>
      <c r="BT47" s="165">
        <v>3487</v>
      </c>
      <c r="BU47" s="165">
        <v>1073</v>
      </c>
      <c r="BV47" s="165">
        <v>518</v>
      </c>
      <c r="BW47" s="165">
        <v>536</v>
      </c>
      <c r="BX47" s="165">
        <v>536</v>
      </c>
      <c r="BY47" s="165">
        <v>518</v>
      </c>
      <c r="BZ47" s="165">
        <v>1073</v>
      </c>
      <c r="CA47" s="165">
        <v>5000</v>
      </c>
      <c r="CB47" s="165">
        <v>5500</v>
      </c>
      <c r="CC47" s="169">
        <f>SUM(BQ47:CB47)</f>
        <v>35449</v>
      </c>
      <c r="CE47" s="165">
        <v>5000</v>
      </c>
      <c r="CF47" s="165">
        <v>5000</v>
      </c>
      <c r="CG47" s="165">
        <v>7208</v>
      </c>
      <c r="CH47" s="165">
        <v>3487</v>
      </c>
      <c r="CI47" s="165">
        <v>1073</v>
      </c>
      <c r="CJ47" s="165">
        <v>518</v>
      </c>
      <c r="CK47" s="165">
        <v>536</v>
      </c>
      <c r="CL47" s="165">
        <v>536</v>
      </c>
      <c r="CM47" s="165">
        <v>518</v>
      </c>
      <c r="CN47" s="165">
        <v>1073</v>
      </c>
      <c r="CO47" s="165">
        <v>5000</v>
      </c>
      <c r="CP47" s="165">
        <v>5500</v>
      </c>
      <c r="CQ47" s="169">
        <f>SUM(CE47:CP47)</f>
        <v>35449</v>
      </c>
    </row>
    <row r="48" spans="1:94" s="161" customFormat="1" ht="12.75">
      <c r="A48" s="157"/>
      <c r="B48" s="158" t="s">
        <v>167</v>
      </c>
      <c r="C48" s="158" t="s">
        <v>19</v>
      </c>
      <c r="D48" s="159">
        <v>96</v>
      </c>
      <c r="E48" s="159">
        <v>96</v>
      </c>
      <c r="F48" s="159">
        <v>96</v>
      </c>
      <c r="G48" s="159">
        <v>96</v>
      </c>
      <c r="H48" s="159">
        <v>96</v>
      </c>
      <c r="I48" s="159">
        <v>96</v>
      </c>
      <c r="J48" s="159">
        <v>96</v>
      </c>
      <c r="K48" s="159">
        <v>96</v>
      </c>
      <c r="L48" s="159">
        <v>96</v>
      </c>
      <c r="M48" s="159">
        <v>96</v>
      </c>
      <c r="N48" s="159">
        <v>96</v>
      </c>
      <c r="O48" s="159">
        <v>96</v>
      </c>
      <c r="P48" s="159">
        <v>96</v>
      </c>
      <c r="Q48" s="159">
        <v>96</v>
      </c>
      <c r="R48" s="159">
        <v>96</v>
      </c>
      <c r="S48" s="159">
        <v>96</v>
      </c>
      <c r="T48" s="159">
        <v>96</v>
      </c>
      <c r="U48" s="159">
        <v>96</v>
      </c>
      <c r="V48" s="159">
        <v>96</v>
      </c>
      <c r="W48" s="159">
        <v>96</v>
      </c>
      <c r="X48" s="159">
        <v>96</v>
      </c>
      <c r="Y48" s="159">
        <v>96</v>
      </c>
      <c r="Z48" s="159">
        <v>96</v>
      </c>
      <c r="AA48" s="159">
        <v>96</v>
      </c>
      <c r="AB48" s="159">
        <v>96</v>
      </c>
      <c r="AC48" s="159">
        <v>96</v>
      </c>
      <c r="AD48" s="159">
        <v>96</v>
      </c>
      <c r="AE48" s="159">
        <v>96</v>
      </c>
      <c r="AF48" s="159">
        <v>96</v>
      </c>
      <c r="AG48" s="159">
        <v>96</v>
      </c>
      <c r="AH48" s="159">
        <v>96</v>
      </c>
      <c r="AI48" s="159">
        <v>96</v>
      </c>
      <c r="AJ48" s="159">
        <v>96</v>
      </c>
      <c r="AK48" s="159">
        <v>96</v>
      </c>
      <c r="AL48" s="159">
        <v>96</v>
      </c>
      <c r="AM48" s="159">
        <v>96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BC48" s="159">
        <v>96</v>
      </c>
      <c r="BD48" s="159">
        <v>96</v>
      </c>
      <c r="BE48" s="159">
        <v>96</v>
      </c>
      <c r="BF48" s="159">
        <v>96</v>
      </c>
      <c r="BG48" s="159">
        <v>96</v>
      </c>
      <c r="BH48" s="159">
        <v>96</v>
      </c>
      <c r="BI48" s="159">
        <v>96</v>
      </c>
      <c r="BJ48" s="159">
        <v>96</v>
      </c>
      <c r="BK48" s="159">
        <v>96</v>
      </c>
      <c r="BL48" s="159">
        <v>96</v>
      </c>
      <c r="BM48" s="159">
        <v>96</v>
      </c>
      <c r="BN48" s="159">
        <v>96</v>
      </c>
      <c r="BQ48" s="159">
        <v>96</v>
      </c>
      <c r="BR48" s="159">
        <v>96</v>
      </c>
      <c r="BS48" s="159">
        <v>96</v>
      </c>
      <c r="BT48" s="159">
        <v>96</v>
      </c>
      <c r="BU48" s="159">
        <v>96</v>
      </c>
      <c r="BV48" s="159">
        <v>96</v>
      </c>
      <c r="BW48" s="159">
        <v>96</v>
      </c>
      <c r="BX48" s="159">
        <v>96</v>
      </c>
      <c r="BY48" s="159">
        <v>96</v>
      </c>
      <c r="BZ48" s="159">
        <v>96</v>
      </c>
      <c r="CA48" s="159">
        <v>96</v>
      </c>
      <c r="CB48" s="159">
        <v>96</v>
      </c>
      <c r="CE48" s="159">
        <v>96</v>
      </c>
      <c r="CF48" s="159">
        <v>96</v>
      </c>
      <c r="CG48" s="159">
        <v>96</v>
      </c>
      <c r="CH48" s="159">
        <v>96</v>
      </c>
      <c r="CI48" s="159">
        <v>96</v>
      </c>
      <c r="CJ48" s="159">
        <v>96</v>
      </c>
      <c r="CK48" s="159">
        <v>96</v>
      </c>
      <c r="CL48" s="159">
        <v>96</v>
      </c>
      <c r="CM48" s="159">
        <v>96</v>
      </c>
      <c r="CN48" s="159">
        <v>96</v>
      </c>
      <c r="CO48" s="159">
        <v>96</v>
      </c>
      <c r="CP48" s="159">
        <v>96</v>
      </c>
    </row>
    <row r="49" spans="1:95" ht="12.75">
      <c r="A49" s="25"/>
      <c r="B49" s="26" t="s">
        <v>48</v>
      </c>
      <c r="C49" s="26" t="s">
        <v>15</v>
      </c>
      <c r="D49" s="14">
        <f aca="true" t="shared" si="174" ref="D49:O49">D47*1000/Heizwert_Methan/(D48/100)</f>
        <v>0</v>
      </c>
      <c r="E49" s="14">
        <f t="shared" si="174"/>
        <v>0</v>
      </c>
      <c r="F49" s="14">
        <f t="shared" si="174"/>
        <v>0</v>
      </c>
      <c r="G49" s="14">
        <f t="shared" si="174"/>
        <v>0</v>
      </c>
      <c r="H49" s="14">
        <f t="shared" si="174"/>
        <v>0</v>
      </c>
      <c r="I49" s="14">
        <f t="shared" si="174"/>
        <v>0</v>
      </c>
      <c r="J49" s="14">
        <f t="shared" si="174"/>
        <v>0</v>
      </c>
      <c r="K49" s="14">
        <f t="shared" si="174"/>
        <v>0</v>
      </c>
      <c r="L49" s="14">
        <f t="shared" si="174"/>
        <v>0</v>
      </c>
      <c r="M49" s="14">
        <f t="shared" si="174"/>
        <v>0</v>
      </c>
      <c r="N49" s="14">
        <f t="shared" si="174"/>
        <v>728091.4921334804</v>
      </c>
      <c r="O49" s="14">
        <f t="shared" si="174"/>
        <v>574122.3235461136</v>
      </c>
      <c r="P49" s="14">
        <f aca="true" t="shared" si="175" ref="P49:AL49">P47*1000/Heizwert_Methan/(P48/100)</f>
        <v>521929.3850419214</v>
      </c>
      <c r="Q49" s="14">
        <f t="shared" si="175"/>
        <v>501052.20964024455</v>
      </c>
      <c r="R49" s="14">
        <f t="shared" si="175"/>
        <v>752413.4014764338</v>
      </c>
      <c r="S49" s="14">
        <f t="shared" si="175"/>
        <v>363993.553128236</v>
      </c>
      <c r="T49" s="14">
        <f t="shared" si="175"/>
        <v>112006.04602999633</v>
      </c>
      <c r="U49" s="14">
        <f t="shared" si="175"/>
        <v>54071.884290343056</v>
      </c>
      <c r="V49" s="14">
        <f t="shared" si="175"/>
        <v>55950.83007649398</v>
      </c>
      <c r="W49" s="14">
        <f t="shared" si="175"/>
        <v>55950.83007649398</v>
      </c>
      <c r="X49" s="14">
        <f t="shared" si="175"/>
        <v>54071.884290343056</v>
      </c>
      <c r="Y49" s="14">
        <f t="shared" si="175"/>
        <v>112006.04602999633</v>
      </c>
      <c r="Z49" s="14">
        <f t="shared" si="175"/>
        <v>521929.3850419214</v>
      </c>
      <c r="AA49" s="14">
        <f t="shared" si="175"/>
        <v>574122.3235461136</v>
      </c>
      <c r="AB49" s="14">
        <f t="shared" si="175"/>
        <v>521929.3850419214</v>
      </c>
      <c r="AC49" s="14">
        <f t="shared" si="175"/>
        <v>521929.3850419214</v>
      </c>
      <c r="AD49" s="14">
        <f t="shared" si="175"/>
        <v>752413.4014764338</v>
      </c>
      <c r="AE49" s="14">
        <f t="shared" si="175"/>
        <v>363993.553128236</v>
      </c>
      <c r="AF49" s="14">
        <f t="shared" si="175"/>
        <v>112006.04602999633</v>
      </c>
      <c r="AG49" s="14">
        <f t="shared" si="175"/>
        <v>54071.884290343056</v>
      </c>
      <c r="AH49" s="14">
        <f t="shared" si="175"/>
        <v>55950.83007649398</v>
      </c>
      <c r="AI49" s="14">
        <f t="shared" si="175"/>
        <v>55950.83007649398</v>
      </c>
      <c r="AJ49" s="14">
        <f t="shared" si="175"/>
        <v>54071.884290343056</v>
      </c>
      <c r="AK49" s="14">
        <f t="shared" si="175"/>
        <v>112006.04602999633</v>
      </c>
      <c r="AL49" s="14">
        <f t="shared" si="175"/>
        <v>521929.3850419214</v>
      </c>
      <c r="AM49" s="14">
        <f>AM47*1000/Heizwert_Methan/(AM48/100)</f>
        <v>574122.3235461136</v>
      </c>
      <c r="AN49" s="14">
        <f>SUM(D49:O49)</f>
        <v>1302213.815679594</v>
      </c>
      <c r="AO49" s="140">
        <f>SUM(P49:AA49)</f>
        <v>3679497.778668537</v>
      </c>
      <c r="AP49" s="14">
        <f>SUM(AB49:AM49)</f>
        <v>3700374.9540702137</v>
      </c>
      <c r="AQ49" s="52">
        <f>BO49</f>
        <v>3700374.9540702137</v>
      </c>
      <c r="AR49" s="52">
        <f>CC49</f>
        <v>3700374.9540702137</v>
      </c>
      <c r="AS49" s="52">
        <f>CQ49</f>
        <v>3700374.9540702137</v>
      </c>
      <c r="AT49" s="52">
        <f aca="true" t="shared" si="176" ref="AT49:AX53">AS49</f>
        <v>3700374.9540702137</v>
      </c>
      <c r="AU49" s="52">
        <f t="shared" si="176"/>
        <v>3700374.9540702137</v>
      </c>
      <c r="AV49" s="52">
        <f t="shared" si="176"/>
        <v>3700374.9540702137</v>
      </c>
      <c r="AW49" s="52">
        <f t="shared" si="176"/>
        <v>3700374.9540702137</v>
      </c>
      <c r="AX49" s="52">
        <f t="shared" si="176"/>
        <v>3700374.9540702137</v>
      </c>
      <c r="BC49" s="14">
        <f aca="true" t="shared" si="177" ref="BC49:BN49">BC47*1000/Heizwert_Methan/(BC48/100)</f>
        <v>521929.3850419214</v>
      </c>
      <c r="BD49" s="14">
        <f t="shared" si="177"/>
        <v>521929.3850419214</v>
      </c>
      <c r="BE49" s="14">
        <f t="shared" si="177"/>
        <v>752413.4014764338</v>
      </c>
      <c r="BF49" s="14">
        <f t="shared" si="177"/>
        <v>363993.553128236</v>
      </c>
      <c r="BG49" s="14">
        <f t="shared" si="177"/>
        <v>112006.04602999633</v>
      </c>
      <c r="BH49" s="14">
        <f t="shared" si="177"/>
        <v>54071.884290343056</v>
      </c>
      <c r="BI49" s="14">
        <f t="shared" si="177"/>
        <v>55950.83007649398</v>
      </c>
      <c r="BJ49" s="14">
        <f t="shared" si="177"/>
        <v>55950.83007649398</v>
      </c>
      <c r="BK49" s="14">
        <f t="shared" si="177"/>
        <v>54071.884290343056</v>
      </c>
      <c r="BL49" s="14">
        <f t="shared" si="177"/>
        <v>112006.04602999633</v>
      </c>
      <c r="BM49" s="14">
        <f t="shared" si="177"/>
        <v>521929.3850419214</v>
      </c>
      <c r="BN49" s="14">
        <f t="shared" si="177"/>
        <v>574122.3235461136</v>
      </c>
      <c r="BO49" s="50">
        <f aca="true" t="shared" si="178" ref="BO49:BO54">SUM(BC49:BN49)</f>
        <v>3700374.9540702137</v>
      </c>
      <c r="BQ49" s="14">
        <f aca="true" t="shared" si="179" ref="BQ49:CB49">BQ47*1000/Heizwert_Methan/(BQ48/100)</f>
        <v>521929.3850419214</v>
      </c>
      <c r="BR49" s="14">
        <f t="shared" si="179"/>
        <v>521929.3850419214</v>
      </c>
      <c r="BS49" s="14">
        <f t="shared" si="179"/>
        <v>752413.4014764338</v>
      </c>
      <c r="BT49" s="14">
        <f t="shared" si="179"/>
        <v>363993.553128236</v>
      </c>
      <c r="BU49" s="14">
        <f t="shared" si="179"/>
        <v>112006.04602999633</v>
      </c>
      <c r="BV49" s="14">
        <f t="shared" si="179"/>
        <v>54071.884290343056</v>
      </c>
      <c r="BW49" s="14">
        <f t="shared" si="179"/>
        <v>55950.83007649398</v>
      </c>
      <c r="BX49" s="14">
        <f t="shared" si="179"/>
        <v>55950.83007649398</v>
      </c>
      <c r="BY49" s="14">
        <f t="shared" si="179"/>
        <v>54071.884290343056</v>
      </c>
      <c r="BZ49" s="14">
        <f t="shared" si="179"/>
        <v>112006.04602999633</v>
      </c>
      <c r="CA49" s="14">
        <f t="shared" si="179"/>
        <v>521929.3850419214</v>
      </c>
      <c r="CB49" s="14">
        <f t="shared" si="179"/>
        <v>574122.3235461136</v>
      </c>
      <c r="CC49" s="50">
        <f aca="true" t="shared" si="180" ref="CC49:CC54">SUM(BQ49:CB49)</f>
        <v>3700374.9540702137</v>
      </c>
      <c r="CE49" s="14">
        <f aca="true" t="shared" si="181" ref="CE49:CP49">CE47*1000/Heizwert_Methan/(CE48/100)</f>
        <v>521929.3850419214</v>
      </c>
      <c r="CF49" s="14">
        <f t="shared" si="181"/>
        <v>521929.3850419214</v>
      </c>
      <c r="CG49" s="14">
        <f t="shared" si="181"/>
        <v>752413.4014764338</v>
      </c>
      <c r="CH49" s="14">
        <f t="shared" si="181"/>
        <v>363993.553128236</v>
      </c>
      <c r="CI49" s="14">
        <f t="shared" si="181"/>
        <v>112006.04602999633</v>
      </c>
      <c r="CJ49" s="14">
        <f t="shared" si="181"/>
        <v>54071.884290343056</v>
      </c>
      <c r="CK49" s="14">
        <f t="shared" si="181"/>
        <v>55950.83007649398</v>
      </c>
      <c r="CL49" s="14">
        <f t="shared" si="181"/>
        <v>55950.83007649398</v>
      </c>
      <c r="CM49" s="14">
        <f t="shared" si="181"/>
        <v>54071.884290343056</v>
      </c>
      <c r="CN49" s="14">
        <f t="shared" si="181"/>
        <v>112006.04602999633</v>
      </c>
      <c r="CO49" s="14">
        <f t="shared" si="181"/>
        <v>521929.3850419214</v>
      </c>
      <c r="CP49" s="14">
        <f t="shared" si="181"/>
        <v>574122.3235461136</v>
      </c>
      <c r="CQ49" s="50">
        <f aca="true" t="shared" si="182" ref="CQ49:CQ54">SUM(CE49:CP49)</f>
        <v>3700374.9540702137</v>
      </c>
    </row>
    <row r="50" spans="1:95" ht="12.75">
      <c r="A50" s="25"/>
      <c r="B50" s="26" t="s">
        <v>49</v>
      </c>
      <c r="C50" s="26" t="s">
        <v>16</v>
      </c>
      <c r="D50" s="14">
        <f aca="true" t="shared" si="183" ref="D50:O50">D49*Gewicht_Methan*21/1000</f>
        <v>0</v>
      </c>
      <c r="E50" s="14">
        <f t="shared" si="183"/>
        <v>0</v>
      </c>
      <c r="F50" s="14">
        <f t="shared" si="183"/>
        <v>0</v>
      </c>
      <c r="G50" s="14">
        <f t="shared" si="183"/>
        <v>0</v>
      </c>
      <c r="H50" s="14">
        <f t="shared" si="183"/>
        <v>0</v>
      </c>
      <c r="I50" s="14">
        <f t="shared" si="183"/>
        <v>0</v>
      </c>
      <c r="J50" s="14">
        <f t="shared" si="183"/>
        <v>0</v>
      </c>
      <c r="K50" s="14">
        <f t="shared" si="183"/>
        <v>0</v>
      </c>
      <c r="L50" s="14">
        <f t="shared" si="183"/>
        <v>0</v>
      </c>
      <c r="M50" s="14">
        <f t="shared" si="183"/>
        <v>0</v>
      </c>
      <c r="N50" s="14">
        <f t="shared" si="183"/>
        <v>10962.873597053815</v>
      </c>
      <c r="O50" s="14">
        <f t="shared" si="183"/>
        <v>8644.55982563383</v>
      </c>
      <c r="P50" s="14">
        <f aca="true" t="shared" si="184" ref="P50:AM50">P49*Gewicht_Methan*21/1000</f>
        <v>7858.69075057621</v>
      </c>
      <c r="Q50" s="14">
        <f t="shared" si="184"/>
        <v>7544.3431205531615</v>
      </c>
      <c r="R50" s="14">
        <f t="shared" si="184"/>
        <v>11329.088586030666</v>
      </c>
      <c r="S50" s="14">
        <f t="shared" si="184"/>
        <v>5480.650929451848</v>
      </c>
      <c r="T50" s="14">
        <f t="shared" si="184"/>
        <v>1686.4750350736547</v>
      </c>
      <c r="U50" s="14">
        <f t="shared" si="184"/>
        <v>814.1603617596954</v>
      </c>
      <c r="V50" s="14">
        <f t="shared" si="184"/>
        <v>842.4516484617698</v>
      </c>
      <c r="W50" s="14">
        <f t="shared" si="184"/>
        <v>842.4516484617698</v>
      </c>
      <c r="X50" s="14">
        <f t="shared" si="184"/>
        <v>814.1603617596954</v>
      </c>
      <c r="Y50" s="14">
        <f t="shared" si="184"/>
        <v>1686.4750350736547</v>
      </c>
      <c r="Z50" s="14">
        <f t="shared" si="184"/>
        <v>7858.69075057621</v>
      </c>
      <c r="AA50" s="14">
        <f t="shared" si="184"/>
        <v>8644.55982563383</v>
      </c>
      <c r="AB50" s="14">
        <f t="shared" si="184"/>
        <v>7858.69075057621</v>
      </c>
      <c r="AC50" s="14">
        <f t="shared" si="184"/>
        <v>7858.69075057621</v>
      </c>
      <c r="AD50" s="14">
        <f t="shared" si="184"/>
        <v>11329.088586030666</v>
      </c>
      <c r="AE50" s="14">
        <f t="shared" si="184"/>
        <v>5480.650929451848</v>
      </c>
      <c r="AF50" s="14">
        <f t="shared" si="184"/>
        <v>1686.4750350736547</v>
      </c>
      <c r="AG50" s="14">
        <f t="shared" si="184"/>
        <v>814.1603617596954</v>
      </c>
      <c r="AH50" s="14">
        <f t="shared" si="184"/>
        <v>842.4516484617698</v>
      </c>
      <c r="AI50" s="14">
        <f t="shared" si="184"/>
        <v>842.4516484617698</v>
      </c>
      <c r="AJ50" s="14">
        <f t="shared" si="184"/>
        <v>814.1603617596954</v>
      </c>
      <c r="AK50" s="14">
        <f t="shared" si="184"/>
        <v>1686.4750350736547</v>
      </c>
      <c r="AL50" s="14">
        <f t="shared" si="184"/>
        <v>7858.69075057621</v>
      </c>
      <c r="AM50" s="14">
        <f t="shared" si="184"/>
        <v>8644.55982563383</v>
      </c>
      <c r="AN50" s="14">
        <f>SUM(D50:O50)</f>
        <v>19607.433422687645</v>
      </c>
      <c r="AO50" s="140">
        <f>SUM(P50:AA50)</f>
        <v>55402.19805341217</v>
      </c>
      <c r="AP50" s="14">
        <f>SUM(AB50:AM50)</f>
        <v>55716.54568343521</v>
      </c>
      <c r="AQ50" s="52">
        <f>BO50</f>
        <v>55716.54568343521</v>
      </c>
      <c r="AR50" s="52">
        <f>CC50</f>
        <v>55716.54568343521</v>
      </c>
      <c r="AS50" s="52">
        <f>CQ50</f>
        <v>55716.54568343521</v>
      </c>
      <c r="AT50" s="52">
        <f t="shared" si="176"/>
        <v>55716.54568343521</v>
      </c>
      <c r="AU50" s="52">
        <f t="shared" si="176"/>
        <v>55716.54568343521</v>
      </c>
      <c r="AV50" s="52">
        <f t="shared" si="176"/>
        <v>55716.54568343521</v>
      </c>
      <c r="AW50" s="52">
        <f t="shared" si="176"/>
        <v>55716.54568343521</v>
      </c>
      <c r="AX50" s="52">
        <f t="shared" si="176"/>
        <v>55716.54568343521</v>
      </c>
      <c r="BC50" s="14">
        <f aca="true" t="shared" si="185" ref="BC50:BN50">BC49*Gewicht_Methan*21/1000</f>
        <v>7858.69075057621</v>
      </c>
      <c r="BD50" s="14">
        <f t="shared" si="185"/>
        <v>7858.69075057621</v>
      </c>
      <c r="BE50" s="14">
        <f t="shared" si="185"/>
        <v>11329.088586030666</v>
      </c>
      <c r="BF50" s="14">
        <f t="shared" si="185"/>
        <v>5480.650929451848</v>
      </c>
      <c r="BG50" s="14">
        <f t="shared" si="185"/>
        <v>1686.4750350736547</v>
      </c>
      <c r="BH50" s="14">
        <f t="shared" si="185"/>
        <v>814.1603617596954</v>
      </c>
      <c r="BI50" s="14">
        <f t="shared" si="185"/>
        <v>842.4516484617698</v>
      </c>
      <c r="BJ50" s="14">
        <f t="shared" si="185"/>
        <v>842.4516484617698</v>
      </c>
      <c r="BK50" s="14">
        <f t="shared" si="185"/>
        <v>814.1603617596954</v>
      </c>
      <c r="BL50" s="14">
        <f t="shared" si="185"/>
        <v>1686.4750350736547</v>
      </c>
      <c r="BM50" s="14">
        <f t="shared" si="185"/>
        <v>7858.69075057621</v>
      </c>
      <c r="BN50" s="14">
        <f t="shared" si="185"/>
        <v>8644.55982563383</v>
      </c>
      <c r="BO50" s="50">
        <f t="shared" si="178"/>
        <v>55716.54568343521</v>
      </c>
      <c r="BQ50" s="14">
        <f aca="true" t="shared" si="186" ref="BQ50:CB50">BQ49*Gewicht_Methan*21/1000</f>
        <v>7858.69075057621</v>
      </c>
      <c r="BR50" s="14">
        <f t="shared" si="186"/>
        <v>7858.69075057621</v>
      </c>
      <c r="BS50" s="14">
        <f t="shared" si="186"/>
        <v>11329.088586030666</v>
      </c>
      <c r="BT50" s="14">
        <f t="shared" si="186"/>
        <v>5480.650929451848</v>
      </c>
      <c r="BU50" s="14">
        <f t="shared" si="186"/>
        <v>1686.4750350736547</v>
      </c>
      <c r="BV50" s="14">
        <f t="shared" si="186"/>
        <v>814.1603617596954</v>
      </c>
      <c r="BW50" s="14">
        <f t="shared" si="186"/>
        <v>842.4516484617698</v>
      </c>
      <c r="BX50" s="14">
        <f t="shared" si="186"/>
        <v>842.4516484617698</v>
      </c>
      <c r="BY50" s="14">
        <f t="shared" si="186"/>
        <v>814.1603617596954</v>
      </c>
      <c r="BZ50" s="14">
        <f t="shared" si="186"/>
        <v>1686.4750350736547</v>
      </c>
      <c r="CA50" s="14">
        <f t="shared" si="186"/>
        <v>7858.69075057621</v>
      </c>
      <c r="CB50" s="14">
        <f t="shared" si="186"/>
        <v>8644.55982563383</v>
      </c>
      <c r="CC50" s="50">
        <f t="shared" si="180"/>
        <v>55716.54568343521</v>
      </c>
      <c r="CE50" s="14">
        <f aca="true" t="shared" si="187" ref="CE50:CP50">CE49*Gewicht_Methan*21/1000</f>
        <v>7858.69075057621</v>
      </c>
      <c r="CF50" s="14">
        <f t="shared" si="187"/>
        <v>7858.69075057621</v>
      </c>
      <c r="CG50" s="14">
        <f t="shared" si="187"/>
        <v>11329.088586030666</v>
      </c>
      <c r="CH50" s="14">
        <f t="shared" si="187"/>
        <v>5480.650929451848</v>
      </c>
      <c r="CI50" s="14">
        <f t="shared" si="187"/>
        <v>1686.4750350736547</v>
      </c>
      <c r="CJ50" s="14">
        <f t="shared" si="187"/>
        <v>814.1603617596954</v>
      </c>
      <c r="CK50" s="14">
        <f t="shared" si="187"/>
        <v>842.4516484617698</v>
      </c>
      <c r="CL50" s="14">
        <f t="shared" si="187"/>
        <v>842.4516484617698</v>
      </c>
      <c r="CM50" s="14">
        <f t="shared" si="187"/>
        <v>814.1603617596954</v>
      </c>
      <c r="CN50" s="14">
        <f t="shared" si="187"/>
        <v>1686.4750350736547</v>
      </c>
      <c r="CO50" s="14">
        <f t="shared" si="187"/>
        <v>7858.69075057621</v>
      </c>
      <c r="CP50" s="14">
        <f t="shared" si="187"/>
        <v>8644.55982563383</v>
      </c>
      <c r="CQ50" s="50">
        <f t="shared" si="182"/>
        <v>55716.54568343521</v>
      </c>
    </row>
    <row r="51" spans="1:95" ht="12.75">
      <c r="A51" s="25"/>
      <c r="B51" s="26" t="s">
        <v>123</v>
      </c>
      <c r="C51" s="26" t="s">
        <v>16</v>
      </c>
      <c r="D51" s="14">
        <f aca="true" t="shared" si="188" ref="D51:O51">D49*Gewicht_Methan*2.75/1000</f>
        <v>0</v>
      </c>
      <c r="E51" s="14">
        <f t="shared" si="188"/>
        <v>0</v>
      </c>
      <c r="F51" s="14">
        <f t="shared" si="188"/>
        <v>0</v>
      </c>
      <c r="G51" s="14">
        <f t="shared" si="188"/>
        <v>0</v>
      </c>
      <c r="H51" s="14">
        <f t="shared" si="188"/>
        <v>0</v>
      </c>
      <c r="I51" s="14">
        <f t="shared" si="188"/>
        <v>0</v>
      </c>
      <c r="J51" s="14">
        <f t="shared" si="188"/>
        <v>0</v>
      </c>
      <c r="K51" s="14">
        <f t="shared" si="188"/>
        <v>0</v>
      </c>
      <c r="L51" s="14">
        <f t="shared" si="188"/>
        <v>0</v>
      </c>
      <c r="M51" s="14">
        <f t="shared" si="188"/>
        <v>0</v>
      </c>
      <c r="N51" s="14">
        <f t="shared" si="188"/>
        <v>1435.61439961419</v>
      </c>
      <c r="O51" s="14">
        <f t="shared" si="188"/>
        <v>1132.0256914520494</v>
      </c>
      <c r="P51" s="14">
        <f aca="true" t="shared" si="189" ref="P51:AM51">P49*Gewicht_Methan*2.75/1000</f>
        <v>1029.1142649564083</v>
      </c>
      <c r="Q51" s="14">
        <f t="shared" si="189"/>
        <v>987.9496943581522</v>
      </c>
      <c r="R51" s="14">
        <f t="shared" si="189"/>
        <v>1483.5711243611586</v>
      </c>
      <c r="S51" s="14">
        <f t="shared" si="189"/>
        <v>717.7042883805992</v>
      </c>
      <c r="T51" s="14">
        <f t="shared" si="189"/>
        <v>220.84792125964526</v>
      </c>
      <c r="U51" s="14">
        <f t="shared" si="189"/>
        <v>106.61623784948392</v>
      </c>
      <c r="V51" s="14">
        <f t="shared" si="189"/>
        <v>110.321049203327</v>
      </c>
      <c r="W51" s="14">
        <f t="shared" si="189"/>
        <v>110.321049203327</v>
      </c>
      <c r="X51" s="14">
        <f t="shared" si="189"/>
        <v>106.61623784948392</v>
      </c>
      <c r="Y51" s="14">
        <f t="shared" si="189"/>
        <v>220.84792125964526</v>
      </c>
      <c r="Z51" s="14">
        <f t="shared" si="189"/>
        <v>1029.1142649564083</v>
      </c>
      <c r="AA51" s="14">
        <f t="shared" si="189"/>
        <v>1132.0256914520494</v>
      </c>
      <c r="AB51" s="14">
        <f t="shared" si="189"/>
        <v>1029.1142649564083</v>
      </c>
      <c r="AC51" s="14">
        <f t="shared" si="189"/>
        <v>1029.1142649564083</v>
      </c>
      <c r="AD51" s="14">
        <f t="shared" si="189"/>
        <v>1483.5711243611586</v>
      </c>
      <c r="AE51" s="14">
        <f t="shared" si="189"/>
        <v>717.7042883805992</v>
      </c>
      <c r="AF51" s="14">
        <f t="shared" si="189"/>
        <v>220.84792125964526</v>
      </c>
      <c r="AG51" s="14">
        <f t="shared" si="189"/>
        <v>106.61623784948392</v>
      </c>
      <c r="AH51" s="14">
        <f t="shared" si="189"/>
        <v>110.321049203327</v>
      </c>
      <c r="AI51" s="14">
        <f t="shared" si="189"/>
        <v>110.321049203327</v>
      </c>
      <c r="AJ51" s="14">
        <f t="shared" si="189"/>
        <v>106.61623784948392</v>
      </c>
      <c r="AK51" s="14">
        <f t="shared" si="189"/>
        <v>220.84792125964526</v>
      </c>
      <c r="AL51" s="14">
        <f t="shared" si="189"/>
        <v>1029.1142649564083</v>
      </c>
      <c r="AM51" s="14">
        <f t="shared" si="189"/>
        <v>1132.0256914520494</v>
      </c>
      <c r="AN51" s="14">
        <f>SUM(D51:O51)</f>
        <v>2567.6400910662396</v>
      </c>
      <c r="AO51" s="140">
        <f>SUM(P51:AA51)</f>
        <v>7255.049745089686</v>
      </c>
      <c r="AP51" s="14">
        <f>SUM(AB51:AM51)</f>
        <v>7296.214315687943</v>
      </c>
      <c r="AQ51" s="52">
        <f>BO51</f>
        <v>7296.214315687943</v>
      </c>
      <c r="AR51" s="52">
        <f>CC51</f>
        <v>7296.214315687943</v>
      </c>
      <c r="AS51" s="52">
        <f>CQ51</f>
        <v>7296.214315687943</v>
      </c>
      <c r="AT51" s="52">
        <f t="shared" si="176"/>
        <v>7296.214315687943</v>
      </c>
      <c r="AU51" s="52">
        <f t="shared" si="176"/>
        <v>7296.214315687943</v>
      </c>
      <c r="AV51" s="52">
        <f t="shared" si="176"/>
        <v>7296.214315687943</v>
      </c>
      <c r="AW51" s="52">
        <f t="shared" si="176"/>
        <v>7296.214315687943</v>
      </c>
      <c r="AX51" s="52">
        <f t="shared" si="176"/>
        <v>7296.214315687943</v>
      </c>
      <c r="BC51" s="14">
        <f aca="true" t="shared" si="190" ref="BC51:BN51">BC49*Gewicht_Methan*2.75/1000</f>
        <v>1029.1142649564083</v>
      </c>
      <c r="BD51" s="14">
        <f t="shared" si="190"/>
        <v>1029.1142649564083</v>
      </c>
      <c r="BE51" s="14">
        <f t="shared" si="190"/>
        <v>1483.5711243611586</v>
      </c>
      <c r="BF51" s="14">
        <f t="shared" si="190"/>
        <v>717.7042883805992</v>
      </c>
      <c r="BG51" s="14">
        <f t="shared" si="190"/>
        <v>220.84792125964526</v>
      </c>
      <c r="BH51" s="14">
        <f t="shared" si="190"/>
        <v>106.61623784948392</v>
      </c>
      <c r="BI51" s="14">
        <f t="shared" si="190"/>
        <v>110.321049203327</v>
      </c>
      <c r="BJ51" s="14">
        <f t="shared" si="190"/>
        <v>110.321049203327</v>
      </c>
      <c r="BK51" s="14">
        <f t="shared" si="190"/>
        <v>106.61623784948392</v>
      </c>
      <c r="BL51" s="14">
        <f t="shared" si="190"/>
        <v>220.84792125964526</v>
      </c>
      <c r="BM51" s="14">
        <f t="shared" si="190"/>
        <v>1029.1142649564083</v>
      </c>
      <c r="BN51" s="14">
        <f t="shared" si="190"/>
        <v>1132.0256914520494</v>
      </c>
      <c r="BO51" s="50">
        <f t="shared" si="178"/>
        <v>7296.214315687943</v>
      </c>
      <c r="BQ51" s="14">
        <f aca="true" t="shared" si="191" ref="BQ51:CB51">BQ49*Gewicht_Methan*2.75/1000</f>
        <v>1029.1142649564083</v>
      </c>
      <c r="BR51" s="14">
        <f t="shared" si="191"/>
        <v>1029.1142649564083</v>
      </c>
      <c r="BS51" s="14">
        <f t="shared" si="191"/>
        <v>1483.5711243611586</v>
      </c>
      <c r="BT51" s="14">
        <f t="shared" si="191"/>
        <v>717.7042883805992</v>
      </c>
      <c r="BU51" s="14">
        <f t="shared" si="191"/>
        <v>220.84792125964526</v>
      </c>
      <c r="BV51" s="14">
        <f t="shared" si="191"/>
        <v>106.61623784948392</v>
      </c>
      <c r="BW51" s="14">
        <f t="shared" si="191"/>
        <v>110.321049203327</v>
      </c>
      <c r="BX51" s="14">
        <f t="shared" si="191"/>
        <v>110.321049203327</v>
      </c>
      <c r="BY51" s="14">
        <f t="shared" si="191"/>
        <v>106.61623784948392</v>
      </c>
      <c r="BZ51" s="14">
        <f t="shared" si="191"/>
        <v>220.84792125964526</v>
      </c>
      <c r="CA51" s="14">
        <f t="shared" si="191"/>
        <v>1029.1142649564083</v>
      </c>
      <c r="CB51" s="14">
        <f t="shared" si="191"/>
        <v>1132.0256914520494</v>
      </c>
      <c r="CC51" s="50">
        <f t="shared" si="180"/>
        <v>7296.214315687943</v>
      </c>
      <c r="CE51" s="14">
        <f aca="true" t="shared" si="192" ref="CE51:CP51">CE49*Gewicht_Methan*2.75/1000</f>
        <v>1029.1142649564083</v>
      </c>
      <c r="CF51" s="14">
        <f t="shared" si="192"/>
        <v>1029.1142649564083</v>
      </c>
      <c r="CG51" s="14">
        <f t="shared" si="192"/>
        <v>1483.5711243611586</v>
      </c>
      <c r="CH51" s="14">
        <f t="shared" si="192"/>
        <v>717.7042883805992</v>
      </c>
      <c r="CI51" s="14">
        <f t="shared" si="192"/>
        <v>220.84792125964526</v>
      </c>
      <c r="CJ51" s="14">
        <f t="shared" si="192"/>
        <v>106.61623784948392</v>
      </c>
      <c r="CK51" s="14">
        <f t="shared" si="192"/>
        <v>110.321049203327</v>
      </c>
      <c r="CL51" s="14">
        <f t="shared" si="192"/>
        <v>110.321049203327</v>
      </c>
      <c r="CM51" s="14">
        <f t="shared" si="192"/>
        <v>106.61623784948392</v>
      </c>
      <c r="CN51" s="14">
        <f t="shared" si="192"/>
        <v>220.84792125964526</v>
      </c>
      <c r="CO51" s="14">
        <f t="shared" si="192"/>
        <v>1029.1142649564083</v>
      </c>
      <c r="CP51" s="14">
        <f t="shared" si="192"/>
        <v>1132.0256914520494</v>
      </c>
      <c r="CQ51" s="50">
        <f t="shared" si="182"/>
        <v>7296.214315687943</v>
      </c>
    </row>
    <row r="52" spans="1:105" ht="12.75">
      <c r="A52" s="25"/>
      <c r="B52" s="26" t="s">
        <v>46</v>
      </c>
      <c r="C52" s="26" t="s">
        <v>21</v>
      </c>
      <c r="D52" s="14">
        <f aca="true" t="shared" si="193" ref="D52:O52">D47/Heizwert_Kohle/Wirkungsgrad_Kohlekessel</f>
        <v>0</v>
      </c>
      <c r="E52" s="14">
        <f t="shared" si="193"/>
        <v>0</v>
      </c>
      <c r="F52" s="14">
        <f t="shared" si="193"/>
        <v>0</v>
      </c>
      <c r="G52" s="14">
        <f t="shared" si="193"/>
        <v>0</v>
      </c>
      <c r="H52" s="14">
        <f t="shared" si="193"/>
        <v>0</v>
      </c>
      <c r="I52" s="14">
        <f t="shared" si="193"/>
        <v>0</v>
      </c>
      <c r="J52" s="14">
        <f t="shared" si="193"/>
        <v>0</v>
      </c>
      <c r="K52" s="14">
        <f t="shared" si="193"/>
        <v>0</v>
      </c>
      <c r="L52" s="14">
        <f t="shared" si="193"/>
        <v>0</v>
      </c>
      <c r="M52" s="14">
        <f t="shared" si="193"/>
        <v>0</v>
      </c>
      <c r="N52" s="14">
        <f t="shared" si="193"/>
        <v>1860.7442977190879</v>
      </c>
      <c r="O52" s="14">
        <f t="shared" si="193"/>
        <v>1467.2535680939043</v>
      </c>
      <c r="P52" s="14">
        <f aca="true" t="shared" si="194" ref="P52:AM52">P47/Heizwert_Kohle/Wirkungsgrad_Kohlekessel</f>
        <v>1333.8668800853677</v>
      </c>
      <c r="Q52" s="14">
        <f t="shared" si="194"/>
        <v>1280.5122048819528</v>
      </c>
      <c r="R52" s="14">
        <f t="shared" si="194"/>
        <v>1922.902494331066</v>
      </c>
      <c r="S52" s="14">
        <f t="shared" si="194"/>
        <v>930.2387621715353</v>
      </c>
      <c r="T52" s="14">
        <f t="shared" si="194"/>
        <v>286.2478324663199</v>
      </c>
      <c r="U52" s="14">
        <f t="shared" si="194"/>
        <v>138.1886087768441</v>
      </c>
      <c r="V52" s="14">
        <f t="shared" si="194"/>
        <v>142.99052954515142</v>
      </c>
      <c r="W52" s="14">
        <f t="shared" si="194"/>
        <v>142.99052954515142</v>
      </c>
      <c r="X52" s="14">
        <f t="shared" si="194"/>
        <v>138.1886087768441</v>
      </c>
      <c r="Y52" s="14">
        <f t="shared" si="194"/>
        <v>286.2478324663199</v>
      </c>
      <c r="Z52" s="14">
        <f t="shared" si="194"/>
        <v>1333.8668800853677</v>
      </c>
      <c r="AA52" s="14">
        <f t="shared" si="194"/>
        <v>1467.2535680939043</v>
      </c>
      <c r="AB52" s="14">
        <f t="shared" si="194"/>
        <v>1333.8668800853677</v>
      </c>
      <c r="AC52" s="14">
        <f t="shared" si="194"/>
        <v>1333.8668800853677</v>
      </c>
      <c r="AD52" s="14">
        <f t="shared" si="194"/>
        <v>1922.902494331066</v>
      </c>
      <c r="AE52" s="14">
        <f t="shared" si="194"/>
        <v>930.2387621715353</v>
      </c>
      <c r="AF52" s="14">
        <f t="shared" si="194"/>
        <v>286.2478324663199</v>
      </c>
      <c r="AG52" s="14">
        <f t="shared" si="194"/>
        <v>138.1886087768441</v>
      </c>
      <c r="AH52" s="14">
        <f t="shared" si="194"/>
        <v>142.99052954515142</v>
      </c>
      <c r="AI52" s="14">
        <f t="shared" si="194"/>
        <v>142.99052954515142</v>
      </c>
      <c r="AJ52" s="14">
        <f t="shared" si="194"/>
        <v>138.1886087768441</v>
      </c>
      <c r="AK52" s="14">
        <f t="shared" si="194"/>
        <v>286.2478324663199</v>
      </c>
      <c r="AL52" s="14">
        <f t="shared" si="194"/>
        <v>1333.8668800853677</v>
      </c>
      <c r="AM52" s="14">
        <f t="shared" si="194"/>
        <v>1467.2535680939043</v>
      </c>
      <c r="AN52" s="14">
        <f>SUM(D52:O52)</f>
        <v>3327.997865812992</v>
      </c>
      <c r="AO52" s="140">
        <f>SUM(P52:AA52)</f>
        <v>9403.494731225825</v>
      </c>
      <c r="AP52" s="14">
        <f>SUM(AB52:AM52)</f>
        <v>9456.84940642924</v>
      </c>
      <c r="AQ52" s="52">
        <f>BO52</f>
        <v>9456.84940642924</v>
      </c>
      <c r="AR52" s="52">
        <f>CC52</f>
        <v>9456.84940642924</v>
      </c>
      <c r="AS52" s="52">
        <f>CQ52</f>
        <v>9456.84940642924</v>
      </c>
      <c r="AT52" s="52">
        <f t="shared" si="176"/>
        <v>9456.84940642924</v>
      </c>
      <c r="AU52" s="52">
        <f t="shared" si="176"/>
        <v>9456.84940642924</v>
      </c>
      <c r="AV52" s="52">
        <f t="shared" si="176"/>
        <v>9456.84940642924</v>
      </c>
      <c r="AW52" s="52">
        <f t="shared" si="176"/>
        <v>9456.84940642924</v>
      </c>
      <c r="AX52" s="52">
        <f t="shared" si="176"/>
        <v>9456.84940642924</v>
      </c>
      <c r="AY52" s="50"/>
      <c r="AZ52" s="50"/>
      <c r="BA52" s="50"/>
      <c r="BB52" s="50"/>
      <c r="BC52" s="14">
        <f aca="true" t="shared" si="195" ref="BC52:BN52">BC47/Heizwert_Kohle/Wirkungsgrad_Kohlekessel</f>
        <v>1333.8668800853677</v>
      </c>
      <c r="BD52" s="14">
        <f t="shared" si="195"/>
        <v>1333.8668800853677</v>
      </c>
      <c r="BE52" s="14">
        <f t="shared" si="195"/>
        <v>1922.902494331066</v>
      </c>
      <c r="BF52" s="14">
        <f t="shared" si="195"/>
        <v>930.2387621715353</v>
      </c>
      <c r="BG52" s="14">
        <f t="shared" si="195"/>
        <v>286.2478324663199</v>
      </c>
      <c r="BH52" s="14">
        <f t="shared" si="195"/>
        <v>138.1886087768441</v>
      </c>
      <c r="BI52" s="14">
        <f t="shared" si="195"/>
        <v>142.99052954515142</v>
      </c>
      <c r="BJ52" s="14">
        <f t="shared" si="195"/>
        <v>142.99052954515142</v>
      </c>
      <c r="BK52" s="14">
        <f t="shared" si="195"/>
        <v>138.1886087768441</v>
      </c>
      <c r="BL52" s="14">
        <f t="shared" si="195"/>
        <v>286.2478324663199</v>
      </c>
      <c r="BM52" s="14">
        <f t="shared" si="195"/>
        <v>1333.8668800853677</v>
      </c>
      <c r="BN52" s="14">
        <f t="shared" si="195"/>
        <v>1467.2535680939043</v>
      </c>
      <c r="BO52" s="50">
        <f t="shared" si="178"/>
        <v>9456.84940642924</v>
      </c>
      <c r="BP52" s="50"/>
      <c r="BQ52" s="14">
        <f aca="true" t="shared" si="196" ref="BQ52:CB52">BQ47/Heizwert_Kohle/Wirkungsgrad_Kohlekessel</f>
        <v>1333.8668800853677</v>
      </c>
      <c r="BR52" s="14">
        <f t="shared" si="196"/>
        <v>1333.8668800853677</v>
      </c>
      <c r="BS52" s="14">
        <f t="shared" si="196"/>
        <v>1922.902494331066</v>
      </c>
      <c r="BT52" s="14">
        <f t="shared" si="196"/>
        <v>930.2387621715353</v>
      </c>
      <c r="BU52" s="14">
        <f t="shared" si="196"/>
        <v>286.2478324663199</v>
      </c>
      <c r="BV52" s="14">
        <f t="shared" si="196"/>
        <v>138.1886087768441</v>
      </c>
      <c r="BW52" s="14">
        <f t="shared" si="196"/>
        <v>142.99052954515142</v>
      </c>
      <c r="BX52" s="14">
        <f t="shared" si="196"/>
        <v>142.99052954515142</v>
      </c>
      <c r="BY52" s="14">
        <f t="shared" si="196"/>
        <v>138.1886087768441</v>
      </c>
      <c r="BZ52" s="14">
        <f t="shared" si="196"/>
        <v>286.2478324663199</v>
      </c>
      <c r="CA52" s="14">
        <f t="shared" si="196"/>
        <v>1333.8668800853677</v>
      </c>
      <c r="CB52" s="14">
        <f t="shared" si="196"/>
        <v>1467.2535680939043</v>
      </c>
      <c r="CC52" s="50">
        <f t="shared" si="180"/>
        <v>9456.84940642924</v>
      </c>
      <c r="CD52" s="50"/>
      <c r="CE52" s="14">
        <f aca="true" t="shared" si="197" ref="CE52:CP52">CE47/Heizwert_Kohle/Wirkungsgrad_Kohlekessel</f>
        <v>1333.8668800853677</v>
      </c>
      <c r="CF52" s="14">
        <f t="shared" si="197"/>
        <v>1333.8668800853677</v>
      </c>
      <c r="CG52" s="14">
        <f t="shared" si="197"/>
        <v>1922.902494331066</v>
      </c>
      <c r="CH52" s="14">
        <f t="shared" si="197"/>
        <v>930.2387621715353</v>
      </c>
      <c r="CI52" s="14">
        <f t="shared" si="197"/>
        <v>286.2478324663199</v>
      </c>
      <c r="CJ52" s="14">
        <f t="shared" si="197"/>
        <v>138.1886087768441</v>
      </c>
      <c r="CK52" s="14">
        <f t="shared" si="197"/>
        <v>142.99052954515142</v>
      </c>
      <c r="CL52" s="14">
        <f t="shared" si="197"/>
        <v>142.99052954515142</v>
      </c>
      <c r="CM52" s="14">
        <f t="shared" si="197"/>
        <v>138.1886087768441</v>
      </c>
      <c r="CN52" s="14">
        <f t="shared" si="197"/>
        <v>286.2478324663199</v>
      </c>
      <c r="CO52" s="14">
        <f t="shared" si="197"/>
        <v>1333.8668800853677</v>
      </c>
      <c r="CP52" s="14">
        <f t="shared" si="197"/>
        <v>1467.2535680939043</v>
      </c>
      <c r="CQ52" s="50">
        <f t="shared" si="182"/>
        <v>9456.84940642924</v>
      </c>
      <c r="CR52" s="50"/>
      <c r="CS52" s="50"/>
      <c r="CT52" s="50"/>
      <c r="CU52" s="50"/>
      <c r="CV52" s="50"/>
      <c r="CW52" s="50"/>
      <c r="CX52" s="50"/>
      <c r="CY52" s="50"/>
      <c r="CZ52" s="50"/>
      <c r="DA52" s="50"/>
    </row>
    <row r="53" spans="1:105" ht="12.75">
      <c r="A53" s="25"/>
      <c r="B53" s="26" t="s">
        <v>186</v>
      </c>
      <c r="C53" s="26" t="s">
        <v>16</v>
      </c>
      <c r="D53" s="14">
        <f aca="true" t="shared" si="198" ref="D53:O53">D47/Wirkungsgrad_Kohlekessel*CO2_Vermeidung_Kohle</f>
        <v>0</v>
      </c>
      <c r="E53" s="14">
        <f t="shared" si="198"/>
        <v>0</v>
      </c>
      <c r="F53" s="14">
        <f t="shared" si="198"/>
        <v>0</v>
      </c>
      <c r="G53" s="14">
        <f t="shared" si="198"/>
        <v>0</v>
      </c>
      <c r="H53" s="14">
        <f t="shared" si="198"/>
        <v>0</v>
      </c>
      <c r="I53" s="14">
        <f t="shared" si="198"/>
        <v>0</v>
      </c>
      <c r="J53" s="14">
        <f t="shared" si="198"/>
        <v>0</v>
      </c>
      <c r="K53" s="14">
        <f t="shared" si="198"/>
        <v>0</v>
      </c>
      <c r="L53" s="14">
        <f t="shared" si="198"/>
        <v>0</v>
      </c>
      <c r="M53" s="14">
        <f t="shared" si="198"/>
        <v>0</v>
      </c>
      <c r="N53" s="14">
        <f t="shared" si="198"/>
        <v>3232.2244897959185</v>
      </c>
      <c r="O53" s="14">
        <f t="shared" si="198"/>
        <v>2548.7074829931976</v>
      </c>
      <c r="P53" s="14">
        <f aca="true" t="shared" si="199" ref="P53:AM53">P47/Wirkungsgrad_Kohlekessel*CO2_Vermeidung_Kohle</f>
        <v>2317.0068027210887</v>
      </c>
      <c r="Q53" s="14">
        <f t="shared" si="199"/>
        <v>2224.3265306122453</v>
      </c>
      <c r="R53" s="14">
        <f t="shared" si="199"/>
        <v>3340.1970068027213</v>
      </c>
      <c r="S53" s="14">
        <f t="shared" si="199"/>
        <v>1615.8805442176872</v>
      </c>
      <c r="T53" s="14">
        <f t="shared" si="199"/>
        <v>497.2296598639456</v>
      </c>
      <c r="U53" s="14">
        <f t="shared" si="199"/>
        <v>240.0419047619048</v>
      </c>
      <c r="V53" s="14">
        <f t="shared" si="199"/>
        <v>248.38312925170072</v>
      </c>
      <c r="W53" s="14">
        <f t="shared" si="199"/>
        <v>248.38312925170072</v>
      </c>
      <c r="X53" s="14">
        <f t="shared" si="199"/>
        <v>240.0419047619048</v>
      </c>
      <c r="Y53" s="14">
        <f t="shared" si="199"/>
        <v>497.2296598639456</v>
      </c>
      <c r="Z53" s="14">
        <f t="shared" si="199"/>
        <v>2317.0068027210887</v>
      </c>
      <c r="AA53" s="14">
        <f t="shared" si="199"/>
        <v>2548.7074829931976</v>
      </c>
      <c r="AB53" s="14">
        <f t="shared" si="199"/>
        <v>2317.0068027210887</v>
      </c>
      <c r="AC53" s="14">
        <f t="shared" si="199"/>
        <v>2317.0068027210887</v>
      </c>
      <c r="AD53" s="14">
        <f t="shared" si="199"/>
        <v>3340.1970068027213</v>
      </c>
      <c r="AE53" s="14">
        <f t="shared" si="199"/>
        <v>1615.8805442176872</v>
      </c>
      <c r="AF53" s="14">
        <f t="shared" si="199"/>
        <v>497.2296598639456</v>
      </c>
      <c r="AG53" s="14">
        <f t="shared" si="199"/>
        <v>240.0419047619048</v>
      </c>
      <c r="AH53" s="14">
        <f t="shared" si="199"/>
        <v>248.38312925170072</v>
      </c>
      <c r="AI53" s="14">
        <f t="shared" si="199"/>
        <v>248.38312925170072</v>
      </c>
      <c r="AJ53" s="14">
        <f t="shared" si="199"/>
        <v>240.0419047619048</v>
      </c>
      <c r="AK53" s="14">
        <f t="shared" si="199"/>
        <v>497.2296598639456</v>
      </c>
      <c r="AL53" s="14">
        <f t="shared" si="199"/>
        <v>2317.0068027210887</v>
      </c>
      <c r="AM53" s="14">
        <f t="shared" si="199"/>
        <v>2548.7074829931976</v>
      </c>
      <c r="AN53" s="14">
        <f>SUM(D53:O53)</f>
        <v>5780.931972789116</v>
      </c>
      <c r="AO53" s="140">
        <f>SUM(P53:AA53)</f>
        <v>16334.434557823133</v>
      </c>
      <c r="AP53" s="14">
        <f>SUM(AB53:AM53)</f>
        <v>16427.114829931976</v>
      </c>
      <c r="AQ53" s="52">
        <f>BO53</f>
        <v>16427.114829931976</v>
      </c>
      <c r="AR53" s="52">
        <f>CC53</f>
        <v>16427.114829931976</v>
      </c>
      <c r="AS53" s="52">
        <f>CQ53</f>
        <v>16427.114829931976</v>
      </c>
      <c r="AT53" s="52">
        <f t="shared" si="176"/>
        <v>16427.114829931976</v>
      </c>
      <c r="AU53" s="52">
        <f t="shared" si="176"/>
        <v>16427.114829931976</v>
      </c>
      <c r="AV53" s="52">
        <f t="shared" si="176"/>
        <v>16427.114829931976</v>
      </c>
      <c r="AW53" s="52">
        <f t="shared" si="176"/>
        <v>16427.114829931976</v>
      </c>
      <c r="AX53" s="52">
        <f t="shared" si="176"/>
        <v>16427.114829931976</v>
      </c>
      <c r="AY53" s="50"/>
      <c r="AZ53" s="50"/>
      <c r="BA53" s="50"/>
      <c r="BB53" s="50"/>
      <c r="BC53" s="14">
        <f aca="true" t="shared" si="200" ref="BC53:BN53">BC47/Wirkungsgrad_Kohlekessel*CO2_Vermeidung_Kohle</f>
        <v>2317.0068027210887</v>
      </c>
      <c r="BD53" s="14">
        <f t="shared" si="200"/>
        <v>2317.0068027210887</v>
      </c>
      <c r="BE53" s="14">
        <f t="shared" si="200"/>
        <v>3340.1970068027213</v>
      </c>
      <c r="BF53" s="14">
        <f t="shared" si="200"/>
        <v>1615.8805442176872</v>
      </c>
      <c r="BG53" s="14">
        <f t="shared" si="200"/>
        <v>497.2296598639456</v>
      </c>
      <c r="BH53" s="14">
        <f t="shared" si="200"/>
        <v>240.0419047619048</v>
      </c>
      <c r="BI53" s="14">
        <f t="shared" si="200"/>
        <v>248.38312925170072</v>
      </c>
      <c r="BJ53" s="14">
        <f t="shared" si="200"/>
        <v>248.38312925170072</v>
      </c>
      <c r="BK53" s="14">
        <f t="shared" si="200"/>
        <v>240.0419047619048</v>
      </c>
      <c r="BL53" s="14">
        <f t="shared" si="200"/>
        <v>497.2296598639456</v>
      </c>
      <c r="BM53" s="14">
        <f t="shared" si="200"/>
        <v>2317.0068027210887</v>
      </c>
      <c r="BN53" s="14">
        <f t="shared" si="200"/>
        <v>2548.7074829931976</v>
      </c>
      <c r="BO53" s="50">
        <f t="shared" si="178"/>
        <v>16427.114829931976</v>
      </c>
      <c r="BP53" s="50"/>
      <c r="BQ53" s="14">
        <f aca="true" t="shared" si="201" ref="BQ53:CB53">BQ47/Wirkungsgrad_Kohlekessel*CO2_Vermeidung_Kohle</f>
        <v>2317.0068027210887</v>
      </c>
      <c r="BR53" s="14">
        <f t="shared" si="201"/>
        <v>2317.0068027210887</v>
      </c>
      <c r="BS53" s="14">
        <f t="shared" si="201"/>
        <v>3340.1970068027213</v>
      </c>
      <c r="BT53" s="14">
        <f t="shared" si="201"/>
        <v>1615.8805442176872</v>
      </c>
      <c r="BU53" s="14">
        <f t="shared" si="201"/>
        <v>497.2296598639456</v>
      </c>
      <c r="BV53" s="14">
        <f t="shared" si="201"/>
        <v>240.0419047619048</v>
      </c>
      <c r="BW53" s="14">
        <f t="shared" si="201"/>
        <v>248.38312925170072</v>
      </c>
      <c r="BX53" s="14">
        <f t="shared" si="201"/>
        <v>248.38312925170072</v>
      </c>
      <c r="BY53" s="14">
        <f t="shared" si="201"/>
        <v>240.0419047619048</v>
      </c>
      <c r="BZ53" s="14">
        <f t="shared" si="201"/>
        <v>497.2296598639456</v>
      </c>
      <c r="CA53" s="14">
        <f t="shared" si="201"/>
        <v>2317.0068027210887</v>
      </c>
      <c r="CB53" s="14">
        <f t="shared" si="201"/>
        <v>2548.7074829931976</v>
      </c>
      <c r="CC53" s="50">
        <f t="shared" si="180"/>
        <v>16427.114829931976</v>
      </c>
      <c r="CD53" s="50"/>
      <c r="CE53" s="14">
        <f aca="true" t="shared" si="202" ref="CE53:CP53">CE47/Wirkungsgrad_Kohlekessel*CO2_Vermeidung_Kohle</f>
        <v>2317.0068027210887</v>
      </c>
      <c r="CF53" s="14">
        <f t="shared" si="202"/>
        <v>2317.0068027210887</v>
      </c>
      <c r="CG53" s="14">
        <f t="shared" si="202"/>
        <v>3340.1970068027213</v>
      </c>
      <c r="CH53" s="14">
        <f t="shared" si="202"/>
        <v>1615.8805442176872</v>
      </c>
      <c r="CI53" s="14">
        <f t="shared" si="202"/>
        <v>497.2296598639456</v>
      </c>
      <c r="CJ53" s="14">
        <f t="shared" si="202"/>
        <v>240.0419047619048</v>
      </c>
      <c r="CK53" s="14">
        <f t="shared" si="202"/>
        <v>248.38312925170072</v>
      </c>
      <c r="CL53" s="14">
        <f t="shared" si="202"/>
        <v>248.38312925170072</v>
      </c>
      <c r="CM53" s="14">
        <f t="shared" si="202"/>
        <v>240.0419047619048</v>
      </c>
      <c r="CN53" s="14">
        <f t="shared" si="202"/>
        <v>497.2296598639456</v>
      </c>
      <c r="CO53" s="14">
        <f t="shared" si="202"/>
        <v>2317.0068027210887</v>
      </c>
      <c r="CP53" s="14">
        <f t="shared" si="202"/>
        <v>2548.7074829931976</v>
      </c>
      <c r="CQ53" s="50">
        <f t="shared" si="182"/>
        <v>16427.114829931976</v>
      </c>
      <c r="CR53" s="50"/>
      <c r="CS53" s="50"/>
      <c r="CT53" s="50"/>
      <c r="CU53" s="50"/>
      <c r="CV53" s="50"/>
      <c r="CW53" s="50"/>
      <c r="CX53" s="50"/>
      <c r="CY53" s="50"/>
      <c r="CZ53" s="50"/>
      <c r="DA53" s="50"/>
    </row>
    <row r="54" spans="1:105" ht="12.75">
      <c r="A54" s="25"/>
      <c r="B54" s="51" t="s">
        <v>79</v>
      </c>
      <c r="C54" s="51" t="s">
        <v>16</v>
      </c>
      <c r="D54" s="14">
        <f aca="true" t="shared" si="203" ref="D54:O54">D53+D50-D51</f>
        <v>0</v>
      </c>
      <c r="E54" s="14">
        <f t="shared" si="203"/>
        <v>0</v>
      </c>
      <c r="F54" s="14">
        <f t="shared" si="203"/>
        <v>0</v>
      </c>
      <c r="G54" s="14">
        <f t="shared" si="203"/>
        <v>0</v>
      </c>
      <c r="H54" s="14">
        <f t="shared" si="203"/>
        <v>0</v>
      </c>
      <c r="I54" s="14">
        <f t="shared" si="203"/>
        <v>0</v>
      </c>
      <c r="J54" s="14">
        <f t="shared" si="203"/>
        <v>0</v>
      </c>
      <c r="K54" s="14">
        <f t="shared" si="203"/>
        <v>0</v>
      </c>
      <c r="L54" s="14">
        <f t="shared" si="203"/>
        <v>0</v>
      </c>
      <c r="M54" s="14">
        <f t="shared" si="203"/>
        <v>0</v>
      </c>
      <c r="N54" s="14">
        <f t="shared" si="203"/>
        <v>12759.483687235544</v>
      </c>
      <c r="O54" s="14">
        <f t="shared" si="203"/>
        <v>10061.24161717498</v>
      </c>
      <c r="P54" s="14">
        <f aca="true" t="shared" si="204" ref="P54:AT54">P53+P50-P51</f>
        <v>9146.583288340891</v>
      </c>
      <c r="Q54" s="14">
        <f t="shared" si="204"/>
        <v>8780.719956807254</v>
      </c>
      <c r="R54" s="14">
        <f t="shared" si="204"/>
        <v>13185.71446847223</v>
      </c>
      <c r="S54" s="14">
        <f t="shared" si="204"/>
        <v>6378.827185288937</v>
      </c>
      <c r="T54" s="14">
        <f t="shared" si="204"/>
        <v>1962.856773677955</v>
      </c>
      <c r="U54" s="14">
        <f t="shared" si="204"/>
        <v>947.5860286721163</v>
      </c>
      <c r="V54" s="14">
        <f t="shared" si="204"/>
        <v>980.5137285101434</v>
      </c>
      <c r="W54" s="14">
        <f t="shared" si="204"/>
        <v>980.5137285101434</v>
      </c>
      <c r="X54" s="14">
        <f t="shared" si="204"/>
        <v>947.5860286721163</v>
      </c>
      <c r="Y54" s="14">
        <f t="shared" si="204"/>
        <v>1962.856773677955</v>
      </c>
      <c r="Z54" s="14">
        <f t="shared" si="204"/>
        <v>9146.583288340891</v>
      </c>
      <c r="AA54" s="14">
        <f t="shared" si="204"/>
        <v>10061.24161717498</v>
      </c>
      <c r="AB54" s="14">
        <f t="shared" si="204"/>
        <v>9146.583288340891</v>
      </c>
      <c r="AC54" s="14">
        <f t="shared" si="204"/>
        <v>9146.583288340891</v>
      </c>
      <c r="AD54" s="14">
        <f t="shared" si="204"/>
        <v>13185.71446847223</v>
      </c>
      <c r="AE54" s="14">
        <f t="shared" si="204"/>
        <v>6378.827185288937</v>
      </c>
      <c r="AF54" s="14">
        <f t="shared" si="204"/>
        <v>1962.856773677955</v>
      </c>
      <c r="AG54" s="14">
        <f t="shared" si="204"/>
        <v>947.5860286721163</v>
      </c>
      <c r="AH54" s="14">
        <f t="shared" si="204"/>
        <v>980.5137285101434</v>
      </c>
      <c r="AI54" s="14">
        <f t="shared" si="204"/>
        <v>980.5137285101434</v>
      </c>
      <c r="AJ54" s="14">
        <f t="shared" si="204"/>
        <v>947.5860286721163</v>
      </c>
      <c r="AK54" s="14">
        <f t="shared" si="204"/>
        <v>1962.856773677955</v>
      </c>
      <c r="AL54" s="14">
        <f t="shared" si="204"/>
        <v>9146.583288340891</v>
      </c>
      <c r="AM54" s="14">
        <f t="shared" si="204"/>
        <v>10061.24161717498</v>
      </c>
      <c r="AN54" s="14">
        <f t="shared" si="204"/>
        <v>22820.725304410524</v>
      </c>
      <c r="AO54" s="140">
        <f t="shared" si="204"/>
        <v>64481.58286614561</v>
      </c>
      <c r="AP54" s="14">
        <f t="shared" si="204"/>
        <v>64847.44619767924</v>
      </c>
      <c r="AQ54" s="14">
        <f t="shared" si="204"/>
        <v>64847.44619767924</v>
      </c>
      <c r="AR54" s="14">
        <f t="shared" si="204"/>
        <v>64847.44619767924</v>
      </c>
      <c r="AS54" s="14">
        <f t="shared" si="204"/>
        <v>64847.44619767924</v>
      </c>
      <c r="AT54" s="14">
        <f t="shared" si="204"/>
        <v>64847.44619767924</v>
      </c>
      <c r="AU54" s="14">
        <f>AU53+AU50-AU51</f>
        <v>64847.44619767924</v>
      </c>
      <c r="AV54" s="14">
        <f>AV53+AV50-AV51</f>
        <v>64847.44619767924</v>
      </c>
      <c r="AW54" s="14">
        <f>AW53+AW50-AW51</f>
        <v>64847.44619767924</v>
      </c>
      <c r="AX54" s="14">
        <f>AX53+AX50-AX51</f>
        <v>64847.44619767924</v>
      </c>
      <c r="AY54" s="50"/>
      <c r="AZ54" s="50"/>
      <c r="BA54" s="50"/>
      <c r="BB54" s="50"/>
      <c r="BC54" s="14">
        <f aca="true" t="shared" si="205" ref="BC54:BN54">BC53+BC50-BC51</f>
        <v>9146.583288340891</v>
      </c>
      <c r="BD54" s="14">
        <f t="shared" si="205"/>
        <v>9146.583288340891</v>
      </c>
      <c r="BE54" s="14">
        <f t="shared" si="205"/>
        <v>13185.71446847223</v>
      </c>
      <c r="BF54" s="14">
        <f t="shared" si="205"/>
        <v>6378.827185288937</v>
      </c>
      <c r="BG54" s="14">
        <f t="shared" si="205"/>
        <v>1962.856773677955</v>
      </c>
      <c r="BH54" s="14">
        <f t="shared" si="205"/>
        <v>947.5860286721163</v>
      </c>
      <c r="BI54" s="14">
        <f t="shared" si="205"/>
        <v>980.5137285101434</v>
      </c>
      <c r="BJ54" s="14">
        <f t="shared" si="205"/>
        <v>980.5137285101434</v>
      </c>
      <c r="BK54" s="14">
        <f t="shared" si="205"/>
        <v>947.5860286721163</v>
      </c>
      <c r="BL54" s="14">
        <f t="shared" si="205"/>
        <v>1962.856773677955</v>
      </c>
      <c r="BM54" s="14">
        <f t="shared" si="205"/>
        <v>9146.583288340891</v>
      </c>
      <c r="BN54" s="14">
        <f t="shared" si="205"/>
        <v>10061.24161717498</v>
      </c>
      <c r="BO54" s="50">
        <f t="shared" si="178"/>
        <v>64847.44619767924</v>
      </c>
      <c r="BP54" s="50"/>
      <c r="BQ54" s="14">
        <f aca="true" t="shared" si="206" ref="BQ54:CB54">BQ53+BQ50-BQ51</f>
        <v>9146.583288340891</v>
      </c>
      <c r="BR54" s="14">
        <f t="shared" si="206"/>
        <v>9146.583288340891</v>
      </c>
      <c r="BS54" s="14">
        <f t="shared" si="206"/>
        <v>13185.71446847223</v>
      </c>
      <c r="BT54" s="14">
        <f t="shared" si="206"/>
        <v>6378.827185288937</v>
      </c>
      <c r="BU54" s="14">
        <f t="shared" si="206"/>
        <v>1962.856773677955</v>
      </c>
      <c r="BV54" s="14">
        <f t="shared" si="206"/>
        <v>947.5860286721163</v>
      </c>
      <c r="BW54" s="14">
        <f t="shared" si="206"/>
        <v>980.5137285101434</v>
      </c>
      <c r="BX54" s="14">
        <f t="shared" si="206"/>
        <v>980.5137285101434</v>
      </c>
      <c r="BY54" s="14">
        <f t="shared" si="206"/>
        <v>947.5860286721163</v>
      </c>
      <c r="BZ54" s="14">
        <f t="shared" si="206"/>
        <v>1962.856773677955</v>
      </c>
      <c r="CA54" s="14">
        <f t="shared" si="206"/>
        <v>9146.583288340891</v>
      </c>
      <c r="CB54" s="14">
        <f t="shared" si="206"/>
        <v>10061.24161717498</v>
      </c>
      <c r="CC54" s="50">
        <f t="shared" si="180"/>
        <v>64847.44619767924</v>
      </c>
      <c r="CD54" s="50"/>
      <c r="CE54" s="14">
        <f aca="true" t="shared" si="207" ref="CE54:CP54">CE53+CE50-CE51</f>
        <v>9146.583288340891</v>
      </c>
      <c r="CF54" s="14">
        <f t="shared" si="207"/>
        <v>9146.583288340891</v>
      </c>
      <c r="CG54" s="14">
        <f t="shared" si="207"/>
        <v>13185.71446847223</v>
      </c>
      <c r="CH54" s="14">
        <f t="shared" si="207"/>
        <v>6378.827185288937</v>
      </c>
      <c r="CI54" s="14">
        <f t="shared" si="207"/>
        <v>1962.856773677955</v>
      </c>
      <c r="CJ54" s="14">
        <f t="shared" si="207"/>
        <v>947.5860286721163</v>
      </c>
      <c r="CK54" s="14">
        <f t="shared" si="207"/>
        <v>980.5137285101434</v>
      </c>
      <c r="CL54" s="14">
        <f t="shared" si="207"/>
        <v>980.5137285101434</v>
      </c>
      <c r="CM54" s="14">
        <f t="shared" si="207"/>
        <v>947.5860286721163</v>
      </c>
      <c r="CN54" s="14">
        <f t="shared" si="207"/>
        <v>1962.856773677955</v>
      </c>
      <c r="CO54" s="14">
        <f t="shared" si="207"/>
        <v>9146.583288340891</v>
      </c>
      <c r="CP54" s="14">
        <f t="shared" si="207"/>
        <v>10061.24161717498</v>
      </c>
      <c r="CQ54" s="50">
        <f t="shared" si="182"/>
        <v>64847.44619767924</v>
      </c>
      <c r="CR54" s="50"/>
      <c r="CS54" s="50"/>
      <c r="CT54" s="50"/>
      <c r="CU54" s="50"/>
      <c r="CV54" s="50"/>
      <c r="CW54" s="50"/>
      <c r="CX54" s="50"/>
      <c r="CY54" s="50"/>
      <c r="CZ54" s="50"/>
      <c r="DA54" s="50"/>
    </row>
    <row r="55" spans="1:94" ht="12.7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P55" s="26"/>
      <c r="AQ55" s="26"/>
      <c r="AR55" s="26"/>
      <c r="AS55" s="26"/>
      <c r="AT55" s="26"/>
      <c r="AU55" s="26"/>
      <c r="AV55" s="26"/>
      <c r="AW55" s="26"/>
      <c r="AX55" s="27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</row>
    <row r="56" spans="1:94" ht="12.75">
      <c r="A56" s="25" t="s">
        <v>7</v>
      </c>
      <c r="B56" s="26" t="s">
        <v>165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P56" s="26"/>
      <c r="AQ56" s="26"/>
      <c r="AR56" s="26"/>
      <c r="AS56" s="26"/>
      <c r="AT56" s="26"/>
      <c r="AU56" s="26"/>
      <c r="AV56" s="26"/>
      <c r="AW56" s="26"/>
      <c r="AX56" s="27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</row>
    <row r="57" spans="1:94" ht="12.75">
      <c r="A57" s="25"/>
      <c r="B57" s="26" t="s">
        <v>151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P57" s="26"/>
      <c r="AQ57" s="26"/>
      <c r="AR57" s="26"/>
      <c r="AS57" s="26"/>
      <c r="AT57" s="26"/>
      <c r="AU57" s="26"/>
      <c r="AV57" s="26"/>
      <c r="AW57" s="26"/>
      <c r="AX57" s="27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</row>
    <row r="58" spans="1:95" ht="12.75">
      <c r="A58" s="25"/>
      <c r="B58" s="35" t="s">
        <v>122</v>
      </c>
      <c r="C58" s="26" t="s">
        <v>14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720</v>
      </c>
      <c r="N58" s="36">
        <v>2160</v>
      </c>
      <c r="O58" s="36">
        <v>2160</v>
      </c>
      <c r="P58" s="36">
        <v>2160</v>
      </c>
      <c r="Q58" s="36">
        <v>2160</v>
      </c>
      <c r="R58" s="36">
        <v>720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720</v>
      </c>
      <c r="Z58" s="36">
        <v>2160</v>
      </c>
      <c r="AA58" s="36">
        <v>2160</v>
      </c>
      <c r="AB58" s="36">
        <v>2160</v>
      </c>
      <c r="AC58" s="36">
        <v>2160</v>
      </c>
      <c r="AD58" s="36">
        <v>720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720</v>
      </c>
      <c r="AL58" s="36">
        <v>2160</v>
      </c>
      <c r="AM58" s="36">
        <v>2160</v>
      </c>
      <c r="AN58" s="14">
        <f>SUM(D58:O58)</f>
        <v>5040</v>
      </c>
      <c r="AO58" s="140">
        <f>SUM(P58:AA58)</f>
        <v>10080</v>
      </c>
      <c r="AP58" s="14">
        <f>SUM(AB58:AM58)</f>
        <v>10080</v>
      </c>
      <c r="AQ58" s="52">
        <f>BO58</f>
        <v>10080</v>
      </c>
      <c r="AR58" s="52">
        <f>CC58</f>
        <v>10080</v>
      </c>
      <c r="AS58" s="52">
        <f>CQ58</f>
        <v>10080</v>
      </c>
      <c r="AT58" s="52">
        <f>AS58</f>
        <v>10080</v>
      </c>
      <c r="AU58" s="52">
        <f>AT58</f>
        <v>10080</v>
      </c>
      <c r="AV58" s="52">
        <f>AU58</f>
        <v>10080</v>
      </c>
      <c r="AW58" s="52">
        <f>AV58</f>
        <v>10080</v>
      </c>
      <c r="AX58" s="52">
        <f>AW58</f>
        <v>10080</v>
      </c>
      <c r="BC58" s="36">
        <v>2160</v>
      </c>
      <c r="BD58" s="36">
        <v>2160</v>
      </c>
      <c r="BE58" s="36">
        <v>720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6">
        <v>720</v>
      </c>
      <c r="BM58" s="36">
        <v>2160</v>
      </c>
      <c r="BN58" s="36">
        <v>2160</v>
      </c>
      <c r="BO58" s="50">
        <f>SUM(BC58:BN58)</f>
        <v>10080</v>
      </c>
      <c r="BQ58" s="36">
        <v>2160</v>
      </c>
      <c r="BR58" s="36">
        <v>2160</v>
      </c>
      <c r="BS58" s="36">
        <v>720</v>
      </c>
      <c r="BT58" s="36">
        <v>0</v>
      </c>
      <c r="BU58" s="36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720</v>
      </c>
      <c r="CA58" s="36">
        <v>2160</v>
      </c>
      <c r="CB58" s="36">
        <v>2160</v>
      </c>
      <c r="CC58" s="50">
        <f>SUM(BQ58:CB58)</f>
        <v>10080</v>
      </c>
      <c r="CE58" s="36">
        <v>2160</v>
      </c>
      <c r="CF58" s="36">
        <v>2160</v>
      </c>
      <c r="CG58" s="36">
        <v>720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720</v>
      </c>
      <c r="CO58" s="36">
        <v>2160</v>
      </c>
      <c r="CP58" s="36">
        <v>2160</v>
      </c>
      <c r="CQ58" s="50">
        <f>SUM(CE58:CP58)</f>
        <v>10080</v>
      </c>
    </row>
    <row r="59" spans="1:94" ht="12.75">
      <c r="A59" s="25"/>
      <c r="B59" s="26" t="s">
        <v>47</v>
      </c>
      <c r="C59" s="26" t="s">
        <v>19</v>
      </c>
      <c r="D59" s="38">
        <v>100</v>
      </c>
      <c r="E59" s="38">
        <v>100</v>
      </c>
      <c r="F59" s="38">
        <v>100</v>
      </c>
      <c r="G59" s="38">
        <v>100</v>
      </c>
      <c r="H59" s="38">
        <v>100</v>
      </c>
      <c r="I59" s="38">
        <v>100</v>
      </c>
      <c r="J59" s="38">
        <v>100</v>
      </c>
      <c r="K59" s="38">
        <v>100</v>
      </c>
      <c r="L59" s="38">
        <v>100</v>
      </c>
      <c r="M59" s="38">
        <v>100</v>
      </c>
      <c r="N59" s="38">
        <v>100</v>
      </c>
      <c r="O59" s="38">
        <v>100</v>
      </c>
      <c r="P59" s="38">
        <v>100</v>
      </c>
      <c r="Q59" s="38">
        <v>100</v>
      </c>
      <c r="R59" s="38">
        <v>100</v>
      </c>
      <c r="S59" s="38">
        <v>100</v>
      </c>
      <c r="T59" s="38">
        <v>100</v>
      </c>
      <c r="U59" s="38">
        <v>100</v>
      </c>
      <c r="V59" s="38">
        <v>100</v>
      </c>
      <c r="W59" s="38">
        <v>100</v>
      </c>
      <c r="X59" s="38">
        <v>100</v>
      </c>
      <c r="Y59" s="38">
        <v>100</v>
      </c>
      <c r="Z59" s="38">
        <v>100</v>
      </c>
      <c r="AA59" s="38">
        <v>100</v>
      </c>
      <c r="AB59" s="38">
        <v>100</v>
      </c>
      <c r="AC59" s="38">
        <v>100</v>
      </c>
      <c r="AD59" s="38">
        <v>100</v>
      </c>
      <c r="AE59" s="38">
        <v>100</v>
      </c>
      <c r="AF59" s="38">
        <v>100</v>
      </c>
      <c r="AG59" s="38">
        <v>100</v>
      </c>
      <c r="AH59" s="38">
        <v>100</v>
      </c>
      <c r="AI59" s="38">
        <v>100</v>
      </c>
      <c r="AJ59" s="38">
        <v>100</v>
      </c>
      <c r="AK59" s="38">
        <v>100</v>
      </c>
      <c r="AL59" s="38">
        <v>100</v>
      </c>
      <c r="AM59" s="38">
        <v>100</v>
      </c>
      <c r="AN59" s="26"/>
      <c r="AP59" s="26"/>
      <c r="AQ59" s="26"/>
      <c r="AR59" s="26"/>
      <c r="AS59" s="26"/>
      <c r="AT59" s="26"/>
      <c r="AU59" s="26"/>
      <c r="AV59" s="26"/>
      <c r="AW59" s="26"/>
      <c r="AX59" s="26"/>
      <c r="BC59" s="38">
        <v>100</v>
      </c>
      <c r="BD59" s="38">
        <v>100</v>
      </c>
      <c r="BE59" s="38">
        <v>100</v>
      </c>
      <c r="BF59" s="38">
        <v>100</v>
      </c>
      <c r="BG59" s="38">
        <v>100</v>
      </c>
      <c r="BH59" s="38">
        <v>100</v>
      </c>
      <c r="BI59" s="38">
        <v>100</v>
      </c>
      <c r="BJ59" s="38">
        <v>100</v>
      </c>
      <c r="BK59" s="38">
        <v>100</v>
      </c>
      <c r="BL59" s="38">
        <v>100</v>
      </c>
      <c r="BM59" s="38">
        <v>100</v>
      </c>
      <c r="BN59" s="38">
        <v>100</v>
      </c>
      <c r="BQ59" s="38">
        <v>100</v>
      </c>
      <c r="BR59" s="38">
        <v>100</v>
      </c>
      <c r="BS59" s="38">
        <v>100</v>
      </c>
      <c r="BT59" s="38">
        <v>100</v>
      </c>
      <c r="BU59" s="38">
        <v>100</v>
      </c>
      <c r="BV59" s="38">
        <v>100</v>
      </c>
      <c r="BW59" s="38">
        <v>100</v>
      </c>
      <c r="BX59" s="38">
        <v>100</v>
      </c>
      <c r="BY59" s="38">
        <v>100</v>
      </c>
      <c r="BZ59" s="38">
        <v>100</v>
      </c>
      <c r="CA59" s="38">
        <v>100</v>
      </c>
      <c r="CB59" s="38">
        <v>100</v>
      </c>
      <c r="CE59" s="38">
        <v>100</v>
      </c>
      <c r="CF59" s="38">
        <v>100</v>
      </c>
      <c r="CG59" s="38">
        <v>100</v>
      </c>
      <c r="CH59" s="38">
        <v>100</v>
      </c>
      <c r="CI59" s="38">
        <v>100</v>
      </c>
      <c r="CJ59" s="38">
        <v>100</v>
      </c>
      <c r="CK59" s="38">
        <v>100</v>
      </c>
      <c r="CL59" s="38">
        <v>100</v>
      </c>
      <c r="CM59" s="38">
        <v>100</v>
      </c>
      <c r="CN59" s="38">
        <v>100</v>
      </c>
      <c r="CO59" s="38">
        <v>100</v>
      </c>
      <c r="CP59" s="38">
        <v>100</v>
      </c>
    </row>
    <row r="60" spans="1:95" ht="12.75">
      <c r="A60" s="25"/>
      <c r="B60" s="26" t="s">
        <v>48</v>
      </c>
      <c r="C60" s="26" t="s">
        <v>15</v>
      </c>
      <c r="D60" s="14">
        <f aca="true" t="shared" si="208" ref="D60:O60">D58*1000/Heizwert_Methan/(D59/100)</f>
        <v>0</v>
      </c>
      <c r="E60" s="14">
        <f t="shared" si="208"/>
        <v>0</v>
      </c>
      <c r="F60" s="14">
        <f t="shared" si="208"/>
        <v>0</v>
      </c>
      <c r="G60" s="14">
        <f t="shared" si="208"/>
        <v>0</v>
      </c>
      <c r="H60" s="14">
        <f t="shared" si="208"/>
        <v>0</v>
      </c>
      <c r="I60" s="14">
        <f t="shared" si="208"/>
        <v>0</v>
      </c>
      <c r="J60" s="14">
        <f t="shared" si="208"/>
        <v>0</v>
      </c>
      <c r="K60" s="14">
        <f t="shared" si="208"/>
        <v>0</v>
      </c>
      <c r="L60" s="14">
        <f t="shared" si="208"/>
        <v>0</v>
      </c>
      <c r="M60" s="14">
        <f t="shared" si="208"/>
        <v>72151.51818819522</v>
      </c>
      <c r="N60" s="14">
        <f t="shared" si="208"/>
        <v>216454.55456458565</v>
      </c>
      <c r="O60" s="14">
        <f t="shared" si="208"/>
        <v>216454.55456458565</v>
      </c>
      <c r="P60" s="14">
        <f aca="true" t="shared" si="209" ref="P60:AM60">P58*1000/Heizwert_Methan/(P59/100)</f>
        <v>216454.55456458565</v>
      </c>
      <c r="Q60" s="14">
        <f t="shared" si="209"/>
        <v>216454.55456458565</v>
      </c>
      <c r="R60" s="14">
        <f t="shared" si="209"/>
        <v>72151.51818819522</v>
      </c>
      <c r="S60" s="14">
        <f t="shared" si="209"/>
        <v>0</v>
      </c>
      <c r="T60" s="14">
        <f t="shared" si="209"/>
        <v>0</v>
      </c>
      <c r="U60" s="14">
        <f t="shared" si="209"/>
        <v>0</v>
      </c>
      <c r="V60" s="14">
        <f t="shared" si="209"/>
        <v>0</v>
      </c>
      <c r="W60" s="14">
        <f t="shared" si="209"/>
        <v>0</v>
      </c>
      <c r="X60" s="14">
        <f t="shared" si="209"/>
        <v>0</v>
      </c>
      <c r="Y60" s="14">
        <f t="shared" si="209"/>
        <v>72151.51818819522</v>
      </c>
      <c r="Z60" s="14">
        <f t="shared" si="209"/>
        <v>216454.55456458565</v>
      </c>
      <c r="AA60" s="14">
        <f t="shared" si="209"/>
        <v>216454.55456458565</v>
      </c>
      <c r="AB60" s="14">
        <f t="shared" si="209"/>
        <v>216454.55456458565</v>
      </c>
      <c r="AC60" s="14">
        <f t="shared" si="209"/>
        <v>216454.55456458565</v>
      </c>
      <c r="AD60" s="14">
        <f t="shared" si="209"/>
        <v>72151.51818819522</v>
      </c>
      <c r="AE60" s="14">
        <f t="shared" si="209"/>
        <v>0</v>
      </c>
      <c r="AF60" s="14">
        <f t="shared" si="209"/>
        <v>0</v>
      </c>
      <c r="AG60" s="14">
        <f t="shared" si="209"/>
        <v>0</v>
      </c>
      <c r="AH60" s="14">
        <f t="shared" si="209"/>
        <v>0</v>
      </c>
      <c r="AI60" s="14">
        <f t="shared" si="209"/>
        <v>0</v>
      </c>
      <c r="AJ60" s="14">
        <f t="shared" si="209"/>
        <v>0</v>
      </c>
      <c r="AK60" s="14">
        <f t="shared" si="209"/>
        <v>72151.51818819522</v>
      </c>
      <c r="AL60" s="14">
        <f t="shared" si="209"/>
        <v>216454.55456458565</v>
      </c>
      <c r="AM60" s="14">
        <f t="shared" si="209"/>
        <v>216454.55456458565</v>
      </c>
      <c r="AN60" s="14">
        <f>SUM(D60:O60)</f>
        <v>505060.62731736654</v>
      </c>
      <c r="AO60" s="140">
        <f>SUM(P60:AA60)</f>
        <v>1010121.2546347331</v>
      </c>
      <c r="AP60" s="14">
        <f>SUM(AB60:AM60)</f>
        <v>1010121.2546347331</v>
      </c>
      <c r="AQ60" s="52">
        <f>BO60</f>
        <v>1010121.2546347331</v>
      </c>
      <c r="AR60" s="52">
        <f>CC60</f>
        <v>1010121.2546347331</v>
      </c>
      <c r="AS60" s="52">
        <f>CQ60</f>
        <v>1010121.2546347331</v>
      </c>
      <c r="AT60" s="52">
        <f aca="true" t="shared" si="210" ref="AT60:AX64">AS60</f>
        <v>1010121.2546347331</v>
      </c>
      <c r="AU60" s="52">
        <f t="shared" si="210"/>
        <v>1010121.2546347331</v>
      </c>
      <c r="AV60" s="52">
        <f t="shared" si="210"/>
        <v>1010121.2546347331</v>
      </c>
      <c r="AW60" s="52">
        <f t="shared" si="210"/>
        <v>1010121.2546347331</v>
      </c>
      <c r="AX60" s="52">
        <f t="shared" si="210"/>
        <v>1010121.2546347331</v>
      </c>
      <c r="BC60" s="14">
        <f aca="true" t="shared" si="211" ref="BC60:BN60">BC58*1000/Heizwert_Methan/(BC59/100)</f>
        <v>216454.55456458565</v>
      </c>
      <c r="BD60" s="14">
        <f t="shared" si="211"/>
        <v>216454.55456458565</v>
      </c>
      <c r="BE60" s="14">
        <f t="shared" si="211"/>
        <v>72151.51818819522</v>
      </c>
      <c r="BF60" s="14">
        <f t="shared" si="211"/>
        <v>0</v>
      </c>
      <c r="BG60" s="14">
        <f t="shared" si="211"/>
        <v>0</v>
      </c>
      <c r="BH60" s="14">
        <f t="shared" si="211"/>
        <v>0</v>
      </c>
      <c r="BI60" s="14">
        <f t="shared" si="211"/>
        <v>0</v>
      </c>
      <c r="BJ60" s="14">
        <f t="shared" si="211"/>
        <v>0</v>
      </c>
      <c r="BK60" s="14">
        <f t="shared" si="211"/>
        <v>0</v>
      </c>
      <c r="BL60" s="14">
        <f t="shared" si="211"/>
        <v>72151.51818819522</v>
      </c>
      <c r="BM60" s="14">
        <f t="shared" si="211"/>
        <v>216454.55456458565</v>
      </c>
      <c r="BN60" s="14">
        <f t="shared" si="211"/>
        <v>216454.55456458565</v>
      </c>
      <c r="BO60" s="50">
        <f>SUM(BC60:BN60)</f>
        <v>1010121.2546347331</v>
      </c>
      <c r="BQ60" s="14">
        <f aca="true" t="shared" si="212" ref="BQ60:CB60">BQ58*1000/Heizwert_Methan/(BQ59/100)</f>
        <v>216454.55456458565</v>
      </c>
      <c r="BR60" s="14">
        <f t="shared" si="212"/>
        <v>216454.55456458565</v>
      </c>
      <c r="BS60" s="14">
        <f t="shared" si="212"/>
        <v>72151.51818819522</v>
      </c>
      <c r="BT60" s="14">
        <f t="shared" si="212"/>
        <v>0</v>
      </c>
      <c r="BU60" s="14">
        <f t="shared" si="212"/>
        <v>0</v>
      </c>
      <c r="BV60" s="14">
        <f t="shared" si="212"/>
        <v>0</v>
      </c>
      <c r="BW60" s="14">
        <f t="shared" si="212"/>
        <v>0</v>
      </c>
      <c r="BX60" s="14">
        <f t="shared" si="212"/>
        <v>0</v>
      </c>
      <c r="BY60" s="14">
        <f t="shared" si="212"/>
        <v>0</v>
      </c>
      <c r="BZ60" s="14">
        <f t="shared" si="212"/>
        <v>72151.51818819522</v>
      </c>
      <c r="CA60" s="14">
        <f t="shared" si="212"/>
        <v>216454.55456458565</v>
      </c>
      <c r="CB60" s="14">
        <f t="shared" si="212"/>
        <v>216454.55456458565</v>
      </c>
      <c r="CC60" s="50">
        <f>SUM(BQ60:CB60)</f>
        <v>1010121.2546347331</v>
      </c>
      <c r="CE60" s="14">
        <f aca="true" t="shared" si="213" ref="CE60:CP60">CE58*1000/Heizwert_Methan/(CE59/100)</f>
        <v>216454.55456458565</v>
      </c>
      <c r="CF60" s="14">
        <f t="shared" si="213"/>
        <v>216454.55456458565</v>
      </c>
      <c r="CG60" s="14">
        <f t="shared" si="213"/>
        <v>72151.51818819522</v>
      </c>
      <c r="CH60" s="14">
        <f t="shared" si="213"/>
        <v>0</v>
      </c>
      <c r="CI60" s="14">
        <f t="shared" si="213"/>
        <v>0</v>
      </c>
      <c r="CJ60" s="14">
        <f t="shared" si="213"/>
        <v>0</v>
      </c>
      <c r="CK60" s="14">
        <f t="shared" si="213"/>
        <v>0</v>
      </c>
      <c r="CL60" s="14">
        <f t="shared" si="213"/>
        <v>0</v>
      </c>
      <c r="CM60" s="14">
        <f t="shared" si="213"/>
        <v>0</v>
      </c>
      <c r="CN60" s="14">
        <f t="shared" si="213"/>
        <v>72151.51818819522</v>
      </c>
      <c r="CO60" s="14">
        <f t="shared" si="213"/>
        <v>216454.55456458565</v>
      </c>
      <c r="CP60" s="14">
        <f t="shared" si="213"/>
        <v>216454.55456458565</v>
      </c>
      <c r="CQ60" s="50">
        <f>SUM(CE60:CP60)</f>
        <v>1010121.2546347331</v>
      </c>
    </row>
    <row r="61" spans="1:95" ht="12.75">
      <c r="A61" s="25"/>
      <c r="B61" s="26" t="s">
        <v>49</v>
      </c>
      <c r="C61" s="26" t="s">
        <v>16</v>
      </c>
      <c r="D61" s="14">
        <f aca="true" t="shared" si="214" ref="D61:O61">D60*Gewicht_Methan*21/1000</f>
        <v>0</v>
      </c>
      <c r="E61" s="14">
        <f t="shared" si="214"/>
        <v>0</v>
      </c>
      <c r="F61" s="14">
        <f t="shared" si="214"/>
        <v>0</v>
      </c>
      <c r="G61" s="14">
        <f t="shared" si="214"/>
        <v>0</v>
      </c>
      <c r="H61" s="14">
        <f t="shared" si="214"/>
        <v>0</v>
      </c>
      <c r="I61" s="14">
        <f t="shared" si="214"/>
        <v>0</v>
      </c>
      <c r="J61" s="14">
        <f t="shared" si="214"/>
        <v>0</v>
      </c>
      <c r="K61" s="14">
        <f t="shared" si="214"/>
        <v>0</v>
      </c>
      <c r="L61" s="14">
        <f t="shared" si="214"/>
        <v>0</v>
      </c>
      <c r="M61" s="14">
        <f t="shared" si="214"/>
        <v>1086.3854093596553</v>
      </c>
      <c r="N61" s="14">
        <f t="shared" si="214"/>
        <v>3259.1562280789653</v>
      </c>
      <c r="O61" s="14">
        <f t="shared" si="214"/>
        <v>3259.1562280789653</v>
      </c>
      <c r="P61" s="14">
        <f aca="true" t="shared" si="215" ref="P61:AM61">P60*Gewicht_Methan*21/1000</f>
        <v>3259.1562280789653</v>
      </c>
      <c r="Q61" s="14">
        <f t="shared" si="215"/>
        <v>3259.1562280789653</v>
      </c>
      <c r="R61" s="14">
        <f t="shared" si="215"/>
        <v>1086.3854093596553</v>
      </c>
      <c r="S61" s="14">
        <f t="shared" si="215"/>
        <v>0</v>
      </c>
      <c r="T61" s="14">
        <f t="shared" si="215"/>
        <v>0</v>
      </c>
      <c r="U61" s="14">
        <f t="shared" si="215"/>
        <v>0</v>
      </c>
      <c r="V61" s="14">
        <f t="shared" si="215"/>
        <v>0</v>
      </c>
      <c r="W61" s="14">
        <f t="shared" si="215"/>
        <v>0</v>
      </c>
      <c r="X61" s="14">
        <f t="shared" si="215"/>
        <v>0</v>
      </c>
      <c r="Y61" s="14">
        <f t="shared" si="215"/>
        <v>1086.3854093596553</v>
      </c>
      <c r="Z61" s="14">
        <f t="shared" si="215"/>
        <v>3259.1562280789653</v>
      </c>
      <c r="AA61" s="14">
        <f t="shared" si="215"/>
        <v>3259.1562280789653</v>
      </c>
      <c r="AB61" s="14">
        <f t="shared" si="215"/>
        <v>3259.1562280789653</v>
      </c>
      <c r="AC61" s="14">
        <f t="shared" si="215"/>
        <v>3259.1562280789653</v>
      </c>
      <c r="AD61" s="14">
        <f t="shared" si="215"/>
        <v>1086.3854093596553</v>
      </c>
      <c r="AE61" s="14">
        <f t="shared" si="215"/>
        <v>0</v>
      </c>
      <c r="AF61" s="14">
        <f t="shared" si="215"/>
        <v>0</v>
      </c>
      <c r="AG61" s="14">
        <f t="shared" si="215"/>
        <v>0</v>
      </c>
      <c r="AH61" s="14">
        <f t="shared" si="215"/>
        <v>0</v>
      </c>
      <c r="AI61" s="14">
        <f t="shared" si="215"/>
        <v>0</v>
      </c>
      <c r="AJ61" s="14">
        <f t="shared" si="215"/>
        <v>0</v>
      </c>
      <c r="AK61" s="14">
        <f t="shared" si="215"/>
        <v>1086.3854093596553</v>
      </c>
      <c r="AL61" s="14">
        <f t="shared" si="215"/>
        <v>3259.1562280789653</v>
      </c>
      <c r="AM61" s="14">
        <f t="shared" si="215"/>
        <v>3259.1562280789653</v>
      </c>
      <c r="AN61" s="14">
        <f>SUM(D61:O61)</f>
        <v>7604.697865517586</v>
      </c>
      <c r="AO61" s="140">
        <f>SUM(P61:AA61)</f>
        <v>15209.395731035173</v>
      </c>
      <c r="AP61" s="14">
        <f>SUM(AB61:AM61)</f>
        <v>15209.395731035173</v>
      </c>
      <c r="AQ61" s="52">
        <f>BO61</f>
        <v>15209.395731035173</v>
      </c>
      <c r="AR61" s="52">
        <f>CC61</f>
        <v>15209.395731035173</v>
      </c>
      <c r="AS61" s="52">
        <f>CQ61</f>
        <v>15209.395731035173</v>
      </c>
      <c r="AT61" s="52">
        <f t="shared" si="210"/>
        <v>15209.395731035173</v>
      </c>
      <c r="AU61" s="52">
        <f t="shared" si="210"/>
        <v>15209.395731035173</v>
      </c>
      <c r="AV61" s="52">
        <f t="shared" si="210"/>
        <v>15209.395731035173</v>
      </c>
      <c r="AW61" s="52">
        <f t="shared" si="210"/>
        <v>15209.395731035173</v>
      </c>
      <c r="AX61" s="52">
        <f t="shared" si="210"/>
        <v>15209.395731035173</v>
      </c>
      <c r="AY61" s="52">
        <f>AX60*0.717/1000</f>
        <v>724.2569395731035</v>
      </c>
      <c r="BC61" s="14">
        <f aca="true" t="shared" si="216" ref="BC61:BN61">BC60*Gewicht_Methan*21/1000</f>
        <v>3259.1562280789653</v>
      </c>
      <c r="BD61" s="14">
        <f t="shared" si="216"/>
        <v>3259.1562280789653</v>
      </c>
      <c r="BE61" s="14">
        <f t="shared" si="216"/>
        <v>1086.3854093596553</v>
      </c>
      <c r="BF61" s="14">
        <f t="shared" si="216"/>
        <v>0</v>
      </c>
      <c r="BG61" s="14">
        <f t="shared" si="216"/>
        <v>0</v>
      </c>
      <c r="BH61" s="14">
        <f t="shared" si="216"/>
        <v>0</v>
      </c>
      <c r="BI61" s="14">
        <f t="shared" si="216"/>
        <v>0</v>
      </c>
      <c r="BJ61" s="14">
        <f t="shared" si="216"/>
        <v>0</v>
      </c>
      <c r="BK61" s="14">
        <f t="shared" si="216"/>
        <v>0</v>
      </c>
      <c r="BL61" s="14">
        <f t="shared" si="216"/>
        <v>1086.3854093596553</v>
      </c>
      <c r="BM61" s="14">
        <f t="shared" si="216"/>
        <v>3259.1562280789653</v>
      </c>
      <c r="BN61" s="14">
        <f t="shared" si="216"/>
        <v>3259.1562280789653</v>
      </c>
      <c r="BO61" s="50">
        <f>SUM(BC61:BN61)</f>
        <v>15209.395731035173</v>
      </c>
      <c r="BQ61" s="14">
        <f aca="true" t="shared" si="217" ref="BQ61:CB61">BQ60*Gewicht_Methan*21/1000</f>
        <v>3259.1562280789653</v>
      </c>
      <c r="BR61" s="14">
        <f t="shared" si="217"/>
        <v>3259.1562280789653</v>
      </c>
      <c r="BS61" s="14">
        <f t="shared" si="217"/>
        <v>1086.3854093596553</v>
      </c>
      <c r="BT61" s="14">
        <f t="shared" si="217"/>
        <v>0</v>
      </c>
      <c r="BU61" s="14">
        <f t="shared" si="217"/>
        <v>0</v>
      </c>
      <c r="BV61" s="14">
        <f t="shared" si="217"/>
        <v>0</v>
      </c>
      <c r="BW61" s="14">
        <f t="shared" si="217"/>
        <v>0</v>
      </c>
      <c r="BX61" s="14">
        <f t="shared" si="217"/>
        <v>0</v>
      </c>
      <c r="BY61" s="14">
        <f t="shared" si="217"/>
        <v>0</v>
      </c>
      <c r="BZ61" s="14">
        <f t="shared" si="217"/>
        <v>1086.3854093596553</v>
      </c>
      <c r="CA61" s="14">
        <f t="shared" si="217"/>
        <v>3259.1562280789653</v>
      </c>
      <c r="CB61" s="14">
        <f t="shared" si="217"/>
        <v>3259.1562280789653</v>
      </c>
      <c r="CC61" s="50">
        <f>SUM(BQ61:CB61)</f>
        <v>15209.395731035173</v>
      </c>
      <c r="CE61" s="14">
        <f aca="true" t="shared" si="218" ref="CE61:CP61">CE60*Gewicht_Methan*21/1000</f>
        <v>3259.1562280789653</v>
      </c>
      <c r="CF61" s="14">
        <f t="shared" si="218"/>
        <v>3259.1562280789653</v>
      </c>
      <c r="CG61" s="14">
        <f t="shared" si="218"/>
        <v>1086.3854093596553</v>
      </c>
      <c r="CH61" s="14">
        <f t="shared" si="218"/>
        <v>0</v>
      </c>
      <c r="CI61" s="14">
        <f t="shared" si="218"/>
        <v>0</v>
      </c>
      <c r="CJ61" s="14">
        <f t="shared" si="218"/>
        <v>0</v>
      </c>
      <c r="CK61" s="14">
        <f t="shared" si="218"/>
        <v>0</v>
      </c>
      <c r="CL61" s="14">
        <f t="shared" si="218"/>
        <v>0</v>
      </c>
      <c r="CM61" s="14">
        <f t="shared" si="218"/>
        <v>0</v>
      </c>
      <c r="CN61" s="14">
        <f t="shared" si="218"/>
        <v>1086.3854093596553</v>
      </c>
      <c r="CO61" s="14">
        <f t="shared" si="218"/>
        <v>3259.1562280789653</v>
      </c>
      <c r="CP61" s="14">
        <f t="shared" si="218"/>
        <v>3259.1562280789653</v>
      </c>
      <c r="CQ61" s="50">
        <f>SUM(CE61:CP61)</f>
        <v>15209.395731035173</v>
      </c>
    </row>
    <row r="62" spans="1:95" ht="12.75">
      <c r="A62" s="25"/>
      <c r="B62" s="26" t="s">
        <v>123</v>
      </c>
      <c r="C62" s="26" t="s">
        <v>16</v>
      </c>
      <c r="D62" s="14">
        <f aca="true" t="shared" si="219" ref="D62:O62">D60*Gewicht_Methan*2.75/1000</f>
        <v>0</v>
      </c>
      <c r="E62" s="14">
        <f t="shared" si="219"/>
        <v>0</v>
      </c>
      <c r="F62" s="14">
        <f t="shared" si="219"/>
        <v>0</v>
      </c>
      <c r="G62" s="14">
        <f t="shared" si="219"/>
        <v>0</v>
      </c>
      <c r="H62" s="14">
        <f t="shared" si="219"/>
        <v>0</v>
      </c>
      <c r="I62" s="14">
        <f t="shared" si="219"/>
        <v>0</v>
      </c>
      <c r="J62" s="14">
        <f t="shared" si="219"/>
        <v>0</v>
      </c>
      <c r="K62" s="14">
        <f t="shared" si="219"/>
        <v>0</v>
      </c>
      <c r="L62" s="14">
        <f t="shared" si="219"/>
        <v>0</v>
      </c>
      <c r="M62" s="14">
        <f t="shared" si="219"/>
        <v>142.26475598757392</v>
      </c>
      <c r="N62" s="14">
        <f t="shared" si="219"/>
        <v>426.7942679627217</v>
      </c>
      <c r="O62" s="14">
        <f t="shared" si="219"/>
        <v>426.7942679627217</v>
      </c>
      <c r="P62" s="14">
        <f aca="true" t="shared" si="220" ref="P62:AM62">P60*Gewicht_Methan*2.75/1000</f>
        <v>426.7942679627217</v>
      </c>
      <c r="Q62" s="14">
        <f t="shared" si="220"/>
        <v>426.7942679627217</v>
      </c>
      <c r="R62" s="14">
        <f t="shared" si="220"/>
        <v>142.26475598757392</v>
      </c>
      <c r="S62" s="14">
        <f t="shared" si="220"/>
        <v>0</v>
      </c>
      <c r="T62" s="14">
        <f t="shared" si="220"/>
        <v>0</v>
      </c>
      <c r="U62" s="14">
        <f t="shared" si="220"/>
        <v>0</v>
      </c>
      <c r="V62" s="14">
        <f t="shared" si="220"/>
        <v>0</v>
      </c>
      <c r="W62" s="14">
        <f t="shared" si="220"/>
        <v>0</v>
      </c>
      <c r="X62" s="14">
        <f t="shared" si="220"/>
        <v>0</v>
      </c>
      <c r="Y62" s="14">
        <f t="shared" si="220"/>
        <v>142.26475598757392</v>
      </c>
      <c r="Z62" s="14">
        <f t="shared" si="220"/>
        <v>426.7942679627217</v>
      </c>
      <c r="AA62" s="14">
        <f t="shared" si="220"/>
        <v>426.7942679627217</v>
      </c>
      <c r="AB62" s="14">
        <f t="shared" si="220"/>
        <v>426.7942679627217</v>
      </c>
      <c r="AC62" s="14">
        <f t="shared" si="220"/>
        <v>426.7942679627217</v>
      </c>
      <c r="AD62" s="14">
        <f t="shared" si="220"/>
        <v>142.26475598757392</v>
      </c>
      <c r="AE62" s="14">
        <f t="shared" si="220"/>
        <v>0</v>
      </c>
      <c r="AF62" s="14">
        <f t="shared" si="220"/>
        <v>0</v>
      </c>
      <c r="AG62" s="14">
        <f t="shared" si="220"/>
        <v>0</v>
      </c>
      <c r="AH62" s="14">
        <f t="shared" si="220"/>
        <v>0</v>
      </c>
      <c r="AI62" s="14">
        <f t="shared" si="220"/>
        <v>0</v>
      </c>
      <c r="AJ62" s="14">
        <f t="shared" si="220"/>
        <v>0</v>
      </c>
      <c r="AK62" s="14">
        <f t="shared" si="220"/>
        <v>142.26475598757392</v>
      </c>
      <c r="AL62" s="14">
        <f t="shared" si="220"/>
        <v>426.7942679627217</v>
      </c>
      <c r="AM62" s="14">
        <f t="shared" si="220"/>
        <v>426.7942679627217</v>
      </c>
      <c r="AN62" s="14">
        <f>SUM(D62:O62)</f>
        <v>995.8532919130173</v>
      </c>
      <c r="AO62" s="140">
        <f>SUM(P62:AA62)</f>
        <v>1991.7065838260346</v>
      </c>
      <c r="AP62" s="14">
        <f>SUM(AB62:AM62)</f>
        <v>1991.7065838260346</v>
      </c>
      <c r="AQ62" s="52">
        <f>BO62</f>
        <v>1991.7065838260346</v>
      </c>
      <c r="AR62" s="52">
        <f>CC62</f>
        <v>1991.7065838260346</v>
      </c>
      <c r="AS62" s="52">
        <f>CQ62</f>
        <v>1991.7065838260346</v>
      </c>
      <c r="AT62" s="52">
        <f t="shared" si="210"/>
        <v>1991.7065838260346</v>
      </c>
      <c r="AU62" s="52">
        <f t="shared" si="210"/>
        <v>1991.7065838260346</v>
      </c>
      <c r="AV62" s="52">
        <f t="shared" si="210"/>
        <v>1991.7065838260346</v>
      </c>
      <c r="AW62" s="52">
        <f t="shared" si="210"/>
        <v>1991.7065838260346</v>
      </c>
      <c r="AX62" s="52">
        <f t="shared" si="210"/>
        <v>1991.7065838260346</v>
      </c>
      <c r="BC62" s="14">
        <f aca="true" t="shared" si="221" ref="BC62:BN62">BC60*Gewicht_Methan*2.75/1000</f>
        <v>426.7942679627217</v>
      </c>
      <c r="BD62" s="14">
        <f t="shared" si="221"/>
        <v>426.7942679627217</v>
      </c>
      <c r="BE62" s="14">
        <f t="shared" si="221"/>
        <v>142.26475598757392</v>
      </c>
      <c r="BF62" s="14">
        <f t="shared" si="221"/>
        <v>0</v>
      </c>
      <c r="BG62" s="14">
        <f t="shared" si="221"/>
        <v>0</v>
      </c>
      <c r="BH62" s="14">
        <f t="shared" si="221"/>
        <v>0</v>
      </c>
      <c r="BI62" s="14">
        <f t="shared" si="221"/>
        <v>0</v>
      </c>
      <c r="BJ62" s="14">
        <f t="shared" si="221"/>
        <v>0</v>
      </c>
      <c r="BK62" s="14">
        <f t="shared" si="221"/>
        <v>0</v>
      </c>
      <c r="BL62" s="14">
        <f t="shared" si="221"/>
        <v>142.26475598757392</v>
      </c>
      <c r="BM62" s="14">
        <f t="shared" si="221"/>
        <v>426.7942679627217</v>
      </c>
      <c r="BN62" s="14">
        <f t="shared" si="221"/>
        <v>426.7942679627217</v>
      </c>
      <c r="BO62" s="50">
        <f>SUM(BC62:BN62)</f>
        <v>1991.7065838260346</v>
      </c>
      <c r="BQ62" s="14">
        <f aca="true" t="shared" si="222" ref="BQ62:CB62">BQ60*Gewicht_Methan*2.75/1000</f>
        <v>426.7942679627217</v>
      </c>
      <c r="BR62" s="14">
        <f t="shared" si="222"/>
        <v>426.7942679627217</v>
      </c>
      <c r="BS62" s="14">
        <f t="shared" si="222"/>
        <v>142.26475598757392</v>
      </c>
      <c r="BT62" s="14">
        <f t="shared" si="222"/>
        <v>0</v>
      </c>
      <c r="BU62" s="14">
        <f t="shared" si="222"/>
        <v>0</v>
      </c>
      <c r="BV62" s="14">
        <f t="shared" si="222"/>
        <v>0</v>
      </c>
      <c r="BW62" s="14">
        <f t="shared" si="222"/>
        <v>0</v>
      </c>
      <c r="BX62" s="14">
        <f t="shared" si="222"/>
        <v>0</v>
      </c>
      <c r="BY62" s="14">
        <f t="shared" si="222"/>
        <v>0</v>
      </c>
      <c r="BZ62" s="14">
        <f t="shared" si="222"/>
        <v>142.26475598757392</v>
      </c>
      <c r="CA62" s="14">
        <f t="shared" si="222"/>
        <v>426.7942679627217</v>
      </c>
      <c r="CB62" s="14">
        <f t="shared" si="222"/>
        <v>426.7942679627217</v>
      </c>
      <c r="CC62" s="50">
        <f>SUM(BQ62:CB62)</f>
        <v>1991.7065838260346</v>
      </c>
      <c r="CE62" s="14">
        <f aca="true" t="shared" si="223" ref="CE62:CP62">CE60*Gewicht_Methan*2.75/1000</f>
        <v>426.7942679627217</v>
      </c>
      <c r="CF62" s="14">
        <f t="shared" si="223"/>
        <v>426.7942679627217</v>
      </c>
      <c r="CG62" s="14">
        <f t="shared" si="223"/>
        <v>142.26475598757392</v>
      </c>
      <c r="CH62" s="14">
        <f t="shared" si="223"/>
        <v>0</v>
      </c>
      <c r="CI62" s="14">
        <f t="shared" si="223"/>
        <v>0</v>
      </c>
      <c r="CJ62" s="14">
        <f t="shared" si="223"/>
        <v>0</v>
      </c>
      <c r="CK62" s="14">
        <f t="shared" si="223"/>
        <v>0</v>
      </c>
      <c r="CL62" s="14">
        <f t="shared" si="223"/>
        <v>0</v>
      </c>
      <c r="CM62" s="14">
        <f t="shared" si="223"/>
        <v>0</v>
      </c>
      <c r="CN62" s="14">
        <f t="shared" si="223"/>
        <v>142.26475598757392</v>
      </c>
      <c r="CO62" s="14">
        <f t="shared" si="223"/>
        <v>426.7942679627217</v>
      </c>
      <c r="CP62" s="14">
        <f t="shared" si="223"/>
        <v>426.7942679627217</v>
      </c>
      <c r="CQ62" s="50">
        <f>SUM(CE62:CP62)</f>
        <v>1991.7065838260346</v>
      </c>
    </row>
    <row r="63" spans="1:95" ht="12.75">
      <c r="A63" s="25"/>
      <c r="B63" s="51" t="s">
        <v>46</v>
      </c>
      <c r="C63" s="51" t="s">
        <v>21</v>
      </c>
      <c r="D63" s="14">
        <f aca="true" t="shared" si="224" ref="D63:O63">D58/Heizwert_Kohle/Wirkungsgrad_Kohlekessel</f>
        <v>0</v>
      </c>
      <c r="E63" s="14">
        <f t="shared" si="224"/>
        <v>0</v>
      </c>
      <c r="F63" s="14">
        <f t="shared" si="224"/>
        <v>0</v>
      </c>
      <c r="G63" s="14">
        <f t="shared" si="224"/>
        <v>0</v>
      </c>
      <c r="H63" s="14">
        <f t="shared" si="224"/>
        <v>0</v>
      </c>
      <c r="I63" s="14">
        <f t="shared" si="224"/>
        <v>0</v>
      </c>
      <c r="J63" s="14">
        <f t="shared" si="224"/>
        <v>0</v>
      </c>
      <c r="K63" s="14">
        <f t="shared" si="224"/>
        <v>0</v>
      </c>
      <c r="L63" s="14">
        <f t="shared" si="224"/>
        <v>0</v>
      </c>
      <c r="M63" s="14">
        <f t="shared" si="224"/>
        <v>192.07683073229293</v>
      </c>
      <c r="N63" s="14">
        <f t="shared" si="224"/>
        <v>576.2304921968788</v>
      </c>
      <c r="O63" s="14">
        <f t="shared" si="224"/>
        <v>576.2304921968788</v>
      </c>
      <c r="P63" s="14">
        <f aca="true" t="shared" si="225" ref="P63:BO63">P58/Heizwert_Kohle/Wirkungsgrad_Kohlekessel</f>
        <v>576.2304921968788</v>
      </c>
      <c r="Q63" s="14">
        <f t="shared" si="225"/>
        <v>576.2304921968788</v>
      </c>
      <c r="R63" s="14">
        <f t="shared" si="225"/>
        <v>192.07683073229293</v>
      </c>
      <c r="S63" s="14">
        <f t="shared" si="225"/>
        <v>0</v>
      </c>
      <c r="T63" s="14">
        <f t="shared" si="225"/>
        <v>0</v>
      </c>
      <c r="U63" s="14">
        <f t="shared" si="225"/>
        <v>0</v>
      </c>
      <c r="V63" s="14">
        <f t="shared" si="225"/>
        <v>0</v>
      </c>
      <c r="W63" s="14">
        <f t="shared" si="225"/>
        <v>0</v>
      </c>
      <c r="X63" s="14">
        <f t="shared" si="225"/>
        <v>0</v>
      </c>
      <c r="Y63" s="14">
        <f t="shared" si="225"/>
        <v>192.07683073229293</v>
      </c>
      <c r="Z63" s="14">
        <f t="shared" si="225"/>
        <v>576.2304921968788</v>
      </c>
      <c r="AA63" s="14">
        <f t="shared" si="225"/>
        <v>576.2304921968788</v>
      </c>
      <c r="AB63" s="14">
        <f t="shared" si="225"/>
        <v>576.2304921968788</v>
      </c>
      <c r="AC63" s="14">
        <f t="shared" si="225"/>
        <v>576.2304921968788</v>
      </c>
      <c r="AD63" s="14">
        <f t="shared" si="225"/>
        <v>192.07683073229293</v>
      </c>
      <c r="AE63" s="14">
        <f t="shared" si="225"/>
        <v>0</v>
      </c>
      <c r="AF63" s="14">
        <f t="shared" si="225"/>
        <v>0</v>
      </c>
      <c r="AG63" s="14">
        <f t="shared" si="225"/>
        <v>0</v>
      </c>
      <c r="AH63" s="14">
        <f t="shared" si="225"/>
        <v>0</v>
      </c>
      <c r="AI63" s="14">
        <f t="shared" si="225"/>
        <v>0</v>
      </c>
      <c r="AJ63" s="14">
        <f t="shared" si="225"/>
        <v>0</v>
      </c>
      <c r="AK63" s="14">
        <f t="shared" si="225"/>
        <v>192.07683073229293</v>
      </c>
      <c r="AL63" s="14">
        <f t="shared" si="225"/>
        <v>576.2304921968788</v>
      </c>
      <c r="AM63" s="14">
        <f t="shared" si="225"/>
        <v>576.2304921968788</v>
      </c>
      <c r="AN63" s="14">
        <f>SUM(D63:O63)</f>
        <v>1344.5378151260506</v>
      </c>
      <c r="AO63" s="140">
        <f>SUM(P63:AA63)</f>
        <v>2689.0756302521013</v>
      </c>
      <c r="AP63" s="14">
        <f>SUM(AB63:AM63)</f>
        <v>2689.0756302521013</v>
      </c>
      <c r="AQ63" s="52">
        <f>BO63</f>
        <v>2689.075630252101</v>
      </c>
      <c r="AR63" s="52">
        <f>CC63</f>
        <v>2689.075630252101</v>
      </c>
      <c r="AS63" s="52">
        <f>CQ63</f>
        <v>2689.075630252101</v>
      </c>
      <c r="AT63" s="52">
        <f t="shared" si="210"/>
        <v>2689.075630252101</v>
      </c>
      <c r="AU63" s="52">
        <f t="shared" si="210"/>
        <v>2689.075630252101</v>
      </c>
      <c r="AV63" s="52">
        <f t="shared" si="210"/>
        <v>2689.075630252101</v>
      </c>
      <c r="AW63" s="52">
        <f t="shared" si="210"/>
        <v>2689.075630252101</v>
      </c>
      <c r="AX63" s="52">
        <f t="shared" si="210"/>
        <v>2689.075630252101</v>
      </c>
      <c r="AY63" s="14">
        <f t="shared" si="225"/>
        <v>0</v>
      </c>
      <c r="AZ63" s="14"/>
      <c r="BA63" s="14"/>
      <c r="BB63" s="14"/>
      <c r="BC63" s="14">
        <f t="shared" si="225"/>
        <v>576.2304921968788</v>
      </c>
      <c r="BD63" s="14">
        <f t="shared" si="225"/>
        <v>576.2304921968788</v>
      </c>
      <c r="BE63" s="14">
        <f t="shared" si="225"/>
        <v>192.07683073229293</v>
      </c>
      <c r="BF63" s="14">
        <f t="shared" si="225"/>
        <v>0</v>
      </c>
      <c r="BG63" s="14">
        <f t="shared" si="225"/>
        <v>0</v>
      </c>
      <c r="BH63" s="14">
        <f t="shared" si="225"/>
        <v>0</v>
      </c>
      <c r="BI63" s="14">
        <f t="shared" si="225"/>
        <v>0</v>
      </c>
      <c r="BJ63" s="14">
        <f t="shared" si="225"/>
        <v>0</v>
      </c>
      <c r="BK63" s="14">
        <f t="shared" si="225"/>
        <v>0</v>
      </c>
      <c r="BL63" s="14">
        <f t="shared" si="225"/>
        <v>192.07683073229293</v>
      </c>
      <c r="BM63" s="14">
        <f t="shared" si="225"/>
        <v>576.2304921968788</v>
      </c>
      <c r="BN63" s="14">
        <f t="shared" si="225"/>
        <v>576.2304921968788</v>
      </c>
      <c r="BO63" s="14">
        <f t="shared" si="225"/>
        <v>2689.075630252101</v>
      </c>
      <c r="BP63" s="14"/>
      <c r="BQ63" s="14">
        <f aca="true" t="shared" si="226" ref="BQ63:CQ63">BQ58/Heizwert_Kohle/Wirkungsgrad_Kohlekessel</f>
        <v>576.2304921968788</v>
      </c>
      <c r="BR63" s="14">
        <f t="shared" si="226"/>
        <v>576.2304921968788</v>
      </c>
      <c r="BS63" s="14">
        <f t="shared" si="226"/>
        <v>192.07683073229293</v>
      </c>
      <c r="BT63" s="14">
        <f t="shared" si="226"/>
        <v>0</v>
      </c>
      <c r="BU63" s="14">
        <f t="shared" si="226"/>
        <v>0</v>
      </c>
      <c r="BV63" s="14">
        <f t="shared" si="226"/>
        <v>0</v>
      </c>
      <c r="BW63" s="14">
        <f t="shared" si="226"/>
        <v>0</v>
      </c>
      <c r="BX63" s="14">
        <f t="shared" si="226"/>
        <v>0</v>
      </c>
      <c r="BY63" s="14">
        <f t="shared" si="226"/>
        <v>0</v>
      </c>
      <c r="BZ63" s="14">
        <f t="shared" si="226"/>
        <v>192.07683073229293</v>
      </c>
      <c r="CA63" s="14">
        <f t="shared" si="226"/>
        <v>576.2304921968788</v>
      </c>
      <c r="CB63" s="14">
        <f t="shared" si="226"/>
        <v>576.2304921968788</v>
      </c>
      <c r="CC63" s="14">
        <f t="shared" si="226"/>
        <v>2689.075630252101</v>
      </c>
      <c r="CD63" s="14"/>
      <c r="CE63" s="14">
        <f t="shared" si="226"/>
        <v>576.2304921968788</v>
      </c>
      <c r="CF63" s="14">
        <f t="shared" si="226"/>
        <v>576.2304921968788</v>
      </c>
      <c r="CG63" s="14">
        <f t="shared" si="226"/>
        <v>192.07683073229293</v>
      </c>
      <c r="CH63" s="14">
        <f t="shared" si="226"/>
        <v>0</v>
      </c>
      <c r="CI63" s="14">
        <f t="shared" si="226"/>
        <v>0</v>
      </c>
      <c r="CJ63" s="14">
        <f t="shared" si="226"/>
        <v>0</v>
      </c>
      <c r="CK63" s="14">
        <f t="shared" si="226"/>
        <v>0</v>
      </c>
      <c r="CL63" s="14">
        <f t="shared" si="226"/>
        <v>0</v>
      </c>
      <c r="CM63" s="14">
        <f t="shared" si="226"/>
        <v>0</v>
      </c>
      <c r="CN63" s="14">
        <f t="shared" si="226"/>
        <v>192.07683073229293</v>
      </c>
      <c r="CO63" s="14">
        <f t="shared" si="226"/>
        <v>576.2304921968788</v>
      </c>
      <c r="CP63" s="14">
        <f t="shared" si="226"/>
        <v>576.2304921968788</v>
      </c>
      <c r="CQ63" s="14">
        <f t="shared" si="226"/>
        <v>2689.075630252101</v>
      </c>
    </row>
    <row r="64" spans="1:95" ht="12.75">
      <c r="A64" s="25"/>
      <c r="B64" s="26" t="s">
        <v>186</v>
      </c>
      <c r="C64" s="26" t="s">
        <v>16</v>
      </c>
      <c r="D64" s="14">
        <f aca="true" t="shared" si="227" ref="D64:O64">D58/Wirkungsgrad_Kohlekessel*CO2_Vermeidung_Kohle</f>
        <v>0</v>
      </c>
      <c r="E64" s="14">
        <f t="shared" si="227"/>
        <v>0</v>
      </c>
      <c r="F64" s="14">
        <f t="shared" si="227"/>
        <v>0</v>
      </c>
      <c r="G64" s="14">
        <f t="shared" si="227"/>
        <v>0</v>
      </c>
      <c r="H64" s="14">
        <f t="shared" si="227"/>
        <v>0</v>
      </c>
      <c r="I64" s="14">
        <f t="shared" si="227"/>
        <v>0</v>
      </c>
      <c r="J64" s="14">
        <f t="shared" si="227"/>
        <v>0</v>
      </c>
      <c r="K64" s="14">
        <f t="shared" si="227"/>
        <v>0</v>
      </c>
      <c r="L64" s="14">
        <f t="shared" si="227"/>
        <v>0</v>
      </c>
      <c r="M64" s="14">
        <f t="shared" si="227"/>
        <v>333.64897959183673</v>
      </c>
      <c r="N64" s="14">
        <f t="shared" si="227"/>
        <v>1000.9469387755104</v>
      </c>
      <c r="O64" s="14">
        <f t="shared" si="227"/>
        <v>1000.9469387755104</v>
      </c>
      <c r="P64" s="14">
        <f aca="true" t="shared" si="228" ref="P64:BO64">P58/Wirkungsgrad_Kohlekessel*CO2_Vermeidung_Kohle</f>
        <v>1000.9469387755104</v>
      </c>
      <c r="Q64" s="14">
        <f t="shared" si="228"/>
        <v>1000.9469387755104</v>
      </c>
      <c r="R64" s="14">
        <f t="shared" si="228"/>
        <v>333.64897959183673</v>
      </c>
      <c r="S64" s="14">
        <f t="shared" si="228"/>
        <v>0</v>
      </c>
      <c r="T64" s="14">
        <f t="shared" si="228"/>
        <v>0</v>
      </c>
      <c r="U64" s="14">
        <f t="shared" si="228"/>
        <v>0</v>
      </c>
      <c r="V64" s="14">
        <f t="shared" si="228"/>
        <v>0</v>
      </c>
      <c r="W64" s="14">
        <f t="shared" si="228"/>
        <v>0</v>
      </c>
      <c r="X64" s="14">
        <f t="shared" si="228"/>
        <v>0</v>
      </c>
      <c r="Y64" s="14">
        <f t="shared" si="228"/>
        <v>333.64897959183673</v>
      </c>
      <c r="Z64" s="14">
        <f t="shared" si="228"/>
        <v>1000.9469387755104</v>
      </c>
      <c r="AA64" s="14">
        <f t="shared" si="228"/>
        <v>1000.9469387755104</v>
      </c>
      <c r="AB64" s="14">
        <f t="shared" si="228"/>
        <v>1000.9469387755104</v>
      </c>
      <c r="AC64" s="14">
        <f t="shared" si="228"/>
        <v>1000.9469387755104</v>
      </c>
      <c r="AD64" s="14">
        <f t="shared" si="228"/>
        <v>333.64897959183673</v>
      </c>
      <c r="AE64" s="14">
        <f t="shared" si="228"/>
        <v>0</v>
      </c>
      <c r="AF64" s="14">
        <f t="shared" si="228"/>
        <v>0</v>
      </c>
      <c r="AG64" s="14">
        <f t="shared" si="228"/>
        <v>0</v>
      </c>
      <c r="AH64" s="14">
        <f t="shared" si="228"/>
        <v>0</v>
      </c>
      <c r="AI64" s="14">
        <f t="shared" si="228"/>
        <v>0</v>
      </c>
      <c r="AJ64" s="14">
        <f t="shared" si="228"/>
        <v>0</v>
      </c>
      <c r="AK64" s="14">
        <f t="shared" si="228"/>
        <v>333.64897959183673</v>
      </c>
      <c r="AL64" s="14">
        <f t="shared" si="228"/>
        <v>1000.9469387755104</v>
      </c>
      <c r="AM64" s="14">
        <f t="shared" si="228"/>
        <v>1000.9469387755104</v>
      </c>
      <c r="AN64" s="14">
        <f>SUM(D64:O64)</f>
        <v>2335.5428571428574</v>
      </c>
      <c r="AO64" s="140">
        <f>SUM(P64:AA64)</f>
        <v>4671.085714285715</v>
      </c>
      <c r="AP64" s="14">
        <f>SUM(AB64:AM64)</f>
        <v>4671.085714285715</v>
      </c>
      <c r="AQ64" s="52">
        <f>BO64</f>
        <v>4671.085714285714</v>
      </c>
      <c r="AR64" s="52">
        <f>CC64</f>
        <v>4671.085714285714</v>
      </c>
      <c r="AS64" s="52">
        <f>CQ64</f>
        <v>4671.085714285714</v>
      </c>
      <c r="AT64" s="52">
        <f t="shared" si="210"/>
        <v>4671.085714285714</v>
      </c>
      <c r="AU64" s="52">
        <f t="shared" si="210"/>
        <v>4671.085714285714</v>
      </c>
      <c r="AV64" s="52">
        <f t="shared" si="210"/>
        <v>4671.085714285714</v>
      </c>
      <c r="AW64" s="52">
        <f t="shared" si="210"/>
        <v>4671.085714285714</v>
      </c>
      <c r="AX64" s="52">
        <f t="shared" si="210"/>
        <v>4671.085714285714</v>
      </c>
      <c r="AY64" s="14">
        <f t="shared" si="228"/>
        <v>0</v>
      </c>
      <c r="AZ64" s="14"/>
      <c r="BA64" s="14"/>
      <c r="BB64" s="14"/>
      <c r="BC64" s="14">
        <f t="shared" si="228"/>
        <v>1000.9469387755104</v>
      </c>
      <c r="BD64" s="14">
        <f t="shared" si="228"/>
        <v>1000.9469387755104</v>
      </c>
      <c r="BE64" s="14">
        <f t="shared" si="228"/>
        <v>333.64897959183673</v>
      </c>
      <c r="BF64" s="14">
        <f t="shared" si="228"/>
        <v>0</v>
      </c>
      <c r="BG64" s="14">
        <f t="shared" si="228"/>
        <v>0</v>
      </c>
      <c r="BH64" s="14">
        <f t="shared" si="228"/>
        <v>0</v>
      </c>
      <c r="BI64" s="14">
        <f t="shared" si="228"/>
        <v>0</v>
      </c>
      <c r="BJ64" s="14">
        <f t="shared" si="228"/>
        <v>0</v>
      </c>
      <c r="BK64" s="14">
        <f t="shared" si="228"/>
        <v>0</v>
      </c>
      <c r="BL64" s="14">
        <f t="shared" si="228"/>
        <v>333.64897959183673</v>
      </c>
      <c r="BM64" s="14">
        <f t="shared" si="228"/>
        <v>1000.9469387755104</v>
      </c>
      <c r="BN64" s="14">
        <f t="shared" si="228"/>
        <v>1000.9469387755104</v>
      </c>
      <c r="BO64" s="14">
        <f t="shared" si="228"/>
        <v>4671.085714285714</v>
      </c>
      <c r="BP64" s="14"/>
      <c r="BQ64" s="14">
        <f aca="true" t="shared" si="229" ref="BQ64:CQ64">BQ58/Wirkungsgrad_Kohlekessel*CO2_Vermeidung_Kohle</f>
        <v>1000.9469387755104</v>
      </c>
      <c r="BR64" s="14">
        <f t="shared" si="229"/>
        <v>1000.9469387755104</v>
      </c>
      <c r="BS64" s="14">
        <f t="shared" si="229"/>
        <v>333.64897959183673</v>
      </c>
      <c r="BT64" s="14">
        <f t="shared" si="229"/>
        <v>0</v>
      </c>
      <c r="BU64" s="14">
        <f t="shared" si="229"/>
        <v>0</v>
      </c>
      <c r="BV64" s="14">
        <f t="shared" si="229"/>
        <v>0</v>
      </c>
      <c r="BW64" s="14">
        <f t="shared" si="229"/>
        <v>0</v>
      </c>
      <c r="BX64" s="14">
        <f t="shared" si="229"/>
        <v>0</v>
      </c>
      <c r="BY64" s="14">
        <f t="shared" si="229"/>
        <v>0</v>
      </c>
      <c r="BZ64" s="14">
        <f t="shared" si="229"/>
        <v>333.64897959183673</v>
      </c>
      <c r="CA64" s="14">
        <f t="shared" si="229"/>
        <v>1000.9469387755104</v>
      </c>
      <c r="CB64" s="14">
        <f t="shared" si="229"/>
        <v>1000.9469387755104</v>
      </c>
      <c r="CC64" s="14">
        <f t="shared" si="229"/>
        <v>4671.085714285714</v>
      </c>
      <c r="CD64" s="14"/>
      <c r="CE64" s="14">
        <f t="shared" si="229"/>
        <v>1000.9469387755104</v>
      </c>
      <c r="CF64" s="14">
        <f t="shared" si="229"/>
        <v>1000.9469387755104</v>
      </c>
      <c r="CG64" s="14">
        <f t="shared" si="229"/>
        <v>333.64897959183673</v>
      </c>
      <c r="CH64" s="14">
        <f t="shared" si="229"/>
        <v>0</v>
      </c>
      <c r="CI64" s="14">
        <f t="shared" si="229"/>
        <v>0</v>
      </c>
      <c r="CJ64" s="14">
        <f t="shared" si="229"/>
        <v>0</v>
      </c>
      <c r="CK64" s="14">
        <f t="shared" si="229"/>
        <v>0</v>
      </c>
      <c r="CL64" s="14">
        <f t="shared" si="229"/>
        <v>0</v>
      </c>
      <c r="CM64" s="14">
        <f t="shared" si="229"/>
        <v>0</v>
      </c>
      <c r="CN64" s="14">
        <f t="shared" si="229"/>
        <v>333.64897959183673</v>
      </c>
      <c r="CO64" s="14">
        <f t="shared" si="229"/>
        <v>1000.9469387755104</v>
      </c>
      <c r="CP64" s="14">
        <f t="shared" si="229"/>
        <v>1000.9469387755104</v>
      </c>
      <c r="CQ64" s="14">
        <f t="shared" si="229"/>
        <v>4671.085714285714</v>
      </c>
    </row>
    <row r="65" spans="1:94" ht="12.75">
      <c r="A65" s="4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144"/>
      <c r="AP65" s="47"/>
      <c r="AQ65" s="47"/>
      <c r="AR65" s="47"/>
      <c r="AS65" s="47"/>
      <c r="AT65" s="47"/>
      <c r="AU65" s="47"/>
      <c r="AV65" s="47"/>
      <c r="AW65" s="47"/>
      <c r="AX65" s="48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</row>
    <row r="66" spans="1:94" ht="12.75">
      <c r="A66" s="25" t="s">
        <v>8</v>
      </c>
      <c r="B66" s="34" t="s">
        <v>51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P66" s="26"/>
      <c r="AQ66" s="26"/>
      <c r="AR66" s="26"/>
      <c r="AS66" s="26"/>
      <c r="AT66" s="26"/>
      <c r="AU66" s="26"/>
      <c r="AV66" s="26"/>
      <c r="AW66" s="26"/>
      <c r="AX66" s="27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</row>
    <row r="67" spans="1:95" ht="12.75">
      <c r="A67" s="25"/>
      <c r="B67" s="26" t="s">
        <v>130</v>
      </c>
      <c r="C67" s="26" t="s">
        <v>127</v>
      </c>
      <c r="D67" s="26">
        <f aca="true" t="shared" si="230" ref="D67:O67">D77+D89</f>
        <v>0</v>
      </c>
      <c r="E67" s="26">
        <f t="shared" si="230"/>
        <v>0</v>
      </c>
      <c r="F67" s="26">
        <f t="shared" si="230"/>
        <v>0</v>
      </c>
      <c r="G67" s="26">
        <f t="shared" si="230"/>
        <v>0</v>
      </c>
      <c r="H67" s="26">
        <f t="shared" si="230"/>
        <v>0</v>
      </c>
      <c r="I67" s="26">
        <f t="shared" si="230"/>
        <v>0.4</v>
      </c>
      <c r="J67" s="26">
        <f t="shared" si="230"/>
        <v>0.4</v>
      </c>
      <c r="K67" s="26">
        <f t="shared" si="230"/>
        <v>0.4</v>
      </c>
      <c r="L67" s="26">
        <f t="shared" si="230"/>
        <v>0.4</v>
      </c>
      <c r="M67" s="26">
        <f t="shared" si="230"/>
        <v>0.4</v>
      </c>
      <c r="N67" s="26">
        <f t="shared" si="230"/>
        <v>0.4</v>
      </c>
      <c r="O67" s="26">
        <f t="shared" si="230"/>
        <v>0.4</v>
      </c>
      <c r="P67" s="26">
        <f aca="true" t="shared" si="231" ref="P67:AM67">P77+P89</f>
        <v>0.4</v>
      </c>
      <c r="Q67" s="26">
        <f t="shared" si="231"/>
        <v>0.4</v>
      </c>
      <c r="R67" s="26">
        <f t="shared" si="231"/>
        <v>0.4</v>
      </c>
      <c r="S67" s="26">
        <f t="shared" si="231"/>
        <v>0.4</v>
      </c>
      <c r="T67" s="26">
        <f t="shared" si="231"/>
        <v>0.4</v>
      </c>
      <c r="U67" s="26">
        <f t="shared" si="231"/>
        <v>0.4</v>
      </c>
      <c r="V67" s="26">
        <f t="shared" si="231"/>
        <v>0.4</v>
      </c>
      <c r="W67" s="26">
        <f t="shared" si="231"/>
        <v>0.4</v>
      </c>
      <c r="X67" s="26">
        <f t="shared" si="231"/>
        <v>0.4</v>
      </c>
      <c r="Y67" s="26">
        <f t="shared" si="231"/>
        <v>0.4</v>
      </c>
      <c r="Z67" s="26">
        <f t="shared" si="231"/>
        <v>0.4</v>
      </c>
      <c r="AA67" s="26">
        <f t="shared" si="231"/>
        <v>0.4</v>
      </c>
      <c r="AB67" s="26">
        <f t="shared" si="231"/>
        <v>1.75</v>
      </c>
      <c r="AC67" s="26">
        <f t="shared" si="231"/>
        <v>1.75</v>
      </c>
      <c r="AD67" s="26">
        <f t="shared" si="231"/>
        <v>1.75</v>
      </c>
      <c r="AE67" s="26">
        <f t="shared" si="231"/>
        <v>1.75</v>
      </c>
      <c r="AF67" s="26">
        <f t="shared" si="231"/>
        <v>1.75</v>
      </c>
      <c r="AG67" s="26">
        <f t="shared" si="231"/>
        <v>1.75</v>
      </c>
      <c r="AH67" s="26">
        <f t="shared" si="231"/>
        <v>1.75</v>
      </c>
      <c r="AI67" s="26">
        <f t="shared" si="231"/>
        <v>1.75</v>
      </c>
      <c r="AJ67" s="26">
        <f t="shared" si="231"/>
        <v>1.75</v>
      </c>
      <c r="AK67" s="26">
        <f t="shared" si="231"/>
        <v>1.75</v>
      </c>
      <c r="AL67" s="26">
        <f t="shared" si="231"/>
        <v>1.75</v>
      </c>
      <c r="AM67" s="26">
        <f t="shared" si="231"/>
        <v>1.75</v>
      </c>
      <c r="AN67" s="149">
        <f>AVERAGE(D67:O67)</f>
        <v>0.2333333333333333</v>
      </c>
      <c r="AO67" s="145">
        <f>AVERAGE(P67:AA67)</f>
        <v>0.39999999999999997</v>
      </c>
      <c r="AP67" s="40">
        <f>AVERAGE(AB67:AM67)</f>
        <v>1.75</v>
      </c>
      <c r="AQ67" s="40">
        <f>AQ77+AQ89</f>
        <v>1.7499999999999998</v>
      </c>
      <c r="AR67" s="40">
        <f>AR77+AR89</f>
        <v>1.7499999999999998</v>
      </c>
      <c r="AS67" s="40">
        <f aca="true" t="shared" si="232" ref="AS67:AX67">AS77+AS89</f>
        <v>1.7499999999999998</v>
      </c>
      <c r="AT67" s="40">
        <f t="shared" si="232"/>
        <v>1.7499999999999998</v>
      </c>
      <c r="AU67" s="40">
        <f t="shared" si="232"/>
        <v>1.7499999999999998</v>
      </c>
      <c r="AV67" s="40">
        <f t="shared" si="232"/>
        <v>1.7499999999999998</v>
      </c>
      <c r="AW67" s="40">
        <f t="shared" si="232"/>
        <v>1.7499999999999998</v>
      </c>
      <c r="AX67" s="40">
        <f t="shared" si="232"/>
        <v>1.7499999999999998</v>
      </c>
      <c r="BC67" s="26">
        <f aca="true" t="shared" si="233" ref="BC67:BN67">BC77+BC89</f>
        <v>1.75</v>
      </c>
      <c r="BD67" s="26">
        <f t="shared" si="233"/>
        <v>1.75</v>
      </c>
      <c r="BE67" s="26">
        <f t="shared" si="233"/>
        <v>1.75</v>
      </c>
      <c r="BF67" s="26">
        <f t="shared" si="233"/>
        <v>1.75</v>
      </c>
      <c r="BG67" s="26">
        <f t="shared" si="233"/>
        <v>1.75</v>
      </c>
      <c r="BH67" s="26">
        <f t="shared" si="233"/>
        <v>1.75</v>
      </c>
      <c r="BI67" s="26">
        <f t="shared" si="233"/>
        <v>1.75</v>
      </c>
      <c r="BJ67" s="26">
        <f t="shared" si="233"/>
        <v>1.75</v>
      </c>
      <c r="BK67" s="26">
        <f t="shared" si="233"/>
        <v>1.75</v>
      </c>
      <c r="BL67" s="26">
        <f t="shared" si="233"/>
        <v>1.75</v>
      </c>
      <c r="BM67" s="26">
        <f t="shared" si="233"/>
        <v>1.75</v>
      </c>
      <c r="BN67" s="26">
        <f t="shared" si="233"/>
        <v>1.75</v>
      </c>
      <c r="BO67" s="51">
        <f>AVERAGE(BC67:BN67)</f>
        <v>1.75</v>
      </c>
      <c r="BQ67" s="26">
        <f aca="true" t="shared" si="234" ref="BQ67:CB67">BQ77+BQ89</f>
        <v>1.75</v>
      </c>
      <c r="BR67" s="26">
        <f t="shared" si="234"/>
        <v>1.75</v>
      </c>
      <c r="BS67" s="26">
        <f t="shared" si="234"/>
        <v>1.75</v>
      </c>
      <c r="BT67" s="26">
        <f t="shared" si="234"/>
        <v>1.75</v>
      </c>
      <c r="BU67" s="26">
        <f t="shared" si="234"/>
        <v>1.75</v>
      </c>
      <c r="BV67" s="26">
        <f t="shared" si="234"/>
        <v>1.75</v>
      </c>
      <c r="BW67" s="26">
        <f t="shared" si="234"/>
        <v>1.75</v>
      </c>
      <c r="BX67" s="26">
        <f t="shared" si="234"/>
        <v>1.75</v>
      </c>
      <c r="BY67" s="26">
        <f t="shared" si="234"/>
        <v>1.75</v>
      </c>
      <c r="BZ67" s="26">
        <f t="shared" si="234"/>
        <v>1.75</v>
      </c>
      <c r="CA67" s="26">
        <f t="shared" si="234"/>
        <v>1.75</v>
      </c>
      <c r="CB67" s="26">
        <f t="shared" si="234"/>
        <v>1.75</v>
      </c>
      <c r="CC67" s="51">
        <f>AVERAGE(BQ67:CB67)</f>
        <v>1.75</v>
      </c>
      <c r="CE67" s="26">
        <f aca="true" t="shared" si="235" ref="CE67:CP67">CE77+CE89</f>
        <v>1.75</v>
      </c>
      <c r="CF67" s="26">
        <f t="shared" si="235"/>
        <v>1.75</v>
      </c>
      <c r="CG67" s="26">
        <f t="shared" si="235"/>
        <v>1.75</v>
      </c>
      <c r="CH67" s="26">
        <f t="shared" si="235"/>
        <v>1.75</v>
      </c>
      <c r="CI67" s="26">
        <f t="shared" si="235"/>
        <v>1.75</v>
      </c>
      <c r="CJ67" s="26">
        <f t="shared" si="235"/>
        <v>1.75</v>
      </c>
      <c r="CK67" s="26">
        <f t="shared" si="235"/>
        <v>1.75</v>
      </c>
      <c r="CL67" s="26">
        <f t="shared" si="235"/>
        <v>1.75</v>
      </c>
      <c r="CM67" s="26">
        <f t="shared" si="235"/>
        <v>1.75</v>
      </c>
      <c r="CN67" s="26">
        <f t="shared" si="235"/>
        <v>1.75</v>
      </c>
      <c r="CO67" s="26">
        <f t="shared" si="235"/>
        <v>1.75</v>
      </c>
      <c r="CP67" s="26">
        <f t="shared" si="235"/>
        <v>1.75</v>
      </c>
      <c r="CQ67" s="51">
        <f>AVERAGE(CE67:CP67)</f>
        <v>1.75</v>
      </c>
    </row>
    <row r="68" spans="1:95" ht="12.75">
      <c r="A68" s="25"/>
      <c r="B68" s="26" t="s">
        <v>52</v>
      </c>
      <c r="C68" s="26" t="s">
        <v>20</v>
      </c>
      <c r="D68" s="14">
        <f aca="true" t="shared" si="236" ref="D68:O68">D80+D92</f>
        <v>0</v>
      </c>
      <c r="E68" s="14">
        <f t="shared" si="236"/>
        <v>0</v>
      </c>
      <c r="F68" s="14">
        <f t="shared" si="236"/>
        <v>0</v>
      </c>
      <c r="G68" s="14">
        <f t="shared" si="236"/>
        <v>0</v>
      </c>
      <c r="H68" s="14">
        <f t="shared" si="236"/>
        <v>0</v>
      </c>
      <c r="I68" s="14">
        <f t="shared" si="236"/>
        <v>208000</v>
      </c>
      <c r="J68" s="14">
        <f t="shared" si="236"/>
        <v>208000</v>
      </c>
      <c r="K68" s="14">
        <f t="shared" si="236"/>
        <v>208000</v>
      </c>
      <c r="L68" s="14">
        <f t="shared" si="236"/>
        <v>208000</v>
      </c>
      <c r="M68" s="14">
        <f t="shared" si="236"/>
        <v>208000</v>
      </c>
      <c r="N68" s="14">
        <f t="shared" si="236"/>
        <v>208000</v>
      </c>
      <c r="O68" s="14">
        <f t="shared" si="236"/>
        <v>208000</v>
      </c>
      <c r="P68" s="14">
        <f aca="true" t="shared" si="237" ref="P68:AM68">P80+P92</f>
        <v>208000</v>
      </c>
      <c r="Q68" s="14">
        <f t="shared" si="237"/>
        <v>208000</v>
      </c>
      <c r="R68" s="14">
        <f t="shared" si="237"/>
        <v>208000</v>
      </c>
      <c r="S68" s="14">
        <f t="shared" si="237"/>
        <v>208000</v>
      </c>
      <c r="T68" s="14">
        <f t="shared" si="237"/>
        <v>208000</v>
      </c>
      <c r="U68" s="14">
        <f t="shared" si="237"/>
        <v>208000</v>
      </c>
      <c r="V68" s="14">
        <f t="shared" si="237"/>
        <v>208000</v>
      </c>
      <c r="W68" s="14">
        <f t="shared" si="237"/>
        <v>208000</v>
      </c>
      <c r="X68" s="14">
        <f t="shared" si="237"/>
        <v>208000</v>
      </c>
      <c r="Y68" s="14">
        <f t="shared" si="237"/>
        <v>208000</v>
      </c>
      <c r="Z68" s="14">
        <f t="shared" si="237"/>
        <v>208000</v>
      </c>
      <c r="AA68" s="14">
        <f t="shared" si="237"/>
        <v>208000</v>
      </c>
      <c r="AB68" s="14">
        <f t="shared" si="237"/>
        <v>910000</v>
      </c>
      <c r="AC68" s="14">
        <f t="shared" si="237"/>
        <v>910000</v>
      </c>
      <c r="AD68" s="14">
        <f t="shared" si="237"/>
        <v>910000</v>
      </c>
      <c r="AE68" s="14">
        <f t="shared" si="237"/>
        <v>910000</v>
      </c>
      <c r="AF68" s="14">
        <f t="shared" si="237"/>
        <v>910000</v>
      </c>
      <c r="AG68" s="14">
        <f t="shared" si="237"/>
        <v>910000</v>
      </c>
      <c r="AH68" s="14">
        <f t="shared" si="237"/>
        <v>910000</v>
      </c>
      <c r="AI68" s="14">
        <f t="shared" si="237"/>
        <v>910000</v>
      </c>
      <c r="AJ68" s="14">
        <f t="shared" si="237"/>
        <v>910000</v>
      </c>
      <c r="AK68" s="14">
        <f t="shared" si="237"/>
        <v>910000</v>
      </c>
      <c r="AL68" s="14">
        <f t="shared" si="237"/>
        <v>910000</v>
      </c>
      <c r="AM68" s="14">
        <f t="shared" si="237"/>
        <v>910000</v>
      </c>
      <c r="AN68" s="14">
        <f>SUM(D68:O68)</f>
        <v>1456000</v>
      </c>
      <c r="AO68" s="140">
        <f>SUM(P68:AA68)</f>
        <v>2496000</v>
      </c>
      <c r="AP68" s="14">
        <f>SUM(AB68:AM68)</f>
        <v>10920000</v>
      </c>
      <c r="AQ68" s="14">
        <f>AQ80+AQ92</f>
        <v>10920000</v>
      </c>
      <c r="AR68" s="14">
        <f>AR80+AR92</f>
        <v>10920000</v>
      </c>
      <c r="AS68" s="14">
        <f aca="true" t="shared" si="238" ref="AS68:AX68">AS80+AS92</f>
        <v>10920000</v>
      </c>
      <c r="AT68" s="14">
        <f t="shared" si="238"/>
        <v>10920000</v>
      </c>
      <c r="AU68" s="14">
        <f t="shared" si="238"/>
        <v>10920000</v>
      </c>
      <c r="AV68" s="14">
        <f t="shared" si="238"/>
        <v>10920000</v>
      </c>
      <c r="AW68" s="14">
        <f t="shared" si="238"/>
        <v>10920000</v>
      </c>
      <c r="AX68" s="30">
        <f t="shared" si="238"/>
        <v>10920000</v>
      </c>
      <c r="AY68" s="50">
        <f>SUM(AO68:AX68)/1000</f>
        <v>100776</v>
      </c>
      <c r="BC68" s="14">
        <f aca="true" t="shared" si="239" ref="BC68:BN68">BC80+BC92</f>
        <v>910000</v>
      </c>
      <c r="BD68" s="14">
        <f t="shared" si="239"/>
        <v>910000</v>
      </c>
      <c r="BE68" s="14">
        <f t="shared" si="239"/>
        <v>910000</v>
      </c>
      <c r="BF68" s="14">
        <f t="shared" si="239"/>
        <v>910000</v>
      </c>
      <c r="BG68" s="14">
        <f t="shared" si="239"/>
        <v>910000</v>
      </c>
      <c r="BH68" s="14">
        <f t="shared" si="239"/>
        <v>910000</v>
      </c>
      <c r="BI68" s="14">
        <f t="shared" si="239"/>
        <v>910000</v>
      </c>
      <c r="BJ68" s="14">
        <f t="shared" si="239"/>
        <v>910000</v>
      </c>
      <c r="BK68" s="14">
        <f t="shared" si="239"/>
        <v>910000</v>
      </c>
      <c r="BL68" s="14">
        <f t="shared" si="239"/>
        <v>910000</v>
      </c>
      <c r="BM68" s="14">
        <f t="shared" si="239"/>
        <v>910000</v>
      </c>
      <c r="BN68" s="14">
        <f t="shared" si="239"/>
        <v>910000</v>
      </c>
      <c r="BO68" s="50">
        <f aca="true" t="shared" si="240" ref="BO68:BO74">SUM(BC68:BN68)</f>
        <v>10920000</v>
      </c>
      <c r="BQ68" s="14">
        <f aca="true" t="shared" si="241" ref="BQ68:CB68">BQ80+BQ92</f>
        <v>910000</v>
      </c>
      <c r="BR68" s="14">
        <f t="shared" si="241"/>
        <v>910000</v>
      </c>
      <c r="BS68" s="14">
        <f t="shared" si="241"/>
        <v>910000</v>
      </c>
      <c r="BT68" s="14">
        <f t="shared" si="241"/>
        <v>910000</v>
      </c>
      <c r="BU68" s="14">
        <f t="shared" si="241"/>
        <v>910000</v>
      </c>
      <c r="BV68" s="14">
        <f t="shared" si="241"/>
        <v>910000</v>
      </c>
      <c r="BW68" s="14">
        <f t="shared" si="241"/>
        <v>910000</v>
      </c>
      <c r="BX68" s="14">
        <f t="shared" si="241"/>
        <v>910000</v>
      </c>
      <c r="BY68" s="14">
        <f t="shared" si="241"/>
        <v>910000</v>
      </c>
      <c r="BZ68" s="14">
        <f t="shared" si="241"/>
        <v>910000</v>
      </c>
      <c r="CA68" s="14">
        <f t="shared" si="241"/>
        <v>910000</v>
      </c>
      <c r="CB68" s="14">
        <f t="shared" si="241"/>
        <v>910000</v>
      </c>
      <c r="CC68" s="50">
        <f aca="true" t="shared" si="242" ref="CC68:CC74">SUM(BQ68:CB68)</f>
        <v>10920000</v>
      </c>
      <c r="CE68" s="14">
        <f aca="true" t="shared" si="243" ref="CE68:CP68">CE80+CE92</f>
        <v>910000</v>
      </c>
      <c r="CF68" s="14">
        <f t="shared" si="243"/>
        <v>910000</v>
      </c>
      <c r="CG68" s="14">
        <f t="shared" si="243"/>
        <v>910000</v>
      </c>
      <c r="CH68" s="14">
        <f t="shared" si="243"/>
        <v>910000</v>
      </c>
      <c r="CI68" s="14">
        <f t="shared" si="243"/>
        <v>910000</v>
      </c>
      <c r="CJ68" s="14">
        <f t="shared" si="243"/>
        <v>910000</v>
      </c>
      <c r="CK68" s="14">
        <f t="shared" si="243"/>
        <v>910000</v>
      </c>
      <c r="CL68" s="14">
        <f t="shared" si="243"/>
        <v>910000</v>
      </c>
      <c r="CM68" s="14">
        <f t="shared" si="243"/>
        <v>910000</v>
      </c>
      <c r="CN68" s="14">
        <f t="shared" si="243"/>
        <v>910000</v>
      </c>
      <c r="CO68" s="14">
        <f t="shared" si="243"/>
        <v>910000</v>
      </c>
      <c r="CP68" s="14">
        <f t="shared" si="243"/>
        <v>910000</v>
      </c>
      <c r="CQ68" s="50">
        <f aca="true" t="shared" si="244" ref="CQ68:CQ74">SUM(CE68:CP68)</f>
        <v>10920000</v>
      </c>
    </row>
    <row r="69" spans="1:95" ht="12.75">
      <c r="A69" s="25"/>
      <c r="B69" s="26" t="s">
        <v>48</v>
      </c>
      <c r="C69" s="26" t="s">
        <v>15</v>
      </c>
      <c r="D69" s="14">
        <f aca="true" t="shared" si="245" ref="D69:O69">D81+D93</f>
        <v>0</v>
      </c>
      <c r="E69" s="14">
        <f t="shared" si="245"/>
        <v>0</v>
      </c>
      <c r="F69" s="14">
        <f t="shared" si="245"/>
        <v>0</v>
      </c>
      <c r="G69" s="14">
        <f t="shared" si="245"/>
        <v>0</v>
      </c>
      <c r="H69" s="14">
        <f t="shared" si="245"/>
        <v>0</v>
      </c>
      <c r="I69" s="14">
        <f t="shared" si="245"/>
        <v>57899.366447317145</v>
      </c>
      <c r="J69" s="14">
        <f t="shared" si="245"/>
        <v>57899.366447317145</v>
      </c>
      <c r="K69" s="14">
        <f t="shared" si="245"/>
        <v>57899.366447317145</v>
      </c>
      <c r="L69" s="14">
        <f t="shared" si="245"/>
        <v>57899.366447317145</v>
      </c>
      <c r="M69" s="14">
        <f t="shared" si="245"/>
        <v>57899.366447317145</v>
      </c>
      <c r="N69" s="14">
        <f t="shared" si="245"/>
        <v>57899.366447317145</v>
      </c>
      <c r="O69" s="14">
        <f t="shared" si="245"/>
        <v>57899.366447317145</v>
      </c>
      <c r="P69" s="14">
        <f aca="true" t="shared" si="246" ref="P69:AM69">P81+P93</f>
        <v>57899.366447317145</v>
      </c>
      <c r="Q69" s="14">
        <f t="shared" si="246"/>
        <v>57899.366447317145</v>
      </c>
      <c r="R69" s="14">
        <f t="shared" si="246"/>
        <v>57899.366447317145</v>
      </c>
      <c r="S69" s="14">
        <f t="shared" si="246"/>
        <v>57899.366447317145</v>
      </c>
      <c r="T69" s="14">
        <f t="shared" si="246"/>
        <v>57899.366447317145</v>
      </c>
      <c r="U69" s="14">
        <f t="shared" si="246"/>
        <v>57899.366447317145</v>
      </c>
      <c r="V69" s="14">
        <f t="shared" si="246"/>
        <v>57899.366447317145</v>
      </c>
      <c r="W69" s="14">
        <f t="shared" si="246"/>
        <v>57899.366447317145</v>
      </c>
      <c r="X69" s="14">
        <f t="shared" si="246"/>
        <v>57899.366447317145</v>
      </c>
      <c r="Y69" s="14">
        <f t="shared" si="246"/>
        <v>57899.366447317145</v>
      </c>
      <c r="Z69" s="14">
        <f t="shared" si="246"/>
        <v>57899.366447317145</v>
      </c>
      <c r="AA69" s="14">
        <f t="shared" si="246"/>
        <v>57899.366447317145</v>
      </c>
      <c r="AB69" s="14">
        <f t="shared" si="246"/>
        <v>253309.72820701252</v>
      </c>
      <c r="AC69" s="14">
        <f t="shared" si="246"/>
        <v>253309.72820701252</v>
      </c>
      <c r="AD69" s="14">
        <f t="shared" si="246"/>
        <v>253309.72820701252</v>
      </c>
      <c r="AE69" s="14">
        <f t="shared" si="246"/>
        <v>253309.72820701252</v>
      </c>
      <c r="AF69" s="14">
        <f t="shared" si="246"/>
        <v>253309.72820701252</v>
      </c>
      <c r="AG69" s="14">
        <f t="shared" si="246"/>
        <v>253309.72820701252</v>
      </c>
      <c r="AH69" s="14">
        <f t="shared" si="246"/>
        <v>253309.72820701252</v>
      </c>
      <c r="AI69" s="14">
        <f t="shared" si="246"/>
        <v>253309.72820701252</v>
      </c>
      <c r="AJ69" s="14">
        <f t="shared" si="246"/>
        <v>253309.72820701252</v>
      </c>
      <c r="AK69" s="14">
        <f t="shared" si="246"/>
        <v>253309.72820701252</v>
      </c>
      <c r="AL69" s="14">
        <f t="shared" si="246"/>
        <v>253309.72820701252</v>
      </c>
      <c r="AM69" s="14">
        <f t="shared" si="246"/>
        <v>253309.72820701252</v>
      </c>
      <c r="AN69" s="14">
        <f>SUM(D69:O69)</f>
        <v>405295.56513122</v>
      </c>
      <c r="AO69" s="140">
        <f>SUM(P69:AA69)</f>
        <v>694792.3973678057</v>
      </c>
      <c r="AP69" s="14">
        <f>SUM(AB69:AM69)</f>
        <v>3039716.738484151</v>
      </c>
      <c r="AQ69" s="14">
        <f>AQ81+AQ93</f>
        <v>3039716.7384841503</v>
      </c>
      <c r="AR69" s="14">
        <f>AR81+AR93</f>
        <v>3039716.7384841503</v>
      </c>
      <c r="AS69" s="14">
        <f aca="true" t="shared" si="247" ref="AS69:AX69">AS81+AS93</f>
        <v>3039716.7384841503</v>
      </c>
      <c r="AT69" s="14">
        <f t="shared" si="247"/>
        <v>3039716.7384841503</v>
      </c>
      <c r="AU69" s="14">
        <f t="shared" si="247"/>
        <v>3039716.7384841503</v>
      </c>
      <c r="AV69" s="14">
        <f t="shared" si="247"/>
        <v>3039716.7384841503</v>
      </c>
      <c r="AW69" s="14">
        <f t="shared" si="247"/>
        <v>3039716.7384841503</v>
      </c>
      <c r="AX69" s="30">
        <f t="shared" si="247"/>
        <v>3039716.7384841503</v>
      </c>
      <c r="BC69" s="14">
        <f aca="true" t="shared" si="248" ref="BC69:BN69">BC81+BC93</f>
        <v>253309.72820701252</v>
      </c>
      <c r="BD69" s="14">
        <f t="shared" si="248"/>
        <v>253309.72820701252</v>
      </c>
      <c r="BE69" s="14">
        <f t="shared" si="248"/>
        <v>253309.72820701252</v>
      </c>
      <c r="BF69" s="14">
        <f t="shared" si="248"/>
        <v>253309.72820701252</v>
      </c>
      <c r="BG69" s="14">
        <f t="shared" si="248"/>
        <v>253309.72820701252</v>
      </c>
      <c r="BH69" s="14">
        <f t="shared" si="248"/>
        <v>253309.72820701252</v>
      </c>
      <c r="BI69" s="14">
        <f t="shared" si="248"/>
        <v>253309.72820701252</v>
      </c>
      <c r="BJ69" s="14">
        <f t="shared" si="248"/>
        <v>253309.72820701252</v>
      </c>
      <c r="BK69" s="14">
        <f t="shared" si="248"/>
        <v>253309.72820701252</v>
      </c>
      <c r="BL69" s="14">
        <f t="shared" si="248"/>
        <v>253309.72820701252</v>
      </c>
      <c r="BM69" s="14">
        <f t="shared" si="248"/>
        <v>253309.72820701252</v>
      </c>
      <c r="BN69" s="14">
        <f t="shared" si="248"/>
        <v>253309.72820701252</v>
      </c>
      <c r="BO69" s="50">
        <f t="shared" si="240"/>
        <v>3039716.738484151</v>
      </c>
      <c r="BQ69" s="14">
        <f aca="true" t="shared" si="249" ref="BQ69:CB69">BQ81+BQ93</f>
        <v>253309.72820701252</v>
      </c>
      <c r="BR69" s="14">
        <f t="shared" si="249"/>
        <v>253309.72820701252</v>
      </c>
      <c r="BS69" s="14">
        <f t="shared" si="249"/>
        <v>253309.72820701252</v>
      </c>
      <c r="BT69" s="14">
        <f t="shared" si="249"/>
        <v>253309.72820701252</v>
      </c>
      <c r="BU69" s="14">
        <f t="shared" si="249"/>
        <v>253309.72820701252</v>
      </c>
      <c r="BV69" s="14">
        <f t="shared" si="249"/>
        <v>253309.72820701252</v>
      </c>
      <c r="BW69" s="14">
        <f t="shared" si="249"/>
        <v>253309.72820701252</v>
      </c>
      <c r="BX69" s="14">
        <f t="shared" si="249"/>
        <v>253309.72820701252</v>
      </c>
      <c r="BY69" s="14">
        <f t="shared" si="249"/>
        <v>253309.72820701252</v>
      </c>
      <c r="BZ69" s="14">
        <f t="shared" si="249"/>
        <v>253309.72820701252</v>
      </c>
      <c r="CA69" s="14">
        <f t="shared" si="249"/>
        <v>253309.72820701252</v>
      </c>
      <c r="CB69" s="14">
        <f t="shared" si="249"/>
        <v>253309.72820701252</v>
      </c>
      <c r="CC69" s="50">
        <f t="shared" si="242"/>
        <v>3039716.738484151</v>
      </c>
      <c r="CE69" s="14">
        <f aca="true" t="shared" si="250" ref="CE69:CP69">CE81+CE93</f>
        <v>253309.72820701252</v>
      </c>
      <c r="CF69" s="14">
        <f t="shared" si="250"/>
        <v>253309.72820701252</v>
      </c>
      <c r="CG69" s="14">
        <f t="shared" si="250"/>
        <v>253309.72820701252</v>
      </c>
      <c r="CH69" s="14">
        <f t="shared" si="250"/>
        <v>253309.72820701252</v>
      </c>
      <c r="CI69" s="14">
        <f t="shared" si="250"/>
        <v>253309.72820701252</v>
      </c>
      <c r="CJ69" s="14">
        <f t="shared" si="250"/>
        <v>253309.72820701252</v>
      </c>
      <c r="CK69" s="14">
        <f t="shared" si="250"/>
        <v>253309.72820701252</v>
      </c>
      <c r="CL69" s="14">
        <f t="shared" si="250"/>
        <v>253309.72820701252</v>
      </c>
      <c r="CM69" s="14">
        <f t="shared" si="250"/>
        <v>253309.72820701252</v>
      </c>
      <c r="CN69" s="14">
        <f t="shared" si="250"/>
        <v>253309.72820701252</v>
      </c>
      <c r="CO69" s="14">
        <f t="shared" si="250"/>
        <v>253309.72820701252</v>
      </c>
      <c r="CP69" s="14">
        <f t="shared" si="250"/>
        <v>253309.72820701252</v>
      </c>
      <c r="CQ69" s="50">
        <f t="shared" si="244"/>
        <v>3039716.738484151</v>
      </c>
    </row>
    <row r="70" spans="1:95" ht="12.75">
      <c r="A70" s="25"/>
      <c r="B70" s="26" t="s">
        <v>128</v>
      </c>
      <c r="C70" s="26" t="s">
        <v>16</v>
      </c>
      <c r="D70" s="14">
        <f aca="true" t="shared" si="251" ref="D70:O70">D82+D94</f>
        <v>0</v>
      </c>
      <c r="E70" s="14">
        <f t="shared" si="251"/>
        <v>0</v>
      </c>
      <c r="F70" s="14">
        <f t="shared" si="251"/>
        <v>0</v>
      </c>
      <c r="G70" s="14">
        <f t="shared" si="251"/>
        <v>0</v>
      </c>
      <c r="H70" s="14">
        <f t="shared" si="251"/>
        <v>0</v>
      </c>
      <c r="I70" s="14">
        <f t="shared" si="251"/>
        <v>871.7907605972543</v>
      </c>
      <c r="J70" s="14">
        <f t="shared" si="251"/>
        <v>871.7907605972543</v>
      </c>
      <c r="K70" s="14">
        <f t="shared" si="251"/>
        <v>871.7907605972543</v>
      </c>
      <c r="L70" s="14">
        <f t="shared" si="251"/>
        <v>871.7907605972543</v>
      </c>
      <c r="M70" s="14">
        <f t="shared" si="251"/>
        <v>871.7907605972543</v>
      </c>
      <c r="N70" s="14">
        <f t="shared" si="251"/>
        <v>871.7907605972543</v>
      </c>
      <c r="O70" s="14">
        <f t="shared" si="251"/>
        <v>871.7907605972543</v>
      </c>
      <c r="P70" s="14">
        <f aca="true" t="shared" si="252" ref="P70:AL70">P82+P94</f>
        <v>871.7907605972543</v>
      </c>
      <c r="Q70" s="14">
        <f t="shared" si="252"/>
        <v>871.7907605972543</v>
      </c>
      <c r="R70" s="14">
        <f t="shared" si="252"/>
        <v>871.7907605972543</v>
      </c>
      <c r="S70" s="14">
        <f t="shared" si="252"/>
        <v>871.7907605972543</v>
      </c>
      <c r="T70" s="14">
        <f t="shared" si="252"/>
        <v>871.7907605972543</v>
      </c>
      <c r="U70" s="14">
        <f t="shared" si="252"/>
        <v>871.7907605972543</v>
      </c>
      <c r="V70" s="14">
        <f t="shared" si="252"/>
        <v>871.7907605972543</v>
      </c>
      <c r="W70" s="14">
        <f t="shared" si="252"/>
        <v>871.7907605972543</v>
      </c>
      <c r="X70" s="14">
        <f t="shared" si="252"/>
        <v>871.7907605972543</v>
      </c>
      <c r="Y70" s="14">
        <f t="shared" si="252"/>
        <v>871.7907605972543</v>
      </c>
      <c r="Z70" s="14">
        <f t="shared" si="252"/>
        <v>871.7907605972543</v>
      </c>
      <c r="AA70" s="14">
        <f t="shared" si="252"/>
        <v>871.7907605972543</v>
      </c>
      <c r="AB70" s="14">
        <f t="shared" si="252"/>
        <v>3814.084577612988</v>
      </c>
      <c r="AC70" s="14">
        <f t="shared" si="252"/>
        <v>3814.084577612988</v>
      </c>
      <c r="AD70" s="14">
        <f t="shared" si="252"/>
        <v>3814.084577612988</v>
      </c>
      <c r="AE70" s="14">
        <f t="shared" si="252"/>
        <v>3814.084577612988</v>
      </c>
      <c r="AF70" s="14">
        <f t="shared" si="252"/>
        <v>3814.084577612988</v>
      </c>
      <c r="AG70" s="14">
        <f t="shared" si="252"/>
        <v>3814.084577612988</v>
      </c>
      <c r="AH70" s="14">
        <f t="shared" si="252"/>
        <v>3814.084577612988</v>
      </c>
      <c r="AI70" s="14">
        <f t="shared" si="252"/>
        <v>3814.084577612988</v>
      </c>
      <c r="AJ70" s="14">
        <f t="shared" si="252"/>
        <v>3814.084577612988</v>
      </c>
      <c r="AK70" s="14">
        <f t="shared" si="252"/>
        <v>3814.084577612988</v>
      </c>
      <c r="AL70" s="14">
        <f t="shared" si="252"/>
        <v>3814.084577612988</v>
      </c>
      <c r="AM70" s="14">
        <f>AM82+AM94</f>
        <v>3814.084577612988</v>
      </c>
      <c r="AN70" s="14">
        <f>SUM(D70:O70)</f>
        <v>6102.53532418078</v>
      </c>
      <c r="AO70" s="140">
        <f>SUM(P70:AA70)</f>
        <v>10461.489127167051</v>
      </c>
      <c r="AP70" s="14">
        <f>SUM(AB70:AM70)</f>
        <v>45769.01493135584</v>
      </c>
      <c r="AQ70" s="14">
        <f aca="true" t="shared" si="253" ref="AQ70:AW70">AQ82+AQ94</f>
        <v>45769.01493135584</v>
      </c>
      <c r="AR70" s="14">
        <f t="shared" si="253"/>
        <v>45769.01493135584</v>
      </c>
      <c r="AS70" s="14">
        <f t="shared" si="253"/>
        <v>45769.01493135584</v>
      </c>
      <c r="AT70" s="14">
        <f t="shared" si="253"/>
        <v>45769.01493135584</v>
      </c>
      <c r="AU70" s="14">
        <f t="shared" si="253"/>
        <v>45769.01493135584</v>
      </c>
      <c r="AV70" s="14">
        <f t="shared" si="253"/>
        <v>45769.01493135584</v>
      </c>
      <c r="AW70" s="14">
        <f t="shared" si="253"/>
        <v>45769.01493135584</v>
      </c>
      <c r="AX70" s="14">
        <f>AX82+AX94</f>
        <v>45769.01493135584</v>
      </c>
      <c r="BC70" s="14">
        <f aca="true" t="shared" si="254" ref="BC70:BN70">BC82+BC94</f>
        <v>3814.084577612988</v>
      </c>
      <c r="BD70" s="14">
        <f t="shared" si="254"/>
        <v>3814.084577612988</v>
      </c>
      <c r="BE70" s="14">
        <f t="shared" si="254"/>
        <v>3814.084577612988</v>
      </c>
      <c r="BF70" s="14">
        <f t="shared" si="254"/>
        <v>3814.084577612988</v>
      </c>
      <c r="BG70" s="14">
        <f t="shared" si="254"/>
        <v>3814.084577612988</v>
      </c>
      <c r="BH70" s="14">
        <f t="shared" si="254"/>
        <v>3814.084577612988</v>
      </c>
      <c r="BI70" s="14">
        <f t="shared" si="254"/>
        <v>3814.084577612988</v>
      </c>
      <c r="BJ70" s="14">
        <f t="shared" si="254"/>
        <v>3814.084577612988</v>
      </c>
      <c r="BK70" s="14">
        <f t="shared" si="254"/>
        <v>3814.084577612988</v>
      </c>
      <c r="BL70" s="14">
        <f t="shared" si="254"/>
        <v>3814.084577612988</v>
      </c>
      <c r="BM70" s="14">
        <f t="shared" si="254"/>
        <v>3814.084577612988</v>
      </c>
      <c r="BN70" s="14">
        <f t="shared" si="254"/>
        <v>3814.084577612988</v>
      </c>
      <c r="BO70" s="50">
        <f t="shared" si="240"/>
        <v>45769.01493135584</v>
      </c>
      <c r="BQ70" s="14">
        <f aca="true" t="shared" si="255" ref="BQ70:CB70">BQ82+BQ94</f>
        <v>3814.084577612988</v>
      </c>
      <c r="BR70" s="14">
        <f t="shared" si="255"/>
        <v>3814.084577612988</v>
      </c>
      <c r="BS70" s="14">
        <f t="shared" si="255"/>
        <v>3814.084577612988</v>
      </c>
      <c r="BT70" s="14">
        <f t="shared" si="255"/>
        <v>3814.084577612988</v>
      </c>
      <c r="BU70" s="14">
        <f t="shared" si="255"/>
        <v>3814.084577612988</v>
      </c>
      <c r="BV70" s="14">
        <f t="shared" si="255"/>
        <v>3814.084577612988</v>
      </c>
      <c r="BW70" s="14">
        <f t="shared" si="255"/>
        <v>3814.084577612988</v>
      </c>
      <c r="BX70" s="14">
        <f t="shared" si="255"/>
        <v>3814.084577612988</v>
      </c>
      <c r="BY70" s="14">
        <f t="shared" si="255"/>
        <v>3814.084577612988</v>
      </c>
      <c r="BZ70" s="14">
        <f t="shared" si="255"/>
        <v>3814.084577612988</v>
      </c>
      <c r="CA70" s="14">
        <f t="shared" si="255"/>
        <v>3814.084577612988</v>
      </c>
      <c r="CB70" s="14">
        <f t="shared" si="255"/>
        <v>3814.084577612988</v>
      </c>
      <c r="CC70" s="50">
        <f t="shared" si="242"/>
        <v>45769.01493135584</v>
      </c>
      <c r="CE70" s="14">
        <f aca="true" t="shared" si="256" ref="CE70:CP70">CE82+CE94</f>
        <v>3814.084577612988</v>
      </c>
      <c r="CF70" s="14">
        <f t="shared" si="256"/>
        <v>3814.084577612988</v>
      </c>
      <c r="CG70" s="14">
        <f t="shared" si="256"/>
        <v>3814.084577612988</v>
      </c>
      <c r="CH70" s="14">
        <f t="shared" si="256"/>
        <v>3814.084577612988</v>
      </c>
      <c r="CI70" s="14">
        <f t="shared" si="256"/>
        <v>3814.084577612988</v>
      </c>
      <c r="CJ70" s="14">
        <f t="shared" si="256"/>
        <v>3814.084577612988</v>
      </c>
      <c r="CK70" s="14">
        <f t="shared" si="256"/>
        <v>3814.084577612988</v>
      </c>
      <c r="CL70" s="14">
        <f t="shared" si="256"/>
        <v>3814.084577612988</v>
      </c>
      <c r="CM70" s="14">
        <f t="shared" si="256"/>
        <v>3814.084577612988</v>
      </c>
      <c r="CN70" s="14">
        <f t="shared" si="256"/>
        <v>3814.084577612988</v>
      </c>
      <c r="CO70" s="14">
        <f t="shared" si="256"/>
        <v>3814.084577612988</v>
      </c>
      <c r="CP70" s="14">
        <f t="shared" si="256"/>
        <v>3814.084577612988</v>
      </c>
      <c r="CQ70" s="50">
        <f t="shared" si="244"/>
        <v>45769.01493135584</v>
      </c>
    </row>
    <row r="71" spans="1:95" ht="12.75">
      <c r="A71" s="25"/>
      <c r="B71" s="26" t="s">
        <v>129</v>
      </c>
      <c r="C71" s="26" t="s">
        <v>16</v>
      </c>
      <c r="D71" s="14">
        <f aca="true" t="shared" si="257" ref="D71:O71">D83+D95</f>
        <v>0</v>
      </c>
      <c r="E71" s="14">
        <f t="shared" si="257"/>
        <v>0</v>
      </c>
      <c r="F71" s="14">
        <f t="shared" si="257"/>
        <v>0</v>
      </c>
      <c r="G71" s="14">
        <f t="shared" si="257"/>
        <v>0</v>
      </c>
      <c r="H71" s="14">
        <f t="shared" si="257"/>
        <v>0</v>
      </c>
      <c r="I71" s="14">
        <f t="shared" si="257"/>
        <v>144.56</v>
      </c>
      <c r="J71" s="14">
        <f t="shared" si="257"/>
        <v>144.56</v>
      </c>
      <c r="K71" s="14">
        <f t="shared" si="257"/>
        <v>144.56</v>
      </c>
      <c r="L71" s="14">
        <f t="shared" si="257"/>
        <v>144.56</v>
      </c>
      <c r="M71" s="14">
        <f t="shared" si="257"/>
        <v>144.56</v>
      </c>
      <c r="N71" s="14">
        <f t="shared" si="257"/>
        <v>144.56</v>
      </c>
      <c r="O71" s="14">
        <f t="shared" si="257"/>
        <v>144.56</v>
      </c>
      <c r="P71" s="14">
        <f aca="true" t="shared" si="258" ref="P71:AM71">P83+P95</f>
        <v>144.56</v>
      </c>
      <c r="Q71" s="14">
        <f t="shared" si="258"/>
        <v>144.56</v>
      </c>
      <c r="R71" s="14">
        <f t="shared" si="258"/>
        <v>144.56</v>
      </c>
      <c r="S71" s="14">
        <f t="shared" si="258"/>
        <v>144.56</v>
      </c>
      <c r="T71" s="14">
        <f t="shared" si="258"/>
        <v>144.56</v>
      </c>
      <c r="U71" s="14">
        <f t="shared" si="258"/>
        <v>144.56</v>
      </c>
      <c r="V71" s="14">
        <f t="shared" si="258"/>
        <v>144.56</v>
      </c>
      <c r="W71" s="14">
        <f t="shared" si="258"/>
        <v>144.56</v>
      </c>
      <c r="X71" s="14">
        <f t="shared" si="258"/>
        <v>144.56</v>
      </c>
      <c r="Y71" s="14">
        <f t="shared" si="258"/>
        <v>144.56</v>
      </c>
      <c r="Z71" s="14">
        <f t="shared" si="258"/>
        <v>144.56</v>
      </c>
      <c r="AA71" s="14">
        <f t="shared" si="258"/>
        <v>144.56</v>
      </c>
      <c r="AB71" s="14">
        <f t="shared" si="258"/>
        <v>618.8</v>
      </c>
      <c r="AC71" s="14">
        <f t="shared" si="258"/>
        <v>618.8</v>
      </c>
      <c r="AD71" s="14">
        <f t="shared" si="258"/>
        <v>618.8</v>
      </c>
      <c r="AE71" s="14">
        <f t="shared" si="258"/>
        <v>618.8</v>
      </c>
      <c r="AF71" s="14">
        <f t="shared" si="258"/>
        <v>618.8</v>
      </c>
      <c r="AG71" s="14">
        <f t="shared" si="258"/>
        <v>618.8</v>
      </c>
      <c r="AH71" s="14">
        <f t="shared" si="258"/>
        <v>618.8</v>
      </c>
      <c r="AI71" s="14">
        <f t="shared" si="258"/>
        <v>618.8</v>
      </c>
      <c r="AJ71" s="14">
        <f t="shared" si="258"/>
        <v>618.8</v>
      </c>
      <c r="AK71" s="14">
        <f t="shared" si="258"/>
        <v>618.8</v>
      </c>
      <c r="AL71" s="14">
        <f t="shared" si="258"/>
        <v>618.8</v>
      </c>
      <c r="AM71" s="14">
        <f t="shared" si="258"/>
        <v>618.8</v>
      </c>
      <c r="AN71" s="14">
        <f>SUM(D71:O71)</f>
        <v>1011.9199999999998</v>
      </c>
      <c r="AO71" s="140">
        <f>SUM(P71:AA71)</f>
        <v>1734.7199999999996</v>
      </c>
      <c r="AP71" s="14">
        <f>SUM(AB71:AM71)</f>
        <v>7425.600000000001</v>
      </c>
      <c r="AQ71" s="14">
        <f aca="true" t="shared" si="259" ref="AQ71:AW71">AQ83+AQ95</f>
        <v>7272.720000000001</v>
      </c>
      <c r="AR71" s="14">
        <f t="shared" si="259"/>
        <v>7108.920000000001</v>
      </c>
      <c r="AS71" s="14">
        <f t="shared" si="259"/>
        <v>6945.119999999998</v>
      </c>
      <c r="AT71" s="14">
        <f t="shared" si="259"/>
        <v>6945.119999999998</v>
      </c>
      <c r="AU71" s="14">
        <f t="shared" si="259"/>
        <v>6945.119999999998</v>
      </c>
      <c r="AV71" s="14">
        <f t="shared" si="259"/>
        <v>6945.119999999998</v>
      </c>
      <c r="AW71" s="14">
        <f t="shared" si="259"/>
        <v>6945.119999999998</v>
      </c>
      <c r="AX71" s="14">
        <f>AX83+AX95</f>
        <v>6945.119999999998</v>
      </c>
      <c r="BC71" s="14">
        <f aca="true" t="shared" si="260" ref="BC71:BN71">BC83+BC95</f>
        <v>606.0600000000001</v>
      </c>
      <c r="BD71" s="14">
        <f t="shared" si="260"/>
        <v>606.0600000000001</v>
      </c>
      <c r="BE71" s="14">
        <f t="shared" si="260"/>
        <v>606.0600000000001</v>
      </c>
      <c r="BF71" s="14">
        <f t="shared" si="260"/>
        <v>606.0600000000001</v>
      </c>
      <c r="BG71" s="14">
        <f t="shared" si="260"/>
        <v>606.0600000000001</v>
      </c>
      <c r="BH71" s="14">
        <f t="shared" si="260"/>
        <v>606.0600000000001</v>
      </c>
      <c r="BI71" s="14">
        <f t="shared" si="260"/>
        <v>606.0600000000001</v>
      </c>
      <c r="BJ71" s="14">
        <f t="shared" si="260"/>
        <v>606.0600000000001</v>
      </c>
      <c r="BK71" s="14">
        <f t="shared" si="260"/>
        <v>606.0600000000001</v>
      </c>
      <c r="BL71" s="14">
        <f t="shared" si="260"/>
        <v>606.0600000000001</v>
      </c>
      <c r="BM71" s="14">
        <f t="shared" si="260"/>
        <v>606.0600000000001</v>
      </c>
      <c r="BN71" s="14">
        <f t="shared" si="260"/>
        <v>606.0600000000001</v>
      </c>
      <c r="BO71" s="50">
        <f t="shared" si="240"/>
        <v>7272.720000000002</v>
      </c>
      <c r="BQ71" s="14">
        <f aca="true" t="shared" si="261" ref="BQ71:CB71">BQ83+BQ95</f>
        <v>592.4100000000001</v>
      </c>
      <c r="BR71" s="14">
        <f t="shared" si="261"/>
        <v>592.4100000000001</v>
      </c>
      <c r="BS71" s="14">
        <f t="shared" si="261"/>
        <v>592.4100000000001</v>
      </c>
      <c r="BT71" s="14">
        <f t="shared" si="261"/>
        <v>592.4100000000001</v>
      </c>
      <c r="BU71" s="14">
        <f t="shared" si="261"/>
        <v>592.4100000000001</v>
      </c>
      <c r="BV71" s="14">
        <f t="shared" si="261"/>
        <v>592.4100000000001</v>
      </c>
      <c r="BW71" s="14">
        <f t="shared" si="261"/>
        <v>592.4100000000001</v>
      </c>
      <c r="BX71" s="14">
        <f t="shared" si="261"/>
        <v>592.4100000000001</v>
      </c>
      <c r="BY71" s="14">
        <f t="shared" si="261"/>
        <v>592.4100000000001</v>
      </c>
      <c r="BZ71" s="14">
        <f t="shared" si="261"/>
        <v>592.4100000000001</v>
      </c>
      <c r="CA71" s="14">
        <f t="shared" si="261"/>
        <v>592.4100000000001</v>
      </c>
      <c r="CB71" s="14">
        <f t="shared" si="261"/>
        <v>592.4100000000001</v>
      </c>
      <c r="CC71" s="50">
        <f t="shared" si="242"/>
        <v>7108.919999999999</v>
      </c>
      <c r="CE71" s="14">
        <f aca="true" t="shared" si="262" ref="CE71:CP71">CE83+CE95</f>
        <v>578.76</v>
      </c>
      <c r="CF71" s="14">
        <f t="shared" si="262"/>
        <v>578.76</v>
      </c>
      <c r="CG71" s="14">
        <f t="shared" si="262"/>
        <v>578.76</v>
      </c>
      <c r="CH71" s="14">
        <f t="shared" si="262"/>
        <v>578.76</v>
      </c>
      <c r="CI71" s="14">
        <f t="shared" si="262"/>
        <v>578.76</v>
      </c>
      <c r="CJ71" s="14">
        <f t="shared" si="262"/>
        <v>578.76</v>
      </c>
      <c r="CK71" s="14">
        <f t="shared" si="262"/>
        <v>578.76</v>
      </c>
      <c r="CL71" s="14">
        <f t="shared" si="262"/>
        <v>578.76</v>
      </c>
      <c r="CM71" s="14">
        <f t="shared" si="262"/>
        <v>578.76</v>
      </c>
      <c r="CN71" s="14">
        <f t="shared" si="262"/>
        <v>578.76</v>
      </c>
      <c r="CO71" s="14">
        <f t="shared" si="262"/>
        <v>578.76</v>
      </c>
      <c r="CP71" s="14">
        <f t="shared" si="262"/>
        <v>578.76</v>
      </c>
      <c r="CQ71" s="50">
        <f t="shared" si="244"/>
        <v>6945.120000000002</v>
      </c>
    </row>
    <row r="72" spans="1:95" ht="12.75">
      <c r="A72" s="25"/>
      <c r="B72" s="26" t="s">
        <v>123</v>
      </c>
      <c r="C72" s="26" t="s">
        <v>16</v>
      </c>
      <c r="D72" s="14">
        <f aca="true" t="shared" si="263" ref="D72:O72">D86+D98</f>
        <v>0</v>
      </c>
      <c r="E72" s="14">
        <f t="shared" si="263"/>
        <v>0</v>
      </c>
      <c r="F72" s="14">
        <f t="shared" si="263"/>
        <v>0</v>
      </c>
      <c r="G72" s="14">
        <f t="shared" si="263"/>
        <v>0</v>
      </c>
      <c r="H72" s="14">
        <f t="shared" si="263"/>
        <v>0</v>
      </c>
      <c r="I72" s="14">
        <f t="shared" si="263"/>
        <v>114.1630757924976</v>
      </c>
      <c r="J72" s="14">
        <f t="shared" si="263"/>
        <v>114.1630757924976</v>
      </c>
      <c r="K72" s="14">
        <f t="shared" si="263"/>
        <v>114.1630757924976</v>
      </c>
      <c r="L72" s="14">
        <f t="shared" si="263"/>
        <v>114.1630757924976</v>
      </c>
      <c r="M72" s="14">
        <f t="shared" si="263"/>
        <v>114.1630757924976</v>
      </c>
      <c r="N72" s="14">
        <f t="shared" si="263"/>
        <v>114.1630757924976</v>
      </c>
      <c r="O72" s="14">
        <f t="shared" si="263"/>
        <v>114.1630757924976</v>
      </c>
      <c r="P72" s="14">
        <f aca="true" t="shared" si="264" ref="P72:AM72">P86+P98</f>
        <v>114.1630757924976</v>
      </c>
      <c r="Q72" s="14">
        <f t="shared" si="264"/>
        <v>114.1630757924976</v>
      </c>
      <c r="R72" s="14">
        <f t="shared" si="264"/>
        <v>114.1630757924976</v>
      </c>
      <c r="S72" s="14">
        <f t="shared" si="264"/>
        <v>114.1630757924976</v>
      </c>
      <c r="T72" s="14">
        <f t="shared" si="264"/>
        <v>114.1630757924976</v>
      </c>
      <c r="U72" s="14">
        <f t="shared" si="264"/>
        <v>114.1630757924976</v>
      </c>
      <c r="V72" s="14">
        <f t="shared" si="264"/>
        <v>114.1630757924976</v>
      </c>
      <c r="W72" s="14">
        <f t="shared" si="264"/>
        <v>114.1630757924976</v>
      </c>
      <c r="X72" s="14">
        <f t="shared" si="264"/>
        <v>114.1630757924976</v>
      </c>
      <c r="Y72" s="14">
        <f t="shared" si="264"/>
        <v>114.1630757924976</v>
      </c>
      <c r="Z72" s="14">
        <f t="shared" si="264"/>
        <v>114.1630757924976</v>
      </c>
      <c r="AA72" s="14">
        <f t="shared" si="264"/>
        <v>114.1630757924976</v>
      </c>
      <c r="AB72" s="14">
        <f t="shared" si="264"/>
        <v>499.46345659217695</v>
      </c>
      <c r="AC72" s="14">
        <f t="shared" si="264"/>
        <v>499.46345659217695</v>
      </c>
      <c r="AD72" s="14">
        <f t="shared" si="264"/>
        <v>499.46345659217695</v>
      </c>
      <c r="AE72" s="14">
        <f t="shared" si="264"/>
        <v>499.46345659217695</v>
      </c>
      <c r="AF72" s="14">
        <f t="shared" si="264"/>
        <v>499.46345659217695</v>
      </c>
      <c r="AG72" s="14">
        <f t="shared" si="264"/>
        <v>499.46345659217695</v>
      </c>
      <c r="AH72" s="14">
        <f t="shared" si="264"/>
        <v>499.46345659217695</v>
      </c>
      <c r="AI72" s="14">
        <f t="shared" si="264"/>
        <v>499.46345659217695</v>
      </c>
      <c r="AJ72" s="14">
        <f t="shared" si="264"/>
        <v>499.46345659217695</v>
      </c>
      <c r="AK72" s="14">
        <f t="shared" si="264"/>
        <v>499.46345659217695</v>
      </c>
      <c r="AL72" s="14">
        <f t="shared" si="264"/>
        <v>499.46345659217695</v>
      </c>
      <c r="AM72" s="14">
        <f t="shared" si="264"/>
        <v>499.46345659217695</v>
      </c>
      <c r="AN72" s="14">
        <f>SUM(D72:O72)</f>
        <v>799.1415305474832</v>
      </c>
      <c r="AO72" s="140">
        <f>SUM(P72:AA72)</f>
        <v>1369.9569095099714</v>
      </c>
      <c r="AP72" s="14">
        <f>SUM(AB72:AM72)</f>
        <v>5993.561479106123</v>
      </c>
      <c r="AQ72" s="14">
        <f>AQ86+AQ98</f>
        <v>5993.561479106123</v>
      </c>
      <c r="AR72" s="14">
        <f>AR86+AR98</f>
        <v>5993.561479106123</v>
      </c>
      <c r="AS72" s="14">
        <f aca="true" t="shared" si="265" ref="AS72:AX72">AS86+AS98</f>
        <v>5993.561479106123</v>
      </c>
      <c r="AT72" s="14">
        <f t="shared" si="265"/>
        <v>5993.561479106123</v>
      </c>
      <c r="AU72" s="14">
        <f t="shared" si="265"/>
        <v>5993.561479106123</v>
      </c>
      <c r="AV72" s="14">
        <f t="shared" si="265"/>
        <v>5993.561479106123</v>
      </c>
      <c r="AW72" s="14">
        <f t="shared" si="265"/>
        <v>5993.561479106123</v>
      </c>
      <c r="AX72" s="30">
        <f t="shared" si="265"/>
        <v>5993.561479106123</v>
      </c>
      <c r="BC72" s="14">
        <f aca="true" t="shared" si="266" ref="BC72:BN72">BC86+BC98</f>
        <v>499.46345659217695</v>
      </c>
      <c r="BD72" s="14">
        <f t="shared" si="266"/>
        <v>499.46345659217695</v>
      </c>
      <c r="BE72" s="14">
        <f t="shared" si="266"/>
        <v>499.46345659217695</v>
      </c>
      <c r="BF72" s="14">
        <f t="shared" si="266"/>
        <v>499.46345659217695</v>
      </c>
      <c r="BG72" s="14">
        <f t="shared" si="266"/>
        <v>499.46345659217695</v>
      </c>
      <c r="BH72" s="14">
        <f t="shared" si="266"/>
        <v>499.46345659217695</v>
      </c>
      <c r="BI72" s="14">
        <f t="shared" si="266"/>
        <v>499.46345659217695</v>
      </c>
      <c r="BJ72" s="14">
        <f t="shared" si="266"/>
        <v>499.46345659217695</v>
      </c>
      <c r="BK72" s="14">
        <f t="shared" si="266"/>
        <v>499.46345659217695</v>
      </c>
      <c r="BL72" s="14">
        <f t="shared" si="266"/>
        <v>499.46345659217695</v>
      </c>
      <c r="BM72" s="14">
        <f t="shared" si="266"/>
        <v>499.46345659217695</v>
      </c>
      <c r="BN72" s="14">
        <f t="shared" si="266"/>
        <v>499.46345659217695</v>
      </c>
      <c r="BO72" s="50">
        <f t="shared" si="240"/>
        <v>5993.561479106123</v>
      </c>
      <c r="BQ72" s="14">
        <f aca="true" t="shared" si="267" ref="BQ72:CB72">BQ86+BQ98</f>
        <v>499.46345659217695</v>
      </c>
      <c r="BR72" s="14">
        <f t="shared" si="267"/>
        <v>499.46345659217695</v>
      </c>
      <c r="BS72" s="14">
        <f t="shared" si="267"/>
        <v>499.46345659217695</v>
      </c>
      <c r="BT72" s="14">
        <f t="shared" si="267"/>
        <v>499.46345659217695</v>
      </c>
      <c r="BU72" s="14">
        <f t="shared" si="267"/>
        <v>499.46345659217695</v>
      </c>
      <c r="BV72" s="14">
        <f t="shared" si="267"/>
        <v>499.46345659217695</v>
      </c>
      <c r="BW72" s="14">
        <f t="shared" si="267"/>
        <v>499.46345659217695</v>
      </c>
      <c r="BX72" s="14">
        <f t="shared" si="267"/>
        <v>499.46345659217695</v>
      </c>
      <c r="BY72" s="14">
        <f t="shared" si="267"/>
        <v>499.46345659217695</v>
      </c>
      <c r="BZ72" s="14">
        <f t="shared" si="267"/>
        <v>499.46345659217695</v>
      </c>
      <c r="CA72" s="14">
        <f t="shared" si="267"/>
        <v>499.46345659217695</v>
      </c>
      <c r="CB72" s="14">
        <f t="shared" si="267"/>
        <v>499.46345659217695</v>
      </c>
      <c r="CC72" s="50">
        <f t="shared" si="242"/>
        <v>5993.561479106123</v>
      </c>
      <c r="CE72" s="14">
        <f aca="true" t="shared" si="268" ref="CE72:CP72">CE86+CE98</f>
        <v>499.46345659217695</v>
      </c>
      <c r="CF72" s="14">
        <f t="shared" si="268"/>
        <v>499.46345659217695</v>
      </c>
      <c r="CG72" s="14">
        <f t="shared" si="268"/>
        <v>499.46345659217695</v>
      </c>
      <c r="CH72" s="14">
        <f t="shared" si="268"/>
        <v>499.46345659217695</v>
      </c>
      <c r="CI72" s="14">
        <f t="shared" si="268"/>
        <v>499.46345659217695</v>
      </c>
      <c r="CJ72" s="14">
        <f t="shared" si="268"/>
        <v>499.46345659217695</v>
      </c>
      <c r="CK72" s="14">
        <f t="shared" si="268"/>
        <v>499.46345659217695</v>
      </c>
      <c r="CL72" s="14">
        <f t="shared" si="268"/>
        <v>499.46345659217695</v>
      </c>
      <c r="CM72" s="14">
        <f t="shared" si="268"/>
        <v>499.46345659217695</v>
      </c>
      <c r="CN72" s="14">
        <f t="shared" si="268"/>
        <v>499.46345659217695</v>
      </c>
      <c r="CO72" s="14">
        <f t="shared" si="268"/>
        <v>499.46345659217695</v>
      </c>
      <c r="CP72" s="14">
        <f t="shared" si="268"/>
        <v>499.46345659217695</v>
      </c>
      <c r="CQ72" s="50">
        <f t="shared" si="244"/>
        <v>5993.561479106123</v>
      </c>
    </row>
    <row r="73" spans="1:95" ht="12.75">
      <c r="A73" s="25"/>
      <c r="B73" s="51" t="s">
        <v>99</v>
      </c>
      <c r="C73" s="26" t="s">
        <v>16</v>
      </c>
      <c r="D73" s="14">
        <f aca="true" t="shared" si="269" ref="D73:O73">D85+D97</f>
        <v>0</v>
      </c>
      <c r="E73" s="14">
        <f t="shared" si="269"/>
        <v>0</v>
      </c>
      <c r="F73" s="14">
        <f t="shared" si="269"/>
        <v>0</v>
      </c>
      <c r="G73" s="14">
        <f t="shared" si="269"/>
        <v>0</v>
      </c>
      <c r="H73" s="14">
        <f t="shared" si="269"/>
        <v>0</v>
      </c>
      <c r="I73" s="14">
        <f t="shared" si="269"/>
        <v>5.0596000000000005</v>
      </c>
      <c r="J73" s="14">
        <f t="shared" si="269"/>
        <v>5.0596000000000005</v>
      </c>
      <c r="K73" s="14">
        <f t="shared" si="269"/>
        <v>5.0596000000000005</v>
      </c>
      <c r="L73" s="14">
        <f t="shared" si="269"/>
        <v>5.0596000000000005</v>
      </c>
      <c r="M73" s="14">
        <f t="shared" si="269"/>
        <v>5.0596000000000005</v>
      </c>
      <c r="N73" s="14">
        <f t="shared" si="269"/>
        <v>5.0596000000000005</v>
      </c>
      <c r="O73" s="14">
        <f t="shared" si="269"/>
        <v>5.0596000000000005</v>
      </c>
      <c r="P73" s="14">
        <f aca="true" t="shared" si="270" ref="P73:BO73">P85+P97</f>
        <v>5.0596000000000005</v>
      </c>
      <c r="Q73" s="14">
        <f t="shared" si="270"/>
        <v>5.0596000000000005</v>
      </c>
      <c r="R73" s="14">
        <f t="shared" si="270"/>
        <v>5.0596000000000005</v>
      </c>
      <c r="S73" s="14">
        <f t="shared" si="270"/>
        <v>5.0596000000000005</v>
      </c>
      <c r="T73" s="14">
        <f t="shared" si="270"/>
        <v>5.0596000000000005</v>
      </c>
      <c r="U73" s="14">
        <f t="shared" si="270"/>
        <v>5.0596000000000005</v>
      </c>
      <c r="V73" s="14">
        <f t="shared" si="270"/>
        <v>5.0596000000000005</v>
      </c>
      <c r="W73" s="14">
        <f t="shared" si="270"/>
        <v>5.0596000000000005</v>
      </c>
      <c r="X73" s="14">
        <f t="shared" si="270"/>
        <v>5.0596000000000005</v>
      </c>
      <c r="Y73" s="14">
        <f t="shared" si="270"/>
        <v>5.0596000000000005</v>
      </c>
      <c r="Z73" s="14">
        <f t="shared" si="270"/>
        <v>5.0596000000000005</v>
      </c>
      <c r="AA73" s="14">
        <f t="shared" si="270"/>
        <v>5.0596000000000005</v>
      </c>
      <c r="AB73" s="14">
        <f t="shared" si="270"/>
        <v>21.658000000000005</v>
      </c>
      <c r="AC73" s="14">
        <f t="shared" si="270"/>
        <v>21.658000000000005</v>
      </c>
      <c r="AD73" s="14">
        <f t="shared" si="270"/>
        <v>21.658000000000005</v>
      </c>
      <c r="AE73" s="14">
        <f t="shared" si="270"/>
        <v>21.658000000000005</v>
      </c>
      <c r="AF73" s="14">
        <f t="shared" si="270"/>
        <v>21.658000000000005</v>
      </c>
      <c r="AG73" s="14">
        <f t="shared" si="270"/>
        <v>21.658000000000005</v>
      </c>
      <c r="AH73" s="14">
        <f t="shared" si="270"/>
        <v>21.658000000000005</v>
      </c>
      <c r="AI73" s="14">
        <f t="shared" si="270"/>
        <v>21.658000000000005</v>
      </c>
      <c r="AJ73" s="14">
        <f t="shared" si="270"/>
        <v>21.658000000000005</v>
      </c>
      <c r="AK73" s="14">
        <f t="shared" si="270"/>
        <v>21.658000000000005</v>
      </c>
      <c r="AL73" s="14">
        <f t="shared" si="270"/>
        <v>21.658000000000005</v>
      </c>
      <c r="AM73" s="14">
        <f t="shared" si="270"/>
        <v>21.658000000000005</v>
      </c>
      <c r="AN73" s="14">
        <f>AN85+AN97</f>
        <v>35.4172</v>
      </c>
      <c r="AO73" s="140">
        <f t="shared" si="270"/>
        <v>60.71520000000002</v>
      </c>
      <c r="AP73" s="14">
        <f t="shared" si="270"/>
        <v>259.8960000000001</v>
      </c>
      <c r="AQ73" s="14">
        <f t="shared" si="270"/>
        <v>254.54520000000002</v>
      </c>
      <c r="AR73" s="14">
        <f t="shared" si="270"/>
        <v>248.81220000000002</v>
      </c>
      <c r="AS73" s="14">
        <f t="shared" si="270"/>
        <v>243.07920000000001</v>
      </c>
      <c r="AT73" s="14">
        <f t="shared" si="270"/>
        <v>243.07920000000001</v>
      </c>
      <c r="AU73" s="14">
        <f t="shared" si="270"/>
        <v>243.07920000000001</v>
      </c>
      <c r="AV73" s="14">
        <f t="shared" si="270"/>
        <v>243.07920000000001</v>
      </c>
      <c r="AW73" s="14">
        <f t="shared" si="270"/>
        <v>243.07920000000001</v>
      </c>
      <c r="AX73" s="14">
        <f t="shared" si="270"/>
        <v>243.07920000000001</v>
      </c>
      <c r="AY73" s="14"/>
      <c r="AZ73" s="14"/>
      <c r="BA73" s="14"/>
      <c r="BB73" s="14"/>
      <c r="BC73" s="14">
        <f t="shared" si="270"/>
        <v>21.212100000000007</v>
      </c>
      <c r="BD73" s="14">
        <f t="shared" si="270"/>
        <v>21.212100000000007</v>
      </c>
      <c r="BE73" s="14">
        <f t="shared" si="270"/>
        <v>21.212100000000007</v>
      </c>
      <c r="BF73" s="14">
        <f t="shared" si="270"/>
        <v>21.212100000000007</v>
      </c>
      <c r="BG73" s="14">
        <f t="shared" si="270"/>
        <v>21.212100000000007</v>
      </c>
      <c r="BH73" s="14">
        <f t="shared" si="270"/>
        <v>21.212100000000007</v>
      </c>
      <c r="BI73" s="14">
        <f>BI85+BI97</f>
        <v>21.212100000000007</v>
      </c>
      <c r="BJ73" s="14">
        <f t="shared" si="270"/>
        <v>21.212100000000007</v>
      </c>
      <c r="BK73" s="14">
        <f t="shared" si="270"/>
        <v>21.212100000000007</v>
      </c>
      <c r="BL73" s="14">
        <f t="shared" si="270"/>
        <v>21.212100000000007</v>
      </c>
      <c r="BM73" s="14">
        <f t="shared" si="270"/>
        <v>21.212100000000007</v>
      </c>
      <c r="BN73" s="14">
        <f t="shared" si="270"/>
        <v>21.212100000000007</v>
      </c>
      <c r="BO73" s="14">
        <f t="shared" si="270"/>
        <v>254.54520000000002</v>
      </c>
      <c r="BP73" s="14"/>
      <c r="BQ73" s="14">
        <f aca="true" t="shared" si="271" ref="BQ73:CQ73">BQ85+BQ97</f>
        <v>20.734350000000006</v>
      </c>
      <c r="BR73" s="14">
        <f t="shared" si="271"/>
        <v>20.734350000000006</v>
      </c>
      <c r="BS73" s="14">
        <f t="shared" si="271"/>
        <v>20.734350000000006</v>
      </c>
      <c r="BT73" s="14">
        <f t="shared" si="271"/>
        <v>20.734350000000006</v>
      </c>
      <c r="BU73" s="14">
        <f t="shared" si="271"/>
        <v>20.734350000000006</v>
      </c>
      <c r="BV73" s="14">
        <f t="shared" si="271"/>
        <v>20.734350000000006</v>
      </c>
      <c r="BW73" s="14">
        <f t="shared" si="271"/>
        <v>20.734350000000006</v>
      </c>
      <c r="BX73" s="14">
        <f t="shared" si="271"/>
        <v>20.734350000000006</v>
      </c>
      <c r="BY73" s="14">
        <f t="shared" si="271"/>
        <v>20.734350000000006</v>
      </c>
      <c r="BZ73" s="14">
        <f t="shared" si="271"/>
        <v>20.734350000000006</v>
      </c>
      <c r="CA73" s="14">
        <f t="shared" si="271"/>
        <v>20.734350000000006</v>
      </c>
      <c r="CB73" s="14">
        <f t="shared" si="271"/>
        <v>20.734350000000006</v>
      </c>
      <c r="CC73" s="14">
        <f t="shared" si="271"/>
        <v>248.81220000000002</v>
      </c>
      <c r="CD73" s="14"/>
      <c r="CE73" s="14">
        <f t="shared" si="271"/>
        <v>20.256600000000002</v>
      </c>
      <c r="CF73" s="14">
        <f t="shared" si="271"/>
        <v>20.256600000000002</v>
      </c>
      <c r="CG73" s="14">
        <f t="shared" si="271"/>
        <v>20.256600000000002</v>
      </c>
      <c r="CH73" s="14">
        <f t="shared" si="271"/>
        <v>20.256600000000002</v>
      </c>
      <c r="CI73" s="14">
        <f t="shared" si="271"/>
        <v>20.256600000000002</v>
      </c>
      <c r="CJ73" s="14">
        <f t="shared" si="271"/>
        <v>20.256600000000002</v>
      </c>
      <c r="CK73" s="14">
        <f t="shared" si="271"/>
        <v>20.256600000000002</v>
      </c>
      <c r="CL73" s="14">
        <f t="shared" si="271"/>
        <v>20.256600000000002</v>
      </c>
      <c r="CM73" s="14">
        <f t="shared" si="271"/>
        <v>20.256600000000002</v>
      </c>
      <c r="CN73" s="14">
        <f t="shared" si="271"/>
        <v>20.256600000000002</v>
      </c>
      <c r="CO73" s="14">
        <f t="shared" si="271"/>
        <v>20.256600000000002</v>
      </c>
      <c r="CP73" s="14">
        <f t="shared" si="271"/>
        <v>20.256600000000002</v>
      </c>
      <c r="CQ73" s="14">
        <f t="shared" si="271"/>
        <v>243.07920000000001</v>
      </c>
    </row>
    <row r="74" spans="1:95" ht="12.75">
      <c r="A74" s="25"/>
      <c r="B74" s="51" t="s">
        <v>80</v>
      </c>
      <c r="C74" s="51" t="s">
        <v>16</v>
      </c>
      <c r="D74" s="14">
        <f aca="true" t="shared" si="272" ref="D74:O74">D71+D70-D72</f>
        <v>0</v>
      </c>
      <c r="E74" s="14">
        <f t="shared" si="272"/>
        <v>0</v>
      </c>
      <c r="F74" s="14">
        <f t="shared" si="272"/>
        <v>0</v>
      </c>
      <c r="G74" s="14">
        <f t="shared" si="272"/>
        <v>0</v>
      </c>
      <c r="H74" s="14">
        <f t="shared" si="272"/>
        <v>0</v>
      </c>
      <c r="I74" s="14">
        <f t="shared" si="272"/>
        <v>902.1876848047567</v>
      </c>
      <c r="J74" s="14">
        <f t="shared" si="272"/>
        <v>902.1876848047567</v>
      </c>
      <c r="K74" s="14">
        <f t="shared" si="272"/>
        <v>902.1876848047567</v>
      </c>
      <c r="L74" s="14">
        <f t="shared" si="272"/>
        <v>902.1876848047567</v>
      </c>
      <c r="M74" s="14">
        <f t="shared" si="272"/>
        <v>902.1876848047567</v>
      </c>
      <c r="N74" s="14">
        <f t="shared" si="272"/>
        <v>902.1876848047567</v>
      </c>
      <c r="O74" s="14">
        <f t="shared" si="272"/>
        <v>902.1876848047567</v>
      </c>
      <c r="P74" s="14">
        <f aca="true" t="shared" si="273" ref="P74:AX74">P71+P70-P72</f>
        <v>902.1876848047567</v>
      </c>
      <c r="Q74" s="14">
        <f t="shared" si="273"/>
        <v>902.1876848047567</v>
      </c>
      <c r="R74" s="14">
        <f t="shared" si="273"/>
        <v>902.1876848047567</v>
      </c>
      <c r="S74" s="14">
        <f t="shared" si="273"/>
        <v>902.1876848047567</v>
      </c>
      <c r="T74" s="14">
        <f t="shared" si="273"/>
        <v>902.1876848047567</v>
      </c>
      <c r="U74" s="14">
        <f t="shared" si="273"/>
        <v>902.1876848047567</v>
      </c>
      <c r="V74" s="14">
        <f t="shared" si="273"/>
        <v>902.1876848047567</v>
      </c>
      <c r="W74" s="14">
        <f t="shared" si="273"/>
        <v>902.1876848047567</v>
      </c>
      <c r="X74" s="14">
        <f t="shared" si="273"/>
        <v>902.1876848047567</v>
      </c>
      <c r="Y74" s="14">
        <f t="shared" si="273"/>
        <v>902.1876848047567</v>
      </c>
      <c r="Z74" s="14">
        <f t="shared" si="273"/>
        <v>902.1876848047567</v>
      </c>
      <c r="AA74" s="14">
        <f t="shared" si="273"/>
        <v>902.1876848047567</v>
      </c>
      <c r="AB74" s="14">
        <f t="shared" si="273"/>
        <v>3933.4211210208114</v>
      </c>
      <c r="AC74" s="14">
        <f t="shared" si="273"/>
        <v>3933.4211210208114</v>
      </c>
      <c r="AD74" s="14">
        <f t="shared" si="273"/>
        <v>3933.4211210208114</v>
      </c>
      <c r="AE74" s="14">
        <f t="shared" si="273"/>
        <v>3933.4211210208114</v>
      </c>
      <c r="AF74" s="14">
        <f t="shared" si="273"/>
        <v>3933.4211210208114</v>
      </c>
      <c r="AG74" s="14">
        <f t="shared" si="273"/>
        <v>3933.4211210208114</v>
      </c>
      <c r="AH74" s="14">
        <f t="shared" si="273"/>
        <v>3933.4211210208114</v>
      </c>
      <c r="AI74" s="14">
        <f t="shared" si="273"/>
        <v>3933.4211210208114</v>
      </c>
      <c r="AJ74" s="14">
        <f t="shared" si="273"/>
        <v>3933.4211210208114</v>
      </c>
      <c r="AK74" s="14">
        <f t="shared" si="273"/>
        <v>3933.4211210208114</v>
      </c>
      <c r="AL74" s="14">
        <f t="shared" si="273"/>
        <v>3933.4211210208114</v>
      </c>
      <c r="AM74" s="14">
        <f t="shared" si="273"/>
        <v>3933.4211210208114</v>
      </c>
      <c r="AN74" s="14">
        <f>AN71+AN70-AN72</f>
        <v>6315.313793633297</v>
      </c>
      <c r="AO74" s="140">
        <f t="shared" si="273"/>
        <v>10826.252217657078</v>
      </c>
      <c r="AP74" s="14">
        <f t="shared" si="273"/>
        <v>47201.05345224972</v>
      </c>
      <c r="AQ74" s="14">
        <f t="shared" si="273"/>
        <v>47048.17345224972</v>
      </c>
      <c r="AR74" s="14">
        <f t="shared" si="273"/>
        <v>46884.37345224972</v>
      </c>
      <c r="AS74" s="14">
        <f t="shared" si="273"/>
        <v>46720.573452249715</v>
      </c>
      <c r="AT74" s="14">
        <f t="shared" si="273"/>
        <v>46720.573452249715</v>
      </c>
      <c r="AU74" s="14">
        <f t="shared" si="273"/>
        <v>46720.573452249715</v>
      </c>
      <c r="AV74" s="14">
        <f t="shared" si="273"/>
        <v>46720.573452249715</v>
      </c>
      <c r="AW74" s="14">
        <f t="shared" si="273"/>
        <v>46720.573452249715</v>
      </c>
      <c r="AX74" s="14">
        <f t="shared" si="273"/>
        <v>46720.573452249715</v>
      </c>
      <c r="AY74" s="50">
        <f>SUM(AO74:AX74)</f>
        <v>432283.29328790447</v>
      </c>
      <c r="BC74" s="14">
        <f aca="true" t="shared" si="274" ref="BC74:BN74">BC71+BC70-BC72</f>
        <v>3920.6811210208116</v>
      </c>
      <c r="BD74" s="14">
        <f t="shared" si="274"/>
        <v>3920.6811210208116</v>
      </c>
      <c r="BE74" s="14">
        <f t="shared" si="274"/>
        <v>3920.6811210208116</v>
      </c>
      <c r="BF74" s="14">
        <f t="shared" si="274"/>
        <v>3920.6811210208116</v>
      </c>
      <c r="BG74" s="14">
        <f t="shared" si="274"/>
        <v>3920.6811210208116</v>
      </c>
      <c r="BH74" s="14">
        <f t="shared" si="274"/>
        <v>3920.6811210208116</v>
      </c>
      <c r="BI74" s="14">
        <f t="shared" si="274"/>
        <v>3920.6811210208116</v>
      </c>
      <c r="BJ74" s="14">
        <f t="shared" si="274"/>
        <v>3920.6811210208116</v>
      </c>
      <c r="BK74" s="14">
        <f t="shared" si="274"/>
        <v>3920.6811210208116</v>
      </c>
      <c r="BL74" s="14">
        <f t="shared" si="274"/>
        <v>3920.6811210208116</v>
      </c>
      <c r="BM74" s="14">
        <f t="shared" si="274"/>
        <v>3920.6811210208116</v>
      </c>
      <c r="BN74" s="14">
        <f t="shared" si="274"/>
        <v>3920.6811210208116</v>
      </c>
      <c r="BO74" s="50">
        <f t="shared" si="240"/>
        <v>47048.173452249735</v>
      </c>
      <c r="BQ74" s="14">
        <f aca="true" t="shared" si="275" ref="BQ74:CB74">BQ71+BQ70-BQ72</f>
        <v>3907.031121020811</v>
      </c>
      <c r="BR74" s="14">
        <f t="shared" si="275"/>
        <v>3907.031121020811</v>
      </c>
      <c r="BS74" s="14">
        <f t="shared" si="275"/>
        <v>3907.031121020811</v>
      </c>
      <c r="BT74" s="14">
        <f t="shared" si="275"/>
        <v>3907.031121020811</v>
      </c>
      <c r="BU74" s="14">
        <f t="shared" si="275"/>
        <v>3907.031121020811</v>
      </c>
      <c r="BV74" s="14">
        <f t="shared" si="275"/>
        <v>3907.031121020811</v>
      </c>
      <c r="BW74" s="14">
        <f t="shared" si="275"/>
        <v>3907.031121020811</v>
      </c>
      <c r="BX74" s="14">
        <f t="shared" si="275"/>
        <v>3907.031121020811</v>
      </c>
      <c r="BY74" s="14">
        <f t="shared" si="275"/>
        <v>3907.031121020811</v>
      </c>
      <c r="BZ74" s="14">
        <f t="shared" si="275"/>
        <v>3907.031121020811</v>
      </c>
      <c r="CA74" s="14">
        <f t="shared" si="275"/>
        <v>3907.031121020811</v>
      </c>
      <c r="CB74" s="14">
        <f t="shared" si="275"/>
        <v>3907.031121020811</v>
      </c>
      <c r="CC74" s="50">
        <f t="shared" si="242"/>
        <v>46884.37345224972</v>
      </c>
      <c r="CE74" s="14">
        <f aca="true" t="shared" si="276" ref="CE74:CP74">CE71+CE70-CE72</f>
        <v>3893.3811210208114</v>
      </c>
      <c r="CF74" s="14">
        <f t="shared" si="276"/>
        <v>3893.3811210208114</v>
      </c>
      <c r="CG74" s="14">
        <f t="shared" si="276"/>
        <v>3893.3811210208114</v>
      </c>
      <c r="CH74" s="14">
        <f t="shared" si="276"/>
        <v>3893.3811210208114</v>
      </c>
      <c r="CI74" s="14">
        <f t="shared" si="276"/>
        <v>3893.3811210208114</v>
      </c>
      <c r="CJ74" s="14">
        <f t="shared" si="276"/>
        <v>3893.3811210208114</v>
      </c>
      <c r="CK74" s="14">
        <f t="shared" si="276"/>
        <v>3893.3811210208114</v>
      </c>
      <c r="CL74" s="14">
        <f t="shared" si="276"/>
        <v>3893.3811210208114</v>
      </c>
      <c r="CM74" s="14">
        <f t="shared" si="276"/>
        <v>3893.3811210208114</v>
      </c>
      <c r="CN74" s="14">
        <f t="shared" si="276"/>
        <v>3893.3811210208114</v>
      </c>
      <c r="CO74" s="14">
        <f t="shared" si="276"/>
        <v>3893.3811210208114</v>
      </c>
      <c r="CP74" s="14">
        <f t="shared" si="276"/>
        <v>3893.3811210208114</v>
      </c>
      <c r="CQ74" s="50">
        <f t="shared" si="244"/>
        <v>46720.57345224972</v>
      </c>
    </row>
    <row r="75" spans="1:94" ht="12.7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P75" s="26"/>
      <c r="AQ75" s="26"/>
      <c r="AR75" s="26"/>
      <c r="AS75" s="26"/>
      <c r="AT75" s="26"/>
      <c r="AU75" s="26"/>
      <c r="AV75" s="26"/>
      <c r="AW75" s="26"/>
      <c r="AX75" s="27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</row>
    <row r="76" spans="1:95" ht="12.75">
      <c r="A76" s="25" t="s">
        <v>12</v>
      </c>
      <c r="B76" s="26" t="s">
        <v>112</v>
      </c>
      <c r="C76" s="51" t="s">
        <v>193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1</v>
      </c>
      <c r="J76" s="38">
        <v>1</v>
      </c>
      <c r="K76" s="38">
        <v>1</v>
      </c>
      <c r="L76" s="38">
        <v>1</v>
      </c>
      <c r="M76" s="38">
        <v>1</v>
      </c>
      <c r="N76" s="38">
        <v>1</v>
      </c>
      <c r="O76" s="38">
        <v>1</v>
      </c>
      <c r="P76" s="38">
        <v>1</v>
      </c>
      <c r="Q76" s="38">
        <v>1</v>
      </c>
      <c r="R76" s="38">
        <v>1</v>
      </c>
      <c r="S76" s="38">
        <v>1</v>
      </c>
      <c r="T76" s="38">
        <v>1</v>
      </c>
      <c r="U76" s="38">
        <v>1</v>
      </c>
      <c r="V76" s="38">
        <v>1</v>
      </c>
      <c r="W76" s="38">
        <v>1</v>
      </c>
      <c r="X76" s="38">
        <v>1</v>
      </c>
      <c r="Y76" s="38">
        <v>1</v>
      </c>
      <c r="Z76" s="38">
        <v>1</v>
      </c>
      <c r="AA76" s="38">
        <v>1</v>
      </c>
      <c r="AB76" s="38">
        <v>1</v>
      </c>
      <c r="AC76" s="38">
        <v>1</v>
      </c>
      <c r="AD76" s="38">
        <v>1</v>
      </c>
      <c r="AE76" s="38">
        <v>1</v>
      </c>
      <c r="AF76" s="38">
        <v>1</v>
      </c>
      <c r="AG76" s="38">
        <v>1</v>
      </c>
      <c r="AH76" s="38">
        <v>1</v>
      </c>
      <c r="AI76" s="38">
        <v>1</v>
      </c>
      <c r="AJ76" s="38">
        <v>1</v>
      </c>
      <c r="AK76" s="38">
        <v>1</v>
      </c>
      <c r="AL76" s="38">
        <v>1</v>
      </c>
      <c r="AM76" s="38">
        <v>1</v>
      </c>
      <c r="AN76" s="106"/>
      <c r="AO76" s="146"/>
      <c r="AP76" s="40"/>
      <c r="AQ76" s="40"/>
      <c r="AR76" s="40"/>
      <c r="AS76" s="40"/>
      <c r="AT76" s="40"/>
      <c r="AU76" s="40"/>
      <c r="AV76" s="40"/>
      <c r="AW76" s="40"/>
      <c r="AX76" s="40"/>
      <c r="BC76" s="38">
        <v>1</v>
      </c>
      <c r="BD76" s="38">
        <v>1</v>
      </c>
      <c r="BE76" s="38">
        <v>1</v>
      </c>
      <c r="BF76" s="38">
        <v>1</v>
      </c>
      <c r="BG76" s="38">
        <v>1</v>
      </c>
      <c r="BH76" s="38">
        <v>1</v>
      </c>
      <c r="BI76" s="38">
        <v>1</v>
      </c>
      <c r="BJ76" s="38">
        <v>1</v>
      </c>
      <c r="BK76" s="38">
        <v>1</v>
      </c>
      <c r="BL76" s="38">
        <v>1</v>
      </c>
      <c r="BM76" s="38">
        <v>1</v>
      </c>
      <c r="BN76" s="38">
        <v>1</v>
      </c>
      <c r="BO76" s="51">
        <f>AVERAGE(BC76:BN76)</f>
        <v>1</v>
      </c>
      <c r="BQ76" s="38">
        <v>1</v>
      </c>
      <c r="BR76" s="38">
        <v>1</v>
      </c>
      <c r="BS76" s="38">
        <v>1</v>
      </c>
      <c r="BT76" s="38">
        <v>1</v>
      </c>
      <c r="BU76" s="38">
        <v>1</v>
      </c>
      <c r="BV76" s="38">
        <v>1</v>
      </c>
      <c r="BW76" s="38">
        <v>1</v>
      </c>
      <c r="BX76" s="38">
        <v>1</v>
      </c>
      <c r="BY76" s="38">
        <v>1</v>
      </c>
      <c r="BZ76" s="38">
        <v>1</v>
      </c>
      <c r="CA76" s="38">
        <v>1</v>
      </c>
      <c r="CB76" s="38">
        <v>1</v>
      </c>
      <c r="CC76" s="51">
        <f>AVERAGE(BQ76:CB76)</f>
        <v>1</v>
      </c>
      <c r="CE76" s="38">
        <v>1</v>
      </c>
      <c r="CF76" s="38">
        <v>1</v>
      </c>
      <c r="CG76" s="38">
        <v>1</v>
      </c>
      <c r="CH76" s="38">
        <v>1</v>
      </c>
      <c r="CI76" s="38">
        <v>1</v>
      </c>
      <c r="CJ76" s="38">
        <v>1</v>
      </c>
      <c r="CK76" s="38">
        <v>1</v>
      </c>
      <c r="CL76" s="38">
        <v>1</v>
      </c>
      <c r="CM76" s="38">
        <v>1</v>
      </c>
      <c r="CN76" s="38">
        <v>1</v>
      </c>
      <c r="CO76" s="38">
        <v>1</v>
      </c>
      <c r="CP76" s="38">
        <v>1</v>
      </c>
      <c r="CQ76" s="51">
        <f>AVERAGE(CE76:CP76)</f>
        <v>1</v>
      </c>
    </row>
    <row r="77" spans="1:95" ht="12.75">
      <c r="A77" s="25"/>
      <c r="B77" s="51" t="s">
        <v>53</v>
      </c>
      <c r="C77" s="26" t="s">
        <v>127</v>
      </c>
      <c r="D77" s="51">
        <f aca="true" t="shared" si="277" ref="D77:AM77">0.4*D76</f>
        <v>0</v>
      </c>
      <c r="E77" s="51">
        <f t="shared" si="277"/>
        <v>0</v>
      </c>
      <c r="F77" s="51">
        <f t="shared" si="277"/>
        <v>0</v>
      </c>
      <c r="G77" s="51">
        <f t="shared" si="277"/>
        <v>0</v>
      </c>
      <c r="H77" s="51">
        <f t="shared" si="277"/>
        <v>0</v>
      </c>
      <c r="I77" s="51">
        <f t="shared" si="277"/>
        <v>0.4</v>
      </c>
      <c r="J77" s="51">
        <f t="shared" si="277"/>
        <v>0.4</v>
      </c>
      <c r="K77" s="51">
        <f t="shared" si="277"/>
        <v>0.4</v>
      </c>
      <c r="L77" s="51">
        <f t="shared" si="277"/>
        <v>0.4</v>
      </c>
      <c r="M77" s="51">
        <f t="shared" si="277"/>
        <v>0.4</v>
      </c>
      <c r="N77" s="51">
        <f t="shared" si="277"/>
        <v>0.4</v>
      </c>
      <c r="O77" s="51">
        <f t="shared" si="277"/>
        <v>0.4</v>
      </c>
      <c r="P77" s="51">
        <f t="shared" si="277"/>
        <v>0.4</v>
      </c>
      <c r="Q77" s="51">
        <f t="shared" si="277"/>
        <v>0.4</v>
      </c>
      <c r="R77" s="51">
        <f t="shared" si="277"/>
        <v>0.4</v>
      </c>
      <c r="S77" s="51">
        <f t="shared" si="277"/>
        <v>0.4</v>
      </c>
      <c r="T77" s="51">
        <f t="shared" si="277"/>
        <v>0.4</v>
      </c>
      <c r="U77" s="51">
        <f t="shared" si="277"/>
        <v>0.4</v>
      </c>
      <c r="V77" s="51">
        <f t="shared" si="277"/>
        <v>0.4</v>
      </c>
      <c r="W77" s="51">
        <f t="shared" si="277"/>
        <v>0.4</v>
      </c>
      <c r="X77" s="51">
        <f t="shared" si="277"/>
        <v>0.4</v>
      </c>
      <c r="Y77" s="51">
        <f t="shared" si="277"/>
        <v>0.4</v>
      </c>
      <c r="Z77" s="51">
        <f t="shared" si="277"/>
        <v>0.4</v>
      </c>
      <c r="AA77" s="51">
        <f t="shared" si="277"/>
        <v>0.4</v>
      </c>
      <c r="AB77" s="51">
        <f t="shared" si="277"/>
        <v>0.4</v>
      </c>
      <c r="AC77" s="51">
        <f t="shared" si="277"/>
        <v>0.4</v>
      </c>
      <c r="AD77" s="51">
        <f t="shared" si="277"/>
        <v>0.4</v>
      </c>
      <c r="AE77" s="51">
        <f t="shared" si="277"/>
        <v>0.4</v>
      </c>
      <c r="AF77" s="51">
        <f t="shared" si="277"/>
        <v>0.4</v>
      </c>
      <c r="AG77" s="51">
        <f t="shared" si="277"/>
        <v>0.4</v>
      </c>
      <c r="AH77" s="51">
        <f t="shared" si="277"/>
        <v>0.4</v>
      </c>
      <c r="AI77" s="51">
        <f t="shared" si="277"/>
        <v>0.4</v>
      </c>
      <c r="AJ77" s="51">
        <f t="shared" si="277"/>
        <v>0.4</v>
      </c>
      <c r="AK77" s="51">
        <f t="shared" si="277"/>
        <v>0.4</v>
      </c>
      <c r="AL77" s="51">
        <f t="shared" si="277"/>
        <v>0.4</v>
      </c>
      <c r="AM77" s="51">
        <f t="shared" si="277"/>
        <v>0.4</v>
      </c>
      <c r="AN77" s="149">
        <f>AVERAGE(D77:O77)</f>
        <v>0.2333333333333333</v>
      </c>
      <c r="AO77" s="145">
        <f>AVERAGE(P77:AA77)</f>
        <v>0.39999999999999997</v>
      </c>
      <c r="AP77" s="40">
        <f>AVERAGE(AB77:AM77)</f>
        <v>0.39999999999999997</v>
      </c>
      <c r="AQ77" s="40">
        <f>BO77</f>
        <v>0.39999999999999997</v>
      </c>
      <c r="AR77" s="40">
        <f>CC77</f>
        <v>0.39999999999999997</v>
      </c>
      <c r="AS77" s="40">
        <f>CQ77</f>
        <v>0.39999999999999997</v>
      </c>
      <c r="AT77" s="40">
        <f aca="true" t="shared" si="278" ref="AT77:AX78">AS77</f>
        <v>0.39999999999999997</v>
      </c>
      <c r="AU77" s="40">
        <f t="shared" si="278"/>
        <v>0.39999999999999997</v>
      </c>
      <c r="AV77" s="40">
        <f t="shared" si="278"/>
        <v>0.39999999999999997</v>
      </c>
      <c r="AW77" s="40">
        <f t="shared" si="278"/>
        <v>0.39999999999999997</v>
      </c>
      <c r="AX77" s="40">
        <f t="shared" si="278"/>
        <v>0.39999999999999997</v>
      </c>
      <c r="BC77" s="51">
        <f aca="true" t="shared" si="279" ref="BC77:BN77">0.4*BC76</f>
        <v>0.4</v>
      </c>
      <c r="BD77" s="51">
        <f t="shared" si="279"/>
        <v>0.4</v>
      </c>
      <c r="BE77" s="51">
        <f t="shared" si="279"/>
        <v>0.4</v>
      </c>
      <c r="BF77" s="51">
        <f t="shared" si="279"/>
        <v>0.4</v>
      </c>
      <c r="BG77" s="51">
        <f t="shared" si="279"/>
        <v>0.4</v>
      </c>
      <c r="BH77" s="51">
        <f t="shared" si="279"/>
        <v>0.4</v>
      </c>
      <c r="BI77" s="51">
        <f t="shared" si="279"/>
        <v>0.4</v>
      </c>
      <c r="BJ77" s="51">
        <f t="shared" si="279"/>
        <v>0.4</v>
      </c>
      <c r="BK77" s="51">
        <f t="shared" si="279"/>
        <v>0.4</v>
      </c>
      <c r="BL77" s="51">
        <f t="shared" si="279"/>
        <v>0.4</v>
      </c>
      <c r="BM77" s="51">
        <f t="shared" si="279"/>
        <v>0.4</v>
      </c>
      <c r="BN77" s="51">
        <f t="shared" si="279"/>
        <v>0.4</v>
      </c>
      <c r="BO77" s="51">
        <f>AVERAGE(BC77:BN77)</f>
        <v>0.39999999999999997</v>
      </c>
      <c r="BQ77" s="51">
        <f aca="true" t="shared" si="280" ref="BQ77:CB77">0.4*BQ76</f>
        <v>0.4</v>
      </c>
      <c r="BR77" s="51">
        <f t="shared" si="280"/>
        <v>0.4</v>
      </c>
      <c r="BS77" s="51">
        <f t="shared" si="280"/>
        <v>0.4</v>
      </c>
      <c r="BT77" s="51">
        <f t="shared" si="280"/>
        <v>0.4</v>
      </c>
      <c r="BU77" s="51">
        <f t="shared" si="280"/>
        <v>0.4</v>
      </c>
      <c r="BV77" s="51">
        <f t="shared" si="280"/>
        <v>0.4</v>
      </c>
      <c r="BW77" s="51">
        <f t="shared" si="280"/>
        <v>0.4</v>
      </c>
      <c r="BX77" s="51">
        <f t="shared" si="280"/>
        <v>0.4</v>
      </c>
      <c r="BY77" s="51">
        <f t="shared" si="280"/>
        <v>0.4</v>
      </c>
      <c r="BZ77" s="51">
        <f t="shared" si="280"/>
        <v>0.4</v>
      </c>
      <c r="CA77" s="51">
        <f t="shared" si="280"/>
        <v>0.4</v>
      </c>
      <c r="CB77" s="51">
        <f t="shared" si="280"/>
        <v>0.4</v>
      </c>
      <c r="CC77" s="51">
        <f>AVERAGE(BQ77:CB77)</f>
        <v>0.39999999999999997</v>
      </c>
      <c r="CE77" s="51">
        <f aca="true" t="shared" si="281" ref="CE77:CP77">0.4*CE76</f>
        <v>0.4</v>
      </c>
      <c r="CF77" s="51">
        <f t="shared" si="281"/>
        <v>0.4</v>
      </c>
      <c r="CG77" s="51">
        <f t="shared" si="281"/>
        <v>0.4</v>
      </c>
      <c r="CH77" s="51">
        <f t="shared" si="281"/>
        <v>0.4</v>
      </c>
      <c r="CI77" s="51">
        <f t="shared" si="281"/>
        <v>0.4</v>
      </c>
      <c r="CJ77" s="51">
        <f t="shared" si="281"/>
        <v>0.4</v>
      </c>
      <c r="CK77" s="51">
        <f t="shared" si="281"/>
        <v>0.4</v>
      </c>
      <c r="CL77" s="51">
        <f t="shared" si="281"/>
        <v>0.4</v>
      </c>
      <c r="CM77" s="51">
        <f t="shared" si="281"/>
        <v>0.4</v>
      </c>
      <c r="CN77" s="51">
        <f t="shared" si="281"/>
        <v>0.4</v>
      </c>
      <c r="CO77" s="51">
        <f t="shared" si="281"/>
        <v>0.4</v>
      </c>
      <c r="CP77" s="51">
        <f t="shared" si="281"/>
        <v>0.4</v>
      </c>
      <c r="CQ77" s="51">
        <f>AVERAGE(CE77:CP77)</f>
        <v>0.39999999999999997</v>
      </c>
    </row>
    <row r="78" spans="1:95" ht="12.75">
      <c r="A78" s="25"/>
      <c r="B78" s="26" t="s">
        <v>54</v>
      </c>
      <c r="C78" s="26" t="s">
        <v>18</v>
      </c>
      <c r="D78" s="38">
        <v>520</v>
      </c>
      <c r="E78" s="38">
        <v>520</v>
      </c>
      <c r="F78" s="38">
        <v>520</v>
      </c>
      <c r="G78" s="38">
        <v>520</v>
      </c>
      <c r="H78" s="38">
        <v>520</v>
      </c>
      <c r="I78" s="38">
        <v>520</v>
      </c>
      <c r="J78" s="38">
        <v>520</v>
      </c>
      <c r="K78" s="38">
        <v>520</v>
      </c>
      <c r="L78" s="38">
        <v>520</v>
      </c>
      <c r="M78" s="38">
        <v>520</v>
      </c>
      <c r="N78" s="38">
        <v>520</v>
      </c>
      <c r="O78" s="38">
        <v>520</v>
      </c>
      <c r="P78" s="38">
        <v>520</v>
      </c>
      <c r="Q78" s="38">
        <v>520</v>
      </c>
      <c r="R78" s="38">
        <v>520</v>
      </c>
      <c r="S78" s="38">
        <v>520</v>
      </c>
      <c r="T78" s="38">
        <v>520</v>
      </c>
      <c r="U78" s="38">
        <v>520</v>
      </c>
      <c r="V78" s="38">
        <v>520</v>
      </c>
      <c r="W78" s="38">
        <v>520</v>
      </c>
      <c r="X78" s="38">
        <v>520</v>
      </c>
      <c r="Y78" s="38">
        <v>520</v>
      </c>
      <c r="Z78" s="38">
        <v>520</v>
      </c>
      <c r="AA78" s="38">
        <v>520</v>
      </c>
      <c r="AB78" s="38">
        <v>520</v>
      </c>
      <c r="AC78" s="38">
        <v>520</v>
      </c>
      <c r="AD78" s="38">
        <v>520</v>
      </c>
      <c r="AE78" s="38">
        <v>520</v>
      </c>
      <c r="AF78" s="38">
        <v>520</v>
      </c>
      <c r="AG78" s="38">
        <v>520</v>
      </c>
      <c r="AH78" s="38">
        <v>520</v>
      </c>
      <c r="AI78" s="38">
        <v>520</v>
      </c>
      <c r="AJ78" s="38">
        <v>520</v>
      </c>
      <c r="AK78" s="38">
        <v>520</v>
      </c>
      <c r="AL78" s="38">
        <v>520</v>
      </c>
      <c r="AM78" s="38">
        <v>520</v>
      </c>
      <c r="AN78" s="14">
        <f>SUM(D78:O78)</f>
        <v>6240</v>
      </c>
      <c r="AO78" s="140">
        <f>SUM(P78:AA78)</f>
        <v>6240</v>
      </c>
      <c r="AP78" s="14">
        <f>SUM(AB78:AM78)</f>
        <v>6240</v>
      </c>
      <c r="AQ78" s="52">
        <f>BO78</f>
        <v>6240</v>
      </c>
      <c r="AR78" s="52">
        <f>CC78</f>
        <v>6240</v>
      </c>
      <c r="AS78" s="52">
        <f>CQ78</f>
        <v>6240</v>
      </c>
      <c r="AT78" s="52">
        <f t="shared" si="278"/>
        <v>6240</v>
      </c>
      <c r="AU78" s="52">
        <f t="shared" si="278"/>
        <v>6240</v>
      </c>
      <c r="AV78" s="52">
        <f t="shared" si="278"/>
        <v>6240</v>
      </c>
      <c r="AW78" s="52">
        <f t="shared" si="278"/>
        <v>6240</v>
      </c>
      <c r="AX78" s="52">
        <f t="shared" si="278"/>
        <v>6240</v>
      </c>
      <c r="BC78" s="38">
        <v>520</v>
      </c>
      <c r="BD78" s="38">
        <v>520</v>
      </c>
      <c r="BE78" s="38">
        <v>520</v>
      </c>
      <c r="BF78" s="38">
        <v>520</v>
      </c>
      <c r="BG78" s="38">
        <v>520</v>
      </c>
      <c r="BH78" s="38">
        <v>520</v>
      </c>
      <c r="BI78" s="38">
        <v>520</v>
      </c>
      <c r="BJ78" s="38">
        <v>520</v>
      </c>
      <c r="BK78" s="38">
        <v>520</v>
      </c>
      <c r="BL78" s="38">
        <v>520</v>
      </c>
      <c r="BM78" s="38">
        <v>520</v>
      </c>
      <c r="BN78" s="38">
        <v>520</v>
      </c>
      <c r="BO78" s="50">
        <f>SUM(BC78:BN78)</f>
        <v>6240</v>
      </c>
      <c r="BQ78" s="38">
        <v>520</v>
      </c>
      <c r="BR78" s="38">
        <v>520</v>
      </c>
      <c r="BS78" s="38">
        <v>520</v>
      </c>
      <c r="BT78" s="38">
        <v>520</v>
      </c>
      <c r="BU78" s="38">
        <v>520</v>
      </c>
      <c r="BV78" s="38">
        <v>520</v>
      </c>
      <c r="BW78" s="38">
        <v>520</v>
      </c>
      <c r="BX78" s="38">
        <v>520</v>
      </c>
      <c r="BY78" s="38">
        <v>520</v>
      </c>
      <c r="BZ78" s="38">
        <v>520</v>
      </c>
      <c r="CA78" s="38">
        <v>520</v>
      </c>
      <c r="CB78" s="38">
        <v>520</v>
      </c>
      <c r="CC78" s="50">
        <f>SUM(BQ78:CB78)</f>
        <v>6240</v>
      </c>
      <c r="CE78" s="38">
        <v>520</v>
      </c>
      <c r="CF78" s="38">
        <v>520</v>
      </c>
      <c r="CG78" s="38">
        <v>520</v>
      </c>
      <c r="CH78" s="38">
        <v>520</v>
      </c>
      <c r="CI78" s="38">
        <v>520</v>
      </c>
      <c r="CJ78" s="38">
        <v>520</v>
      </c>
      <c r="CK78" s="38">
        <v>520</v>
      </c>
      <c r="CL78" s="38">
        <v>520</v>
      </c>
      <c r="CM78" s="38">
        <v>520</v>
      </c>
      <c r="CN78" s="38">
        <v>520</v>
      </c>
      <c r="CO78" s="38">
        <v>520</v>
      </c>
      <c r="CP78" s="38">
        <v>520</v>
      </c>
      <c r="CQ78" s="50">
        <f>SUM(CE78:CP78)</f>
        <v>6240</v>
      </c>
    </row>
    <row r="79" spans="1:95" ht="12.75">
      <c r="A79" s="25"/>
      <c r="B79" s="26" t="s">
        <v>47</v>
      </c>
      <c r="C79" s="26" t="s">
        <v>19</v>
      </c>
      <c r="D79" s="38">
        <f>'Basis data'!$B$42</f>
        <v>36</v>
      </c>
      <c r="E79" s="38">
        <f>'Basis data'!$B$42</f>
        <v>36</v>
      </c>
      <c r="F79" s="38">
        <f>'Basis data'!$B$42</f>
        <v>36</v>
      </c>
      <c r="G79" s="38">
        <f>'Basis data'!$B$42</f>
        <v>36</v>
      </c>
      <c r="H79" s="38">
        <f>'Basis data'!$B$42</f>
        <v>36</v>
      </c>
      <c r="I79" s="38">
        <f>'Basis data'!$B$42</f>
        <v>36</v>
      </c>
      <c r="J79" s="38">
        <f>'Basis data'!$B$42</f>
        <v>36</v>
      </c>
      <c r="K79" s="38">
        <f>'Basis data'!$B$42</f>
        <v>36</v>
      </c>
      <c r="L79" s="38">
        <f>'Basis data'!$B$42</f>
        <v>36</v>
      </c>
      <c r="M79" s="38">
        <f>'Basis data'!$B$42</f>
        <v>36</v>
      </c>
      <c r="N79" s="38">
        <f>'Basis data'!$B$42</f>
        <v>36</v>
      </c>
      <c r="O79" s="38">
        <f>'Basis data'!$B$42</f>
        <v>36</v>
      </c>
      <c r="P79" s="38">
        <f>'Basis data'!$B$42</f>
        <v>36</v>
      </c>
      <c r="Q79" s="38">
        <f>'Basis data'!$B$42</f>
        <v>36</v>
      </c>
      <c r="R79" s="38">
        <f>'Basis data'!$B$42</f>
        <v>36</v>
      </c>
      <c r="S79" s="38">
        <f>'Basis data'!$B$42</f>
        <v>36</v>
      </c>
      <c r="T79" s="38">
        <f>'Basis data'!$B$42</f>
        <v>36</v>
      </c>
      <c r="U79" s="38">
        <f>'Basis data'!$B$42</f>
        <v>36</v>
      </c>
      <c r="V79" s="38">
        <f>'Basis data'!$B$42</f>
        <v>36</v>
      </c>
      <c r="W79" s="38">
        <f>'Basis data'!$B$42</f>
        <v>36</v>
      </c>
      <c r="X79" s="38">
        <f>'Basis data'!$B$42</f>
        <v>36</v>
      </c>
      <c r="Y79" s="38">
        <f>'Basis data'!$B$42</f>
        <v>36</v>
      </c>
      <c r="Z79" s="38">
        <f>'Basis data'!$B$42</f>
        <v>36</v>
      </c>
      <c r="AA79" s="38">
        <f>'Basis data'!$B$42</f>
        <v>36</v>
      </c>
      <c r="AB79" s="38">
        <f>'Basis data'!$B$42</f>
        <v>36</v>
      </c>
      <c r="AC79" s="38">
        <f>'Basis data'!$B$42</f>
        <v>36</v>
      </c>
      <c r="AD79" s="38">
        <f>'Basis data'!$B$42</f>
        <v>36</v>
      </c>
      <c r="AE79" s="38">
        <f>'Basis data'!$B$42</f>
        <v>36</v>
      </c>
      <c r="AF79" s="38">
        <f>'Basis data'!$B$42</f>
        <v>36</v>
      </c>
      <c r="AG79" s="38">
        <f>'Basis data'!$B$42</f>
        <v>36</v>
      </c>
      <c r="AH79" s="38">
        <f>'Basis data'!$B$42</f>
        <v>36</v>
      </c>
      <c r="AI79" s="38">
        <f>'Basis data'!$B$42</f>
        <v>36</v>
      </c>
      <c r="AJ79" s="38">
        <f>'Basis data'!$B$42</f>
        <v>36</v>
      </c>
      <c r="AK79" s="38">
        <f>'Basis data'!$B$42</f>
        <v>36</v>
      </c>
      <c r="AL79" s="38">
        <f>'Basis data'!$B$42</f>
        <v>36</v>
      </c>
      <c r="AM79" s="38">
        <f>'Basis data'!$B$42</f>
        <v>36</v>
      </c>
      <c r="AN79" s="14"/>
      <c r="AO79" s="140"/>
      <c r="AP79" s="14"/>
      <c r="AQ79" s="52"/>
      <c r="AR79" s="52"/>
      <c r="AS79" s="52"/>
      <c r="AT79" s="52"/>
      <c r="AU79" s="52"/>
      <c r="AV79" s="52"/>
      <c r="AW79" s="52"/>
      <c r="AX79" s="52"/>
      <c r="BC79" s="38">
        <f>'Basis data'!$B$42</f>
        <v>36</v>
      </c>
      <c r="BD79" s="38">
        <f>'Basis data'!$B$42</f>
        <v>36</v>
      </c>
      <c r="BE79" s="38">
        <f>'Basis data'!$B$42</f>
        <v>36</v>
      </c>
      <c r="BF79" s="38">
        <f>'Basis data'!$B$42</f>
        <v>36</v>
      </c>
      <c r="BG79" s="38">
        <f>'Basis data'!$B$42</f>
        <v>36</v>
      </c>
      <c r="BH79" s="38">
        <f>'Basis data'!$B$42</f>
        <v>36</v>
      </c>
      <c r="BI79" s="38">
        <f>'Basis data'!$B$42</f>
        <v>36</v>
      </c>
      <c r="BJ79" s="38">
        <f>'Basis data'!$B$42</f>
        <v>36</v>
      </c>
      <c r="BK79" s="38">
        <f>'Basis data'!$B$42</f>
        <v>36</v>
      </c>
      <c r="BL79" s="38">
        <f>'Basis data'!$B$42</f>
        <v>36</v>
      </c>
      <c r="BM79" s="38">
        <f>'Basis data'!$B$42</f>
        <v>36</v>
      </c>
      <c r="BN79" s="38">
        <f>'Basis data'!$B$42</f>
        <v>36</v>
      </c>
      <c r="BO79" s="51">
        <f>AVERAGE(BC79:BN79)</f>
        <v>36</v>
      </c>
      <c r="BQ79" s="38">
        <f>'Basis data'!$B$42</f>
        <v>36</v>
      </c>
      <c r="BR79" s="38">
        <f>'Basis data'!$B$42</f>
        <v>36</v>
      </c>
      <c r="BS79" s="38">
        <f>'Basis data'!$B$42</f>
        <v>36</v>
      </c>
      <c r="BT79" s="38">
        <f>'Basis data'!$B$42</f>
        <v>36</v>
      </c>
      <c r="BU79" s="38">
        <f>'Basis data'!$B$42</f>
        <v>36</v>
      </c>
      <c r="BV79" s="38">
        <f>'Basis data'!$B$42</f>
        <v>36</v>
      </c>
      <c r="BW79" s="38">
        <f>'Basis data'!$B$42</f>
        <v>36</v>
      </c>
      <c r="BX79" s="38">
        <f>'Basis data'!$B$42</f>
        <v>36</v>
      </c>
      <c r="BY79" s="38">
        <f>'Basis data'!$B$42</f>
        <v>36</v>
      </c>
      <c r="BZ79" s="38">
        <f>'Basis data'!$B$42</f>
        <v>36</v>
      </c>
      <c r="CA79" s="38">
        <f>'Basis data'!$B$42</f>
        <v>36</v>
      </c>
      <c r="CB79" s="38">
        <f>'Basis data'!$B$42</f>
        <v>36</v>
      </c>
      <c r="CC79" s="51">
        <f>AVERAGE(BQ79:CB79)</f>
        <v>36</v>
      </c>
      <c r="CE79" s="38">
        <f>'Basis data'!$B$42</f>
        <v>36</v>
      </c>
      <c r="CF79" s="38">
        <f>'Basis data'!$B$42</f>
        <v>36</v>
      </c>
      <c r="CG79" s="38">
        <f>'Basis data'!$B$42</f>
        <v>36</v>
      </c>
      <c r="CH79" s="38">
        <f>'Basis data'!$B$42</f>
        <v>36</v>
      </c>
      <c r="CI79" s="38">
        <f>'Basis data'!$B$42</f>
        <v>36</v>
      </c>
      <c r="CJ79" s="38">
        <f>'Basis data'!$B$42</f>
        <v>36</v>
      </c>
      <c r="CK79" s="38">
        <f>'Basis data'!$B$42</f>
        <v>36</v>
      </c>
      <c r="CL79" s="38">
        <f>'Basis data'!$B$42</f>
        <v>36</v>
      </c>
      <c r="CM79" s="38">
        <f>'Basis data'!$B$42</f>
        <v>36</v>
      </c>
      <c r="CN79" s="38">
        <f>'Basis data'!$B$42</f>
        <v>36</v>
      </c>
      <c r="CO79" s="38">
        <f>'Basis data'!$B$42</f>
        <v>36</v>
      </c>
      <c r="CP79" s="38">
        <f>'Basis data'!$B$42</f>
        <v>36</v>
      </c>
      <c r="CQ79" s="51">
        <f>AVERAGE(CE79:CP79)</f>
        <v>36</v>
      </c>
    </row>
    <row r="80" spans="1:95" ht="12.75">
      <c r="A80" s="25"/>
      <c r="B80" s="26" t="s">
        <v>55</v>
      </c>
      <c r="C80" s="26" t="s">
        <v>20</v>
      </c>
      <c r="D80" s="14">
        <f aca="true" t="shared" si="282" ref="D80:O80">D77*1000*D78</f>
        <v>0</v>
      </c>
      <c r="E80" s="14">
        <f t="shared" si="282"/>
        <v>0</v>
      </c>
      <c r="F80" s="14">
        <f t="shared" si="282"/>
        <v>0</v>
      </c>
      <c r="G80" s="14">
        <f t="shared" si="282"/>
        <v>0</v>
      </c>
      <c r="H80" s="14">
        <f t="shared" si="282"/>
        <v>0</v>
      </c>
      <c r="I80" s="14">
        <f t="shared" si="282"/>
        <v>208000</v>
      </c>
      <c r="J80" s="14">
        <f t="shared" si="282"/>
        <v>208000</v>
      </c>
      <c r="K80" s="14">
        <f t="shared" si="282"/>
        <v>208000</v>
      </c>
      <c r="L80" s="14">
        <f t="shared" si="282"/>
        <v>208000</v>
      </c>
      <c r="M80" s="14">
        <f t="shared" si="282"/>
        <v>208000</v>
      </c>
      <c r="N80" s="14">
        <f t="shared" si="282"/>
        <v>208000</v>
      </c>
      <c r="O80" s="14">
        <f t="shared" si="282"/>
        <v>208000</v>
      </c>
      <c r="P80" s="14">
        <f aca="true" t="shared" si="283" ref="P80:AL80">P77*1000*P78</f>
        <v>208000</v>
      </c>
      <c r="Q80" s="14">
        <f t="shared" si="283"/>
        <v>208000</v>
      </c>
      <c r="R80" s="14">
        <f t="shared" si="283"/>
        <v>208000</v>
      </c>
      <c r="S80" s="14">
        <f t="shared" si="283"/>
        <v>208000</v>
      </c>
      <c r="T80" s="14">
        <f t="shared" si="283"/>
        <v>208000</v>
      </c>
      <c r="U80" s="14">
        <f t="shared" si="283"/>
        <v>208000</v>
      </c>
      <c r="V80" s="14">
        <f t="shared" si="283"/>
        <v>208000</v>
      </c>
      <c r="W80" s="14">
        <f t="shared" si="283"/>
        <v>208000</v>
      </c>
      <c r="X80" s="14">
        <f t="shared" si="283"/>
        <v>208000</v>
      </c>
      <c r="Y80" s="14">
        <f t="shared" si="283"/>
        <v>208000</v>
      </c>
      <c r="Z80" s="14">
        <f t="shared" si="283"/>
        <v>208000</v>
      </c>
      <c r="AA80" s="14">
        <f t="shared" si="283"/>
        <v>208000</v>
      </c>
      <c r="AB80" s="14">
        <f t="shared" si="283"/>
        <v>208000</v>
      </c>
      <c r="AC80" s="14">
        <f t="shared" si="283"/>
        <v>208000</v>
      </c>
      <c r="AD80" s="14">
        <f t="shared" si="283"/>
        <v>208000</v>
      </c>
      <c r="AE80" s="14">
        <f t="shared" si="283"/>
        <v>208000</v>
      </c>
      <c r="AF80" s="14">
        <f t="shared" si="283"/>
        <v>208000</v>
      </c>
      <c r="AG80" s="14">
        <f t="shared" si="283"/>
        <v>208000</v>
      </c>
      <c r="AH80" s="14">
        <f t="shared" si="283"/>
        <v>208000</v>
      </c>
      <c r="AI80" s="14">
        <f t="shared" si="283"/>
        <v>208000</v>
      </c>
      <c r="AJ80" s="14">
        <f t="shared" si="283"/>
        <v>208000</v>
      </c>
      <c r="AK80" s="14">
        <f t="shared" si="283"/>
        <v>208000</v>
      </c>
      <c r="AL80" s="14">
        <f t="shared" si="283"/>
        <v>208000</v>
      </c>
      <c r="AM80" s="14">
        <f>AM77*1000*AM78</f>
        <v>208000</v>
      </c>
      <c r="AN80" s="14">
        <f aca="true" t="shared" si="284" ref="AN80:AN85">SUM(D80:O80)</f>
        <v>1456000</v>
      </c>
      <c r="AO80" s="140">
        <f aca="true" t="shared" si="285" ref="AO80:AO85">SUM(P80:AA80)</f>
        <v>2496000</v>
      </c>
      <c r="AP80" s="14">
        <f aca="true" t="shared" si="286" ref="AP80:AP85">SUM(AB80:AM80)</f>
        <v>2496000</v>
      </c>
      <c r="AQ80" s="52">
        <f aca="true" t="shared" si="287" ref="AQ80:AQ85">BO80</f>
        <v>2496000</v>
      </c>
      <c r="AR80" s="52">
        <f aca="true" t="shared" si="288" ref="AR80:AR85">CC80</f>
        <v>2496000</v>
      </c>
      <c r="AS80" s="52">
        <f aca="true" t="shared" si="289" ref="AS80:AS85">CQ80</f>
        <v>2496000</v>
      </c>
      <c r="AT80" s="52">
        <f aca="true" t="shared" si="290" ref="AT80:AX83">AS80</f>
        <v>2496000</v>
      </c>
      <c r="AU80" s="52">
        <f t="shared" si="290"/>
        <v>2496000</v>
      </c>
      <c r="AV80" s="52">
        <f t="shared" si="290"/>
        <v>2496000</v>
      </c>
      <c r="AW80" s="52">
        <f t="shared" si="290"/>
        <v>2496000</v>
      </c>
      <c r="AX80" s="52">
        <f t="shared" si="290"/>
        <v>2496000</v>
      </c>
      <c r="BC80" s="14">
        <f aca="true" t="shared" si="291" ref="BC80:BN80">BC77*1000*BC78</f>
        <v>208000</v>
      </c>
      <c r="BD80" s="14">
        <f t="shared" si="291"/>
        <v>208000</v>
      </c>
      <c r="BE80" s="14">
        <f t="shared" si="291"/>
        <v>208000</v>
      </c>
      <c r="BF80" s="14">
        <f t="shared" si="291"/>
        <v>208000</v>
      </c>
      <c r="BG80" s="14">
        <f t="shared" si="291"/>
        <v>208000</v>
      </c>
      <c r="BH80" s="14">
        <f t="shared" si="291"/>
        <v>208000</v>
      </c>
      <c r="BI80" s="14">
        <f t="shared" si="291"/>
        <v>208000</v>
      </c>
      <c r="BJ80" s="14">
        <f t="shared" si="291"/>
        <v>208000</v>
      </c>
      <c r="BK80" s="14">
        <f t="shared" si="291"/>
        <v>208000</v>
      </c>
      <c r="BL80" s="14">
        <f t="shared" si="291"/>
        <v>208000</v>
      </c>
      <c r="BM80" s="14">
        <f t="shared" si="291"/>
        <v>208000</v>
      </c>
      <c r="BN80" s="14">
        <f t="shared" si="291"/>
        <v>208000</v>
      </c>
      <c r="BO80" s="50">
        <f>SUM(BC80:BN80)</f>
        <v>2496000</v>
      </c>
      <c r="BQ80" s="14">
        <f aca="true" t="shared" si="292" ref="BQ80:CB80">BQ77*1000*BQ78</f>
        <v>208000</v>
      </c>
      <c r="BR80" s="14">
        <f t="shared" si="292"/>
        <v>208000</v>
      </c>
      <c r="BS80" s="14">
        <f t="shared" si="292"/>
        <v>208000</v>
      </c>
      <c r="BT80" s="14">
        <f t="shared" si="292"/>
        <v>208000</v>
      </c>
      <c r="BU80" s="14">
        <f t="shared" si="292"/>
        <v>208000</v>
      </c>
      <c r="BV80" s="14">
        <f t="shared" si="292"/>
        <v>208000</v>
      </c>
      <c r="BW80" s="14">
        <f t="shared" si="292"/>
        <v>208000</v>
      </c>
      <c r="BX80" s="14">
        <f t="shared" si="292"/>
        <v>208000</v>
      </c>
      <c r="BY80" s="14">
        <f t="shared" si="292"/>
        <v>208000</v>
      </c>
      <c r="BZ80" s="14">
        <f t="shared" si="292"/>
        <v>208000</v>
      </c>
      <c r="CA80" s="14">
        <f t="shared" si="292"/>
        <v>208000</v>
      </c>
      <c r="CB80" s="14">
        <f t="shared" si="292"/>
        <v>208000</v>
      </c>
      <c r="CC80" s="50">
        <f>SUM(BQ80:CB80)</f>
        <v>2496000</v>
      </c>
      <c r="CE80" s="14">
        <f aca="true" t="shared" si="293" ref="CE80:CP80">CE77*1000*CE78</f>
        <v>208000</v>
      </c>
      <c r="CF80" s="14">
        <f t="shared" si="293"/>
        <v>208000</v>
      </c>
      <c r="CG80" s="14">
        <f t="shared" si="293"/>
        <v>208000</v>
      </c>
      <c r="CH80" s="14">
        <f t="shared" si="293"/>
        <v>208000</v>
      </c>
      <c r="CI80" s="14">
        <f t="shared" si="293"/>
        <v>208000</v>
      </c>
      <c r="CJ80" s="14">
        <f t="shared" si="293"/>
        <v>208000</v>
      </c>
      <c r="CK80" s="14">
        <f t="shared" si="293"/>
        <v>208000</v>
      </c>
      <c r="CL80" s="14">
        <f t="shared" si="293"/>
        <v>208000</v>
      </c>
      <c r="CM80" s="14">
        <f t="shared" si="293"/>
        <v>208000</v>
      </c>
      <c r="CN80" s="14">
        <f t="shared" si="293"/>
        <v>208000</v>
      </c>
      <c r="CO80" s="14">
        <f t="shared" si="293"/>
        <v>208000</v>
      </c>
      <c r="CP80" s="14">
        <f t="shared" si="293"/>
        <v>208000</v>
      </c>
      <c r="CQ80" s="50">
        <f>SUM(CE80:CP80)</f>
        <v>2496000</v>
      </c>
    </row>
    <row r="81" spans="1:95" ht="12.75">
      <c r="A81" s="25"/>
      <c r="B81" s="26" t="s">
        <v>48</v>
      </c>
      <c r="C81" s="26" t="s">
        <v>15</v>
      </c>
      <c r="D81" s="14">
        <f aca="true" t="shared" si="294" ref="D81:O81">D80/(D79/100)/Heizwert_Methan</f>
        <v>0</v>
      </c>
      <c r="E81" s="14">
        <f t="shared" si="294"/>
        <v>0</v>
      </c>
      <c r="F81" s="14">
        <f t="shared" si="294"/>
        <v>0</v>
      </c>
      <c r="G81" s="14">
        <f t="shared" si="294"/>
        <v>0</v>
      </c>
      <c r="H81" s="14">
        <f t="shared" si="294"/>
        <v>0</v>
      </c>
      <c r="I81" s="14">
        <f t="shared" si="294"/>
        <v>57899.366447317145</v>
      </c>
      <c r="J81" s="14">
        <f t="shared" si="294"/>
        <v>57899.366447317145</v>
      </c>
      <c r="K81" s="14">
        <f t="shared" si="294"/>
        <v>57899.366447317145</v>
      </c>
      <c r="L81" s="14">
        <f t="shared" si="294"/>
        <v>57899.366447317145</v>
      </c>
      <c r="M81" s="14">
        <f t="shared" si="294"/>
        <v>57899.366447317145</v>
      </c>
      <c r="N81" s="14">
        <f t="shared" si="294"/>
        <v>57899.366447317145</v>
      </c>
      <c r="O81" s="14">
        <f t="shared" si="294"/>
        <v>57899.366447317145</v>
      </c>
      <c r="P81" s="14">
        <f aca="true" t="shared" si="295" ref="P81:AM81">P80/(P79/100)/Heizwert_Methan</f>
        <v>57899.366447317145</v>
      </c>
      <c r="Q81" s="14">
        <f t="shared" si="295"/>
        <v>57899.366447317145</v>
      </c>
      <c r="R81" s="14">
        <f t="shared" si="295"/>
        <v>57899.366447317145</v>
      </c>
      <c r="S81" s="14">
        <f t="shared" si="295"/>
        <v>57899.366447317145</v>
      </c>
      <c r="T81" s="14">
        <f t="shared" si="295"/>
        <v>57899.366447317145</v>
      </c>
      <c r="U81" s="14">
        <f t="shared" si="295"/>
        <v>57899.366447317145</v>
      </c>
      <c r="V81" s="14">
        <f t="shared" si="295"/>
        <v>57899.366447317145</v>
      </c>
      <c r="W81" s="14">
        <f t="shared" si="295"/>
        <v>57899.366447317145</v>
      </c>
      <c r="X81" s="14">
        <f t="shared" si="295"/>
        <v>57899.366447317145</v>
      </c>
      <c r="Y81" s="14">
        <f t="shared" si="295"/>
        <v>57899.366447317145</v>
      </c>
      <c r="Z81" s="14">
        <f t="shared" si="295"/>
        <v>57899.366447317145</v>
      </c>
      <c r="AA81" s="14">
        <f t="shared" si="295"/>
        <v>57899.366447317145</v>
      </c>
      <c r="AB81" s="14">
        <f t="shared" si="295"/>
        <v>57899.366447317145</v>
      </c>
      <c r="AC81" s="14">
        <f t="shared" si="295"/>
        <v>57899.366447317145</v>
      </c>
      <c r="AD81" s="14">
        <f t="shared" si="295"/>
        <v>57899.366447317145</v>
      </c>
      <c r="AE81" s="14">
        <f t="shared" si="295"/>
        <v>57899.366447317145</v>
      </c>
      <c r="AF81" s="14">
        <f t="shared" si="295"/>
        <v>57899.366447317145</v>
      </c>
      <c r="AG81" s="14">
        <f t="shared" si="295"/>
        <v>57899.366447317145</v>
      </c>
      <c r="AH81" s="14">
        <f t="shared" si="295"/>
        <v>57899.366447317145</v>
      </c>
      <c r="AI81" s="14">
        <f t="shared" si="295"/>
        <v>57899.366447317145</v>
      </c>
      <c r="AJ81" s="14">
        <f t="shared" si="295"/>
        <v>57899.366447317145</v>
      </c>
      <c r="AK81" s="14">
        <f t="shared" si="295"/>
        <v>57899.366447317145</v>
      </c>
      <c r="AL81" s="14">
        <f t="shared" si="295"/>
        <v>57899.366447317145</v>
      </c>
      <c r="AM81" s="14">
        <f t="shared" si="295"/>
        <v>57899.366447317145</v>
      </c>
      <c r="AN81" s="14">
        <f t="shared" si="284"/>
        <v>405295.56513122</v>
      </c>
      <c r="AO81" s="140">
        <f t="shared" si="285"/>
        <v>694792.3973678057</v>
      </c>
      <c r="AP81" s="14">
        <f t="shared" si="286"/>
        <v>694792.3973678057</v>
      </c>
      <c r="AQ81" s="52">
        <f t="shared" si="287"/>
        <v>694792.3973678057</v>
      </c>
      <c r="AR81" s="52">
        <f t="shared" si="288"/>
        <v>694792.3973678057</v>
      </c>
      <c r="AS81" s="52">
        <f t="shared" si="289"/>
        <v>694792.3973678057</v>
      </c>
      <c r="AT81" s="52">
        <f t="shared" si="290"/>
        <v>694792.3973678057</v>
      </c>
      <c r="AU81" s="52">
        <f t="shared" si="290"/>
        <v>694792.3973678057</v>
      </c>
      <c r="AV81" s="52">
        <f t="shared" si="290"/>
        <v>694792.3973678057</v>
      </c>
      <c r="AW81" s="52">
        <f t="shared" si="290"/>
        <v>694792.3973678057</v>
      </c>
      <c r="AX81" s="52">
        <f t="shared" si="290"/>
        <v>694792.3973678057</v>
      </c>
      <c r="BC81" s="14">
        <f aca="true" t="shared" si="296" ref="BC81:BN81">BC80/(BC79/100)/Heizwert_Methan</f>
        <v>57899.366447317145</v>
      </c>
      <c r="BD81" s="14">
        <f t="shared" si="296"/>
        <v>57899.366447317145</v>
      </c>
      <c r="BE81" s="14">
        <f t="shared" si="296"/>
        <v>57899.366447317145</v>
      </c>
      <c r="BF81" s="14">
        <f t="shared" si="296"/>
        <v>57899.366447317145</v>
      </c>
      <c r="BG81" s="14">
        <f t="shared" si="296"/>
        <v>57899.366447317145</v>
      </c>
      <c r="BH81" s="14">
        <f t="shared" si="296"/>
        <v>57899.366447317145</v>
      </c>
      <c r="BI81" s="14">
        <f t="shared" si="296"/>
        <v>57899.366447317145</v>
      </c>
      <c r="BJ81" s="14">
        <f t="shared" si="296"/>
        <v>57899.366447317145</v>
      </c>
      <c r="BK81" s="14">
        <f t="shared" si="296"/>
        <v>57899.366447317145</v>
      </c>
      <c r="BL81" s="14">
        <f t="shared" si="296"/>
        <v>57899.366447317145</v>
      </c>
      <c r="BM81" s="14">
        <f t="shared" si="296"/>
        <v>57899.366447317145</v>
      </c>
      <c r="BN81" s="14">
        <f t="shared" si="296"/>
        <v>57899.366447317145</v>
      </c>
      <c r="BO81" s="50">
        <f>SUM(BC81:BN81)</f>
        <v>694792.3973678057</v>
      </c>
      <c r="BQ81" s="14">
        <f aca="true" t="shared" si="297" ref="BQ81:CB81">BQ80/(BQ79/100)/Heizwert_Methan</f>
        <v>57899.366447317145</v>
      </c>
      <c r="BR81" s="14">
        <f t="shared" si="297"/>
        <v>57899.366447317145</v>
      </c>
      <c r="BS81" s="14">
        <f t="shared" si="297"/>
        <v>57899.366447317145</v>
      </c>
      <c r="BT81" s="14">
        <f t="shared" si="297"/>
        <v>57899.366447317145</v>
      </c>
      <c r="BU81" s="14">
        <f t="shared" si="297"/>
        <v>57899.366447317145</v>
      </c>
      <c r="BV81" s="14">
        <f t="shared" si="297"/>
        <v>57899.366447317145</v>
      </c>
      <c r="BW81" s="14">
        <f t="shared" si="297"/>
        <v>57899.366447317145</v>
      </c>
      <c r="BX81" s="14">
        <f t="shared" si="297"/>
        <v>57899.366447317145</v>
      </c>
      <c r="BY81" s="14">
        <f t="shared" si="297"/>
        <v>57899.366447317145</v>
      </c>
      <c r="BZ81" s="14">
        <f t="shared" si="297"/>
        <v>57899.366447317145</v>
      </c>
      <c r="CA81" s="14">
        <f t="shared" si="297"/>
        <v>57899.366447317145</v>
      </c>
      <c r="CB81" s="14">
        <f t="shared" si="297"/>
        <v>57899.366447317145</v>
      </c>
      <c r="CC81" s="50">
        <f>SUM(BQ81:CB81)</f>
        <v>694792.3973678057</v>
      </c>
      <c r="CE81" s="14">
        <f aca="true" t="shared" si="298" ref="CE81:CP81">CE80/(CE79/100)/Heizwert_Methan</f>
        <v>57899.366447317145</v>
      </c>
      <c r="CF81" s="14">
        <f t="shared" si="298"/>
        <v>57899.366447317145</v>
      </c>
      <c r="CG81" s="14">
        <f t="shared" si="298"/>
        <v>57899.366447317145</v>
      </c>
      <c r="CH81" s="14">
        <f t="shared" si="298"/>
        <v>57899.366447317145</v>
      </c>
      <c r="CI81" s="14">
        <f t="shared" si="298"/>
        <v>57899.366447317145</v>
      </c>
      <c r="CJ81" s="14">
        <f t="shared" si="298"/>
        <v>57899.366447317145</v>
      </c>
      <c r="CK81" s="14">
        <f t="shared" si="298"/>
        <v>57899.366447317145</v>
      </c>
      <c r="CL81" s="14">
        <f t="shared" si="298"/>
        <v>57899.366447317145</v>
      </c>
      <c r="CM81" s="14">
        <f t="shared" si="298"/>
        <v>57899.366447317145</v>
      </c>
      <c r="CN81" s="14">
        <f t="shared" si="298"/>
        <v>57899.366447317145</v>
      </c>
      <c r="CO81" s="14">
        <f t="shared" si="298"/>
        <v>57899.366447317145</v>
      </c>
      <c r="CP81" s="14">
        <f t="shared" si="298"/>
        <v>57899.366447317145</v>
      </c>
      <c r="CQ81" s="50">
        <f>SUM(CE81:CP81)</f>
        <v>694792.3973678057</v>
      </c>
    </row>
    <row r="82" spans="1:95" ht="12.75">
      <c r="A82" s="25"/>
      <c r="B82" s="26" t="s">
        <v>128</v>
      </c>
      <c r="C82" s="26" t="s">
        <v>16</v>
      </c>
      <c r="D82" s="14">
        <f aca="true" t="shared" si="299" ref="D82:O82">D81*Gewicht_Methan/1000*21</f>
        <v>0</v>
      </c>
      <c r="E82" s="14">
        <f t="shared" si="299"/>
        <v>0</v>
      </c>
      <c r="F82" s="14">
        <f t="shared" si="299"/>
        <v>0</v>
      </c>
      <c r="G82" s="14">
        <f t="shared" si="299"/>
        <v>0</v>
      </c>
      <c r="H82" s="14">
        <f t="shared" si="299"/>
        <v>0</v>
      </c>
      <c r="I82" s="14">
        <f t="shared" si="299"/>
        <v>871.7907605972543</v>
      </c>
      <c r="J82" s="14">
        <f t="shared" si="299"/>
        <v>871.7907605972543</v>
      </c>
      <c r="K82" s="14">
        <f t="shared" si="299"/>
        <v>871.7907605972543</v>
      </c>
      <c r="L82" s="14">
        <f t="shared" si="299"/>
        <v>871.7907605972543</v>
      </c>
      <c r="M82" s="14">
        <f t="shared" si="299"/>
        <v>871.7907605972543</v>
      </c>
      <c r="N82" s="14">
        <f t="shared" si="299"/>
        <v>871.7907605972543</v>
      </c>
      <c r="O82" s="14">
        <f t="shared" si="299"/>
        <v>871.7907605972543</v>
      </c>
      <c r="P82" s="14">
        <f aca="true" t="shared" si="300" ref="P82:AM82">P81*Gewicht_Methan/1000*21</f>
        <v>871.7907605972543</v>
      </c>
      <c r="Q82" s="14">
        <f t="shared" si="300"/>
        <v>871.7907605972543</v>
      </c>
      <c r="R82" s="14">
        <f t="shared" si="300"/>
        <v>871.7907605972543</v>
      </c>
      <c r="S82" s="14">
        <f t="shared" si="300"/>
        <v>871.7907605972543</v>
      </c>
      <c r="T82" s="14">
        <f t="shared" si="300"/>
        <v>871.7907605972543</v>
      </c>
      <c r="U82" s="14">
        <f t="shared" si="300"/>
        <v>871.7907605972543</v>
      </c>
      <c r="V82" s="14">
        <f t="shared" si="300"/>
        <v>871.7907605972543</v>
      </c>
      <c r="W82" s="14">
        <f t="shared" si="300"/>
        <v>871.7907605972543</v>
      </c>
      <c r="X82" s="14">
        <f t="shared" si="300"/>
        <v>871.7907605972543</v>
      </c>
      <c r="Y82" s="14">
        <f t="shared" si="300"/>
        <v>871.7907605972543</v>
      </c>
      <c r="Z82" s="14">
        <f t="shared" si="300"/>
        <v>871.7907605972543</v>
      </c>
      <c r="AA82" s="14">
        <f t="shared" si="300"/>
        <v>871.7907605972543</v>
      </c>
      <c r="AB82" s="14">
        <f t="shared" si="300"/>
        <v>871.7907605972543</v>
      </c>
      <c r="AC82" s="14">
        <f t="shared" si="300"/>
        <v>871.7907605972543</v>
      </c>
      <c r="AD82" s="14">
        <f t="shared" si="300"/>
        <v>871.7907605972543</v>
      </c>
      <c r="AE82" s="14">
        <f t="shared" si="300"/>
        <v>871.7907605972543</v>
      </c>
      <c r="AF82" s="14">
        <f t="shared" si="300"/>
        <v>871.7907605972543</v>
      </c>
      <c r="AG82" s="14">
        <f t="shared" si="300"/>
        <v>871.7907605972543</v>
      </c>
      <c r="AH82" s="14">
        <f t="shared" si="300"/>
        <v>871.7907605972543</v>
      </c>
      <c r="AI82" s="14">
        <f t="shared" si="300"/>
        <v>871.7907605972543</v>
      </c>
      <c r="AJ82" s="14">
        <f t="shared" si="300"/>
        <v>871.7907605972543</v>
      </c>
      <c r="AK82" s="14">
        <f t="shared" si="300"/>
        <v>871.7907605972543</v>
      </c>
      <c r="AL82" s="14">
        <f t="shared" si="300"/>
        <v>871.7907605972543</v>
      </c>
      <c r="AM82" s="14">
        <f t="shared" si="300"/>
        <v>871.7907605972543</v>
      </c>
      <c r="AN82" s="14">
        <f t="shared" si="284"/>
        <v>6102.53532418078</v>
      </c>
      <c r="AO82" s="140">
        <f t="shared" si="285"/>
        <v>10461.489127167051</v>
      </c>
      <c r="AP82" s="14">
        <f t="shared" si="286"/>
        <v>10461.489127167051</v>
      </c>
      <c r="AQ82" s="52">
        <f t="shared" si="287"/>
        <v>10461.489127167051</v>
      </c>
      <c r="AR82" s="52">
        <f t="shared" si="288"/>
        <v>10461.489127167051</v>
      </c>
      <c r="AS82" s="52">
        <f t="shared" si="289"/>
        <v>10461.489127167051</v>
      </c>
      <c r="AT82" s="52">
        <f t="shared" si="290"/>
        <v>10461.489127167051</v>
      </c>
      <c r="AU82" s="52">
        <f t="shared" si="290"/>
        <v>10461.489127167051</v>
      </c>
      <c r="AV82" s="52">
        <f t="shared" si="290"/>
        <v>10461.489127167051</v>
      </c>
      <c r="AW82" s="52">
        <f t="shared" si="290"/>
        <v>10461.489127167051</v>
      </c>
      <c r="AX82" s="52">
        <f t="shared" si="290"/>
        <v>10461.489127167051</v>
      </c>
      <c r="AY82" s="52">
        <f>AX81*0.717/1000</f>
        <v>498.16614891271666</v>
      </c>
      <c r="BC82" s="14">
        <f aca="true" t="shared" si="301" ref="BC82:BN82">BC81*Gewicht_Methan/1000*21</f>
        <v>871.7907605972543</v>
      </c>
      <c r="BD82" s="14">
        <f t="shared" si="301"/>
        <v>871.7907605972543</v>
      </c>
      <c r="BE82" s="14">
        <f t="shared" si="301"/>
        <v>871.7907605972543</v>
      </c>
      <c r="BF82" s="14">
        <f t="shared" si="301"/>
        <v>871.7907605972543</v>
      </c>
      <c r="BG82" s="14">
        <f t="shared" si="301"/>
        <v>871.7907605972543</v>
      </c>
      <c r="BH82" s="14">
        <f t="shared" si="301"/>
        <v>871.7907605972543</v>
      </c>
      <c r="BI82" s="14">
        <f t="shared" si="301"/>
        <v>871.7907605972543</v>
      </c>
      <c r="BJ82" s="14">
        <f t="shared" si="301"/>
        <v>871.7907605972543</v>
      </c>
      <c r="BK82" s="14">
        <f t="shared" si="301"/>
        <v>871.7907605972543</v>
      </c>
      <c r="BL82" s="14">
        <f t="shared" si="301"/>
        <v>871.7907605972543</v>
      </c>
      <c r="BM82" s="14">
        <f t="shared" si="301"/>
        <v>871.7907605972543</v>
      </c>
      <c r="BN82" s="14">
        <f t="shared" si="301"/>
        <v>871.7907605972543</v>
      </c>
      <c r="BO82" s="50">
        <f>SUM(BC82:BN82)</f>
        <v>10461.489127167051</v>
      </c>
      <c r="BQ82" s="14">
        <f aca="true" t="shared" si="302" ref="BQ82:CB82">BQ81*Gewicht_Methan/1000*21</f>
        <v>871.7907605972543</v>
      </c>
      <c r="BR82" s="14">
        <f t="shared" si="302"/>
        <v>871.7907605972543</v>
      </c>
      <c r="BS82" s="14">
        <f t="shared" si="302"/>
        <v>871.7907605972543</v>
      </c>
      <c r="BT82" s="14">
        <f t="shared" si="302"/>
        <v>871.7907605972543</v>
      </c>
      <c r="BU82" s="14">
        <f t="shared" si="302"/>
        <v>871.7907605972543</v>
      </c>
      <c r="BV82" s="14">
        <f t="shared" si="302"/>
        <v>871.7907605972543</v>
      </c>
      <c r="BW82" s="14">
        <f t="shared" si="302"/>
        <v>871.7907605972543</v>
      </c>
      <c r="BX82" s="14">
        <f t="shared" si="302"/>
        <v>871.7907605972543</v>
      </c>
      <c r="BY82" s="14">
        <f t="shared" si="302"/>
        <v>871.7907605972543</v>
      </c>
      <c r="BZ82" s="14">
        <f t="shared" si="302"/>
        <v>871.7907605972543</v>
      </c>
      <c r="CA82" s="14">
        <f t="shared" si="302"/>
        <v>871.7907605972543</v>
      </c>
      <c r="CB82" s="14">
        <f t="shared" si="302"/>
        <v>871.7907605972543</v>
      </c>
      <c r="CC82" s="50">
        <f>SUM(BQ82:CB82)</f>
        <v>10461.489127167051</v>
      </c>
      <c r="CE82" s="14">
        <f aca="true" t="shared" si="303" ref="CE82:CP82">CE81*Gewicht_Methan/1000*21</f>
        <v>871.7907605972543</v>
      </c>
      <c r="CF82" s="14">
        <f t="shared" si="303"/>
        <v>871.7907605972543</v>
      </c>
      <c r="CG82" s="14">
        <f t="shared" si="303"/>
        <v>871.7907605972543</v>
      </c>
      <c r="CH82" s="14">
        <f t="shared" si="303"/>
        <v>871.7907605972543</v>
      </c>
      <c r="CI82" s="14">
        <f t="shared" si="303"/>
        <v>871.7907605972543</v>
      </c>
      <c r="CJ82" s="14">
        <f t="shared" si="303"/>
        <v>871.7907605972543</v>
      </c>
      <c r="CK82" s="14">
        <f t="shared" si="303"/>
        <v>871.7907605972543</v>
      </c>
      <c r="CL82" s="14">
        <f t="shared" si="303"/>
        <v>871.7907605972543</v>
      </c>
      <c r="CM82" s="14">
        <f t="shared" si="303"/>
        <v>871.7907605972543</v>
      </c>
      <c r="CN82" s="14">
        <f t="shared" si="303"/>
        <v>871.7907605972543</v>
      </c>
      <c r="CO82" s="14">
        <f t="shared" si="303"/>
        <v>871.7907605972543</v>
      </c>
      <c r="CP82" s="14">
        <f t="shared" si="303"/>
        <v>871.7907605972543</v>
      </c>
      <c r="CQ82" s="50">
        <f>SUM(CE82:CP82)</f>
        <v>10461.489127167051</v>
      </c>
    </row>
    <row r="83" spans="1:95" ht="12.75">
      <c r="A83" s="25"/>
      <c r="B83" s="26" t="s">
        <v>129</v>
      </c>
      <c r="C83" s="26" t="s">
        <v>16</v>
      </c>
      <c r="D83" s="14">
        <f aca="true" t="shared" si="304" ref="D83:O83">D80/1000*CO2_Vermeidung_Strom_2008</f>
        <v>0</v>
      </c>
      <c r="E83" s="14">
        <f t="shared" si="304"/>
        <v>0</v>
      </c>
      <c r="F83" s="14">
        <f t="shared" si="304"/>
        <v>0</v>
      </c>
      <c r="G83" s="14">
        <f t="shared" si="304"/>
        <v>0</v>
      </c>
      <c r="H83" s="14">
        <f t="shared" si="304"/>
        <v>0</v>
      </c>
      <c r="I83" s="14">
        <f t="shared" si="304"/>
        <v>144.56</v>
      </c>
      <c r="J83" s="14">
        <f t="shared" si="304"/>
        <v>144.56</v>
      </c>
      <c r="K83" s="14">
        <f t="shared" si="304"/>
        <v>144.56</v>
      </c>
      <c r="L83" s="14">
        <f t="shared" si="304"/>
        <v>144.56</v>
      </c>
      <c r="M83" s="14">
        <f t="shared" si="304"/>
        <v>144.56</v>
      </c>
      <c r="N83" s="14">
        <f t="shared" si="304"/>
        <v>144.56</v>
      </c>
      <c r="O83" s="14">
        <f t="shared" si="304"/>
        <v>144.56</v>
      </c>
      <c r="P83" s="14">
        <f aca="true" t="shared" si="305" ref="P83:AA83">P80/1000*CO2_Vermeidung_Strom_2008</f>
        <v>144.56</v>
      </c>
      <c r="Q83" s="14">
        <f t="shared" si="305"/>
        <v>144.56</v>
      </c>
      <c r="R83" s="14">
        <f t="shared" si="305"/>
        <v>144.56</v>
      </c>
      <c r="S83" s="14">
        <f t="shared" si="305"/>
        <v>144.56</v>
      </c>
      <c r="T83" s="14">
        <f t="shared" si="305"/>
        <v>144.56</v>
      </c>
      <c r="U83" s="14">
        <f t="shared" si="305"/>
        <v>144.56</v>
      </c>
      <c r="V83" s="14">
        <f t="shared" si="305"/>
        <v>144.56</v>
      </c>
      <c r="W83" s="14">
        <f t="shared" si="305"/>
        <v>144.56</v>
      </c>
      <c r="X83" s="14">
        <f t="shared" si="305"/>
        <v>144.56</v>
      </c>
      <c r="Y83" s="14">
        <f t="shared" si="305"/>
        <v>144.56</v>
      </c>
      <c r="Z83" s="14">
        <f t="shared" si="305"/>
        <v>144.56</v>
      </c>
      <c r="AA83" s="14">
        <f t="shared" si="305"/>
        <v>144.56</v>
      </c>
      <c r="AB83" s="14">
        <f aca="true" t="shared" si="306" ref="AB83:AM83">AB80/1000*CO2_Vermeidung_Strom_2009</f>
        <v>141.44</v>
      </c>
      <c r="AC83" s="14">
        <f t="shared" si="306"/>
        <v>141.44</v>
      </c>
      <c r="AD83" s="14">
        <f t="shared" si="306"/>
        <v>141.44</v>
      </c>
      <c r="AE83" s="14">
        <f t="shared" si="306"/>
        <v>141.44</v>
      </c>
      <c r="AF83" s="14">
        <f t="shared" si="306"/>
        <v>141.44</v>
      </c>
      <c r="AG83" s="14">
        <f t="shared" si="306"/>
        <v>141.44</v>
      </c>
      <c r="AH83" s="14">
        <f t="shared" si="306"/>
        <v>141.44</v>
      </c>
      <c r="AI83" s="14">
        <f t="shared" si="306"/>
        <v>141.44</v>
      </c>
      <c r="AJ83" s="14">
        <f t="shared" si="306"/>
        <v>141.44</v>
      </c>
      <c r="AK83" s="14">
        <f t="shared" si="306"/>
        <v>141.44</v>
      </c>
      <c r="AL83" s="14">
        <f t="shared" si="306"/>
        <v>141.44</v>
      </c>
      <c r="AM83" s="14">
        <f t="shared" si="306"/>
        <v>141.44</v>
      </c>
      <c r="AN83" s="14">
        <f t="shared" si="284"/>
        <v>1011.9199999999998</v>
      </c>
      <c r="AO83" s="140">
        <f t="shared" si="285"/>
        <v>1734.7199999999996</v>
      </c>
      <c r="AP83" s="14">
        <f t="shared" si="286"/>
        <v>1697.2800000000004</v>
      </c>
      <c r="AQ83" s="52">
        <f t="shared" si="287"/>
        <v>1662.3360000000002</v>
      </c>
      <c r="AR83" s="52">
        <f t="shared" si="288"/>
        <v>1624.8959999999997</v>
      </c>
      <c r="AS83" s="52">
        <f t="shared" si="289"/>
        <v>1587.4560000000001</v>
      </c>
      <c r="AT83" s="52">
        <f t="shared" si="290"/>
        <v>1587.4560000000001</v>
      </c>
      <c r="AU83" s="52">
        <f t="shared" si="290"/>
        <v>1587.4560000000001</v>
      </c>
      <c r="AV83" s="52">
        <f t="shared" si="290"/>
        <v>1587.4560000000001</v>
      </c>
      <c r="AW83" s="52">
        <f t="shared" si="290"/>
        <v>1587.4560000000001</v>
      </c>
      <c r="AX83" s="52">
        <f t="shared" si="290"/>
        <v>1587.4560000000001</v>
      </c>
      <c r="BC83" s="14">
        <f aca="true" t="shared" si="307" ref="BC83:BN83">BC80/1000*CO2_Vermeidung_Strom_2010</f>
        <v>138.52800000000002</v>
      </c>
      <c r="BD83" s="14">
        <f t="shared" si="307"/>
        <v>138.52800000000002</v>
      </c>
      <c r="BE83" s="14">
        <f t="shared" si="307"/>
        <v>138.52800000000002</v>
      </c>
      <c r="BF83" s="14">
        <f t="shared" si="307"/>
        <v>138.52800000000002</v>
      </c>
      <c r="BG83" s="14">
        <f t="shared" si="307"/>
        <v>138.52800000000002</v>
      </c>
      <c r="BH83" s="14">
        <f t="shared" si="307"/>
        <v>138.52800000000002</v>
      </c>
      <c r="BI83" s="14">
        <f t="shared" si="307"/>
        <v>138.52800000000002</v>
      </c>
      <c r="BJ83" s="14">
        <f t="shared" si="307"/>
        <v>138.52800000000002</v>
      </c>
      <c r="BK83" s="14">
        <f t="shared" si="307"/>
        <v>138.52800000000002</v>
      </c>
      <c r="BL83" s="14">
        <f t="shared" si="307"/>
        <v>138.52800000000002</v>
      </c>
      <c r="BM83" s="14">
        <f t="shared" si="307"/>
        <v>138.52800000000002</v>
      </c>
      <c r="BN83" s="14">
        <f t="shared" si="307"/>
        <v>138.52800000000002</v>
      </c>
      <c r="BO83" s="50">
        <f>SUM(BC83:BN83)</f>
        <v>1662.3360000000002</v>
      </c>
      <c r="BQ83" s="14">
        <f aca="true" t="shared" si="308" ref="BQ83:CB83">BQ80/1000*CO2_Vermeidung_Strom_2011</f>
        <v>135.40800000000002</v>
      </c>
      <c r="BR83" s="14">
        <f t="shared" si="308"/>
        <v>135.40800000000002</v>
      </c>
      <c r="BS83" s="14">
        <f t="shared" si="308"/>
        <v>135.40800000000002</v>
      </c>
      <c r="BT83" s="14">
        <f t="shared" si="308"/>
        <v>135.40800000000002</v>
      </c>
      <c r="BU83" s="14">
        <f t="shared" si="308"/>
        <v>135.40800000000002</v>
      </c>
      <c r="BV83" s="14">
        <f t="shared" si="308"/>
        <v>135.40800000000002</v>
      </c>
      <c r="BW83" s="14">
        <f t="shared" si="308"/>
        <v>135.40800000000002</v>
      </c>
      <c r="BX83" s="14">
        <f t="shared" si="308"/>
        <v>135.40800000000002</v>
      </c>
      <c r="BY83" s="14">
        <f t="shared" si="308"/>
        <v>135.40800000000002</v>
      </c>
      <c r="BZ83" s="14">
        <f t="shared" si="308"/>
        <v>135.40800000000002</v>
      </c>
      <c r="CA83" s="14">
        <f t="shared" si="308"/>
        <v>135.40800000000002</v>
      </c>
      <c r="CB83" s="14">
        <f t="shared" si="308"/>
        <v>135.40800000000002</v>
      </c>
      <c r="CC83" s="50">
        <f>SUM(BQ83:CB83)</f>
        <v>1624.8959999999997</v>
      </c>
      <c r="CE83" s="14">
        <f aca="true" t="shared" si="309" ref="CE83:CP83">CE80/1000*CO2_Vermeidung_Strom_2012</f>
        <v>132.288</v>
      </c>
      <c r="CF83" s="14">
        <f t="shared" si="309"/>
        <v>132.288</v>
      </c>
      <c r="CG83" s="14">
        <f t="shared" si="309"/>
        <v>132.288</v>
      </c>
      <c r="CH83" s="14">
        <f t="shared" si="309"/>
        <v>132.288</v>
      </c>
      <c r="CI83" s="14">
        <f t="shared" si="309"/>
        <v>132.288</v>
      </c>
      <c r="CJ83" s="14">
        <f t="shared" si="309"/>
        <v>132.288</v>
      </c>
      <c r="CK83" s="14">
        <f t="shared" si="309"/>
        <v>132.288</v>
      </c>
      <c r="CL83" s="14">
        <f t="shared" si="309"/>
        <v>132.288</v>
      </c>
      <c r="CM83" s="14">
        <f t="shared" si="309"/>
        <v>132.288</v>
      </c>
      <c r="CN83" s="14">
        <f t="shared" si="309"/>
        <v>132.288</v>
      </c>
      <c r="CO83" s="14">
        <f t="shared" si="309"/>
        <v>132.288</v>
      </c>
      <c r="CP83" s="14">
        <f t="shared" si="309"/>
        <v>132.288</v>
      </c>
      <c r="CQ83" s="50">
        <f>SUM(CE83:CP83)</f>
        <v>1587.4560000000001</v>
      </c>
    </row>
    <row r="84" spans="1:95" ht="12.75">
      <c r="A84" s="25"/>
      <c r="B84" s="51" t="s">
        <v>98</v>
      </c>
      <c r="C84" s="51" t="s">
        <v>14</v>
      </c>
      <c r="D84" s="14">
        <f>D80*'Basis data'!$B$19/1000</f>
        <v>0</v>
      </c>
      <c r="E84" s="14">
        <f>E80*'Basis data'!$B$19/1000</f>
        <v>0</v>
      </c>
      <c r="F84" s="14">
        <f>F80*'Basis data'!$B$19/1000</f>
        <v>0</v>
      </c>
      <c r="G84" s="14">
        <f>G80*'Basis data'!$B$19/1000</f>
        <v>0</v>
      </c>
      <c r="H84" s="14">
        <f>H80*'Basis data'!$B$19/1000</f>
        <v>0</v>
      </c>
      <c r="I84" s="14">
        <f>I80*'Basis data'!$B$19/1000</f>
        <v>7.280000000000001</v>
      </c>
      <c r="J84" s="14">
        <f>J80*'Basis data'!$B$19/1000</f>
        <v>7.280000000000001</v>
      </c>
      <c r="K84" s="14">
        <f>K80*'Basis data'!$B$19/1000</f>
        <v>7.280000000000001</v>
      </c>
      <c r="L84" s="14">
        <f>L80*'Basis data'!$B$19/1000</f>
        <v>7.280000000000001</v>
      </c>
      <c r="M84" s="14">
        <f>M80*'Basis data'!$B$19/1000</f>
        <v>7.280000000000001</v>
      </c>
      <c r="N84" s="14">
        <f>N80*'Basis data'!$B$19/1000</f>
        <v>7.280000000000001</v>
      </c>
      <c r="O84" s="14">
        <f>O80*'Basis data'!$B$19/1000</f>
        <v>7.280000000000001</v>
      </c>
      <c r="P84" s="14">
        <f>P80*'Basis data'!$B$19/1000</f>
        <v>7.280000000000001</v>
      </c>
      <c r="Q84" s="14">
        <f>Q80*'Basis data'!$B$19/1000</f>
        <v>7.280000000000001</v>
      </c>
      <c r="R84" s="14">
        <f>R80*'Basis data'!$B$19/1000</f>
        <v>7.280000000000001</v>
      </c>
      <c r="S84" s="14">
        <f>S80*'Basis data'!$B$19/1000</f>
        <v>7.280000000000001</v>
      </c>
      <c r="T84" s="14">
        <f>T80*'Basis data'!$B$19/1000</f>
        <v>7.280000000000001</v>
      </c>
      <c r="U84" s="14">
        <f>U80*'Basis data'!$B$19/1000</f>
        <v>7.280000000000001</v>
      </c>
      <c r="V84" s="14">
        <f>V80*'Basis data'!$B$19/1000</f>
        <v>7.280000000000001</v>
      </c>
      <c r="W84" s="14">
        <f>W80*'Basis data'!$B$19/1000</f>
        <v>7.280000000000001</v>
      </c>
      <c r="X84" s="14">
        <f>X80*'Basis data'!$B$19/1000</f>
        <v>7.280000000000001</v>
      </c>
      <c r="Y84" s="14">
        <f>Y80*'Basis data'!$B$19/1000</f>
        <v>7.280000000000001</v>
      </c>
      <c r="Z84" s="14">
        <f>Z80*'Basis data'!$B$19/1000</f>
        <v>7.280000000000001</v>
      </c>
      <c r="AA84" s="14">
        <f>AA80*'Basis data'!$B$19/1000</f>
        <v>7.280000000000001</v>
      </c>
      <c r="AB84" s="14">
        <f>AB80*'Basis data'!$B$19/1000</f>
        <v>7.280000000000001</v>
      </c>
      <c r="AC84" s="14">
        <f>AC80*'Basis data'!$B$19/1000</f>
        <v>7.280000000000001</v>
      </c>
      <c r="AD84" s="14">
        <f>AD80*'Basis data'!$B$19/1000</f>
        <v>7.280000000000001</v>
      </c>
      <c r="AE84" s="14">
        <f>AE80*'Basis data'!$B$19/1000</f>
        <v>7.280000000000001</v>
      </c>
      <c r="AF84" s="14">
        <f>AF80*'Basis data'!$B$19/1000</f>
        <v>7.280000000000001</v>
      </c>
      <c r="AG84" s="14">
        <f>AG80*'Basis data'!$B$19/1000</f>
        <v>7.280000000000001</v>
      </c>
      <c r="AH84" s="14">
        <f>AH80*'Basis data'!$B$19/1000</f>
        <v>7.280000000000001</v>
      </c>
      <c r="AI84" s="14">
        <f>AI80*'Basis data'!$B$19/1000</f>
        <v>7.280000000000001</v>
      </c>
      <c r="AJ84" s="14">
        <f>AJ80*'Basis data'!$B$19/1000</f>
        <v>7.280000000000001</v>
      </c>
      <c r="AK84" s="14">
        <f>AK80*'Basis data'!$B$19/1000</f>
        <v>7.280000000000001</v>
      </c>
      <c r="AL84" s="14">
        <f>AL80*'Basis data'!$B$19/1000</f>
        <v>7.280000000000001</v>
      </c>
      <c r="AM84" s="14">
        <f>AM80*'Basis data'!$B$19/1000</f>
        <v>7.280000000000001</v>
      </c>
      <c r="AN84" s="14">
        <f t="shared" si="284"/>
        <v>50.96000000000001</v>
      </c>
      <c r="AO84" s="140">
        <f t="shared" si="285"/>
        <v>87.36000000000001</v>
      </c>
      <c r="AP84" s="14">
        <f t="shared" si="286"/>
        <v>87.36000000000001</v>
      </c>
      <c r="AQ84" s="52">
        <f t="shared" si="287"/>
        <v>87.36000000000001</v>
      </c>
      <c r="AR84" s="52">
        <f t="shared" si="288"/>
        <v>87.36000000000001</v>
      </c>
      <c r="AS84" s="52">
        <f t="shared" si="289"/>
        <v>87.36000000000001</v>
      </c>
      <c r="AT84" s="52">
        <f aca="true" t="shared" si="310" ref="AT84:AX86">AS84</f>
        <v>87.36000000000001</v>
      </c>
      <c r="AU84" s="52">
        <f t="shared" si="310"/>
        <v>87.36000000000001</v>
      </c>
      <c r="AV84" s="52">
        <f t="shared" si="310"/>
        <v>87.36000000000001</v>
      </c>
      <c r="AW84" s="52">
        <f t="shared" si="310"/>
        <v>87.36000000000001</v>
      </c>
      <c r="AX84" s="52">
        <f t="shared" si="310"/>
        <v>87.36000000000001</v>
      </c>
      <c r="AY84" s="14">
        <f>AY77*'Basis data'!$B$19</f>
        <v>0</v>
      </c>
      <c r="AZ84" s="14"/>
      <c r="BA84" s="14"/>
      <c r="BB84" s="14"/>
      <c r="BC84" s="14">
        <f>BC80*'Basis data'!$B$19/1000</f>
        <v>7.280000000000001</v>
      </c>
      <c r="BD84" s="14">
        <f>BD80*'Basis data'!$B$19/1000</f>
        <v>7.280000000000001</v>
      </c>
      <c r="BE84" s="14">
        <f>BE80*'Basis data'!$B$19/1000</f>
        <v>7.280000000000001</v>
      </c>
      <c r="BF84" s="14">
        <f>BF80*'Basis data'!$B$19/1000</f>
        <v>7.280000000000001</v>
      </c>
      <c r="BG84" s="14">
        <f>BG80*'Basis data'!$B$19/1000</f>
        <v>7.280000000000001</v>
      </c>
      <c r="BH84" s="14">
        <f>BH80*'Basis data'!$B$19/1000</f>
        <v>7.280000000000001</v>
      </c>
      <c r="BI84" s="14">
        <f>BI80*'Basis data'!$B$19/1000</f>
        <v>7.280000000000001</v>
      </c>
      <c r="BJ84" s="14">
        <f>BJ80*'Basis data'!$B$19/1000</f>
        <v>7.280000000000001</v>
      </c>
      <c r="BK84" s="14">
        <f>BK80*'Basis data'!$B$19/1000</f>
        <v>7.280000000000001</v>
      </c>
      <c r="BL84" s="14">
        <f>BL80*'Basis data'!$B$19/1000</f>
        <v>7.280000000000001</v>
      </c>
      <c r="BM84" s="14">
        <f>BM80*'Basis data'!$B$19/1000</f>
        <v>7.280000000000001</v>
      </c>
      <c r="BN84" s="14">
        <f>BN80*'Basis data'!$B$19/1000</f>
        <v>7.280000000000001</v>
      </c>
      <c r="BO84" s="14">
        <f>BO80*'Basis data'!$B$19/1000</f>
        <v>87.36000000000001</v>
      </c>
      <c r="BP84" s="14"/>
      <c r="BQ84" s="14">
        <f>BQ80*'Basis data'!$B$19/1000</f>
        <v>7.280000000000001</v>
      </c>
      <c r="BR84" s="14">
        <f>BR80*'Basis data'!$B$19/1000</f>
        <v>7.280000000000001</v>
      </c>
      <c r="BS84" s="14">
        <f>BS80*'Basis data'!$B$19/1000</f>
        <v>7.280000000000001</v>
      </c>
      <c r="BT84" s="14">
        <f>BT80*'Basis data'!$B$19/1000</f>
        <v>7.280000000000001</v>
      </c>
      <c r="BU84" s="14">
        <f>BU80*'Basis data'!$B$19/1000</f>
        <v>7.280000000000001</v>
      </c>
      <c r="BV84" s="14">
        <f>BV80*'Basis data'!$B$19/1000</f>
        <v>7.280000000000001</v>
      </c>
      <c r="BW84" s="14">
        <f>BW80*'Basis data'!$B$19/1000</f>
        <v>7.280000000000001</v>
      </c>
      <c r="BX84" s="14">
        <f>BX80*'Basis data'!$B$19/1000</f>
        <v>7.280000000000001</v>
      </c>
      <c r="BY84" s="14">
        <f>BY80*'Basis data'!$B$19/1000</f>
        <v>7.280000000000001</v>
      </c>
      <c r="BZ84" s="14">
        <f>BZ80*'Basis data'!$B$19/1000</f>
        <v>7.280000000000001</v>
      </c>
      <c r="CA84" s="14">
        <f>CA80*'Basis data'!$B$19/1000</f>
        <v>7.280000000000001</v>
      </c>
      <c r="CB84" s="14">
        <f>CB80*'Basis data'!$B$19/1000</f>
        <v>7.280000000000001</v>
      </c>
      <c r="CC84" s="14">
        <f>CC80*'Basis data'!$B$19/1000</f>
        <v>87.36000000000001</v>
      </c>
      <c r="CD84" s="14"/>
      <c r="CE84" s="14">
        <f>CE80*'Basis data'!$B$19/1000</f>
        <v>7.280000000000001</v>
      </c>
      <c r="CF84" s="14">
        <f>CF80*'Basis data'!$B$19/1000</f>
        <v>7.280000000000001</v>
      </c>
      <c r="CG84" s="14">
        <f>CG80*'Basis data'!$B$19/1000</f>
        <v>7.280000000000001</v>
      </c>
      <c r="CH84" s="14">
        <f>CH80*'Basis data'!$B$19/1000</f>
        <v>7.280000000000001</v>
      </c>
      <c r="CI84" s="14">
        <f>CI80*'Basis data'!$B$19/1000</f>
        <v>7.280000000000001</v>
      </c>
      <c r="CJ84" s="14">
        <f>CJ80*'Basis data'!$B$19/1000</f>
        <v>7.280000000000001</v>
      </c>
      <c r="CK84" s="14">
        <f>CK80*'Basis data'!$B$19/1000</f>
        <v>7.280000000000001</v>
      </c>
      <c r="CL84" s="14">
        <f>CL80*'Basis data'!$B$19/1000</f>
        <v>7.280000000000001</v>
      </c>
      <c r="CM84" s="14">
        <f>CM80*'Basis data'!$B$19/1000</f>
        <v>7.280000000000001</v>
      </c>
      <c r="CN84" s="14">
        <f>CN80*'Basis data'!$B$19/1000</f>
        <v>7.280000000000001</v>
      </c>
      <c r="CO84" s="14">
        <f>CO80*'Basis data'!$B$19/1000</f>
        <v>7.280000000000001</v>
      </c>
      <c r="CP84" s="14">
        <f>CP80*'Basis data'!$B$19/1000</f>
        <v>7.280000000000001</v>
      </c>
      <c r="CQ84" s="14">
        <f>CQ80*'Basis data'!$B$19/1000</f>
        <v>87.36000000000001</v>
      </c>
    </row>
    <row r="85" spans="1:95" ht="12.75">
      <c r="A85" s="25"/>
      <c r="B85" s="51" t="s">
        <v>99</v>
      </c>
      <c r="C85" s="51" t="s">
        <v>16</v>
      </c>
      <c r="D85" s="14">
        <f aca="true" t="shared" si="311" ref="D85:AA85">D84*CO2_Vermeidung_Strom_2008</f>
        <v>0</v>
      </c>
      <c r="E85" s="14">
        <f t="shared" si="311"/>
        <v>0</v>
      </c>
      <c r="F85" s="14">
        <f t="shared" si="311"/>
        <v>0</v>
      </c>
      <c r="G85" s="14">
        <f t="shared" si="311"/>
        <v>0</v>
      </c>
      <c r="H85" s="14">
        <f t="shared" si="311"/>
        <v>0</v>
      </c>
      <c r="I85" s="14">
        <f t="shared" si="311"/>
        <v>5.0596000000000005</v>
      </c>
      <c r="J85" s="14">
        <f t="shared" si="311"/>
        <v>5.0596000000000005</v>
      </c>
      <c r="K85" s="14">
        <f t="shared" si="311"/>
        <v>5.0596000000000005</v>
      </c>
      <c r="L85" s="14">
        <f t="shared" si="311"/>
        <v>5.0596000000000005</v>
      </c>
      <c r="M85" s="14">
        <f t="shared" si="311"/>
        <v>5.0596000000000005</v>
      </c>
      <c r="N85" s="14">
        <f t="shared" si="311"/>
        <v>5.0596000000000005</v>
      </c>
      <c r="O85" s="14">
        <f t="shared" si="311"/>
        <v>5.0596000000000005</v>
      </c>
      <c r="P85" s="14">
        <f t="shared" si="311"/>
        <v>5.0596000000000005</v>
      </c>
      <c r="Q85" s="14">
        <f t="shared" si="311"/>
        <v>5.0596000000000005</v>
      </c>
      <c r="R85" s="14">
        <f t="shared" si="311"/>
        <v>5.0596000000000005</v>
      </c>
      <c r="S85" s="14">
        <f t="shared" si="311"/>
        <v>5.0596000000000005</v>
      </c>
      <c r="T85" s="14">
        <f t="shared" si="311"/>
        <v>5.0596000000000005</v>
      </c>
      <c r="U85" s="14">
        <f t="shared" si="311"/>
        <v>5.0596000000000005</v>
      </c>
      <c r="V85" s="14">
        <f t="shared" si="311"/>
        <v>5.0596000000000005</v>
      </c>
      <c r="W85" s="14">
        <f t="shared" si="311"/>
        <v>5.0596000000000005</v>
      </c>
      <c r="X85" s="14">
        <f t="shared" si="311"/>
        <v>5.0596000000000005</v>
      </c>
      <c r="Y85" s="14">
        <f t="shared" si="311"/>
        <v>5.0596000000000005</v>
      </c>
      <c r="Z85" s="14">
        <f t="shared" si="311"/>
        <v>5.0596000000000005</v>
      </c>
      <c r="AA85" s="14">
        <f t="shared" si="311"/>
        <v>5.0596000000000005</v>
      </c>
      <c r="AB85" s="14">
        <f aca="true" t="shared" si="312" ref="AB85:AM85">AB84*CO2_Vermeidung_Strom_2009</f>
        <v>4.950400000000001</v>
      </c>
      <c r="AC85" s="14">
        <f t="shared" si="312"/>
        <v>4.950400000000001</v>
      </c>
      <c r="AD85" s="14">
        <f t="shared" si="312"/>
        <v>4.950400000000001</v>
      </c>
      <c r="AE85" s="14">
        <f t="shared" si="312"/>
        <v>4.950400000000001</v>
      </c>
      <c r="AF85" s="14">
        <f t="shared" si="312"/>
        <v>4.950400000000001</v>
      </c>
      <c r="AG85" s="14">
        <f t="shared" si="312"/>
        <v>4.950400000000001</v>
      </c>
      <c r="AH85" s="14">
        <f t="shared" si="312"/>
        <v>4.950400000000001</v>
      </c>
      <c r="AI85" s="14">
        <f t="shared" si="312"/>
        <v>4.950400000000001</v>
      </c>
      <c r="AJ85" s="14">
        <f t="shared" si="312"/>
        <v>4.950400000000001</v>
      </c>
      <c r="AK85" s="14">
        <f t="shared" si="312"/>
        <v>4.950400000000001</v>
      </c>
      <c r="AL85" s="14">
        <f t="shared" si="312"/>
        <v>4.950400000000001</v>
      </c>
      <c r="AM85" s="14">
        <f t="shared" si="312"/>
        <v>4.950400000000001</v>
      </c>
      <c r="AN85" s="14">
        <f t="shared" si="284"/>
        <v>35.4172</v>
      </c>
      <c r="AO85" s="140">
        <f t="shared" si="285"/>
        <v>60.71520000000002</v>
      </c>
      <c r="AP85" s="14">
        <f t="shared" si="286"/>
        <v>59.404800000000016</v>
      </c>
      <c r="AQ85" s="52">
        <f t="shared" si="287"/>
        <v>58.18176000000002</v>
      </c>
      <c r="AR85" s="52">
        <f t="shared" si="288"/>
        <v>56.87136000000001</v>
      </c>
      <c r="AS85" s="52">
        <f t="shared" si="289"/>
        <v>55.56096</v>
      </c>
      <c r="AT85" s="52">
        <f t="shared" si="310"/>
        <v>55.56096</v>
      </c>
      <c r="AU85" s="52">
        <f t="shared" si="310"/>
        <v>55.56096</v>
      </c>
      <c r="AV85" s="52">
        <f t="shared" si="310"/>
        <v>55.56096</v>
      </c>
      <c r="AW85" s="52">
        <f t="shared" si="310"/>
        <v>55.56096</v>
      </c>
      <c r="AX85" s="52">
        <f t="shared" si="310"/>
        <v>55.56096</v>
      </c>
      <c r="AY85" s="14"/>
      <c r="AZ85" s="14"/>
      <c r="BA85" s="14"/>
      <c r="BB85" s="14"/>
      <c r="BC85" s="14">
        <f aca="true" t="shared" si="313" ref="BC85:BN85">BC84*CO2_Vermeidung_Strom_2010</f>
        <v>4.848480000000001</v>
      </c>
      <c r="BD85" s="14">
        <f t="shared" si="313"/>
        <v>4.848480000000001</v>
      </c>
      <c r="BE85" s="14">
        <f t="shared" si="313"/>
        <v>4.848480000000001</v>
      </c>
      <c r="BF85" s="14">
        <f t="shared" si="313"/>
        <v>4.848480000000001</v>
      </c>
      <c r="BG85" s="14">
        <f t="shared" si="313"/>
        <v>4.848480000000001</v>
      </c>
      <c r="BH85" s="14">
        <f t="shared" si="313"/>
        <v>4.848480000000001</v>
      </c>
      <c r="BI85" s="14">
        <f t="shared" si="313"/>
        <v>4.848480000000001</v>
      </c>
      <c r="BJ85" s="14">
        <f t="shared" si="313"/>
        <v>4.848480000000001</v>
      </c>
      <c r="BK85" s="14">
        <f t="shared" si="313"/>
        <v>4.848480000000001</v>
      </c>
      <c r="BL85" s="14">
        <f t="shared" si="313"/>
        <v>4.848480000000001</v>
      </c>
      <c r="BM85" s="14">
        <f t="shared" si="313"/>
        <v>4.848480000000001</v>
      </c>
      <c r="BN85" s="14">
        <f t="shared" si="313"/>
        <v>4.848480000000001</v>
      </c>
      <c r="BO85" s="50">
        <f>SUM(BC85:BN85)</f>
        <v>58.18176000000002</v>
      </c>
      <c r="BP85" s="14"/>
      <c r="BQ85" s="14">
        <f aca="true" t="shared" si="314" ref="BQ85:CB85">BQ84*CO2_Vermeidung_Strom_2011</f>
        <v>4.739280000000001</v>
      </c>
      <c r="BR85" s="14">
        <f t="shared" si="314"/>
        <v>4.739280000000001</v>
      </c>
      <c r="BS85" s="14">
        <f t="shared" si="314"/>
        <v>4.739280000000001</v>
      </c>
      <c r="BT85" s="14">
        <f t="shared" si="314"/>
        <v>4.739280000000001</v>
      </c>
      <c r="BU85" s="14">
        <f t="shared" si="314"/>
        <v>4.739280000000001</v>
      </c>
      <c r="BV85" s="14">
        <f t="shared" si="314"/>
        <v>4.739280000000001</v>
      </c>
      <c r="BW85" s="14">
        <f t="shared" si="314"/>
        <v>4.739280000000001</v>
      </c>
      <c r="BX85" s="14">
        <f t="shared" si="314"/>
        <v>4.739280000000001</v>
      </c>
      <c r="BY85" s="14">
        <f t="shared" si="314"/>
        <v>4.739280000000001</v>
      </c>
      <c r="BZ85" s="14">
        <f t="shared" si="314"/>
        <v>4.739280000000001</v>
      </c>
      <c r="CA85" s="14">
        <f t="shared" si="314"/>
        <v>4.739280000000001</v>
      </c>
      <c r="CB85" s="14">
        <f t="shared" si="314"/>
        <v>4.739280000000001</v>
      </c>
      <c r="CC85" s="50">
        <f>SUM(BQ85:CB85)</f>
        <v>56.87136000000001</v>
      </c>
      <c r="CD85" s="14"/>
      <c r="CE85" s="14">
        <f aca="true" t="shared" si="315" ref="CE85:CP85">CE84*CO2_Vermeidung_Strom_2012</f>
        <v>4.63008</v>
      </c>
      <c r="CF85" s="14">
        <f t="shared" si="315"/>
        <v>4.63008</v>
      </c>
      <c r="CG85" s="14">
        <f t="shared" si="315"/>
        <v>4.63008</v>
      </c>
      <c r="CH85" s="14">
        <f t="shared" si="315"/>
        <v>4.63008</v>
      </c>
      <c r="CI85" s="14">
        <f t="shared" si="315"/>
        <v>4.63008</v>
      </c>
      <c r="CJ85" s="14">
        <f t="shared" si="315"/>
        <v>4.63008</v>
      </c>
      <c r="CK85" s="14">
        <f t="shared" si="315"/>
        <v>4.63008</v>
      </c>
      <c r="CL85" s="14">
        <f t="shared" si="315"/>
        <v>4.63008</v>
      </c>
      <c r="CM85" s="14">
        <f t="shared" si="315"/>
        <v>4.63008</v>
      </c>
      <c r="CN85" s="14">
        <f t="shared" si="315"/>
        <v>4.63008</v>
      </c>
      <c r="CO85" s="14">
        <f t="shared" si="315"/>
        <v>4.63008</v>
      </c>
      <c r="CP85" s="14">
        <f t="shared" si="315"/>
        <v>4.63008</v>
      </c>
      <c r="CQ85" s="50">
        <f>SUM(CE85:CP85)</f>
        <v>55.56096</v>
      </c>
    </row>
    <row r="86" spans="1:95" ht="12.75">
      <c r="A86" s="25"/>
      <c r="B86" s="26" t="s">
        <v>123</v>
      </c>
      <c r="C86" s="26" t="s">
        <v>16</v>
      </c>
      <c r="D86" s="14">
        <f aca="true" t="shared" si="316" ref="D86:O86">D81*Gewicht_Methan/1000*2.75</f>
        <v>0</v>
      </c>
      <c r="E86" s="14">
        <f t="shared" si="316"/>
        <v>0</v>
      </c>
      <c r="F86" s="14">
        <f t="shared" si="316"/>
        <v>0</v>
      </c>
      <c r="G86" s="14">
        <f t="shared" si="316"/>
        <v>0</v>
      </c>
      <c r="H86" s="14">
        <f t="shared" si="316"/>
        <v>0</v>
      </c>
      <c r="I86" s="14">
        <f t="shared" si="316"/>
        <v>114.1630757924976</v>
      </c>
      <c r="J86" s="14">
        <f t="shared" si="316"/>
        <v>114.1630757924976</v>
      </c>
      <c r="K86" s="14">
        <f t="shared" si="316"/>
        <v>114.1630757924976</v>
      </c>
      <c r="L86" s="14">
        <f t="shared" si="316"/>
        <v>114.1630757924976</v>
      </c>
      <c r="M86" s="14">
        <f t="shared" si="316"/>
        <v>114.1630757924976</v>
      </c>
      <c r="N86" s="14">
        <f t="shared" si="316"/>
        <v>114.1630757924976</v>
      </c>
      <c r="O86" s="14">
        <f t="shared" si="316"/>
        <v>114.1630757924976</v>
      </c>
      <c r="P86" s="14">
        <f aca="true" t="shared" si="317" ref="P86:AM86">P81*Gewicht_Methan/1000*2.75</f>
        <v>114.1630757924976</v>
      </c>
      <c r="Q86" s="14">
        <f t="shared" si="317"/>
        <v>114.1630757924976</v>
      </c>
      <c r="R86" s="14">
        <f t="shared" si="317"/>
        <v>114.1630757924976</v>
      </c>
      <c r="S86" s="14">
        <f t="shared" si="317"/>
        <v>114.1630757924976</v>
      </c>
      <c r="T86" s="14">
        <f t="shared" si="317"/>
        <v>114.1630757924976</v>
      </c>
      <c r="U86" s="14">
        <f t="shared" si="317"/>
        <v>114.1630757924976</v>
      </c>
      <c r="V86" s="14">
        <f t="shared" si="317"/>
        <v>114.1630757924976</v>
      </c>
      <c r="W86" s="14">
        <f t="shared" si="317"/>
        <v>114.1630757924976</v>
      </c>
      <c r="X86" s="14">
        <f t="shared" si="317"/>
        <v>114.1630757924976</v>
      </c>
      <c r="Y86" s="14">
        <f t="shared" si="317"/>
        <v>114.1630757924976</v>
      </c>
      <c r="Z86" s="14">
        <f t="shared" si="317"/>
        <v>114.1630757924976</v>
      </c>
      <c r="AA86" s="14">
        <f t="shared" si="317"/>
        <v>114.1630757924976</v>
      </c>
      <c r="AB86" s="14">
        <f t="shared" si="317"/>
        <v>114.1630757924976</v>
      </c>
      <c r="AC86" s="14">
        <f t="shared" si="317"/>
        <v>114.1630757924976</v>
      </c>
      <c r="AD86" s="14">
        <f t="shared" si="317"/>
        <v>114.1630757924976</v>
      </c>
      <c r="AE86" s="14">
        <f t="shared" si="317"/>
        <v>114.1630757924976</v>
      </c>
      <c r="AF86" s="14">
        <f t="shared" si="317"/>
        <v>114.1630757924976</v>
      </c>
      <c r="AG86" s="14">
        <f t="shared" si="317"/>
        <v>114.1630757924976</v>
      </c>
      <c r="AH86" s="14">
        <f t="shared" si="317"/>
        <v>114.1630757924976</v>
      </c>
      <c r="AI86" s="14">
        <f t="shared" si="317"/>
        <v>114.1630757924976</v>
      </c>
      <c r="AJ86" s="14">
        <f t="shared" si="317"/>
        <v>114.1630757924976</v>
      </c>
      <c r="AK86" s="14">
        <f t="shared" si="317"/>
        <v>114.1630757924976</v>
      </c>
      <c r="AL86" s="14">
        <f t="shared" si="317"/>
        <v>114.1630757924976</v>
      </c>
      <c r="AM86" s="14">
        <f t="shared" si="317"/>
        <v>114.1630757924976</v>
      </c>
      <c r="AN86" s="14">
        <f>SUM(D86:O86)</f>
        <v>799.1415305474832</v>
      </c>
      <c r="AO86" s="140">
        <f>SUM(P86:AA86)</f>
        <v>1369.9569095099714</v>
      </c>
      <c r="AP86" s="14">
        <f>SUM(AB86:AM86)</f>
        <v>1369.9569095099714</v>
      </c>
      <c r="AQ86" s="14">
        <f>BO86</f>
        <v>1369.9569095099714</v>
      </c>
      <c r="AR86" s="14">
        <f>CC86</f>
        <v>1369.9569095099714</v>
      </c>
      <c r="AS86" s="14">
        <f>CQ86</f>
        <v>1369.9569095099714</v>
      </c>
      <c r="AT86" s="14">
        <f t="shared" si="310"/>
        <v>1369.9569095099714</v>
      </c>
      <c r="AU86" s="14">
        <f t="shared" si="310"/>
        <v>1369.9569095099714</v>
      </c>
      <c r="AV86" s="14">
        <f t="shared" si="310"/>
        <v>1369.9569095099714</v>
      </c>
      <c r="AW86" s="14">
        <f t="shared" si="310"/>
        <v>1369.9569095099714</v>
      </c>
      <c r="AX86" s="14">
        <f t="shared" si="310"/>
        <v>1369.9569095099714</v>
      </c>
      <c r="BC86" s="14">
        <f aca="true" t="shared" si="318" ref="BC86:BN86">BC81*Gewicht_Methan/1000*2.75</f>
        <v>114.1630757924976</v>
      </c>
      <c r="BD86" s="14">
        <f t="shared" si="318"/>
        <v>114.1630757924976</v>
      </c>
      <c r="BE86" s="14">
        <f t="shared" si="318"/>
        <v>114.1630757924976</v>
      </c>
      <c r="BF86" s="14">
        <f t="shared" si="318"/>
        <v>114.1630757924976</v>
      </c>
      <c r="BG86" s="14">
        <f t="shared" si="318"/>
        <v>114.1630757924976</v>
      </c>
      <c r="BH86" s="14">
        <f t="shared" si="318"/>
        <v>114.1630757924976</v>
      </c>
      <c r="BI86" s="14">
        <f t="shared" si="318"/>
        <v>114.1630757924976</v>
      </c>
      <c r="BJ86" s="14">
        <f t="shared" si="318"/>
        <v>114.1630757924976</v>
      </c>
      <c r="BK86" s="14">
        <f t="shared" si="318"/>
        <v>114.1630757924976</v>
      </c>
      <c r="BL86" s="14">
        <f t="shared" si="318"/>
        <v>114.1630757924976</v>
      </c>
      <c r="BM86" s="14">
        <f t="shared" si="318"/>
        <v>114.1630757924976</v>
      </c>
      <c r="BN86" s="14">
        <f t="shared" si="318"/>
        <v>114.1630757924976</v>
      </c>
      <c r="BO86" s="50">
        <f>SUM(BC86:BN86)</f>
        <v>1369.9569095099714</v>
      </c>
      <c r="BQ86" s="14">
        <f aca="true" t="shared" si="319" ref="BQ86:CB86">BQ81*Gewicht_Methan/1000*2.75</f>
        <v>114.1630757924976</v>
      </c>
      <c r="BR86" s="14">
        <f t="shared" si="319"/>
        <v>114.1630757924976</v>
      </c>
      <c r="BS86" s="14">
        <f t="shared" si="319"/>
        <v>114.1630757924976</v>
      </c>
      <c r="BT86" s="14">
        <f t="shared" si="319"/>
        <v>114.1630757924976</v>
      </c>
      <c r="BU86" s="14">
        <f t="shared" si="319"/>
        <v>114.1630757924976</v>
      </c>
      <c r="BV86" s="14">
        <f t="shared" si="319"/>
        <v>114.1630757924976</v>
      </c>
      <c r="BW86" s="14">
        <f t="shared" si="319"/>
        <v>114.1630757924976</v>
      </c>
      <c r="BX86" s="14">
        <f t="shared" si="319"/>
        <v>114.1630757924976</v>
      </c>
      <c r="BY86" s="14">
        <f t="shared" si="319"/>
        <v>114.1630757924976</v>
      </c>
      <c r="BZ86" s="14">
        <f t="shared" si="319"/>
        <v>114.1630757924976</v>
      </c>
      <c r="CA86" s="14">
        <f t="shared" si="319"/>
        <v>114.1630757924976</v>
      </c>
      <c r="CB86" s="14">
        <f t="shared" si="319"/>
        <v>114.1630757924976</v>
      </c>
      <c r="CC86" s="50">
        <f>SUM(BQ86:CB86)</f>
        <v>1369.9569095099714</v>
      </c>
      <c r="CE86" s="14">
        <f aca="true" t="shared" si="320" ref="CE86:CP86">CE81*Gewicht_Methan/1000*2.75</f>
        <v>114.1630757924976</v>
      </c>
      <c r="CF86" s="14">
        <f t="shared" si="320"/>
        <v>114.1630757924976</v>
      </c>
      <c r="CG86" s="14">
        <f t="shared" si="320"/>
        <v>114.1630757924976</v>
      </c>
      <c r="CH86" s="14">
        <f t="shared" si="320"/>
        <v>114.1630757924976</v>
      </c>
      <c r="CI86" s="14">
        <f t="shared" si="320"/>
        <v>114.1630757924976</v>
      </c>
      <c r="CJ86" s="14">
        <f t="shared" si="320"/>
        <v>114.1630757924976</v>
      </c>
      <c r="CK86" s="14">
        <f t="shared" si="320"/>
        <v>114.1630757924976</v>
      </c>
      <c r="CL86" s="14">
        <f t="shared" si="320"/>
        <v>114.1630757924976</v>
      </c>
      <c r="CM86" s="14">
        <f t="shared" si="320"/>
        <v>114.1630757924976</v>
      </c>
      <c r="CN86" s="14">
        <f t="shared" si="320"/>
        <v>114.1630757924976</v>
      </c>
      <c r="CO86" s="14">
        <f t="shared" si="320"/>
        <v>114.1630757924976</v>
      </c>
      <c r="CP86" s="14">
        <f t="shared" si="320"/>
        <v>114.1630757924976</v>
      </c>
      <c r="CQ86" s="50">
        <f>SUM(CE86:CP86)</f>
        <v>1369.9569095099714</v>
      </c>
    </row>
    <row r="87" spans="1:94" ht="12.7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P87" s="26"/>
      <c r="AQ87" s="26"/>
      <c r="AR87" s="26"/>
      <c r="AS87" s="26"/>
      <c r="AT87" s="26"/>
      <c r="AU87" s="26"/>
      <c r="AV87" s="26"/>
      <c r="AW87" s="26"/>
      <c r="AX87" s="27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</row>
    <row r="88" spans="1:95" ht="12.75">
      <c r="A88" s="25" t="s">
        <v>13</v>
      </c>
      <c r="B88" s="26" t="s">
        <v>113</v>
      </c>
      <c r="C88" s="51" t="s">
        <v>193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1</v>
      </c>
      <c r="AC88" s="38">
        <v>1</v>
      </c>
      <c r="AD88" s="38">
        <v>1</v>
      </c>
      <c r="AE88" s="38">
        <v>1</v>
      </c>
      <c r="AF88" s="38">
        <v>1</v>
      </c>
      <c r="AG88" s="38">
        <v>1</v>
      </c>
      <c r="AH88" s="38">
        <v>1</v>
      </c>
      <c r="AI88" s="38">
        <v>1</v>
      </c>
      <c r="AJ88" s="38">
        <v>1</v>
      </c>
      <c r="AK88" s="38">
        <v>1</v>
      </c>
      <c r="AL88" s="38">
        <v>1</v>
      </c>
      <c r="AM88" s="38">
        <v>1</v>
      </c>
      <c r="AN88" s="106"/>
      <c r="AO88" s="146"/>
      <c r="AP88" s="40"/>
      <c r="AQ88" s="40"/>
      <c r="AR88" s="40"/>
      <c r="AS88" s="40"/>
      <c r="AT88" s="40"/>
      <c r="AU88" s="40"/>
      <c r="AV88" s="40"/>
      <c r="AW88" s="40"/>
      <c r="AX88" s="40"/>
      <c r="BC88" s="38">
        <v>1</v>
      </c>
      <c r="BD88" s="38">
        <v>1</v>
      </c>
      <c r="BE88" s="38">
        <v>1</v>
      </c>
      <c r="BF88" s="38">
        <v>1</v>
      </c>
      <c r="BG88" s="38">
        <v>1</v>
      </c>
      <c r="BH88" s="38">
        <v>1</v>
      </c>
      <c r="BI88" s="38">
        <v>1</v>
      </c>
      <c r="BJ88" s="38">
        <v>1</v>
      </c>
      <c r="BK88" s="38">
        <v>1</v>
      </c>
      <c r="BL88" s="38">
        <v>1</v>
      </c>
      <c r="BM88" s="38">
        <v>1</v>
      </c>
      <c r="BN88" s="38">
        <v>1</v>
      </c>
      <c r="BO88" s="51">
        <f>AVERAGE(BC88:BN88)</f>
        <v>1</v>
      </c>
      <c r="BQ88" s="38">
        <v>1</v>
      </c>
      <c r="BR88" s="38">
        <v>1</v>
      </c>
      <c r="BS88" s="38">
        <v>1</v>
      </c>
      <c r="BT88" s="38">
        <v>1</v>
      </c>
      <c r="BU88" s="38">
        <v>1</v>
      </c>
      <c r="BV88" s="38">
        <v>1</v>
      </c>
      <c r="BW88" s="38">
        <v>1</v>
      </c>
      <c r="BX88" s="38">
        <v>1</v>
      </c>
      <c r="BY88" s="38">
        <v>1</v>
      </c>
      <c r="BZ88" s="38">
        <v>1</v>
      </c>
      <c r="CA88" s="38">
        <v>1</v>
      </c>
      <c r="CB88" s="38">
        <v>1</v>
      </c>
      <c r="CC88" s="51">
        <f>AVERAGE(BQ88:CB88)</f>
        <v>1</v>
      </c>
      <c r="CE88" s="38">
        <v>1</v>
      </c>
      <c r="CF88" s="38">
        <v>1</v>
      </c>
      <c r="CG88" s="38">
        <v>1</v>
      </c>
      <c r="CH88" s="38">
        <v>1</v>
      </c>
      <c r="CI88" s="38">
        <v>1</v>
      </c>
      <c r="CJ88" s="38">
        <v>1</v>
      </c>
      <c r="CK88" s="38">
        <v>1</v>
      </c>
      <c r="CL88" s="38">
        <v>1</v>
      </c>
      <c r="CM88" s="38">
        <v>1</v>
      </c>
      <c r="CN88" s="38">
        <v>1</v>
      </c>
      <c r="CO88" s="38">
        <v>1</v>
      </c>
      <c r="CP88" s="38">
        <v>1</v>
      </c>
      <c r="CQ88" s="51">
        <f>AVERAGE(CE88:CP88)</f>
        <v>1</v>
      </c>
    </row>
    <row r="89" spans="1:95" ht="12.75">
      <c r="A89" s="25"/>
      <c r="B89" s="51" t="s">
        <v>53</v>
      </c>
      <c r="C89" s="26" t="s">
        <v>127</v>
      </c>
      <c r="D89" s="51">
        <f aca="true" t="shared" si="321" ref="D89:AM89">1.35*D88</f>
        <v>0</v>
      </c>
      <c r="E89" s="51">
        <f t="shared" si="321"/>
        <v>0</v>
      </c>
      <c r="F89" s="51">
        <f t="shared" si="321"/>
        <v>0</v>
      </c>
      <c r="G89" s="51">
        <f t="shared" si="321"/>
        <v>0</v>
      </c>
      <c r="H89" s="51">
        <f t="shared" si="321"/>
        <v>0</v>
      </c>
      <c r="I89" s="51">
        <f t="shared" si="321"/>
        <v>0</v>
      </c>
      <c r="J89" s="51">
        <f t="shared" si="321"/>
        <v>0</v>
      </c>
      <c r="K89" s="51">
        <f t="shared" si="321"/>
        <v>0</v>
      </c>
      <c r="L89" s="51">
        <f t="shared" si="321"/>
        <v>0</v>
      </c>
      <c r="M89" s="51">
        <f t="shared" si="321"/>
        <v>0</v>
      </c>
      <c r="N89" s="51">
        <f t="shared" si="321"/>
        <v>0</v>
      </c>
      <c r="O89" s="51">
        <f t="shared" si="321"/>
        <v>0</v>
      </c>
      <c r="P89" s="51">
        <f t="shared" si="321"/>
        <v>0</v>
      </c>
      <c r="Q89" s="51">
        <f t="shared" si="321"/>
        <v>0</v>
      </c>
      <c r="R89" s="51">
        <f t="shared" si="321"/>
        <v>0</v>
      </c>
      <c r="S89" s="51">
        <f t="shared" si="321"/>
        <v>0</v>
      </c>
      <c r="T89" s="51">
        <f t="shared" si="321"/>
        <v>0</v>
      </c>
      <c r="U89" s="51">
        <f t="shared" si="321"/>
        <v>0</v>
      </c>
      <c r="V89" s="51">
        <f t="shared" si="321"/>
        <v>0</v>
      </c>
      <c r="W89" s="51">
        <f t="shared" si="321"/>
        <v>0</v>
      </c>
      <c r="X89" s="51">
        <f t="shared" si="321"/>
        <v>0</v>
      </c>
      <c r="Y89" s="51">
        <f t="shared" si="321"/>
        <v>0</v>
      </c>
      <c r="Z89" s="51">
        <f t="shared" si="321"/>
        <v>0</v>
      </c>
      <c r="AA89" s="51">
        <f t="shared" si="321"/>
        <v>0</v>
      </c>
      <c r="AB89" s="51">
        <f t="shared" si="321"/>
        <v>1.35</v>
      </c>
      <c r="AC89" s="51">
        <f t="shared" si="321"/>
        <v>1.35</v>
      </c>
      <c r="AD89" s="51">
        <f t="shared" si="321"/>
        <v>1.35</v>
      </c>
      <c r="AE89" s="51">
        <f t="shared" si="321"/>
        <v>1.35</v>
      </c>
      <c r="AF89" s="51">
        <f t="shared" si="321"/>
        <v>1.35</v>
      </c>
      <c r="AG89" s="51">
        <f t="shared" si="321"/>
        <v>1.35</v>
      </c>
      <c r="AH89" s="51">
        <f t="shared" si="321"/>
        <v>1.35</v>
      </c>
      <c r="AI89" s="51">
        <f t="shared" si="321"/>
        <v>1.35</v>
      </c>
      <c r="AJ89" s="51">
        <f t="shared" si="321"/>
        <v>1.35</v>
      </c>
      <c r="AK89" s="51">
        <f t="shared" si="321"/>
        <v>1.35</v>
      </c>
      <c r="AL89" s="51">
        <f t="shared" si="321"/>
        <v>1.35</v>
      </c>
      <c r="AM89" s="51">
        <f t="shared" si="321"/>
        <v>1.35</v>
      </c>
      <c r="AN89" s="14">
        <f>AVERAGE(D89:O89)</f>
        <v>0</v>
      </c>
      <c r="AO89" s="145">
        <f>AVERAGE(P89:AA89)</f>
        <v>0</v>
      </c>
      <c r="AP89" s="40">
        <f>AVERAGE(AB89:AM89)</f>
        <v>1.3499999999999999</v>
      </c>
      <c r="AQ89" s="40">
        <f>BO89</f>
        <v>1.3499999999999999</v>
      </c>
      <c r="AR89" s="40">
        <f>CC89</f>
        <v>1.3499999999999999</v>
      </c>
      <c r="AS89" s="40">
        <f>CQ89</f>
        <v>1.3499999999999999</v>
      </c>
      <c r="AT89" s="40">
        <f aca="true" t="shared" si="322" ref="AT89:AX90">AS89</f>
        <v>1.3499999999999999</v>
      </c>
      <c r="AU89" s="40">
        <f t="shared" si="322"/>
        <v>1.3499999999999999</v>
      </c>
      <c r="AV89" s="40">
        <f t="shared" si="322"/>
        <v>1.3499999999999999</v>
      </c>
      <c r="AW89" s="40">
        <f t="shared" si="322"/>
        <v>1.3499999999999999</v>
      </c>
      <c r="AX89" s="40">
        <f t="shared" si="322"/>
        <v>1.3499999999999999</v>
      </c>
      <c r="BC89" s="51">
        <f aca="true" t="shared" si="323" ref="BC89:BN89">1.35*BC88</f>
        <v>1.35</v>
      </c>
      <c r="BD89" s="51">
        <f t="shared" si="323"/>
        <v>1.35</v>
      </c>
      <c r="BE89" s="51">
        <f t="shared" si="323"/>
        <v>1.35</v>
      </c>
      <c r="BF89" s="51">
        <f t="shared" si="323"/>
        <v>1.35</v>
      </c>
      <c r="BG89" s="51">
        <f t="shared" si="323"/>
        <v>1.35</v>
      </c>
      <c r="BH89" s="51">
        <f t="shared" si="323"/>
        <v>1.35</v>
      </c>
      <c r="BI89" s="51">
        <f t="shared" si="323"/>
        <v>1.35</v>
      </c>
      <c r="BJ89" s="51">
        <f t="shared" si="323"/>
        <v>1.35</v>
      </c>
      <c r="BK89" s="51">
        <f t="shared" si="323"/>
        <v>1.35</v>
      </c>
      <c r="BL89" s="51">
        <f t="shared" si="323"/>
        <v>1.35</v>
      </c>
      <c r="BM89" s="51">
        <f t="shared" si="323"/>
        <v>1.35</v>
      </c>
      <c r="BN89" s="51">
        <f t="shared" si="323"/>
        <v>1.35</v>
      </c>
      <c r="BO89" s="51">
        <f>AVERAGE(BC89:BN89)</f>
        <v>1.3499999999999999</v>
      </c>
      <c r="BQ89" s="51">
        <f aca="true" t="shared" si="324" ref="BQ89:CB89">1.35*BQ88</f>
        <v>1.35</v>
      </c>
      <c r="BR89" s="51">
        <f t="shared" si="324"/>
        <v>1.35</v>
      </c>
      <c r="BS89" s="51">
        <f t="shared" si="324"/>
        <v>1.35</v>
      </c>
      <c r="BT89" s="51">
        <f t="shared" si="324"/>
        <v>1.35</v>
      </c>
      <c r="BU89" s="51">
        <f t="shared" si="324"/>
        <v>1.35</v>
      </c>
      <c r="BV89" s="51">
        <f t="shared" si="324"/>
        <v>1.35</v>
      </c>
      <c r="BW89" s="51">
        <f t="shared" si="324"/>
        <v>1.35</v>
      </c>
      <c r="BX89" s="51">
        <f t="shared" si="324"/>
        <v>1.35</v>
      </c>
      <c r="BY89" s="51">
        <f t="shared" si="324"/>
        <v>1.35</v>
      </c>
      <c r="BZ89" s="51">
        <f t="shared" si="324"/>
        <v>1.35</v>
      </c>
      <c r="CA89" s="51">
        <f t="shared" si="324"/>
        <v>1.35</v>
      </c>
      <c r="CB89" s="51">
        <f t="shared" si="324"/>
        <v>1.35</v>
      </c>
      <c r="CC89" s="51">
        <f>AVERAGE(BQ89:CB89)</f>
        <v>1.3499999999999999</v>
      </c>
      <c r="CE89" s="51">
        <f aca="true" t="shared" si="325" ref="CE89:CP89">1.35*CE88</f>
        <v>1.35</v>
      </c>
      <c r="CF89" s="51">
        <f t="shared" si="325"/>
        <v>1.35</v>
      </c>
      <c r="CG89" s="51">
        <f t="shared" si="325"/>
        <v>1.35</v>
      </c>
      <c r="CH89" s="51">
        <f t="shared" si="325"/>
        <v>1.35</v>
      </c>
      <c r="CI89" s="51">
        <f t="shared" si="325"/>
        <v>1.35</v>
      </c>
      <c r="CJ89" s="51">
        <f t="shared" si="325"/>
        <v>1.35</v>
      </c>
      <c r="CK89" s="51">
        <f t="shared" si="325"/>
        <v>1.35</v>
      </c>
      <c r="CL89" s="51">
        <f t="shared" si="325"/>
        <v>1.35</v>
      </c>
      <c r="CM89" s="51">
        <f t="shared" si="325"/>
        <v>1.35</v>
      </c>
      <c r="CN89" s="51">
        <f t="shared" si="325"/>
        <v>1.35</v>
      </c>
      <c r="CO89" s="51">
        <f t="shared" si="325"/>
        <v>1.35</v>
      </c>
      <c r="CP89" s="51">
        <f t="shared" si="325"/>
        <v>1.35</v>
      </c>
      <c r="CQ89" s="51">
        <f>AVERAGE(CE89:CP89)</f>
        <v>1.3499999999999999</v>
      </c>
    </row>
    <row r="90" spans="1:95" ht="12.75">
      <c r="A90" s="25"/>
      <c r="B90" s="26" t="s">
        <v>54</v>
      </c>
      <c r="C90" s="26" t="s">
        <v>18</v>
      </c>
      <c r="D90" s="38">
        <v>520</v>
      </c>
      <c r="E90" s="38">
        <v>520</v>
      </c>
      <c r="F90" s="38">
        <v>520</v>
      </c>
      <c r="G90" s="38">
        <v>520</v>
      </c>
      <c r="H90" s="38">
        <v>520</v>
      </c>
      <c r="I90" s="38">
        <v>520</v>
      </c>
      <c r="J90" s="38">
        <v>520</v>
      </c>
      <c r="K90" s="38">
        <v>520</v>
      </c>
      <c r="L90" s="38">
        <v>520</v>
      </c>
      <c r="M90" s="38">
        <v>520</v>
      </c>
      <c r="N90" s="38">
        <v>520</v>
      </c>
      <c r="O90" s="38">
        <v>520</v>
      </c>
      <c r="P90" s="38">
        <v>520</v>
      </c>
      <c r="Q90" s="38">
        <v>520</v>
      </c>
      <c r="R90" s="38">
        <v>520</v>
      </c>
      <c r="S90" s="38">
        <v>520</v>
      </c>
      <c r="T90" s="38">
        <v>520</v>
      </c>
      <c r="U90" s="38">
        <v>520</v>
      </c>
      <c r="V90" s="38">
        <v>520</v>
      </c>
      <c r="W90" s="38">
        <v>520</v>
      </c>
      <c r="X90" s="38">
        <v>520</v>
      </c>
      <c r="Y90" s="38">
        <v>520</v>
      </c>
      <c r="Z90" s="38">
        <v>520</v>
      </c>
      <c r="AA90" s="38">
        <v>520</v>
      </c>
      <c r="AB90" s="38">
        <v>520</v>
      </c>
      <c r="AC90" s="38">
        <v>520</v>
      </c>
      <c r="AD90" s="38">
        <v>520</v>
      </c>
      <c r="AE90" s="38">
        <v>520</v>
      </c>
      <c r="AF90" s="38">
        <v>520</v>
      </c>
      <c r="AG90" s="38">
        <v>520</v>
      </c>
      <c r="AH90" s="38">
        <v>520</v>
      </c>
      <c r="AI90" s="38">
        <v>520</v>
      </c>
      <c r="AJ90" s="38">
        <v>520</v>
      </c>
      <c r="AK90" s="38">
        <v>520</v>
      </c>
      <c r="AL90" s="38">
        <v>520</v>
      </c>
      <c r="AM90" s="38">
        <v>520</v>
      </c>
      <c r="AN90" s="14">
        <f>SUM(D90:O90)</f>
        <v>6240</v>
      </c>
      <c r="AO90" s="140">
        <f>SUM(P90:AA90)</f>
        <v>6240</v>
      </c>
      <c r="AP90" s="14">
        <f>SUM(AB90:AM90)</f>
        <v>6240</v>
      </c>
      <c r="AQ90" s="52">
        <f>BO90</f>
        <v>6240</v>
      </c>
      <c r="AR90" s="52">
        <f>CC90</f>
        <v>6240</v>
      </c>
      <c r="AS90" s="52">
        <f>CQ90</f>
        <v>6240</v>
      </c>
      <c r="AT90" s="52">
        <f t="shared" si="322"/>
        <v>6240</v>
      </c>
      <c r="AU90" s="52">
        <f t="shared" si="322"/>
        <v>6240</v>
      </c>
      <c r="AV90" s="52">
        <f t="shared" si="322"/>
        <v>6240</v>
      </c>
      <c r="AW90" s="52">
        <f t="shared" si="322"/>
        <v>6240</v>
      </c>
      <c r="AX90" s="52">
        <f t="shared" si="322"/>
        <v>6240</v>
      </c>
      <c r="BC90" s="38">
        <v>520</v>
      </c>
      <c r="BD90" s="38">
        <v>520</v>
      </c>
      <c r="BE90" s="38">
        <v>520</v>
      </c>
      <c r="BF90" s="38">
        <v>520</v>
      </c>
      <c r="BG90" s="38">
        <v>520</v>
      </c>
      <c r="BH90" s="38">
        <v>520</v>
      </c>
      <c r="BI90" s="38">
        <v>520</v>
      </c>
      <c r="BJ90" s="38">
        <v>520</v>
      </c>
      <c r="BK90" s="38">
        <v>520</v>
      </c>
      <c r="BL90" s="38">
        <v>520</v>
      </c>
      <c r="BM90" s="38">
        <v>520</v>
      </c>
      <c r="BN90" s="38">
        <v>520</v>
      </c>
      <c r="BO90">
        <f>SUM(BC90:BN90)</f>
        <v>6240</v>
      </c>
      <c r="BQ90" s="38">
        <v>520</v>
      </c>
      <c r="BR90" s="38">
        <v>520</v>
      </c>
      <c r="BS90" s="38">
        <v>520</v>
      </c>
      <c r="BT90" s="38">
        <v>520</v>
      </c>
      <c r="BU90" s="38">
        <v>520</v>
      </c>
      <c r="BV90" s="38">
        <v>520</v>
      </c>
      <c r="BW90" s="38">
        <v>520</v>
      </c>
      <c r="BX90" s="38">
        <v>520</v>
      </c>
      <c r="BY90" s="38">
        <v>520</v>
      </c>
      <c r="BZ90" s="38">
        <v>520</v>
      </c>
      <c r="CA90" s="38">
        <v>520</v>
      </c>
      <c r="CB90" s="38">
        <v>520</v>
      </c>
      <c r="CC90">
        <f>SUM(BQ90:CB90)</f>
        <v>6240</v>
      </c>
      <c r="CE90" s="38">
        <v>520</v>
      </c>
      <c r="CF90" s="38">
        <v>520</v>
      </c>
      <c r="CG90" s="38">
        <v>520</v>
      </c>
      <c r="CH90" s="38">
        <v>520</v>
      </c>
      <c r="CI90" s="38">
        <v>520</v>
      </c>
      <c r="CJ90" s="38">
        <v>520</v>
      </c>
      <c r="CK90" s="38">
        <v>520</v>
      </c>
      <c r="CL90" s="38">
        <v>520</v>
      </c>
      <c r="CM90" s="38">
        <v>520</v>
      </c>
      <c r="CN90" s="38">
        <v>520</v>
      </c>
      <c r="CO90" s="38">
        <v>520</v>
      </c>
      <c r="CP90" s="38">
        <v>520</v>
      </c>
      <c r="CQ90">
        <f>SUM(CE90:CP90)</f>
        <v>6240</v>
      </c>
    </row>
    <row r="91" spans="1:95" ht="12.75">
      <c r="A91" s="25"/>
      <c r="B91" s="26" t="s">
        <v>47</v>
      </c>
      <c r="C91" s="26" t="s">
        <v>19</v>
      </c>
      <c r="D91" s="38">
        <f>'Basis data'!$B$42</f>
        <v>36</v>
      </c>
      <c r="E91" s="38">
        <f>'Basis data'!$B$42</f>
        <v>36</v>
      </c>
      <c r="F91" s="38">
        <f>'Basis data'!$B$42</f>
        <v>36</v>
      </c>
      <c r="G91" s="38">
        <f>'Basis data'!$B$42</f>
        <v>36</v>
      </c>
      <c r="H91" s="38">
        <f>'Basis data'!$B$42</f>
        <v>36</v>
      </c>
      <c r="I91" s="38">
        <f>'Basis data'!$B$42</f>
        <v>36</v>
      </c>
      <c r="J91" s="38">
        <f>'Basis data'!$B$42</f>
        <v>36</v>
      </c>
      <c r="K91" s="38">
        <f>'Basis data'!$B$42</f>
        <v>36</v>
      </c>
      <c r="L91" s="38">
        <f>'Basis data'!$B$42</f>
        <v>36</v>
      </c>
      <c r="M91" s="38">
        <f>'Basis data'!$B$42</f>
        <v>36</v>
      </c>
      <c r="N91" s="38">
        <f>'Basis data'!$B$42</f>
        <v>36</v>
      </c>
      <c r="O91" s="38">
        <f>'Basis data'!$B$42</f>
        <v>36</v>
      </c>
      <c r="P91" s="38">
        <f>'Basis data'!$B$42</f>
        <v>36</v>
      </c>
      <c r="Q91" s="38">
        <f>'Basis data'!$B$42</f>
        <v>36</v>
      </c>
      <c r="R91" s="38">
        <f>'Basis data'!$B$42</f>
        <v>36</v>
      </c>
      <c r="S91" s="38">
        <f>'Basis data'!$B$42</f>
        <v>36</v>
      </c>
      <c r="T91" s="38">
        <f>'Basis data'!$B$42</f>
        <v>36</v>
      </c>
      <c r="U91" s="38">
        <f>'Basis data'!$B$42</f>
        <v>36</v>
      </c>
      <c r="V91" s="38">
        <f>'Basis data'!$B$42</f>
        <v>36</v>
      </c>
      <c r="W91" s="38">
        <f>'Basis data'!$B$42</f>
        <v>36</v>
      </c>
      <c r="X91" s="38">
        <f>'Basis data'!$B$42</f>
        <v>36</v>
      </c>
      <c r="Y91" s="38">
        <f>'Basis data'!$B$42</f>
        <v>36</v>
      </c>
      <c r="Z91" s="38">
        <f>'Basis data'!$B$42</f>
        <v>36</v>
      </c>
      <c r="AA91" s="38">
        <f>'Basis data'!$B$42</f>
        <v>36</v>
      </c>
      <c r="AB91" s="38">
        <f>'Basis data'!$B$42</f>
        <v>36</v>
      </c>
      <c r="AC91" s="38">
        <f>'Basis data'!$B$42</f>
        <v>36</v>
      </c>
      <c r="AD91" s="38">
        <f>'Basis data'!$B$42</f>
        <v>36</v>
      </c>
      <c r="AE91" s="38">
        <f>'Basis data'!$B$42</f>
        <v>36</v>
      </c>
      <c r="AF91" s="38">
        <f>'Basis data'!$B$42</f>
        <v>36</v>
      </c>
      <c r="AG91" s="38">
        <f>'Basis data'!$B$42</f>
        <v>36</v>
      </c>
      <c r="AH91" s="38">
        <f>'Basis data'!$B$42</f>
        <v>36</v>
      </c>
      <c r="AI91" s="38">
        <f>'Basis data'!$B$42</f>
        <v>36</v>
      </c>
      <c r="AJ91" s="38">
        <f>'Basis data'!$B$42</f>
        <v>36</v>
      </c>
      <c r="AK91" s="38">
        <f>'Basis data'!$B$42</f>
        <v>36</v>
      </c>
      <c r="AL91" s="38">
        <f>'Basis data'!$B$42</f>
        <v>36</v>
      </c>
      <c r="AM91" s="38">
        <f>'Basis data'!$B$42</f>
        <v>36</v>
      </c>
      <c r="AN91" s="40"/>
      <c r="AO91" s="145"/>
      <c r="AP91" s="40"/>
      <c r="AQ91" s="51"/>
      <c r="AR91" s="51"/>
      <c r="AS91" s="51"/>
      <c r="AT91" s="51"/>
      <c r="AU91" s="51"/>
      <c r="AV91" s="51"/>
      <c r="AW91" s="51"/>
      <c r="AX91" s="156"/>
      <c r="BC91" s="38">
        <f>'Basis data'!$B$42</f>
        <v>36</v>
      </c>
      <c r="BD91" s="38">
        <f>'Basis data'!$B$42</f>
        <v>36</v>
      </c>
      <c r="BE91" s="38">
        <f>'Basis data'!$B$42</f>
        <v>36</v>
      </c>
      <c r="BF91" s="38">
        <f>'Basis data'!$B$42</f>
        <v>36</v>
      </c>
      <c r="BG91" s="38">
        <f>'Basis data'!$B$42</f>
        <v>36</v>
      </c>
      <c r="BH91" s="38">
        <f>'Basis data'!$B$42</f>
        <v>36</v>
      </c>
      <c r="BI91" s="38">
        <f>'Basis data'!$B$42</f>
        <v>36</v>
      </c>
      <c r="BJ91" s="38">
        <f>'Basis data'!$B$42</f>
        <v>36</v>
      </c>
      <c r="BK91" s="38">
        <f>'Basis data'!$B$42</f>
        <v>36</v>
      </c>
      <c r="BL91" s="38">
        <f>'Basis data'!$B$42</f>
        <v>36</v>
      </c>
      <c r="BM91" s="38">
        <f>'Basis data'!$B$42</f>
        <v>36</v>
      </c>
      <c r="BN91" s="38">
        <f>'Basis data'!$B$42</f>
        <v>36</v>
      </c>
      <c r="BO91">
        <f>AVERAGE(BC91:BN91)</f>
        <v>36</v>
      </c>
      <c r="BQ91" s="38">
        <f>'Basis data'!$B$42</f>
        <v>36</v>
      </c>
      <c r="BR91" s="38">
        <f>'Basis data'!$B$42</f>
        <v>36</v>
      </c>
      <c r="BS91" s="38">
        <f>'Basis data'!$B$42</f>
        <v>36</v>
      </c>
      <c r="BT91" s="38">
        <f>'Basis data'!$B$42</f>
        <v>36</v>
      </c>
      <c r="BU91" s="38">
        <f>'Basis data'!$B$42</f>
        <v>36</v>
      </c>
      <c r="BV91" s="38">
        <f>'Basis data'!$B$42</f>
        <v>36</v>
      </c>
      <c r="BW91" s="38">
        <f>'Basis data'!$B$42</f>
        <v>36</v>
      </c>
      <c r="BX91" s="38">
        <f>'Basis data'!$B$42</f>
        <v>36</v>
      </c>
      <c r="BY91" s="38">
        <f>'Basis data'!$B$42</f>
        <v>36</v>
      </c>
      <c r="BZ91" s="38">
        <f>'Basis data'!$B$42</f>
        <v>36</v>
      </c>
      <c r="CA91" s="38">
        <f>'Basis data'!$B$42</f>
        <v>36</v>
      </c>
      <c r="CB91" s="38">
        <f>'Basis data'!$B$42</f>
        <v>36</v>
      </c>
      <c r="CC91">
        <f>AVERAGE(BQ91:CB91)</f>
        <v>36</v>
      </c>
      <c r="CE91" s="38">
        <f>'Basis data'!$B$42</f>
        <v>36</v>
      </c>
      <c r="CF91" s="38">
        <f>'Basis data'!$B$42</f>
        <v>36</v>
      </c>
      <c r="CG91" s="38">
        <f>'Basis data'!$B$42</f>
        <v>36</v>
      </c>
      <c r="CH91" s="38">
        <f>'Basis data'!$B$42</f>
        <v>36</v>
      </c>
      <c r="CI91" s="38">
        <f>'Basis data'!$B$42</f>
        <v>36</v>
      </c>
      <c r="CJ91" s="38">
        <f>'Basis data'!$B$42</f>
        <v>36</v>
      </c>
      <c r="CK91" s="38">
        <f>'Basis data'!$B$42</f>
        <v>36</v>
      </c>
      <c r="CL91" s="38">
        <f>'Basis data'!$B$42</f>
        <v>36</v>
      </c>
      <c r="CM91" s="38">
        <f>'Basis data'!$B$42</f>
        <v>36</v>
      </c>
      <c r="CN91" s="38">
        <f>'Basis data'!$B$42</f>
        <v>36</v>
      </c>
      <c r="CO91" s="38">
        <f>'Basis data'!$B$42</f>
        <v>36</v>
      </c>
      <c r="CP91" s="38">
        <f>'Basis data'!$B$42</f>
        <v>36</v>
      </c>
      <c r="CQ91">
        <f>AVERAGE(CE91:CP91)</f>
        <v>36</v>
      </c>
    </row>
    <row r="92" spans="1:95" ht="12.75">
      <c r="A92" s="25"/>
      <c r="B92" s="26" t="s">
        <v>55</v>
      </c>
      <c r="C92" s="26" t="s">
        <v>20</v>
      </c>
      <c r="D92" s="14">
        <f aca="true" t="shared" si="326" ref="D92:AL92">D89*1000*D90</f>
        <v>0</v>
      </c>
      <c r="E92" s="14">
        <f t="shared" si="326"/>
        <v>0</v>
      </c>
      <c r="F92" s="14">
        <f t="shared" si="326"/>
        <v>0</v>
      </c>
      <c r="G92" s="14">
        <f t="shared" si="326"/>
        <v>0</v>
      </c>
      <c r="H92" s="14">
        <f t="shared" si="326"/>
        <v>0</v>
      </c>
      <c r="I92" s="14">
        <f t="shared" si="326"/>
        <v>0</v>
      </c>
      <c r="J92" s="14">
        <f t="shared" si="326"/>
        <v>0</v>
      </c>
      <c r="K92" s="14">
        <f t="shared" si="326"/>
        <v>0</v>
      </c>
      <c r="L92" s="14">
        <f t="shared" si="326"/>
        <v>0</v>
      </c>
      <c r="M92" s="14">
        <f t="shared" si="326"/>
        <v>0</v>
      </c>
      <c r="N92" s="14">
        <f t="shared" si="326"/>
        <v>0</v>
      </c>
      <c r="O92" s="14">
        <f t="shared" si="326"/>
        <v>0</v>
      </c>
      <c r="P92" s="14">
        <f t="shared" si="326"/>
        <v>0</v>
      </c>
      <c r="Q92" s="14">
        <f t="shared" si="326"/>
        <v>0</v>
      </c>
      <c r="R92" s="14">
        <f t="shared" si="326"/>
        <v>0</v>
      </c>
      <c r="S92" s="14">
        <f t="shared" si="326"/>
        <v>0</v>
      </c>
      <c r="T92" s="14">
        <f t="shared" si="326"/>
        <v>0</v>
      </c>
      <c r="U92" s="14">
        <f t="shared" si="326"/>
        <v>0</v>
      </c>
      <c r="V92" s="14">
        <f t="shared" si="326"/>
        <v>0</v>
      </c>
      <c r="W92" s="14">
        <f t="shared" si="326"/>
        <v>0</v>
      </c>
      <c r="X92" s="14">
        <f t="shared" si="326"/>
        <v>0</v>
      </c>
      <c r="Y92" s="14">
        <f t="shared" si="326"/>
        <v>0</v>
      </c>
      <c r="Z92" s="14">
        <f t="shared" si="326"/>
        <v>0</v>
      </c>
      <c r="AA92" s="14">
        <f t="shared" si="326"/>
        <v>0</v>
      </c>
      <c r="AB92" s="14">
        <f t="shared" si="326"/>
        <v>702000</v>
      </c>
      <c r="AC92" s="14">
        <f t="shared" si="326"/>
        <v>702000</v>
      </c>
      <c r="AD92" s="14">
        <f t="shared" si="326"/>
        <v>702000</v>
      </c>
      <c r="AE92" s="14">
        <f t="shared" si="326"/>
        <v>702000</v>
      </c>
      <c r="AF92" s="14">
        <f t="shared" si="326"/>
        <v>702000</v>
      </c>
      <c r="AG92" s="14">
        <f t="shared" si="326"/>
        <v>702000</v>
      </c>
      <c r="AH92" s="14">
        <f t="shared" si="326"/>
        <v>702000</v>
      </c>
      <c r="AI92" s="14">
        <f t="shared" si="326"/>
        <v>702000</v>
      </c>
      <c r="AJ92" s="14">
        <f t="shared" si="326"/>
        <v>702000</v>
      </c>
      <c r="AK92" s="14">
        <f t="shared" si="326"/>
        <v>702000</v>
      </c>
      <c r="AL92" s="14">
        <f t="shared" si="326"/>
        <v>702000</v>
      </c>
      <c r="AM92" s="14">
        <f>AM89*1000*AM90</f>
        <v>702000</v>
      </c>
      <c r="AN92" s="14">
        <f aca="true" t="shared" si="327" ref="AN92:AN97">SUM(D92:O92)</f>
        <v>0</v>
      </c>
      <c r="AO92" s="140">
        <f aca="true" t="shared" si="328" ref="AO92:AO97">SUM(P92:AA92)</f>
        <v>0</v>
      </c>
      <c r="AP92" s="14">
        <f aca="true" t="shared" si="329" ref="AP92:AP97">SUM(AB92:AM92)</f>
        <v>8424000</v>
      </c>
      <c r="AQ92" s="14">
        <f aca="true" t="shared" si="330" ref="AQ92:AQ97">BO92</f>
        <v>8424000</v>
      </c>
      <c r="AR92" s="14">
        <f aca="true" t="shared" si="331" ref="AR92:AR97">CC92</f>
        <v>8424000</v>
      </c>
      <c r="AS92" s="14">
        <f aca="true" t="shared" si="332" ref="AS92:AS97">CQ92</f>
        <v>8424000</v>
      </c>
      <c r="AT92" s="14">
        <f aca="true" t="shared" si="333" ref="AT92:AX98">AS92</f>
        <v>8424000</v>
      </c>
      <c r="AU92" s="14">
        <f t="shared" si="333"/>
        <v>8424000</v>
      </c>
      <c r="AV92" s="14">
        <f t="shared" si="333"/>
        <v>8424000</v>
      </c>
      <c r="AW92" s="14">
        <f t="shared" si="333"/>
        <v>8424000</v>
      </c>
      <c r="AX92" s="30">
        <f t="shared" si="333"/>
        <v>8424000</v>
      </c>
      <c r="BC92" s="14">
        <f aca="true" t="shared" si="334" ref="BC92:BN92">BC89*1000*BC90</f>
        <v>702000</v>
      </c>
      <c r="BD92" s="14">
        <f t="shared" si="334"/>
        <v>702000</v>
      </c>
      <c r="BE92" s="14">
        <f t="shared" si="334"/>
        <v>702000</v>
      </c>
      <c r="BF92" s="14">
        <f t="shared" si="334"/>
        <v>702000</v>
      </c>
      <c r="BG92" s="14">
        <f t="shared" si="334"/>
        <v>702000</v>
      </c>
      <c r="BH92" s="14">
        <f t="shared" si="334"/>
        <v>702000</v>
      </c>
      <c r="BI92" s="14">
        <f t="shared" si="334"/>
        <v>702000</v>
      </c>
      <c r="BJ92" s="14">
        <f t="shared" si="334"/>
        <v>702000</v>
      </c>
      <c r="BK92" s="14">
        <f t="shared" si="334"/>
        <v>702000</v>
      </c>
      <c r="BL92" s="14">
        <f t="shared" si="334"/>
        <v>702000</v>
      </c>
      <c r="BM92" s="14">
        <f t="shared" si="334"/>
        <v>702000</v>
      </c>
      <c r="BN92" s="14">
        <f t="shared" si="334"/>
        <v>702000</v>
      </c>
      <c r="BO92">
        <f>SUM(BC92:BN92)</f>
        <v>8424000</v>
      </c>
      <c r="BQ92" s="14">
        <f aca="true" t="shared" si="335" ref="BQ92:CB92">BQ89*1000*BQ90</f>
        <v>702000</v>
      </c>
      <c r="BR92" s="14">
        <f t="shared" si="335"/>
        <v>702000</v>
      </c>
      <c r="BS92" s="14">
        <f t="shared" si="335"/>
        <v>702000</v>
      </c>
      <c r="BT92" s="14">
        <f t="shared" si="335"/>
        <v>702000</v>
      </c>
      <c r="BU92" s="14">
        <f t="shared" si="335"/>
        <v>702000</v>
      </c>
      <c r="BV92" s="14">
        <f t="shared" si="335"/>
        <v>702000</v>
      </c>
      <c r="BW92" s="14">
        <f t="shared" si="335"/>
        <v>702000</v>
      </c>
      <c r="BX92" s="14">
        <f t="shared" si="335"/>
        <v>702000</v>
      </c>
      <c r="BY92" s="14">
        <f t="shared" si="335"/>
        <v>702000</v>
      </c>
      <c r="BZ92" s="14">
        <f t="shared" si="335"/>
        <v>702000</v>
      </c>
      <c r="CA92" s="14">
        <f t="shared" si="335"/>
        <v>702000</v>
      </c>
      <c r="CB92" s="14">
        <f t="shared" si="335"/>
        <v>702000</v>
      </c>
      <c r="CC92">
        <f>SUM(BQ92:CB92)</f>
        <v>8424000</v>
      </c>
      <c r="CE92" s="14">
        <f aca="true" t="shared" si="336" ref="CE92:CP92">CE89*1000*CE90</f>
        <v>702000</v>
      </c>
      <c r="CF92" s="14">
        <f t="shared" si="336"/>
        <v>702000</v>
      </c>
      <c r="CG92" s="14">
        <f t="shared" si="336"/>
        <v>702000</v>
      </c>
      <c r="CH92" s="14">
        <f t="shared" si="336"/>
        <v>702000</v>
      </c>
      <c r="CI92" s="14">
        <f t="shared" si="336"/>
        <v>702000</v>
      </c>
      <c r="CJ92" s="14">
        <f t="shared" si="336"/>
        <v>702000</v>
      </c>
      <c r="CK92" s="14">
        <f t="shared" si="336"/>
        <v>702000</v>
      </c>
      <c r="CL92" s="14">
        <f t="shared" si="336"/>
        <v>702000</v>
      </c>
      <c r="CM92" s="14">
        <f t="shared" si="336"/>
        <v>702000</v>
      </c>
      <c r="CN92" s="14">
        <f t="shared" si="336"/>
        <v>702000</v>
      </c>
      <c r="CO92" s="14">
        <f t="shared" si="336"/>
        <v>702000</v>
      </c>
      <c r="CP92" s="14">
        <f t="shared" si="336"/>
        <v>702000</v>
      </c>
      <c r="CQ92">
        <f>SUM(CE92:CP92)</f>
        <v>8424000</v>
      </c>
    </row>
    <row r="93" spans="1:95" ht="12.75">
      <c r="A93" s="25"/>
      <c r="B93" s="26" t="s">
        <v>48</v>
      </c>
      <c r="C93" s="26" t="s">
        <v>15</v>
      </c>
      <c r="D93" s="14">
        <f aca="true" t="shared" si="337" ref="D93:AM93">D92/(D91/100)/Heizwert_Methan</f>
        <v>0</v>
      </c>
      <c r="E93" s="14">
        <f t="shared" si="337"/>
        <v>0</v>
      </c>
      <c r="F93" s="14">
        <f t="shared" si="337"/>
        <v>0</v>
      </c>
      <c r="G93" s="14">
        <f t="shared" si="337"/>
        <v>0</v>
      </c>
      <c r="H93" s="14">
        <f t="shared" si="337"/>
        <v>0</v>
      </c>
      <c r="I93" s="14">
        <f t="shared" si="337"/>
        <v>0</v>
      </c>
      <c r="J93" s="14">
        <f t="shared" si="337"/>
        <v>0</v>
      </c>
      <c r="K93" s="14">
        <f t="shared" si="337"/>
        <v>0</v>
      </c>
      <c r="L93" s="14">
        <f t="shared" si="337"/>
        <v>0</v>
      </c>
      <c r="M93" s="14">
        <f t="shared" si="337"/>
        <v>0</v>
      </c>
      <c r="N93" s="14">
        <f t="shared" si="337"/>
        <v>0</v>
      </c>
      <c r="O93" s="14">
        <f t="shared" si="337"/>
        <v>0</v>
      </c>
      <c r="P93" s="14">
        <f t="shared" si="337"/>
        <v>0</v>
      </c>
      <c r="Q93" s="14">
        <f t="shared" si="337"/>
        <v>0</v>
      </c>
      <c r="R93" s="14">
        <f t="shared" si="337"/>
        <v>0</v>
      </c>
      <c r="S93" s="14">
        <f t="shared" si="337"/>
        <v>0</v>
      </c>
      <c r="T93" s="14">
        <f t="shared" si="337"/>
        <v>0</v>
      </c>
      <c r="U93" s="14">
        <f t="shared" si="337"/>
        <v>0</v>
      </c>
      <c r="V93" s="14">
        <f t="shared" si="337"/>
        <v>0</v>
      </c>
      <c r="W93" s="14">
        <f t="shared" si="337"/>
        <v>0</v>
      </c>
      <c r="X93" s="14">
        <f t="shared" si="337"/>
        <v>0</v>
      </c>
      <c r="Y93" s="14">
        <f t="shared" si="337"/>
        <v>0</v>
      </c>
      <c r="Z93" s="14">
        <f t="shared" si="337"/>
        <v>0</v>
      </c>
      <c r="AA93" s="14">
        <f t="shared" si="337"/>
        <v>0</v>
      </c>
      <c r="AB93" s="14">
        <f t="shared" si="337"/>
        <v>195410.36175969537</v>
      </c>
      <c r="AC93" s="14">
        <f t="shared" si="337"/>
        <v>195410.36175969537</v>
      </c>
      <c r="AD93" s="14">
        <f t="shared" si="337"/>
        <v>195410.36175969537</v>
      </c>
      <c r="AE93" s="14">
        <f t="shared" si="337"/>
        <v>195410.36175969537</v>
      </c>
      <c r="AF93" s="14">
        <f t="shared" si="337"/>
        <v>195410.36175969537</v>
      </c>
      <c r="AG93" s="14">
        <f t="shared" si="337"/>
        <v>195410.36175969537</v>
      </c>
      <c r="AH93" s="14">
        <f t="shared" si="337"/>
        <v>195410.36175969537</v>
      </c>
      <c r="AI93" s="14">
        <f t="shared" si="337"/>
        <v>195410.36175969537</v>
      </c>
      <c r="AJ93" s="14">
        <f t="shared" si="337"/>
        <v>195410.36175969537</v>
      </c>
      <c r="AK93" s="14">
        <f t="shared" si="337"/>
        <v>195410.36175969537</v>
      </c>
      <c r="AL93" s="14">
        <f t="shared" si="337"/>
        <v>195410.36175969537</v>
      </c>
      <c r="AM93" s="14">
        <f t="shared" si="337"/>
        <v>195410.36175969537</v>
      </c>
      <c r="AN93" s="14">
        <f t="shared" si="327"/>
        <v>0</v>
      </c>
      <c r="AO93" s="140">
        <f t="shared" si="328"/>
        <v>0</v>
      </c>
      <c r="AP93" s="14">
        <f t="shared" si="329"/>
        <v>2344924.3411163446</v>
      </c>
      <c r="AQ93" s="14">
        <f t="shared" si="330"/>
        <v>2344924.3411163446</v>
      </c>
      <c r="AR93" s="14">
        <f t="shared" si="331"/>
        <v>2344924.3411163446</v>
      </c>
      <c r="AS93" s="14">
        <f t="shared" si="332"/>
        <v>2344924.3411163446</v>
      </c>
      <c r="AT93" s="14">
        <f t="shared" si="333"/>
        <v>2344924.3411163446</v>
      </c>
      <c r="AU93" s="14">
        <f t="shared" si="333"/>
        <v>2344924.3411163446</v>
      </c>
      <c r="AV93" s="14">
        <f t="shared" si="333"/>
        <v>2344924.3411163446</v>
      </c>
      <c r="AW93" s="14">
        <f t="shared" si="333"/>
        <v>2344924.3411163446</v>
      </c>
      <c r="AX93" s="30">
        <f t="shared" si="333"/>
        <v>2344924.3411163446</v>
      </c>
      <c r="BC93" s="14">
        <f aca="true" t="shared" si="338" ref="BC93:BN93">BC92/(BC91/100)/Heizwert_Methan</f>
        <v>195410.36175969537</v>
      </c>
      <c r="BD93" s="14">
        <f t="shared" si="338"/>
        <v>195410.36175969537</v>
      </c>
      <c r="BE93" s="14">
        <f t="shared" si="338"/>
        <v>195410.36175969537</v>
      </c>
      <c r="BF93" s="14">
        <f t="shared" si="338"/>
        <v>195410.36175969537</v>
      </c>
      <c r="BG93" s="14">
        <f t="shared" si="338"/>
        <v>195410.36175969537</v>
      </c>
      <c r="BH93" s="14">
        <f t="shared" si="338"/>
        <v>195410.36175969537</v>
      </c>
      <c r="BI93" s="14">
        <f t="shared" si="338"/>
        <v>195410.36175969537</v>
      </c>
      <c r="BJ93" s="14">
        <f t="shared" si="338"/>
        <v>195410.36175969537</v>
      </c>
      <c r="BK93" s="14">
        <f t="shared" si="338"/>
        <v>195410.36175969537</v>
      </c>
      <c r="BL93" s="14">
        <f t="shared" si="338"/>
        <v>195410.36175969537</v>
      </c>
      <c r="BM93" s="14">
        <f t="shared" si="338"/>
        <v>195410.36175969537</v>
      </c>
      <c r="BN93" s="14">
        <f t="shared" si="338"/>
        <v>195410.36175969537</v>
      </c>
      <c r="BO93">
        <f>SUM(BC93:BN93)</f>
        <v>2344924.3411163446</v>
      </c>
      <c r="BQ93" s="14">
        <f aca="true" t="shared" si="339" ref="BQ93:CB93">BQ92/(BQ91/100)/Heizwert_Methan</f>
        <v>195410.36175969537</v>
      </c>
      <c r="BR93" s="14">
        <f t="shared" si="339"/>
        <v>195410.36175969537</v>
      </c>
      <c r="BS93" s="14">
        <f t="shared" si="339"/>
        <v>195410.36175969537</v>
      </c>
      <c r="BT93" s="14">
        <f t="shared" si="339"/>
        <v>195410.36175969537</v>
      </c>
      <c r="BU93" s="14">
        <f t="shared" si="339"/>
        <v>195410.36175969537</v>
      </c>
      <c r="BV93" s="14">
        <f t="shared" si="339"/>
        <v>195410.36175969537</v>
      </c>
      <c r="BW93" s="14">
        <f t="shared" si="339"/>
        <v>195410.36175969537</v>
      </c>
      <c r="BX93" s="14">
        <f t="shared" si="339"/>
        <v>195410.36175969537</v>
      </c>
      <c r="BY93" s="14">
        <f t="shared" si="339"/>
        <v>195410.36175969537</v>
      </c>
      <c r="BZ93" s="14">
        <f t="shared" si="339"/>
        <v>195410.36175969537</v>
      </c>
      <c r="CA93" s="14">
        <f t="shared" si="339"/>
        <v>195410.36175969537</v>
      </c>
      <c r="CB93" s="14">
        <f t="shared" si="339"/>
        <v>195410.36175969537</v>
      </c>
      <c r="CC93">
        <f>SUM(BQ93:CB93)</f>
        <v>2344924.3411163446</v>
      </c>
      <c r="CE93" s="14">
        <f aca="true" t="shared" si="340" ref="CE93:CP93">CE92/(CE91/100)/Heizwert_Methan</f>
        <v>195410.36175969537</v>
      </c>
      <c r="CF93" s="14">
        <f t="shared" si="340"/>
        <v>195410.36175969537</v>
      </c>
      <c r="CG93" s="14">
        <f t="shared" si="340"/>
        <v>195410.36175969537</v>
      </c>
      <c r="CH93" s="14">
        <f t="shared" si="340"/>
        <v>195410.36175969537</v>
      </c>
      <c r="CI93" s="14">
        <f t="shared" si="340"/>
        <v>195410.36175969537</v>
      </c>
      <c r="CJ93" s="14">
        <f t="shared" si="340"/>
        <v>195410.36175969537</v>
      </c>
      <c r="CK93" s="14">
        <f t="shared" si="340"/>
        <v>195410.36175969537</v>
      </c>
      <c r="CL93" s="14">
        <f t="shared" si="340"/>
        <v>195410.36175969537</v>
      </c>
      <c r="CM93" s="14">
        <f t="shared" si="340"/>
        <v>195410.36175969537</v>
      </c>
      <c r="CN93" s="14">
        <f t="shared" si="340"/>
        <v>195410.36175969537</v>
      </c>
      <c r="CO93" s="14">
        <f t="shared" si="340"/>
        <v>195410.36175969537</v>
      </c>
      <c r="CP93" s="14">
        <f t="shared" si="340"/>
        <v>195410.36175969537</v>
      </c>
      <c r="CQ93">
        <f>SUM(CE93:CP93)</f>
        <v>2344924.3411163446</v>
      </c>
    </row>
    <row r="94" spans="1:95" ht="12.75">
      <c r="A94" s="25"/>
      <c r="B94" s="26" t="s">
        <v>128</v>
      </c>
      <c r="C94" s="26" t="s">
        <v>16</v>
      </c>
      <c r="D94" s="14">
        <f aca="true" t="shared" si="341" ref="D94:AM94">D93*Gewicht_Methan/1000*21</f>
        <v>0</v>
      </c>
      <c r="E94" s="14">
        <f t="shared" si="341"/>
        <v>0</v>
      </c>
      <c r="F94" s="14">
        <f t="shared" si="341"/>
        <v>0</v>
      </c>
      <c r="G94" s="14">
        <f t="shared" si="341"/>
        <v>0</v>
      </c>
      <c r="H94" s="14">
        <f t="shared" si="341"/>
        <v>0</v>
      </c>
      <c r="I94" s="14">
        <f t="shared" si="341"/>
        <v>0</v>
      </c>
      <c r="J94" s="14">
        <f t="shared" si="341"/>
        <v>0</v>
      </c>
      <c r="K94" s="14">
        <f t="shared" si="341"/>
        <v>0</v>
      </c>
      <c r="L94" s="14">
        <f t="shared" si="341"/>
        <v>0</v>
      </c>
      <c r="M94" s="14">
        <f t="shared" si="341"/>
        <v>0</v>
      </c>
      <c r="N94" s="14">
        <f t="shared" si="341"/>
        <v>0</v>
      </c>
      <c r="O94" s="14">
        <f t="shared" si="341"/>
        <v>0</v>
      </c>
      <c r="P94" s="14">
        <f t="shared" si="341"/>
        <v>0</v>
      </c>
      <c r="Q94" s="14">
        <f t="shared" si="341"/>
        <v>0</v>
      </c>
      <c r="R94" s="14">
        <f t="shared" si="341"/>
        <v>0</v>
      </c>
      <c r="S94" s="14">
        <f t="shared" si="341"/>
        <v>0</v>
      </c>
      <c r="T94" s="14">
        <f t="shared" si="341"/>
        <v>0</v>
      </c>
      <c r="U94" s="14">
        <f t="shared" si="341"/>
        <v>0</v>
      </c>
      <c r="V94" s="14">
        <f t="shared" si="341"/>
        <v>0</v>
      </c>
      <c r="W94" s="14">
        <f t="shared" si="341"/>
        <v>0</v>
      </c>
      <c r="X94" s="14">
        <f t="shared" si="341"/>
        <v>0</v>
      </c>
      <c r="Y94" s="14">
        <f t="shared" si="341"/>
        <v>0</v>
      </c>
      <c r="Z94" s="14">
        <f t="shared" si="341"/>
        <v>0</v>
      </c>
      <c r="AA94" s="14">
        <f t="shared" si="341"/>
        <v>0</v>
      </c>
      <c r="AB94" s="14">
        <f t="shared" si="341"/>
        <v>2942.2938170157336</v>
      </c>
      <c r="AC94" s="14">
        <f t="shared" si="341"/>
        <v>2942.2938170157336</v>
      </c>
      <c r="AD94" s="14">
        <f t="shared" si="341"/>
        <v>2942.2938170157336</v>
      </c>
      <c r="AE94" s="14">
        <f t="shared" si="341"/>
        <v>2942.2938170157336</v>
      </c>
      <c r="AF94" s="14">
        <f t="shared" si="341"/>
        <v>2942.2938170157336</v>
      </c>
      <c r="AG94" s="14">
        <f t="shared" si="341"/>
        <v>2942.2938170157336</v>
      </c>
      <c r="AH94" s="14">
        <f t="shared" si="341"/>
        <v>2942.2938170157336</v>
      </c>
      <c r="AI94" s="14">
        <f t="shared" si="341"/>
        <v>2942.2938170157336</v>
      </c>
      <c r="AJ94" s="14">
        <f t="shared" si="341"/>
        <v>2942.2938170157336</v>
      </c>
      <c r="AK94" s="14">
        <f t="shared" si="341"/>
        <v>2942.2938170157336</v>
      </c>
      <c r="AL94" s="14">
        <f t="shared" si="341"/>
        <v>2942.2938170157336</v>
      </c>
      <c r="AM94" s="14">
        <f t="shared" si="341"/>
        <v>2942.2938170157336</v>
      </c>
      <c r="AN94" s="14">
        <f t="shared" si="327"/>
        <v>0</v>
      </c>
      <c r="AO94" s="140">
        <f t="shared" si="328"/>
        <v>0</v>
      </c>
      <c r="AP94" s="14">
        <f t="shared" si="329"/>
        <v>35307.525804188794</v>
      </c>
      <c r="AQ94" s="14">
        <f t="shared" si="330"/>
        <v>35307.525804188794</v>
      </c>
      <c r="AR94" s="14">
        <f t="shared" si="331"/>
        <v>35307.525804188794</v>
      </c>
      <c r="AS94" s="14">
        <f t="shared" si="332"/>
        <v>35307.525804188794</v>
      </c>
      <c r="AT94" s="14">
        <f t="shared" si="333"/>
        <v>35307.525804188794</v>
      </c>
      <c r="AU94" s="14">
        <f t="shared" si="333"/>
        <v>35307.525804188794</v>
      </c>
      <c r="AV94" s="14">
        <f t="shared" si="333"/>
        <v>35307.525804188794</v>
      </c>
      <c r="AW94" s="14">
        <f t="shared" si="333"/>
        <v>35307.525804188794</v>
      </c>
      <c r="AX94" s="30">
        <f t="shared" si="333"/>
        <v>35307.525804188794</v>
      </c>
      <c r="AY94" s="52">
        <f>AX93*0.717/1000</f>
        <v>1681.310752580419</v>
      </c>
      <c r="BC94" s="14">
        <f aca="true" t="shared" si="342" ref="BC94:BN94">BC93*Gewicht_Methan/1000*21</f>
        <v>2942.2938170157336</v>
      </c>
      <c r="BD94" s="14">
        <f t="shared" si="342"/>
        <v>2942.2938170157336</v>
      </c>
      <c r="BE94" s="14">
        <f t="shared" si="342"/>
        <v>2942.2938170157336</v>
      </c>
      <c r="BF94" s="14">
        <f t="shared" si="342"/>
        <v>2942.2938170157336</v>
      </c>
      <c r="BG94" s="14">
        <f t="shared" si="342"/>
        <v>2942.2938170157336</v>
      </c>
      <c r="BH94" s="14">
        <f t="shared" si="342"/>
        <v>2942.2938170157336</v>
      </c>
      <c r="BI94" s="14">
        <f t="shared" si="342"/>
        <v>2942.2938170157336</v>
      </c>
      <c r="BJ94" s="14">
        <f t="shared" si="342"/>
        <v>2942.2938170157336</v>
      </c>
      <c r="BK94" s="14">
        <f t="shared" si="342"/>
        <v>2942.2938170157336</v>
      </c>
      <c r="BL94" s="14">
        <f t="shared" si="342"/>
        <v>2942.2938170157336</v>
      </c>
      <c r="BM94" s="14">
        <f t="shared" si="342"/>
        <v>2942.2938170157336</v>
      </c>
      <c r="BN94" s="14">
        <f t="shared" si="342"/>
        <v>2942.2938170157336</v>
      </c>
      <c r="BO94">
        <f>SUM(BC94:BN94)</f>
        <v>35307.525804188794</v>
      </c>
      <c r="BQ94" s="14">
        <f aca="true" t="shared" si="343" ref="BQ94:CB94">BQ93*Gewicht_Methan/1000*21</f>
        <v>2942.2938170157336</v>
      </c>
      <c r="BR94" s="14">
        <f t="shared" si="343"/>
        <v>2942.2938170157336</v>
      </c>
      <c r="BS94" s="14">
        <f t="shared" si="343"/>
        <v>2942.2938170157336</v>
      </c>
      <c r="BT94" s="14">
        <f t="shared" si="343"/>
        <v>2942.2938170157336</v>
      </c>
      <c r="BU94" s="14">
        <f t="shared" si="343"/>
        <v>2942.2938170157336</v>
      </c>
      <c r="BV94" s="14">
        <f t="shared" si="343"/>
        <v>2942.2938170157336</v>
      </c>
      <c r="BW94" s="14">
        <f t="shared" si="343"/>
        <v>2942.2938170157336</v>
      </c>
      <c r="BX94" s="14">
        <f t="shared" si="343"/>
        <v>2942.2938170157336</v>
      </c>
      <c r="BY94" s="14">
        <f t="shared" si="343"/>
        <v>2942.2938170157336</v>
      </c>
      <c r="BZ94" s="14">
        <f t="shared" si="343"/>
        <v>2942.2938170157336</v>
      </c>
      <c r="CA94" s="14">
        <f t="shared" si="343"/>
        <v>2942.2938170157336</v>
      </c>
      <c r="CB94" s="14">
        <f t="shared" si="343"/>
        <v>2942.2938170157336</v>
      </c>
      <c r="CC94">
        <f>SUM(BQ94:CB94)</f>
        <v>35307.525804188794</v>
      </c>
      <c r="CE94" s="14">
        <f aca="true" t="shared" si="344" ref="CE94:CP94">CE93*Gewicht_Methan/1000*21</f>
        <v>2942.2938170157336</v>
      </c>
      <c r="CF94" s="14">
        <f t="shared" si="344"/>
        <v>2942.2938170157336</v>
      </c>
      <c r="CG94" s="14">
        <f t="shared" si="344"/>
        <v>2942.2938170157336</v>
      </c>
      <c r="CH94" s="14">
        <f t="shared" si="344"/>
        <v>2942.2938170157336</v>
      </c>
      <c r="CI94" s="14">
        <f t="shared" si="344"/>
        <v>2942.2938170157336</v>
      </c>
      <c r="CJ94" s="14">
        <f t="shared" si="344"/>
        <v>2942.2938170157336</v>
      </c>
      <c r="CK94" s="14">
        <f t="shared" si="344"/>
        <v>2942.2938170157336</v>
      </c>
      <c r="CL94" s="14">
        <f t="shared" si="344"/>
        <v>2942.2938170157336</v>
      </c>
      <c r="CM94" s="14">
        <f t="shared" si="344"/>
        <v>2942.2938170157336</v>
      </c>
      <c r="CN94" s="14">
        <f t="shared" si="344"/>
        <v>2942.2938170157336</v>
      </c>
      <c r="CO94" s="14">
        <f t="shared" si="344"/>
        <v>2942.2938170157336</v>
      </c>
      <c r="CP94" s="14">
        <f t="shared" si="344"/>
        <v>2942.2938170157336</v>
      </c>
      <c r="CQ94">
        <f>SUM(CE94:CP94)</f>
        <v>35307.525804188794</v>
      </c>
    </row>
    <row r="95" spans="1:95" ht="12.75">
      <c r="A95" s="25"/>
      <c r="B95" s="26" t="s">
        <v>129</v>
      </c>
      <c r="C95" s="26" t="s">
        <v>16</v>
      </c>
      <c r="D95" s="14">
        <f aca="true" t="shared" si="345" ref="D95:AA95">D92/1000*CO2_Vermeidung_Strom_2008</f>
        <v>0</v>
      </c>
      <c r="E95" s="14">
        <f t="shared" si="345"/>
        <v>0</v>
      </c>
      <c r="F95" s="14">
        <f t="shared" si="345"/>
        <v>0</v>
      </c>
      <c r="G95" s="14">
        <f t="shared" si="345"/>
        <v>0</v>
      </c>
      <c r="H95" s="14">
        <f t="shared" si="345"/>
        <v>0</v>
      </c>
      <c r="I95" s="14">
        <f t="shared" si="345"/>
        <v>0</v>
      </c>
      <c r="J95" s="14">
        <f t="shared" si="345"/>
        <v>0</v>
      </c>
      <c r="K95" s="14">
        <f t="shared" si="345"/>
        <v>0</v>
      </c>
      <c r="L95" s="14">
        <f t="shared" si="345"/>
        <v>0</v>
      </c>
      <c r="M95" s="14">
        <f t="shared" si="345"/>
        <v>0</v>
      </c>
      <c r="N95" s="14">
        <f t="shared" si="345"/>
        <v>0</v>
      </c>
      <c r="O95" s="14">
        <f t="shared" si="345"/>
        <v>0</v>
      </c>
      <c r="P95" s="14">
        <f t="shared" si="345"/>
        <v>0</v>
      </c>
      <c r="Q95" s="14">
        <f t="shared" si="345"/>
        <v>0</v>
      </c>
      <c r="R95" s="14">
        <f t="shared" si="345"/>
        <v>0</v>
      </c>
      <c r="S95" s="14">
        <f t="shared" si="345"/>
        <v>0</v>
      </c>
      <c r="T95" s="14">
        <f t="shared" si="345"/>
        <v>0</v>
      </c>
      <c r="U95" s="14">
        <f t="shared" si="345"/>
        <v>0</v>
      </c>
      <c r="V95" s="14">
        <f t="shared" si="345"/>
        <v>0</v>
      </c>
      <c r="W95" s="14">
        <f t="shared" si="345"/>
        <v>0</v>
      </c>
      <c r="X95" s="14">
        <f t="shared" si="345"/>
        <v>0</v>
      </c>
      <c r="Y95" s="14">
        <f t="shared" si="345"/>
        <v>0</v>
      </c>
      <c r="Z95" s="14">
        <f t="shared" si="345"/>
        <v>0</v>
      </c>
      <c r="AA95" s="14">
        <f t="shared" si="345"/>
        <v>0</v>
      </c>
      <c r="AB95" s="14">
        <f aca="true" t="shared" si="346" ref="AB95:AM95">AB92/1000*CO2_Vermeidung_Strom_2009</f>
        <v>477.36</v>
      </c>
      <c r="AC95" s="14">
        <f t="shared" si="346"/>
        <v>477.36</v>
      </c>
      <c r="AD95" s="14">
        <f t="shared" si="346"/>
        <v>477.36</v>
      </c>
      <c r="AE95" s="14">
        <f t="shared" si="346"/>
        <v>477.36</v>
      </c>
      <c r="AF95" s="14">
        <f t="shared" si="346"/>
        <v>477.36</v>
      </c>
      <c r="AG95" s="14">
        <f t="shared" si="346"/>
        <v>477.36</v>
      </c>
      <c r="AH95" s="14">
        <f t="shared" si="346"/>
        <v>477.36</v>
      </c>
      <c r="AI95" s="14">
        <f t="shared" si="346"/>
        <v>477.36</v>
      </c>
      <c r="AJ95" s="14">
        <f t="shared" si="346"/>
        <v>477.36</v>
      </c>
      <c r="AK95" s="14">
        <f t="shared" si="346"/>
        <v>477.36</v>
      </c>
      <c r="AL95" s="14">
        <f t="shared" si="346"/>
        <v>477.36</v>
      </c>
      <c r="AM95" s="14">
        <f t="shared" si="346"/>
        <v>477.36</v>
      </c>
      <c r="AN95" s="14">
        <f t="shared" si="327"/>
        <v>0</v>
      </c>
      <c r="AO95" s="140">
        <f t="shared" si="328"/>
        <v>0</v>
      </c>
      <c r="AP95" s="14">
        <f t="shared" si="329"/>
        <v>5728.32</v>
      </c>
      <c r="AQ95" s="14">
        <f t="shared" si="330"/>
        <v>5610.384000000001</v>
      </c>
      <c r="AR95" s="14">
        <f t="shared" si="331"/>
        <v>5484.024000000001</v>
      </c>
      <c r="AS95" s="14">
        <f t="shared" si="332"/>
        <v>5357.663999999998</v>
      </c>
      <c r="AT95" s="14">
        <f t="shared" si="333"/>
        <v>5357.663999999998</v>
      </c>
      <c r="AU95" s="14">
        <f t="shared" si="333"/>
        <v>5357.663999999998</v>
      </c>
      <c r="AV95" s="14">
        <f t="shared" si="333"/>
        <v>5357.663999999998</v>
      </c>
      <c r="AW95" s="14">
        <f t="shared" si="333"/>
        <v>5357.663999999998</v>
      </c>
      <c r="AX95" s="30">
        <f t="shared" si="333"/>
        <v>5357.663999999998</v>
      </c>
      <c r="BC95" s="14">
        <f aca="true" t="shared" si="347" ref="BC95:BN95">BC92/1000*CO2_Vermeidung_Strom_2010</f>
        <v>467.53200000000004</v>
      </c>
      <c r="BD95" s="14">
        <f t="shared" si="347"/>
        <v>467.53200000000004</v>
      </c>
      <c r="BE95" s="14">
        <f t="shared" si="347"/>
        <v>467.53200000000004</v>
      </c>
      <c r="BF95" s="14">
        <f t="shared" si="347"/>
        <v>467.53200000000004</v>
      </c>
      <c r="BG95" s="14">
        <f t="shared" si="347"/>
        <v>467.53200000000004</v>
      </c>
      <c r="BH95" s="14">
        <f t="shared" si="347"/>
        <v>467.53200000000004</v>
      </c>
      <c r="BI95" s="14">
        <f t="shared" si="347"/>
        <v>467.53200000000004</v>
      </c>
      <c r="BJ95" s="14">
        <f t="shared" si="347"/>
        <v>467.53200000000004</v>
      </c>
      <c r="BK95" s="14">
        <f t="shared" si="347"/>
        <v>467.53200000000004</v>
      </c>
      <c r="BL95" s="14">
        <f t="shared" si="347"/>
        <v>467.53200000000004</v>
      </c>
      <c r="BM95" s="14">
        <f t="shared" si="347"/>
        <v>467.53200000000004</v>
      </c>
      <c r="BN95" s="14">
        <f t="shared" si="347"/>
        <v>467.53200000000004</v>
      </c>
      <c r="BO95">
        <f>SUM(BC95:BN95)</f>
        <v>5610.384000000001</v>
      </c>
      <c r="BQ95" s="14">
        <f aca="true" t="shared" si="348" ref="BQ95:CB95">BQ92/1000*CO2_Vermeidung_Strom_2011</f>
        <v>457.002</v>
      </c>
      <c r="BR95" s="14">
        <f t="shared" si="348"/>
        <v>457.002</v>
      </c>
      <c r="BS95" s="14">
        <f t="shared" si="348"/>
        <v>457.002</v>
      </c>
      <c r="BT95" s="14">
        <f t="shared" si="348"/>
        <v>457.002</v>
      </c>
      <c r="BU95" s="14">
        <f t="shared" si="348"/>
        <v>457.002</v>
      </c>
      <c r="BV95" s="14">
        <f t="shared" si="348"/>
        <v>457.002</v>
      </c>
      <c r="BW95" s="14">
        <f t="shared" si="348"/>
        <v>457.002</v>
      </c>
      <c r="BX95" s="14">
        <f t="shared" si="348"/>
        <v>457.002</v>
      </c>
      <c r="BY95" s="14">
        <f t="shared" si="348"/>
        <v>457.002</v>
      </c>
      <c r="BZ95" s="14">
        <f t="shared" si="348"/>
        <v>457.002</v>
      </c>
      <c r="CA95" s="14">
        <f t="shared" si="348"/>
        <v>457.002</v>
      </c>
      <c r="CB95" s="14">
        <f t="shared" si="348"/>
        <v>457.002</v>
      </c>
      <c r="CC95">
        <f>SUM(BQ95:CB95)</f>
        <v>5484.024000000001</v>
      </c>
      <c r="CE95" s="14">
        <f aca="true" t="shared" si="349" ref="CE95:CP95">CE92/1000*CO2_Vermeidung_Strom_2012</f>
        <v>446.472</v>
      </c>
      <c r="CF95" s="14">
        <f t="shared" si="349"/>
        <v>446.472</v>
      </c>
      <c r="CG95" s="14">
        <f t="shared" si="349"/>
        <v>446.472</v>
      </c>
      <c r="CH95" s="14">
        <f t="shared" si="349"/>
        <v>446.472</v>
      </c>
      <c r="CI95" s="14">
        <f t="shared" si="349"/>
        <v>446.472</v>
      </c>
      <c r="CJ95" s="14">
        <f t="shared" si="349"/>
        <v>446.472</v>
      </c>
      <c r="CK95" s="14">
        <f t="shared" si="349"/>
        <v>446.472</v>
      </c>
      <c r="CL95" s="14">
        <f t="shared" si="349"/>
        <v>446.472</v>
      </c>
      <c r="CM95" s="14">
        <f t="shared" si="349"/>
        <v>446.472</v>
      </c>
      <c r="CN95" s="14">
        <f t="shared" si="349"/>
        <v>446.472</v>
      </c>
      <c r="CO95" s="14">
        <f t="shared" si="349"/>
        <v>446.472</v>
      </c>
      <c r="CP95" s="14">
        <f t="shared" si="349"/>
        <v>446.472</v>
      </c>
      <c r="CQ95">
        <f>SUM(CE95:CP95)</f>
        <v>5357.663999999998</v>
      </c>
    </row>
    <row r="96" spans="1:95" ht="12.75">
      <c r="A96" s="25"/>
      <c r="B96" s="51" t="s">
        <v>98</v>
      </c>
      <c r="C96" s="51" t="s">
        <v>14</v>
      </c>
      <c r="D96" s="14">
        <f>D92*'Basis data'!$B$19/1000</f>
        <v>0</v>
      </c>
      <c r="E96" s="14">
        <f>E92*'Basis data'!$B$19/1000</f>
        <v>0</v>
      </c>
      <c r="F96" s="14">
        <f>F92*'Basis data'!$B$19/1000</f>
        <v>0</v>
      </c>
      <c r="G96" s="14">
        <f>G92*'Basis data'!$B$19/1000</f>
        <v>0</v>
      </c>
      <c r="H96" s="14">
        <f>H92*'Basis data'!$B$19/1000</f>
        <v>0</v>
      </c>
      <c r="I96" s="14">
        <f>I92*'Basis data'!$B$19/1000</f>
        <v>0</v>
      </c>
      <c r="J96" s="14">
        <f>J92*'Basis data'!$B$19/1000</f>
        <v>0</v>
      </c>
      <c r="K96" s="14">
        <f>K92*'Basis data'!$B$19/1000</f>
        <v>0</v>
      </c>
      <c r="L96" s="14">
        <f>L92*'Basis data'!$B$19/1000</f>
        <v>0</v>
      </c>
      <c r="M96" s="14">
        <f>M92*'Basis data'!$B$19/1000</f>
        <v>0</v>
      </c>
      <c r="N96" s="14">
        <f>N92*'Basis data'!$B$19/1000</f>
        <v>0</v>
      </c>
      <c r="O96" s="14">
        <f>O92*'Basis data'!$B$19/1000</f>
        <v>0</v>
      </c>
      <c r="P96" s="14">
        <f>P92*'Basis data'!$B$19/1000</f>
        <v>0</v>
      </c>
      <c r="Q96" s="14">
        <f>Q92*'Basis data'!$B$19/1000</f>
        <v>0</v>
      </c>
      <c r="R96" s="14">
        <f>R92*'Basis data'!$B$19/1000</f>
        <v>0</v>
      </c>
      <c r="S96" s="14">
        <f>S92*'Basis data'!$B$19/1000</f>
        <v>0</v>
      </c>
      <c r="T96" s="14">
        <f>T92*'Basis data'!$B$19/1000</f>
        <v>0</v>
      </c>
      <c r="U96" s="14">
        <f>U92*'Basis data'!$B$19/1000</f>
        <v>0</v>
      </c>
      <c r="V96" s="14">
        <f>V92*'Basis data'!$B$19/1000</f>
        <v>0</v>
      </c>
      <c r="W96" s="14">
        <f>W92*'Basis data'!$B$19/1000</f>
        <v>0</v>
      </c>
      <c r="X96" s="14">
        <f>X92*'Basis data'!$B$19/1000</f>
        <v>0</v>
      </c>
      <c r="Y96" s="14">
        <f>Y92*'Basis data'!$B$19/1000</f>
        <v>0</v>
      </c>
      <c r="Z96" s="14">
        <f>Z92*'Basis data'!$B$19/1000</f>
        <v>0</v>
      </c>
      <c r="AA96" s="14">
        <f>AA92*'Basis data'!$B$19/1000</f>
        <v>0</v>
      </c>
      <c r="AB96" s="14">
        <f>AB92*'Basis data'!$B$19/1000</f>
        <v>24.570000000000004</v>
      </c>
      <c r="AC96" s="14">
        <f>AC92*'Basis data'!$B$19/1000</f>
        <v>24.570000000000004</v>
      </c>
      <c r="AD96" s="14">
        <f>AD92*'Basis data'!$B$19/1000</f>
        <v>24.570000000000004</v>
      </c>
      <c r="AE96" s="14">
        <f>AE92*'Basis data'!$B$19/1000</f>
        <v>24.570000000000004</v>
      </c>
      <c r="AF96" s="14">
        <f>AF92*'Basis data'!$B$19/1000</f>
        <v>24.570000000000004</v>
      </c>
      <c r="AG96" s="14">
        <f>AG92*'Basis data'!$B$19/1000</f>
        <v>24.570000000000004</v>
      </c>
      <c r="AH96" s="14">
        <f>AH92*'Basis data'!$B$19/1000</f>
        <v>24.570000000000004</v>
      </c>
      <c r="AI96" s="14">
        <f>AI92*'Basis data'!$B$19/1000</f>
        <v>24.570000000000004</v>
      </c>
      <c r="AJ96" s="14">
        <f>AJ92*'Basis data'!$B$19/1000</f>
        <v>24.570000000000004</v>
      </c>
      <c r="AK96" s="14">
        <f>AK92*'Basis data'!$B$19/1000</f>
        <v>24.570000000000004</v>
      </c>
      <c r="AL96" s="14">
        <f>AL92*'Basis data'!$B$19/1000</f>
        <v>24.570000000000004</v>
      </c>
      <c r="AM96" s="14">
        <f>AM92*'Basis data'!$B$19/1000</f>
        <v>24.570000000000004</v>
      </c>
      <c r="AN96" s="14">
        <f t="shared" si="327"/>
        <v>0</v>
      </c>
      <c r="AO96" s="140">
        <f t="shared" si="328"/>
        <v>0</v>
      </c>
      <c r="AP96" s="14">
        <f t="shared" si="329"/>
        <v>294.84</v>
      </c>
      <c r="AQ96" s="14">
        <f t="shared" si="330"/>
        <v>294.84</v>
      </c>
      <c r="AR96" s="14">
        <f t="shared" si="331"/>
        <v>294.84</v>
      </c>
      <c r="AS96" s="14">
        <f t="shared" si="332"/>
        <v>294.84</v>
      </c>
      <c r="AT96" s="14">
        <f t="shared" si="333"/>
        <v>294.84</v>
      </c>
      <c r="AU96" s="14">
        <f t="shared" si="333"/>
        <v>294.84</v>
      </c>
      <c r="AV96" s="14">
        <f t="shared" si="333"/>
        <v>294.84</v>
      </c>
      <c r="AW96" s="14">
        <f t="shared" si="333"/>
        <v>294.84</v>
      </c>
      <c r="AX96" s="14">
        <f t="shared" si="333"/>
        <v>294.84</v>
      </c>
      <c r="AY96" s="14">
        <f>AY89*'Basis data'!$B$19</f>
        <v>0</v>
      </c>
      <c r="AZ96" s="14"/>
      <c r="BA96" s="14"/>
      <c r="BB96" s="14"/>
      <c r="BC96" s="14">
        <f>BC92*'Basis data'!$B$19/1000</f>
        <v>24.570000000000004</v>
      </c>
      <c r="BD96" s="14">
        <f>BD92*'Basis data'!$B$19/1000</f>
        <v>24.570000000000004</v>
      </c>
      <c r="BE96" s="14">
        <f>BE92*'Basis data'!$B$19/1000</f>
        <v>24.570000000000004</v>
      </c>
      <c r="BF96" s="14">
        <f>BF92*'Basis data'!$B$19/1000</f>
        <v>24.570000000000004</v>
      </c>
      <c r="BG96" s="14">
        <f>BG92*'Basis data'!$B$19/1000</f>
        <v>24.570000000000004</v>
      </c>
      <c r="BH96" s="14">
        <f>BH92*'Basis data'!$B$19/1000</f>
        <v>24.570000000000004</v>
      </c>
      <c r="BI96" s="14">
        <f>BI92*'Basis data'!$B$19/1000</f>
        <v>24.570000000000004</v>
      </c>
      <c r="BJ96" s="14">
        <f>BJ92*'Basis data'!$B$19/1000</f>
        <v>24.570000000000004</v>
      </c>
      <c r="BK96" s="14">
        <f>BK92*'Basis data'!$B$19/1000</f>
        <v>24.570000000000004</v>
      </c>
      <c r="BL96" s="14">
        <f>BL92*'Basis data'!$B$19/1000</f>
        <v>24.570000000000004</v>
      </c>
      <c r="BM96" s="14">
        <f>BM92*'Basis data'!$B$19/1000</f>
        <v>24.570000000000004</v>
      </c>
      <c r="BN96" s="14">
        <f>BN92*'Basis data'!$B$19/1000</f>
        <v>24.570000000000004</v>
      </c>
      <c r="BO96" s="14">
        <f>BO92*'Basis data'!$B$19/1000</f>
        <v>294.84</v>
      </c>
      <c r="BP96" s="14"/>
      <c r="BQ96" s="14">
        <f>BQ92*'Basis data'!$B$19/1000</f>
        <v>24.570000000000004</v>
      </c>
      <c r="BR96" s="14">
        <f>BR92*'Basis data'!$B$19/1000</f>
        <v>24.570000000000004</v>
      </c>
      <c r="BS96" s="14">
        <f>BS92*'Basis data'!$B$19/1000</f>
        <v>24.570000000000004</v>
      </c>
      <c r="BT96" s="14">
        <f>BT92*'Basis data'!$B$19/1000</f>
        <v>24.570000000000004</v>
      </c>
      <c r="BU96" s="14">
        <f>BU92*'Basis data'!$B$19/1000</f>
        <v>24.570000000000004</v>
      </c>
      <c r="BV96" s="14">
        <f>BV92*'Basis data'!$B$19/1000</f>
        <v>24.570000000000004</v>
      </c>
      <c r="BW96" s="14">
        <f>BW92*'Basis data'!$B$19/1000</f>
        <v>24.570000000000004</v>
      </c>
      <c r="BX96" s="14">
        <f>BX92*'Basis data'!$B$19/1000</f>
        <v>24.570000000000004</v>
      </c>
      <c r="BY96" s="14">
        <f>BY92*'Basis data'!$B$19/1000</f>
        <v>24.570000000000004</v>
      </c>
      <c r="BZ96" s="14">
        <f>BZ92*'Basis data'!$B$19/1000</f>
        <v>24.570000000000004</v>
      </c>
      <c r="CA96" s="14">
        <f>CA92*'Basis data'!$B$19/1000</f>
        <v>24.570000000000004</v>
      </c>
      <c r="CB96" s="14">
        <f>CB92*'Basis data'!$B$19/1000</f>
        <v>24.570000000000004</v>
      </c>
      <c r="CC96" s="14">
        <f>CC92*'Basis data'!$B$19/1000</f>
        <v>294.84</v>
      </c>
      <c r="CD96" s="14"/>
      <c r="CE96" s="14">
        <f>CE92*'Basis data'!$B$19/1000</f>
        <v>24.570000000000004</v>
      </c>
      <c r="CF96" s="14">
        <f>CF92*'Basis data'!$B$19/1000</f>
        <v>24.570000000000004</v>
      </c>
      <c r="CG96" s="14">
        <f>CG92*'Basis data'!$B$19/1000</f>
        <v>24.570000000000004</v>
      </c>
      <c r="CH96" s="14">
        <f>CH92*'Basis data'!$B$19/1000</f>
        <v>24.570000000000004</v>
      </c>
      <c r="CI96" s="14">
        <f>CI92*'Basis data'!$B$19/1000</f>
        <v>24.570000000000004</v>
      </c>
      <c r="CJ96" s="14">
        <f>CJ92*'Basis data'!$B$19/1000</f>
        <v>24.570000000000004</v>
      </c>
      <c r="CK96" s="14">
        <f>CK92*'Basis data'!$B$19/1000</f>
        <v>24.570000000000004</v>
      </c>
      <c r="CL96" s="14">
        <f>CL92*'Basis data'!$B$19/1000</f>
        <v>24.570000000000004</v>
      </c>
      <c r="CM96" s="14">
        <f>CM92*'Basis data'!$B$19/1000</f>
        <v>24.570000000000004</v>
      </c>
      <c r="CN96" s="14">
        <f>CN92*'Basis data'!$B$19/1000</f>
        <v>24.570000000000004</v>
      </c>
      <c r="CO96" s="14">
        <f>CO92*'Basis data'!$B$19/1000</f>
        <v>24.570000000000004</v>
      </c>
      <c r="CP96" s="14">
        <f>CP92*'Basis data'!$B$19/1000</f>
        <v>24.570000000000004</v>
      </c>
      <c r="CQ96" s="14">
        <f>CQ92*'Basis data'!$B$19/1000</f>
        <v>294.84</v>
      </c>
    </row>
    <row r="97" spans="1:95" ht="12.75">
      <c r="A97" s="25"/>
      <c r="B97" s="51" t="s">
        <v>99</v>
      </c>
      <c r="C97" s="51" t="s">
        <v>16</v>
      </c>
      <c r="D97" s="14">
        <f aca="true" t="shared" si="350" ref="D97:AA97">D96*CO2_Vermeidung_Strom_2008</f>
        <v>0</v>
      </c>
      <c r="E97" s="14">
        <f t="shared" si="350"/>
        <v>0</v>
      </c>
      <c r="F97" s="14">
        <f t="shared" si="350"/>
        <v>0</v>
      </c>
      <c r="G97" s="14">
        <f t="shared" si="350"/>
        <v>0</v>
      </c>
      <c r="H97" s="14">
        <f t="shared" si="350"/>
        <v>0</v>
      </c>
      <c r="I97" s="14">
        <f t="shared" si="350"/>
        <v>0</v>
      </c>
      <c r="J97" s="14">
        <f t="shared" si="350"/>
        <v>0</v>
      </c>
      <c r="K97" s="14">
        <f t="shared" si="350"/>
        <v>0</v>
      </c>
      <c r="L97" s="14">
        <f t="shared" si="350"/>
        <v>0</v>
      </c>
      <c r="M97" s="14">
        <f t="shared" si="350"/>
        <v>0</v>
      </c>
      <c r="N97" s="14">
        <f t="shared" si="350"/>
        <v>0</v>
      </c>
      <c r="O97" s="14">
        <f t="shared" si="350"/>
        <v>0</v>
      </c>
      <c r="P97" s="14">
        <f t="shared" si="350"/>
        <v>0</v>
      </c>
      <c r="Q97" s="14">
        <f t="shared" si="350"/>
        <v>0</v>
      </c>
      <c r="R97" s="14">
        <f t="shared" si="350"/>
        <v>0</v>
      </c>
      <c r="S97" s="14">
        <f t="shared" si="350"/>
        <v>0</v>
      </c>
      <c r="T97" s="14">
        <f t="shared" si="350"/>
        <v>0</v>
      </c>
      <c r="U97" s="14">
        <f t="shared" si="350"/>
        <v>0</v>
      </c>
      <c r="V97" s="14">
        <f t="shared" si="350"/>
        <v>0</v>
      </c>
      <c r="W97" s="14">
        <f t="shared" si="350"/>
        <v>0</v>
      </c>
      <c r="X97" s="14">
        <f t="shared" si="350"/>
        <v>0</v>
      </c>
      <c r="Y97" s="14">
        <f t="shared" si="350"/>
        <v>0</v>
      </c>
      <c r="Z97" s="14">
        <f t="shared" si="350"/>
        <v>0</v>
      </c>
      <c r="AA97" s="14">
        <f t="shared" si="350"/>
        <v>0</v>
      </c>
      <c r="AB97" s="14">
        <f aca="true" t="shared" si="351" ref="AB97:AM97">AB96*CO2_Vermeidung_Strom_2009</f>
        <v>16.707600000000003</v>
      </c>
      <c r="AC97" s="14">
        <f t="shared" si="351"/>
        <v>16.707600000000003</v>
      </c>
      <c r="AD97" s="14">
        <f t="shared" si="351"/>
        <v>16.707600000000003</v>
      </c>
      <c r="AE97" s="14">
        <f t="shared" si="351"/>
        <v>16.707600000000003</v>
      </c>
      <c r="AF97" s="14">
        <f t="shared" si="351"/>
        <v>16.707600000000003</v>
      </c>
      <c r="AG97" s="14">
        <f t="shared" si="351"/>
        <v>16.707600000000003</v>
      </c>
      <c r="AH97" s="14">
        <f t="shared" si="351"/>
        <v>16.707600000000003</v>
      </c>
      <c r="AI97" s="14">
        <f t="shared" si="351"/>
        <v>16.707600000000003</v>
      </c>
      <c r="AJ97" s="14">
        <f t="shared" si="351"/>
        <v>16.707600000000003</v>
      </c>
      <c r="AK97" s="14">
        <f t="shared" si="351"/>
        <v>16.707600000000003</v>
      </c>
      <c r="AL97" s="14">
        <f t="shared" si="351"/>
        <v>16.707600000000003</v>
      </c>
      <c r="AM97" s="14">
        <f t="shared" si="351"/>
        <v>16.707600000000003</v>
      </c>
      <c r="AN97" s="14">
        <f t="shared" si="327"/>
        <v>0</v>
      </c>
      <c r="AO97" s="140">
        <f t="shared" si="328"/>
        <v>0</v>
      </c>
      <c r="AP97" s="14">
        <f t="shared" si="329"/>
        <v>200.49120000000008</v>
      </c>
      <c r="AQ97" s="14">
        <f t="shared" si="330"/>
        <v>196.36344</v>
      </c>
      <c r="AR97" s="14">
        <f t="shared" si="331"/>
        <v>191.94084</v>
      </c>
      <c r="AS97" s="14">
        <f t="shared" si="332"/>
        <v>187.51824000000002</v>
      </c>
      <c r="AT97" s="14">
        <f t="shared" si="333"/>
        <v>187.51824000000002</v>
      </c>
      <c r="AU97" s="14">
        <f t="shared" si="333"/>
        <v>187.51824000000002</v>
      </c>
      <c r="AV97" s="14">
        <f t="shared" si="333"/>
        <v>187.51824000000002</v>
      </c>
      <c r="AW97" s="14">
        <f t="shared" si="333"/>
        <v>187.51824000000002</v>
      </c>
      <c r="AX97" s="14">
        <f t="shared" si="333"/>
        <v>187.51824000000002</v>
      </c>
      <c r="AY97" s="14"/>
      <c r="AZ97" s="14"/>
      <c r="BA97" s="14"/>
      <c r="BB97" s="14"/>
      <c r="BC97" s="14">
        <f aca="true" t="shared" si="352" ref="BC97:BN97">BC96*CO2_Vermeidung_Strom_2010</f>
        <v>16.363620000000004</v>
      </c>
      <c r="BD97" s="14">
        <f t="shared" si="352"/>
        <v>16.363620000000004</v>
      </c>
      <c r="BE97" s="14">
        <f t="shared" si="352"/>
        <v>16.363620000000004</v>
      </c>
      <c r="BF97" s="14">
        <f t="shared" si="352"/>
        <v>16.363620000000004</v>
      </c>
      <c r="BG97" s="14">
        <f t="shared" si="352"/>
        <v>16.363620000000004</v>
      </c>
      <c r="BH97" s="14">
        <f t="shared" si="352"/>
        <v>16.363620000000004</v>
      </c>
      <c r="BI97" s="14">
        <f t="shared" si="352"/>
        <v>16.363620000000004</v>
      </c>
      <c r="BJ97" s="14">
        <f t="shared" si="352"/>
        <v>16.363620000000004</v>
      </c>
      <c r="BK97" s="14">
        <f t="shared" si="352"/>
        <v>16.363620000000004</v>
      </c>
      <c r="BL97" s="14">
        <f t="shared" si="352"/>
        <v>16.363620000000004</v>
      </c>
      <c r="BM97" s="14">
        <f t="shared" si="352"/>
        <v>16.363620000000004</v>
      </c>
      <c r="BN97" s="14">
        <f t="shared" si="352"/>
        <v>16.363620000000004</v>
      </c>
      <c r="BO97" s="14">
        <f>SUM(BC97:BN97)</f>
        <v>196.36344</v>
      </c>
      <c r="BP97" s="14"/>
      <c r="BQ97" s="14">
        <f aca="true" t="shared" si="353" ref="BQ97:CB97">BQ96*CO2_Vermeidung_Strom_2011</f>
        <v>15.995070000000004</v>
      </c>
      <c r="BR97" s="14">
        <f t="shared" si="353"/>
        <v>15.995070000000004</v>
      </c>
      <c r="BS97" s="14">
        <f t="shared" si="353"/>
        <v>15.995070000000004</v>
      </c>
      <c r="BT97" s="14">
        <f t="shared" si="353"/>
        <v>15.995070000000004</v>
      </c>
      <c r="BU97" s="14">
        <f t="shared" si="353"/>
        <v>15.995070000000004</v>
      </c>
      <c r="BV97" s="14">
        <f t="shared" si="353"/>
        <v>15.995070000000004</v>
      </c>
      <c r="BW97" s="14">
        <f t="shared" si="353"/>
        <v>15.995070000000004</v>
      </c>
      <c r="BX97" s="14">
        <f t="shared" si="353"/>
        <v>15.995070000000004</v>
      </c>
      <c r="BY97" s="14">
        <f t="shared" si="353"/>
        <v>15.995070000000004</v>
      </c>
      <c r="BZ97" s="14">
        <f t="shared" si="353"/>
        <v>15.995070000000004</v>
      </c>
      <c r="CA97" s="14">
        <f t="shared" si="353"/>
        <v>15.995070000000004</v>
      </c>
      <c r="CB97" s="14">
        <f t="shared" si="353"/>
        <v>15.995070000000004</v>
      </c>
      <c r="CC97" s="14">
        <f>SUM(BQ97:CB97)</f>
        <v>191.94084</v>
      </c>
      <c r="CD97" s="14"/>
      <c r="CE97" s="14">
        <f aca="true" t="shared" si="354" ref="CE97:CP97">CE96*CO2_Vermeidung_Strom_2012</f>
        <v>15.626520000000003</v>
      </c>
      <c r="CF97" s="14">
        <f t="shared" si="354"/>
        <v>15.626520000000003</v>
      </c>
      <c r="CG97" s="14">
        <f t="shared" si="354"/>
        <v>15.626520000000003</v>
      </c>
      <c r="CH97" s="14">
        <f t="shared" si="354"/>
        <v>15.626520000000003</v>
      </c>
      <c r="CI97" s="14">
        <f t="shared" si="354"/>
        <v>15.626520000000003</v>
      </c>
      <c r="CJ97" s="14">
        <f t="shared" si="354"/>
        <v>15.626520000000003</v>
      </c>
      <c r="CK97" s="14">
        <f t="shared" si="354"/>
        <v>15.626520000000003</v>
      </c>
      <c r="CL97" s="14">
        <f t="shared" si="354"/>
        <v>15.626520000000003</v>
      </c>
      <c r="CM97" s="14">
        <f t="shared" si="354"/>
        <v>15.626520000000003</v>
      </c>
      <c r="CN97" s="14">
        <f t="shared" si="354"/>
        <v>15.626520000000003</v>
      </c>
      <c r="CO97" s="14">
        <f t="shared" si="354"/>
        <v>15.626520000000003</v>
      </c>
      <c r="CP97" s="14">
        <f t="shared" si="354"/>
        <v>15.626520000000003</v>
      </c>
      <c r="CQ97" s="14">
        <f>SUM(CE97:CP97)</f>
        <v>187.51824000000002</v>
      </c>
    </row>
    <row r="98" spans="1:95" ht="12.75">
      <c r="A98" s="25"/>
      <c r="B98" s="26" t="s">
        <v>123</v>
      </c>
      <c r="C98" s="26" t="s">
        <v>16</v>
      </c>
      <c r="D98" s="14">
        <f aca="true" t="shared" si="355" ref="D98:AM98">D93*Gewicht_Methan/1000*2.75</f>
        <v>0</v>
      </c>
      <c r="E98" s="14">
        <f t="shared" si="355"/>
        <v>0</v>
      </c>
      <c r="F98" s="14">
        <f t="shared" si="355"/>
        <v>0</v>
      </c>
      <c r="G98" s="14">
        <f t="shared" si="355"/>
        <v>0</v>
      </c>
      <c r="H98" s="14">
        <f t="shared" si="355"/>
        <v>0</v>
      </c>
      <c r="I98" s="14">
        <f t="shared" si="355"/>
        <v>0</v>
      </c>
      <c r="J98" s="14">
        <f t="shared" si="355"/>
        <v>0</v>
      </c>
      <c r="K98" s="14">
        <f t="shared" si="355"/>
        <v>0</v>
      </c>
      <c r="L98" s="14">
        <f t="shared" si="355"/>
        <v>0</v>
      </c>
      <c r="M98" s="14">
        <f t="shared" si="355"/>
        <v>0</v>
      </c>
      <c r="N98" s="14">
        <f t="shared" si="355"/>
        <v>0</v>
      </c>
      <c r="O98" s="14">
        <f t="shared" si="355"/>
        <v>0</v>
      </c>
      <c r="P98" s="14">
        <f t="shared" si="355"/>
        <v>0</v>
      </c>
      <c r="Q98" s="14">
        <f t="shared" si="355"/>
        <v>0</v>
      </c>
      <c r="R98" s="14">
        <f t="shared" si="355"/>
        <v>0</v>
      </c>
      <c r="S98" s="14">
        <f t="shared" si="355"/>
        <v>0</v>
      </c>
      <c r="T98" s="14">
        <f t="shared" si="355"/>
        <v>0</v>
      </c>
      <c r="U98" s="14">
        <f t="shared" si="355"/>
        <v>0</v>
      </c>
      <c r="V98" s="14">
        <f t="shared" si="355"/>
        <v>0</v>
      </c>
      <c r="W98" s="14">
        <f t="shared" si="355"/>
        <v>0</v>
      </c>
      <c r="X98" s="14">
        <f t="shared" si="355"/>
        <v>0</v>
      </c>
      <c r="Y98" s="14">
        <f t="shared" si="355"/>
        <v>0</v>
      </c>
      <c r="Z98" s="14">
        <f t="shared" si="355"/>
        <v>0</v>
      </c>
      <c r="AA98" s="14">
        <f t="shared" si="355"/>
        <v>0</v>
      </c>
      <c r="AB98" s="14">
        <f t="shared" si="355"/>
        <v>385.3003807996794</v>
      </c>
      <c r="AC98" s="14">
        <f t="shared" si="355"/>
        <v>385.3003807996794</v>
      </c>
      <c r="AD98" s="14">
        <f t="shared" si="355"/>
        <v>385.3003807996794</v>
      </c>
      <c r="AE98" s="14">
        <f t="shared" si="355"/>
        <v>385.3003807996794</v>
      </c>
      <c r="AF98" s="14">
        <f t="shared" si="355"/>
        <v>385.3003807996794</v>
      </c>
      <c r="AG98" s="14">
        <f t="shared" si="355"/>
        <v>385.3003807996794</v>
      </c>
      <c r="AH98" s="14">
        <f t="shared" si="355"/>
        <v>385.3003807996794</v>
      </c>
      <c r="AI98" s="14">
        <f t="shared" si="355"/>
        <v>385.3003807996794</v>
      </c>
      <c r="AJ98" s="14">
        <f t="shared" si="355"/>
        <v>385.3003807996794</v>
      </c>
      <c r="AK98" s="14">
        <f t="shared" si="355"/>
        <v>385.3003807996794</v>
      </c>
      <c r="AL98" s="14">
        <f t="shared" si="355"/>
        <v>385.3003807996794</v>
      </c>
      <c r="AM98" s="14">
        <f t="shared" si="355"/>
        <v>385.3003807996794</v>
      </c>
      <c r="AN98" s="14">
        <f>SUM(D98:O98)</f>
        <v>0</v>
      </c>
      <c r="AO98" s="140">
        <f>SUM(P98:AA98)</f>
        <v>0</v>
      </c>
      <c r="AP98" s="14">
        <f>SUM(AB98:AM98)</f>
        <v>4623.604569596152</v>
      </c>
      <c r="AQ98" s="14">
        <f>BO98</f>
        <v>4623.604569596152</v>
      </c>
      <c r="AR98" s="14">
        <f>CC98</f>
        <v>4623.604569596152</v>
      </c>
      <c r="AS98" s="14">
        <f>CQ98</f>
        <v>4623.604569596152</v>
      </c>
      <c r="AT98" s="14">
        <f t="shared" si="333"/>
        <v>4623.604569596152</v>
      </c>
      <c r="AU98" s="14">
        <f t="shared" si="333"/>
        <v>4623.604569596152</v>
      </c>
      <c r="AV98" s="14">
        <f t="shared" si="333"/>
        <v>4623.604569596152</v>
      </c>
      <c r="AW98" s="14">
        <f t="shared" si="333"/>
        <v>4623.604569596152</v>
      </c>
      <c r="AX98" s="30">
        <f t="shared" si="333"/>
        <v>4623.604569596152</v>
      </c>
      <c r="BC98" s="14">
        <f aca="true" t="shared" si="356" ref="BC98:BN98">BC93*Gewicht_Methan/1000*2.75</f>
        <v>385.3003807996794</v>
      </c>
      <c r="BD98" s="14">
        <f t="shared" si="356"/>
        <v>385.3003807996794</v>
      </c>
      <c r="BE98" s="14">
        <f t="shared" si="356"/>
        <v>385.3003807996794</v>
      </c>
      <c r="BF98" s="14">
        <f t="shared" si="356"/>
        <v>385.3003807996794</v>
      </c>
      <c r="BG98" s="14">
        <f t="shared" si="356"/>
        <v>385.3003807996794</v>
      </c>
      <c r="BH98" s="14">
        <f t="shared" si="356"/>
        <v>385.3003807996794</v>
      </c>
      <c r="BI98" s="14">
        <f t="shared" si="356"/>
        <v>385.3003807996794</v>
      </c>
      <c r="BJ98" s="14">
        <f t="shared" si="356"/>
        <v>385.3003807996794</v>
      </c>
      <c r="BK98" s="14">
        <f t="shared" si="356"/>
        <v>385.3003807996794</v>
      </c>
      <c r="BL98" s="14">
        <f t="shared" si="356"/>
        <v>385.3003807996794</v>
      </c>
      <c r="BM98" s="14">
        <f t="shared" si="356"/>
        <v>385.3003807996794</v>
      </c>
      <c r="BN98" s="14">
        <f t="shared" si="356"/>
        <v>385.3003807996794</v>
      </c>
      <c r="BO98">
        <f>SUM(BC98:BN98)</f>
        <v>4623.604569596152</v>
      </c>
      <c r="BQ98" s="14">
        <f aca="true" t="shared" si="357" ref="BQ98:CB98">BQ93*Gewicht_Methan/1000*2.75</f>
        <v>385.3003807996794</v>
      </c>
      <c r="BR98" s="14">
        <f t="shared" si="357"/>
        <v>385.3003807996794</v>
      </c>
      <c r="BS98" s="14">
        <f t="shared" si="357"/>
        <v>385.3003807996794</v>
      </c>
      <c r="BT98" s="14">
        <f t="shared" si="357"/>
        <v>385.3003807996794</v>
      </c>
      <c r="BU98" s="14">
        <f t="shared" si="357"/>
        <v>385.3003807996794</v>
      </c>
      <c r="BV98" s="14">
        <f t="shared" si="357"/>
        <v>385.3003807996794</v>
      </c>
      <c r="BW98" s="14">
        <f t="shared" si="357"/>
        <v>385.3003807996794</v>
      </c>
      <c r="BX98" s="14">
        <f t="shared" si="357"/>
        <v>385.3003807996794</v>
      </c>
      <c r="BY98" s="14">
        <f t="shared" si="357"/>
        <v>385.3003807996794</v>
      </c>
      <c r="BZ98" s="14">
        <f t="shared" si="357"/>
        <v>385.3003807996794</v>
      </c>
      <c r="CA98" s="14">
        <f t="shared" si="357"/>
        <v>385.3003807996794</v>
      </c>
      <c r="CB98" s="14">
        <f t="shared" si="357"/>
        <v>385.3003807996794</v>
      </c>
      <c r="CC98">
        <f>SUM(BQ98:CB98)</f>
        <v>4623.604569596152</v>
      </c>
      <c r="CE98" s="14">
        <f aca="true" t="shared" si="358" ref="CE98:CP98">CE93*Gewicht_Methan/1000*2.75</f>
        <v>385.3003807996794</v>
      </c>
      <c r="CF98" s="14">
        <f t="shared" si="358"/>
        <v>385.3003807996794</v>
      </c>
      <c r="CG98" s="14">
        <f t="shared" si="358"/>
        <v>385.3003807996794</v>
      </c>
      <c r="CH98" s="14">
        <f t="shared" si="358"/>
        <v>385.3003807996794</v>
      </c>
      <c r="CI98" s="14">
        <f t="shared" si="358"/>
        <v>385.3003807996794</v>
      </c>
      <c r="CJ98" s="14">
        <f t="shared" si="358"/>
        <v>385.3003807996794</v>
      </c>
      <c r="CK98" s="14">
        <f t="shared" si="358"/>
        <v>385.3003807996794</v>
      </c>
      <c r="CL98" s="14">
        <f t="shared" si="358"/>
        <v>385.3003807996794</v>
      </c>
      <c r="CM98" s="14">
        <f t="shared" si="358"/>
        <v>385.3003807996794</v>
      </c>
      <c r="CN98" s="14">
        <f t="shared" si="358"/>
        <v>385.3003807996794</v>
      </c>
      <c r="CO98" s="14">
        <f t="shared" si="358"/>
        <v>385.3003807996794</v>
      </c>
      <c r="CP98" s="14">
        <f t="shared" si="358"/>
        <v>385.3003807996794</v>
      </c>
      <c r="CQ98">
        <f>SUM(CE98:CP98)</f>
        <v>4623.604569596152</v>
      </c>
    </row>
    <row r="99" spans="1:94" ht="12.75">
      <c r="A99" s="49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144"/>
      <c r="AP99" s="47"/>
      <c r="AQ99" s="47"/>
      <c r="AR99" s="47"/>
      <c r="AS99" s="47"/>
      <c r="AT99" s="47"/>
      <c r="AU99" s="47"/>
      <c r="AV99" s="47"/>
      <c r="AW99" s="47"/>
      <c r="AX99" s="48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</row>
    <row r="100" spans="1:94" ht="12.75">
      <c r="A100" s="25" t="s">
        <v>9</v>
      </c>
      <c r="B100" s="41" t="s">
        <v>94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P100" s="26"/>
      <c r="AQ100" s="26"/>
      <c r="AR100" s="26"/>
      <c r="AS100" s="26"/>
      <c r="AT100" s="26"/>
      <c r="AU100" s="26"/>
      <c r="AV100" s="26"/>
      <c r="AW100" s="26"/>
      <c r="AX100" s="27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</row>
    <row r="101" spans="1:94" ht="12.75">
      <c r="A101" s="25"/>
      <c r="B101" s="26" t="s">
        <v>10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P101" s="26"/>
      <c r="AQ101" s="26"/>
      <c r="AR101" s="26"/>
      <c r="AS101" s="26"/>
      <c r="AT101" s="26"/>
      <c r="AU101" s="26"/>
      <c r="AV101" s="26"/>
      <c r="AW101" s="26"/>
      <c r="AX101" s="27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</row>
    <row r="102" spans="1:95" ht="12.75">
      <c r="A102" s="25"/>
      <c r="B102" s="51" t="s">
        <v>131</v>
      </c>
      <c r="C102" s="26" t="s">
        <v>17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10</v>
      </c>
      <c r="J102" s="38">
        <v>10</v>
      </c>
      <c r="K102" s="38">
        <v>10</v>
      </c>
      <c r="L102" s="38">
        <v>10</v>
      </c>
      <c r="M102" s="38">
        <v>10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5</v>
      </c>
      <c r="T102" s="38">
        <v>10</v>
      </c>
      <c r="U102" s="38">
        <v>10</v>
      </c>
      <c r="V102" s="38">
        <v>10</v>
      </c>
      <c r="W102" s="38">
        <v>10</v>
      </c>
      <c r="X102" s="38">
        <v>10</v>
      </c>
      <c r="Y102" s="38">
        <v>10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5</v>
      </c>
      <c r="AF102" s="38">
        <v>10</v>
      </c>
      <c r="AG102" s="38">
        <v>10</v>
      </c>
      <c r="AH102" s="38">
        <v>10</v>
      </c>
      <c r="AI102" s="38">
        <v>10</v>
      </c>
      <c r="AJ102" s="38">
        <v>10</v>
      </c>
      <c r="AK102" s="38">
        <v>10</v>
      </c>
      <c r="AL102" s="38">
        <v>0</v>
      </c>
      <c r="AM102" s="38">
        <v>0</v>
      </c>
      <c r="AN102" s="61">
        <f>AVERAGE(D102:O102)</f>
        <v>4.166666666666667</v>
      </c>
      <c r="AO102" s="147">
        <f>AVERAGE(P102:AA102)</f>
        <v>5.416666666666667</v>
      </c>
      <c r="AP102" s="132">
        <f>AVERAGE(AB102:AM102)</f>
        <v>5.416666666666667</v>
      </c>
      <c r="AQ102" s="61">
        <f aca="true" t="shared" si="359" ref="AQ102:AQ107">BO102</f>
        <v>5.416666666666667</v>
      </c>
      <c r="AR102" s="61">
        <f aca="true" t="shared" si="360" ref="AR102:AR107">CC102</f>
        <v>5.416666666666667</v>
      </c>
      <c r="AS102" s="61">
        <f aca="true" t="shared" si="361" ref="AS102:AS107">CQ102</f>
        <v>5.416666666666667</v>
      </c>
      <c r="AT102" s="61">
        <f aca="true" t="shared" si="362" ref="AT102:AX103">AS102</f>
        <v>5.416666666666667</v>
      </c>
      <c r="AU102" s="61">
        <f t="shared" si="362"/>
        <v>5.416666666666667</v>
      </c>
      <c r="AV102" s="61">
        <f t="shared" si="362"/>
        <v>5.416666666666667</v>
      </c>
      <c r="AW102" s="61">
        <f t="shared" si="362"/>
        <v>5.416666666666667</v>
      </c>
      <c r="AX102" s="61">
        <f t="shared" si="362"/>
        <v>5.416666666666667</v>
      </c>
      <c r="BC102" s="38">
        <v>0</v>
      </c>
      <c r="BD102" s="38">
        <v>0</v>
      </c>
      <c r="BE102" s="38">
        <v>0</v>
      </c>
      <c r="BF102" s="38">
        <v>5</v>
      </c>
      <c r="BG102" s="38">
        <v>10</v>
      </c>
      <c r="BH102" s="38">
        <v>10</v>
      </c>
      <c r="BI102" s="38">
        <v>10</v>
      </c>
      <c r="BJ102" s="38">
        <v>10</v>
      </c>
      <c r="BK102" s="38">
        <v>10</v>
      </c>
      <c r="BL102" s="38">
        <v>10</v>
      </c>
      <c r="BM102" s="38">
        <v>0</v>
      </c>
      <c r="BN102" s="38">
        <v>0</v>
      </c>
      <c r="BO102" s="51">
        <f>AVERAGE(BC102:BN102)</f>
        <v>5.416666666666667</v>
      </c>
      <c r="BQ102" s="38">
        <v>0</v>
      </c>
      <c r="BR102" s="38">
        <v>0</v>
      </c>
      <c r="BS102" s="38">
        <v>0</v>
      </c>
      <c r="BT102" s="38">
        <v>5</v>
      </c>
      <c r="BU102" s="38">
        <v>10</v>
      </c>
      <c r="BV102" s="38">
        <v>10</v>
      </c>
      <c r="BW102" s="38">
        <v>10</v>
      </c>
      <c r="BX102" s="38">
        <v>10</v>
      </c>
      <c r="BY102" s="38">
        <v>10</v>
      </c>
      <c r="BZ102" s="38">
        <v>10</v>
      </c>
      <c r="CA102" s="38">
        <v>0</v>
      </c>
      <c r="CB102" s="38">
        <v>0</v>
      </c>
      <c r="CC102" s="60">
        <f>AVERAGE(BQ102:CB102)</f>
        <v>5.416666666666667</v>
      </c>
      <c r="CE102" s="38">
        <v>0</v>
      </c>
      <c r="CF102" s="38">
        <v>0</v>
      </c>
      <c r="CG102" s="38">
        <v>0</v>
      </c>
      <c r="CH102" s="38">
        <v>5</v>
      </c>
      <c r="CI102" s="38">
        <v>10</v>
      </c>
      <c r="CJ102" s="38">
        <v>10</v>
      </c>
      <c r="CK102" s="38">
        <v>10</v>
      </c>
      <c r="CL102" s="38">
        <v>10</v>
      </c>
      <c r="CM102" s="38">
        <v>10</v>
      </c>
      <c r="CN102" s="38">
        <v>10</v>
      </c>
      <c r="CO102" s="38">
        <v>0</v>
      </c>
      <c r="CP102" s="38">
        <v>0</v>
      </c>
      <c r="CQ102" s="51">
        <f>AVERAGE(CE102:CP102)</f>
        <v>5.416666666666667</v>
      </c>
    </row>
    <row r="103" spans="1:95" ht="12.75">
      <c r="A103" s="25"/>
      <c r="B103" s="26" t="s">
        <v>132</v>
      </c>
      <c r="C103" s="26" t="s">
        <v>18</v>
      </c>
      <c r="D103" s="38">
        <v>600</v>
      </c>
      <c r="E103" s="38">
        <v>600</v>
      </c>
      <c r="F103" s="38">
        <v>600</v>
      </c>
      <c r="G103" s="38">
        <v>600</v>
      </c>
      <c r="H103" s="38">
        <v>600</v>
      </c>
      <c r="I103" s="38">
        <v>600</v>
      </c>
      <c r="J103" s="38">
        <v>600</v>
      </c>
      <c r="K103" s="38">
        <v>600</v>
      </c>
      <c r="L103" s="38">
        <v>600</v>
      </c>
      <c r="M103" s="38">
        <v>600</v>
      </c>
      <c r="N103" s="38">
        <v>100</v>
      </c>
      <c r="O103" s="38">
        <v>100</v>
      </c>
      <c r="P103" s="38">
        <v>400</v>
      </c>
      <c r="Q103" s="38">
        <v>300</v>
      </c>
      <c r="R103" s="38">
        <v>600</v>
      </c>
      <c r="S103" s="38">
        <v>600</v>
      </c>
      <c r="T103" s="38">
        <v>600</v>
      </c>
      <c r="U103" s="38">
        <v>600</v>
      </c>
      <c r="V103" s="38">
        <v>600</v>
      </c>
      <c r="W103" s="38">
        <v>600</v>
      </c>
      <c r="X103" s="38">
        <v>600</v>
      </c>
      <c r="Y103" s="38">
        <v>500</v>
      </c>
      <c r="Z103" s="38">
        <v>100</v>
      </c>
      <c r="AA103" s="38">
        <v>100</v>
      </c>
      <c r="AB103" s="38">
        <v>500</v>
      </c>
      <c r="AC103" s="38">
        <v>400</v>
      </c>
      <c r="AD103" s="38">
        <v>600</v>
      </c>
      <c r="AE103" s="38">
        <v>600</v>
      </c>
      <c r="AF103" s="38">
        <v>600</v>
      </c>
      <c r="AG103" s="38">
        <v>600</v>
      </c>
      <c r="AH103" s="38">
        <v>600</v>
      </c>
      <c r="AI103" s="38">
        <v>600</v>
      </c>
      <c r="AJ103" s="38">
        <v>600</v>
      </c>
      <c r="AK103" s="38">
        <v>500</v>
      </c>
      <c r="AL103" s="38">
        <v>100</v>
      </c>
      <c r="AM103" s="38">
        <v>100</v>
      </c>
      <c r="AN103" s="14"/>
      <c r="AO103" s="14"/>
      <c r="AP103" s="14"/>
      <c r="AQ103" s="14">
        <f t="shared" si="359"/>
        <v>0</v>
      </c>
      <c r="AR103" s="14">
        <f t="shared" si="360"/>
        <v>0</v>
      </c>
      <c r="AS103" s="14">
        <f t="shared" si="361"/>
        <v>0</v>
      </c>
      <c r="AT103" s="14">
        <f aca="true" t="shared" si="363" ref="AT103:AT108">AS103</f>
        <v>0</v>
      </c>
      <c r="AU103" s="14">
        <f t="shared" si="362"/>
        <v>0</v>
      </c>
      <c r="AV103" s="14">
        <f t="shared" si="362"/>
        <v>0</v>
      </c>
      <c r="AW103" s="14">
        <f t="shared" si="362"/>
        <v>0</v>
      </c>
      <c r="AX103" s="14">
        <f t="shared" si="362"/>
        <v>0</v>
      </c>
      <c r="BC103" s="38">
        <v>500</v>
      </c>
      <c r="BD103" s="38">
        <v>400</v>
      </c>
      <c r="BE103" s="38">
        <v>600</v>
      </c>
      <c r="BF103" s="38">
        <v>600</v>
      </c>
      <c r="BG103" s="38">
        <v>600</v>
      </c>
      <c r="BH103" s="38">
        <v>600</v>
      </c>
      <c r="BI103" s="38">
        <v>600</v>
      </c>
      <c r="BJ103" s="38">
        <v>600</v>
      </c>
      <c r="BK103" s="38">
        <v>600</v>
      </c>
      <c r="BL103" s="38">
        <v>500</v>
      </c>
      <c r="BM103" s="38">
        <v>100</v>
      </c>
      <c r="BN103" s="38">
        <v>100</v>
      </c>
      <c r="BO103" s="62"/>
      <c r="BQ103" s="38">
        <v>500</v>
      </c>
      <c r="BR103" s="38">
        <v>400</v>
      </c>
      <c r="BS103" s="38">
        <v>600</v>
      </c>
      <c r="BT103" s="38">
        <v>600</v>
      </c>
      <c r="BU103" s="38">
        <v>600</v>
      </c>
      <c r="BV103" s="38">
        <v>600</v>
      </c>
      <c r="BW103" s="38">
        <v>600</v>
      </c>
      <c r="BX103" s="38">
        <v>600</v>
      </c>
      <c r="BY103" s="38">
        <v>600</v>
      </c>
      <c r="BZ103" s="38">
        <v>500</v>
      </c>
      <c r="CA103" s="38">
        <v>100</v>
      </c>
      <c r="CB103" s="38">
        <v>100</v>
      </c>
      <c r="CC103" s="50"/>
      <c r="CE103" s="38">
        <v>500</v>
      </c>
      <c r="CF103" s="38">
        <v>400</v>
      </c>
      <c r="CG103" s="38">
        <v>600</v>
      </c>
      <c r="CH103" s="38">
        <v>600</v>
      </c>
      <c r="CI103" s="38">
        <v>600</v>
      </c>
      <c r="CJ103" s="38">
        <v>600</v>
      </c>
      <c r="CK103" s="38">
        <v>600</v>
      </c>
      <c r="CL103" s="38">
        <v>600</v>
      </c>
      <c r="CM103" s="38">
        <v>600</v>
      </c>
      <c r="CN103" s="38">
        <v>500</v>
      </c>
      <c r="CO103" s="38">
        <v>100</v>
      </c>
      <c r="CP103" s="38">
        <v>100</v>
      </c>
      <c r="CQ103" s="62"/>
    </row>
    <row r="104" spans="1:95" ht="12.75">
      <c r="A104" s="25"/>
      <c r="B104" s="26" t="s">
        <v>48</v>
      </c>
      <c r="C104" s="26" t="s">
        <v>15</v>
      </c>
      <c r="D104" s="14">
        <f>D102*D103*1000/Heizwert_Methan*('Basis data'!$B$53/100)</f>
        <v>0</v>
      </c>
      <c r="E104" s="14">
        <f>E102*E103*1000/Heizwert_Methan*('Basis data'!$B$53/100)</f>
        <v>0</v>
      </c>
      <c r="F104" s="14">
        <f>F102*F103*1000/Heizwert_Methan*('Basis data'!$B$53/100)</f>
        <v>0</v>
      </c>
      <c r="G104" s="14">
        <f>G102*G103*1000/Heizwert_Methan*('Basis data'!$B$53/100)</f>
        <v>0</v>
      </c>
      <c r="H104" s="14">
        <f>H102*H103*1000/Heizwert_Methan*('Basis data'!$B$53/100)</f>
        <v>0</v>
      </c>
      <c r="I104" s="14">
        <f>I102*I103*1000/Heizwert_Methan*('Basis data'!$B$53/100)</f>
        <v>598256.338310452</v>
      </c>
      <c r="J104" s="14">
        <f>J102*J103*1000/Heizwert_Methan*('Basis data'!$B$53/100)</f>
        <v>598256.338310452</v>
      </c>
      <c r="K104" s="14">
        <f>K102*K103*1000/Heizwert_Methan*('Basis data'!$B$53/100)</f>
        <v>598256.338310452</v>
      </c>
      <c r="L104" s="14">
        <f>L102*L103*1000/Heizwert_Methan*('Basis data'!$B$53/100)</f>
        <v>598256.338310452</v>
      </c>
      <c r="M104" s="14">
        <f>M102*M103*1000/Heizwert_Methan*('Basis data'!$B$53/100)</f>
        <v>598256.338310452</v>
      </c>
      <c r="N104" s="14">
        <f>N102*N103*1000/Heizwert_Methan*('Basis data'!$B$53/100)</f>
        <v>0</v>
      </c>
      <c r="O104" s="14">
        <f>O102*O103*1000/Heizwert_Methan*('Basis data'!$B$53/100)</f>
        <v>0</v>
      </c>
      <c r="P104" s="14">
        <f>P102*P103*1000/Heizwert_Methan*('Basis data'!$B$53/100)</f>
        <v>0</v>
      </c>
      <c r="Q104" s="14">
        <f>Q102*Q103*1000/Heizwert_Methan*('Basis data'!$B$53/100)</f>
        <v>0</v>
      </c>
      <c r="R104" s="14">
        <f>R102*R103*1000/Heizwert_Methan*('Basis data'!$B$53/100)</f>
        <v>0</v>
      </c>
      <c r="S104" s="14">
        <f>S102*S103*1000/Heizwert_Methan*('Basis data'!$B$53/100)</f>
        <v>299128.169155226</v>
      </c>
      <c r="T104" s="14">
        <f>T102*T103*1000/Heizwert_Methan*('Basis data'!$B$53/100)</f>
        <v>598256.338310452</v>
      </c>
      <c r="U104" s="14">
        <f>U102*U103*1000/Heizwert_Methan*('Basis data'!$B$53/100)</f>
        <v>598256.338310452</v>
      </c>
      <c r="V104" s="14">
        <f>V102*V103*1000/Heizwert_Methan*('Basis data'!$B$53/100)</f>
        <v>598256.338310452</v>
      </c>
      <c r="W104" s="14">
        <f>W102*W103*1000/Heizwert_Methan*('Basis data'!$B$53/100)</f>
        <v>598256.338310452</v>
      </c>
      <c r="X104" s="14">
        <f>X102*X103*1000/Heizwert_Methan*('Basis data'!$B$53/100)</f>
        <v>598256.338310452</v>
      </c>
      <c r="Y104" s="14">
        <f>Y102*Y103*1000/Heizwert_Methan*('Basis data'!$B$53/100)</f>
        <v>498546.9485920433</v>
      </c>
      <c r="Z104" s="14">
        <f>Z102*Z103*1000/Heizwert_Methan*('Basis data'!$B$53/100)</f>
        <v>0</v>
      </c>
      <c r="AA104" s="14">
        <f>AA102*AA103*1000/Heizwert_Methan*('Basis data'!$B$53/100)</f>
        <v>0</v>
      </c>
      <c r="AB104" s="14">
        <f>AB102*AB103*1000/Heizwert_Methan*('Basis data'!$B$53/100)</f>
        <v>0</v>
      </c>
      <c r="AC104" s="14">
        <f>AC102*AC103*1000/Heizwert_Methan*('Basis data'!$B$53/100)</f>
        <v>0</v>
      </c>
      <c r="AD104" s="14">
        <f>AD102*AD103*1000/Heizwert_Methan*('Basis data'!$B$53/100)</f>
        <v>0</v>
      </c>
      <c r="AE104" s="14">
        <f>AE102*AE103*1000/Heizwert_Methan*('Basis data'!$B$53/100)</f>
        <v>299128.169155226</v>
      </c>
      <c r="AF104" s="14">
        <f>AF102*AF103*1000/Heizwert_Methan*('Basis data'!$B$53/100)</f>
        <v>598256.338310452</v>
      </c>
      <c r="AG104" s="14">
        <f>AG102*AG103*1000/Heizwert_Methan*('Basis data'!$B$53/100)</f>
        <v>598256.338310452</v>
      </c>
      <c r="AH104" s="14">
        <f>AH102*AH103*1000/Heizwert_Methan*('Basis data'!$B$53/100)</f>
        <v>598256.338310452</v>
      </c>
      <c r="AI104" s="14">
        <f>AI102*AI103*1000/Heizwert_Methan*('Basis data'!$B$53/100)</f>
        <v>598256.338310452</v>
      </c>
      <c r="AJ104" s="14">
        <f>AJ102*AJ103*1000/Heizwert_Methan*('Basis data'!$B$53/100)</f>
        <v>598256.338310452</v>
      </c>
      <c r="AK104" s="14">
        <f>AK102*AK103*1000/Heizwert_Methan*('Basis data'!$B$53/100)</f>
        <v>498546.9485920433</v>
      </c>
      <c r="AL104" s="14">
        <f>AL102*AL103*1000/Heizwert_Methan*('Basis data'!$B$53/100)</f>
        <v>0</v>
      </c>
      <c r="AM104" s="14">
        <f>AM102*AM103*1000/Heizwert_Methan*('Basis data'!$B$53/100)</f>
        <v>0</v>
      </c>
      <c r="AN104" s="14">
        <f>SUM(D104:O104)</f>
        <v>2991281.69155226</v>
      </c>
      <c r="AO104" s="140">
        <f>SUM(P104:AA104)</f>
        <v>3788956.8092995295</v>
      </c>
      <c r="AP104" s="14">
        <f>SUM(AB104:AM104)</f>
        <v>3788956.8092995295</v>
      </c>
      <c r="AQ104" s="14">
        <f t="shared" si="359"/>
        <v>3788956.8092995295</v>
      </c>
      <c r="AR104" s="14">
        <f t="shared" si="360"/>
        <v>3788956.8092995295</v>
      </c>
      <c r="AS104" s="14">
        <f t="shared" si="361"/>
        <v>3788956.8092995295</v>
      </c>
      <c r="AT104" s="14">
        <f t="shared" si="363"/>
        <v>3788956.8092995295</v>
      </c>
      <c r="AU104" s="14">
        <f aca="true" t="shared" si="364" ref="AU104:AX107">AT104</f>
        <v>3788956.8092995295</v>
      </c>
      <c r="AV104" s="14">
        <f t="shared" si="364"/>
        <v>3788956.8092995295</v>
      </c>
      <c r="AW104" s="14">
        <f t="shared" si="364"/>
        <v>3788956.8092995295</v>
      </c>
      <c r="AX104" s="14">
        <f t="shared" si="364"/>
        <v>3788956.8092995295</v>
      </c>
      <c r="BC104" s="14">
        <f>BC102*BC103*1000/Heizwert_Methan*('Basis data'!$B$53/100)</f>
        <v>0</v>
      </c>
      <c r="BD104" s="14">
        <f>BD102*BD103*1000/Heizwert_Methan*('Basis data'!$B$53/100)</f>
        <v>0</v>
      </c>
      <c r="BE104" s="14">
        <f>BE102*BE103*1000/Heizwert_Methan*('Basis data'!$B$53/100)</f>
        <v>0</v>
      </c>
      <c r="BF104" s="14">
        <f>BF102*BF103*1000/Heizwert_Methan*('Basis data'!$B$53/100)</f>
        <v>299128.169155226</v>
      </c>
      <c r="BG104" s="14">
        <f>BG102*BG103*1000/Heizwert_Methan*('Basis data'!$B$53/100)</f>
        <v>598256.338310452</v>
      </c>
      <c r="BH104" s="14">
        <f>BH102*BH103*1000/Heizwert_Methan*('Basis data'!$B$53/100)</f>
        <v>598256.338310452</v>
      </c>
      <c r="BI104" s="14">
        <f>BI102*BI103*1000/Heizwert_Methan*('Basis data'!$B$53/100)</f>
        <v>598256.338310452</v>
      </c>
      <c r="BJ104" s="14">
        <f>BJ102*BJ103*1000/Heizwert_Methan*('Basis data'!$B$53/100)</f>
        <v>598256.338310452</v>
      </c>
      <c r="BK104" s="14">
        <f>BK102*BK103*1000/Heizwert_Methan*('Basis data'!$B$53/100)</f>
        <v>598256.338310452</v>
      </c>
      <c r="BL104" s="14">
        <f>BL102*BL103*1000/Heizwert_Methan*('Basis data'!$B$53/100)</f>
        <v>498546.9485920433</v>
      </c>
      <c r="BM104" s="14">
        <f>BM102*BM103*1000/Heizwert_Methan*('Basis data'!$B$53/100)</f>
        <v>0</v>
      </c>
      <c r="BN104" s="14">
        <f>BN102*BN103*1000/Heizwert_Methan*('Basis data'!$B$53/100)</f>
        <v>0</v>
      </c>
      <c r="BO104" s="50">
        <f aca="true" t="shared" si="365" ref="BO104:BO109">SUM(BC104:BN104)</f>
        <v>3788956.8092995295</v>
      </c>
      <c r="BQ104" s="14">
        <f>BQ102*BQ103*1000/Heizwert_Methan*('Basis data'!$B$53/100)</f>
        <v>0</v>
      </c>
      <c r="BR104" s="14">
        <f>BR102*BR103*1000/Heizwert_Methan*('Basis data'!$B$53/100)</f>
        <v>0</v>
      </c>
      <c r="BS104" s="14">
        <f>BS102*BS103*1000/Heizwert_Methan*('Basis data'!$B$53/100)</f>
        <v>0</v>
      </c>
      <c r="BT104" s="14">
        <f>BT102*BT103*1000/Heizwert_Methan*('Basis data'!$B$53/100)</f>
        <v>299128.169155226</v>
      </c>
      <c r="BU104" s="14">
        <f>BU102*BU103*1000/Heizwert_Methan*('Basis data'!$B$53/100)</f>
        <v>598256.338310452</v>
      </c>
      <c r="BV104" s="14">
        <f>BV102*BV103*1000/Heizwert_Methan*('Basis data'!$B$53/100)</f>
        <v>598256.338310452</v>
      </c>
      <c r="BW104" s="14">
        <f>BW102*BW103*1000/Heizwert_Methan*('Basis data'!$B$53/100)</f>
        <v>598256.338310452</v>
      </c>
      <c r="BX104" s="14">
        <f>BX102*BX103*1000/Heizwert_Methan*('Basis data'!$B$53/100)</f>
        <v>598256.338310452</v>
      </c>
      <c r="BY104" s="14">
        <f>BY102*BY103*1000/Heizwert_Methan*('Basis data'!$B$53/100)</f>
        <v>598256.338310452</v>
      </c>
      <c r="BZ104" s="14">
        <f>BZ102*BZ103*1000/Heizwert_Methan*('Basis data'!$B$53/100)</f>
        <v>498546.9485920433</v>
      </c>
      <c r="CA104" s="14">
        <f>CA102*CA103*1000/Heizwert_Methan*('Basis data'!$B$53/100)</f>
        <v>0</v>
      </c>
      <c r="CB104" s="14">
        <f>CB102*CB103*1000/Heizwert_Methan*('Basis data'!$B$53/100)</f>
        <v>0</v>
      </c>
      <c r="CC104" s="50">
        <f aca="true" t="shared" si="366" ref="CC104:CC109">SUM(BQ104:CB104)</f>
        <v>3788956.8092995295</v>
      </c>
      <c r="CE104" s="14">
        <f>CE102*CE103*1000/Heizwert_Methan*('Basis data'!$B$53/100)</f>
        <v>0</v>
      </c>
      <c r="CF104" s="14">
        <f>CF102*CF103*1000/Heizwert_Methan*('Basis data'!$B$53/100)</f>
        <v>0</v>
      </c>
      <c r="CG104" s="14">
        <f>CG102*CG103*1000/Heizwert_Methan*('Basis data'!$B$53/100)</f>
        <v>0</v>
      </c>
      <c r="CH104" s="14">
        <f>CH102*CH103*1000/Heizwert_Methan*('Basis data'!$B$53/100)</f>
        <v>299128.169155226</v>
      </c>
      <c r="CI104" s="14">
        <f>CI102*CI103*1000/Heizwert_Methan*('Basis data'!$B$53/100)</f>
        <v>598256.338310452</v>
      </c>
      <c r="CJ104" s="14">
        <f>CJ102*CJ103*1000/Heizwert_Methan*('Basis data'!$B$53/100)</f>
        <v>598256.338310452</v>
      </c>
      <c r="CK104" s="14">
        <f>CK102*CK103*1000/Heizwert_Methan*('Basis data'!$B$53/100)</f>
        <v>598256.338310452</v>
      </c>
      <c r="CL104" s="14">
        <f>CL102*CL103*1000/Heizwert_Methan*('Basis data'!$B$53/100)</f>
        <v>598256.338310452</v>
      </c>
      <c r="CM104" s="14">
        <f>CM102*CM103*1000/Heizwert_Methan*('Basis data'!$B$53/100)</f>
        <v>598256.338310452</v>
      </c>
      <c r="CN104" s="14">
        <f>CN102*CN103*1000/Heizwert_Methan*('Basis data'!$B$53/100)</f>
        <v>498546.9485920433</v>
      </c>
      <c r="CO104" s="14">
        <f>CO102*CO103*1000/Heizwert_Methan*('Basis data'!$B$53/100)</f>
        <v>0</v>
      </c>
      <c r="CP104" s="14">
        <f>CP102*CP103*1000/Heizwert_Methan*('Basis data'!$B$53/100)</f>
        <v>0</v>
      </c>
      <c r="CQ104" s="50">
        <f aca="true" t="shared" si="367" ref="CQ104:CQ109">SUM(CE104:CP104)</f>
        <v>3788956.8092995295</v>
      </c>
    </row>
    <row r="105" spans="1:95" ht="12.75">
      <c r="A105" s="25"/>
      <c r="B105" s="26" t="s">
        <v>179</v>
      </c>
      <c r="C105" s="26" t="s">
        <v>16</v>
      </c>
      <c r="D105" s="14">
        <f aca="true" t="shared" si="368" ref="D105:O105">D104*Gewicht_Methan/1000*21</f>
        <v>0</v>
      </c>
      <c r="E105" s="14">
        <f t="shared" si="368"/>
        <v>0</v>
      </c>
      <c r="F105" s="14">
        <f t="shared" si="368"/>
        <v>0</v>
      </c>
      <c r="G105" s="14">
        <f t="shared" si="368"/>
        <v>0</v>
      </c>
      <c r="H105" s="14">
        <f t="shared" si="368"/>
        <v>0</v>
      </c>
      <c r="I105" s="14">
        <f t="shared" si="368"/>
        <v>9007.945685940475</v>
      </c>
      <c r="J105" s="14">
        <f t="shared" si="368"/>
        <v>9007.945685940475</v>
      </c>
      <c r="K105" s="14">
        <f t="shared" si="368"/>
        <v>9007.945685940475</v>
      </c>
      <c r="L105" s="14">
        <f t="shared" si="368"/>
        <v>9007.945685940475</v>
      </c>
      <c r="M105" s="14">
        <f t="shared" si="368"/>
        <v>9007.945685940475</v>
      </c>
      <c r="N105" s="14">
        <f t="shared" si="368"/>
        <v>0</v>
      </c>
      <c r="O105" s="14">
        <f t="shared" si="368"/>
        <v>0</v>
      </c>
      <c r="P105" s="14">
        <f aca="true" t="shared" si="369" ref="P105:AM105">P104*Gewicht_Methan/1000*21</f>
        <v>0</v>
      </c>
      <c r="Q105" s="14">
        <f t="shared" si="369"/>
        <v>0</v>
      </c>
      <c r="R105" s="14">
        <f t="shared" si="369"/>
        <v>0</v>
      </c>
      <c r="S105" s="14">
        <f t="shared" si="369"/>
        <v>4503.972842970237</v>
      </c>
      <c r="T105" s="14">
        <f t="shared" si="369"/>
        <v>9007.945685940475</v>
      </c>
      <c r="U105" s="14">
        <f t="shared" si="369"/>
        <v>9007.945685940475</v>
      </c>
      <c r="V105" s="14">
        <f t="shared" si="369"/>
        <v>9007.945685940475</v>
      </c>
      <c r="W105" s="14">
        <f t="shared" si="369"/>
        <v>9007.945685940475</v>
      </c>
      <c r="X105" s="14">
        <f t="shared" si="369"/>
        <v>9007.945685940475</v>
      </c>
      <c r="Y105" s="14">
        <f t="shared" si="369"/>
        <v>7506.621404950395</v>
      </c>
      <c r="Z105" s="14">
        <f t="shared" si="369"/>
        <v>0</v>
      </c>
      <c r="AA105" s="14">
        <f t="shared" si="369"/>
        <v>0</v>
      </c>
      <c r="AB105" s="14">
        <f t="shared" si="369"/>
        <v>0</v>
      </c>
      <c r="AC105" s="14">
        <f t="shared" si="369"/>
        <v>0</v>
      </c>
      <c r="AD105" s="14">
        <f t="shared" si="369"/>
        <v>0</v>
      </c>
      <c r="AE105" s="14">
        <f t="shared" si="369"/>
        <v>4503.972842970237</v>
      </c>
      <c r="AF105" s="14">
        <f t="shared" si="369"/>
        <v>9007.945685940475</v>
      </c>
      <c r="AG105" s="14">
        <f t="shared" si="369"/>
        <v>9007.945685940475</v>
      </c>
      <c r="AH105" s="14">
        <f t="shared" si="369"/>
        <v>9007.945685940475</v>
      </c>
      <c r="AI105" s="14">
        <f t="shared" si="369"/>
        <v>9007.945685940475</v>
      </c>
      <c r="AJ105" s="14">
        <f t="shared" si="369"/>
        <v>9007.945685940475</v>
      </c>
      <c r="AK105" s="14">
        <f t="shared" si="369"/>
        <v>7506.621404950395</v>
      </c>
      <c r="AL105" s="14">
        <f t="shared" si="369"/>
        <v>0</v>
      </c>
      <c r="AM105" s="14">
        <f t="shared" si="369"/>
        <v>0</v>
      </c>
      <c r="AN105" s="14">
        <f>SUM(D105:O105)</f>
        <v>45039.72842970237</v>
      </c>
      <c r="AO105" s="140">
        <f>SUM(P105:AA105)</f>
        <v>57050.32267762301</v>
      </c>
      <c r="AP105" s="14">
        <f>SUM(AB105:AM105)</f>
        <v>57050.32267762301</v>
      </c>
      <c r="AQ105" s="14">
        <f t="shared" si="359"/>
        <v>57050.32267762301</v>
      </c>
      <c r="AR105" s="14">
        <f t="shared" si="360"/>
        <v>57050.32267762301</v>
      </c>
      <c r="AS105" s="14">
        <f t="shared" si="361"/>
        <v>57050.32267762301</v>
      </c>
      <c r="AT105" s="14">
        <f t="shared" si="363"/>
        <v>57050.32267762301</v>
      </c>
      <c r="AU105" s="14">
        <f t="shared" si="364"/>
        <v>57050.32267762301</v>
      </c>
      <c r="AV105" s="14">
        <f t="shared" si="364"/>
        <v>57050.32267762301</v>
      </c>
      <c r="AW105" s="14">
        <f t="shared" si="364"/>
        <v>57050.32267762301</v>
      </c>
      <c r="AX105" s="14">
        <f t="shared" si="364"/>
        <v>57050.32267762301</v>
      </c>
      <c r="AY105" s="52">
        <f>AX104*0.717/1000</f>
        <v>2716.682032267762</v>
      </c>
      <c r="BC105" s="14">
        <f aca="true" t="shared" si="370" ref="BC105:BN105">BC104*Gewicht_Methan/1000*21</f>
        <v>0</v>
      </c>
      <c r="BD105" s="14">
        <f t="shared" si="370"/>
        <v>0</v>
      </c>
      <c r="BE105" s="14">
        <f t="shared" si="370"/>
        <v>0</v>
      </c>
      <c r="BF105" s="14">
        <f t="shared" si="370"/>
        <v>4503.972842970237</v>
      </c>
      <c r="BG105" s="14">
        <f t="shared" si="370"/>
        <v>9007.945685940475</v>
      </c>
      <c r="BH105" s="14">
        <f t="shared" si="370"/>
        <v>9007.945685940475</v>
      </c>
      <c r="BI105" s="14">
        <f t="shared" si="370"/>
        <v>9007.945685940475</v>
      </c>
      <c r="BJ105" s="14">
        <f t="shared" si="370"/>
        <v>9007.945685940475</v>
      </c>
      <c r="BK105" s="14">
        <f t="shared" si="370"/>
        <v>9007.945685940475</v>
      </c>
      <c r="BL105" s="14">
        <f t="shared" si="370"/>
        <v>7506.621404950395</v>
      </c>
      <c r="BM105" s="14">
        <f t="shared" si="370"/>
        <v>0</v>
      </c>
      <c r="BN105" s="14">
        <f t="shared" si="370"/>
        <v>0</v>
      </c>
      <c r="BO105" s="50">
        <f t="shared" si="365"/>
        <v>57050.32267762301</v>
      </c>
      <c r="BQ105" s="14">
        <f aca="true" t="shared" si="371" ref="BQ105:CB105">BQ104*Gewicht_Methan/1000*21</f>
        <v>0</v>
      </c>
      <c r="BR105" s="14">
        <f t="shared" si="371"/>
        <v>0</v>
      </c>
      <c r="BS105" s="14">
        <f t="shared" si="371"/>
        <v>0</v>
      </c>
      <c r="BT105" s="14">
        <f t="shared" si="371"/>
        <v>4503.972842970237</v>
      </c>
      <c r="BU105" s="14">
        <f t="shared" si="371"/>
        <v>9007.945685940475</v>
      </c>
      <c r="BV105" s="14">
        <f t="shared" si="371"/>
        <v>9007.945685940475</v>
      </c>
      <c r="BW105" s="14">
        <f t="shared" si="371"/>
        <v>9007.945685940475</v>
      </c>
      <c r="BX105" s="14">
        <f t="shared" si="371"/>
        <v>9007.945685940475</v>
      </c>
      <c r="BY105" s="14">
        <f t="shared" si="371"/>
        <v>9007.945685940475</v>
      </c>
      <c r="BZ105" s="14">
        <f t="shared" si="371"/>
        <v>7506.621404950395</v>
      </c>
      <c r="CA105" s="14">
        <f t="shared" si="371"/>
        <v>0</v>
      </c>
      <c r="CB105" s="14">
        <f t="shared" si="371"/>
        <v>0</v>
      </c>
      <c r="CC105" s="50">
        <f t="shared" si="366"/>
        <v>57050.32267762301</v>
      </c>
      <c r="CE105" s="14">
        <f aca="true" t="shared" si="372" ref="CE105:CP105">CE104*Gewicht_Methan/1000*21</f>
        <v>0</v>
      </c>
      <c r="CF105" s="14">
        <f t="shared" si="372"/>
        <v>0</v>
      </c>
      <c r="CG105" s="14">
        <f t="shared" si="372"/>
        <v>0</v>
      </c>
      <c r="CH105" s="14">
        <f t="shared" si="372"/>
        <v>4503.972842970237</v>
      </c>
      <c r="CI105" s="14">
        <f t="shared" si="372"/>
        <v>9007.945685940475</v>
      </c>
      <c r="CJ105" s="14">
        <f t="shared" si="372"/>
        <v>9007.945685940475</v>
      </c>
      <c r="CK105" s="14">
        <f t="shared" si="372"/>
        <v>9007.945685940475</v>
      </c>
      <c r="CL105" s="14">
        <f t="shared" si="372"/>
        <v>9007.945685940475</v>
      </c>
      <c r="CM105" s="14">
        <f t="shared" si="372"/>
        <v>9007.945685940475</v>
      </c>
      <c r="CN105" s="14">
        <f t="shared" si="372"/>
        <v>7506.621404950395</v>
      </c>
      <c r="CO105" s="14">
        <f t="shared" si="372"/>
        <v>0</v>
      </c>
      <c r="CP105" s="14">
        <f t="shared" si="372"/>
        <v>0</v>
      </c>
      <c r="CQ105" s="50">
        <f t="shared" si="367"/>
        <v>57050.32267762301</v>
      </c>
    </row>
    <row r="106" spans="1:95" ht="12.75">
      <c r="A106" s="25"/>
      <c r="B106" s="26" t="s">
        <v>123</v>
      </c>
      <c r="C106" s="26" t="s">
        <v>16</v>
      </c>
      <c r="D106" s="14">
        <f aca="true" t="shared" si="373" ref="D106:AM106">D104*Gewicht_Methan/1000*2.75</f>
        <v>0</v>
      </c>
      <c r="E106" s="14">
        <f t="shared" si="373"/>
        <v>0</v>
      </c>
      <c r="F106" s="14">
        <f t="shared" si="373"/>
        <v>0</v>
      </c>
      <c r="G106" s="14">
        <f t="shared" si="373"/>
        <v>0</v>
      </c>
      <c r="H106" s="14">
        <f t="shared" si="373"/>
        <v>0</v>
      </c>
      <c r="I106" s="14">
        <f t="shared" si="373"/>
        <v>1179.6119350636336</v>
      </c>
      <c r="J106" s="14">
        <f t="shared" si="373"/>
        <v>1179.6119350636336</v>
      </c>
      <c r="K106" s="14">
        <f t="shared" si="373"/>
        <v>1179.6119350636336</v>
      </c>
      <c r="L106" s="14">
        <f t="shared" si="373"/>
        <v>1179.6119350636336</v>
      </c>
      <c r="M106" s="14">
        <f t="shared" si="373"/>
        <v>1179.6119350636336</v>
      </c>
      <c r="N106" s="14">
        <f t="shared" si="373"/>
        <v>0</v>
      </c>
      <c r="O106" s="14">
        <f t="shared" si="373"/>
        <v>0</v>
      </c>
      <c r="P106" s="14">
        <f t="shared" si="373"/>
        <v>0</v>
      </c>
      <c r="Q106" s="14">
        <f t="shared" si="373"/>
        <v>0</v>
      </c>
      <c r="R106" s="14">
        <f t="shared" si="373"/>
        <v>0</v>
      </c>
      <c r="S106" s="14">
        <f t="shared" si="373"/>
        <v>589.8059675318168</v>
      </c>
      <c r="T106" s="14">
        <f t="shared" si="373"/>
        <v>1179.6119350636336</v>
      </c>
      <c r="U106" s="14">
        <f t="shared" si="373"/>
        <v>1179.6119350636336</v>
      </c>
      <c r="V106" s="14">
        <f t="shared" si="373"/>
        <v>1179.6119350636336</v>
      </c>
      <c r="W106" s="14">
        <f t="shared" si="373"/>
        <v>1179.6119350636336</v>
      </c>
      <c r="X106" s="14">
        <f t="shared" si="373"/>
        <v>1179.6119350636336</v>
      </c>
      <c r="Y106" s="14">
        <f t="shared" si="373"/>
        <v>983.0099458863613</v>
      </c>
      <c r="Z106" s="14">
        <f t="shared" si="373"/>
        <v>0</v>
      </c>
      <c r="AA106" s="14">
        <f t="shared" si="373"/>
        <v>0</v>
      </c>
      <c r="AB106" s="14">
        <f t="shared" si="373"/>
        <v>0</v>
      </c>
      <c r="AC106" s="14">
        <f t="shared" si="373"/>
        <v>0</v>
      </c>
      <c r="AD106" s="14">
        <f t="shared" si="373"/>
        <v>0</v>
      </c>
      <c r="AE106" s="14">
        <f t="shared" si="373"/>
        <v>589.8059675318168</v>
      </c>
      <c r="AF106" s="14">
        <f t="shared" si="373"/>
        <v>1179.6119350636336</v>
      </c>
      <c r="AG106" s="14">
        <f t="shared" si="373"/>
        <v>1179.6119350636336</v>
      </c>
      <c r="AH106" s="14">
        <f t="shared" si="373"/>
        <v>1179.6119350636336</v>
      </c>
      <c r="AI106" s="14">
        <f t="shared" si="373"/>
        <v>1179.6119350636336</v>
      </c>
      <c r="AJ106" s="14">
        <f t="shared" si="373"/>
        <v>1179.6119350636336</v>
      </c>
      <c r="AK106" s="14">
        <f t="shared" si="373"/>
        <v>983.0099458863613</v>
      </c>
      <c r="AL106" s="14">
        <f t="shared" si="373"/>
        <v>0</v>
      </c>
      <c r="AM106" s="14">
        <f t="shared" si="373"/>
        <v>0</v>
      </c>
      <c r="AN106" s="14">
        <f>SUM(D106:O106)</f>
        <v>5898.059675318168</v>
      </c>
      <c r="AO106" s="140">
        <f>SUM(P106:AA106)</f>
        <v>7470.875588736347</v>
      </c>
      <c r="AP106" s="14">
        <f>SUM(AB106:AM106)</f>
        <v>7470.875588736347</v>
      </c>
      <c r="AQ106" s="14">
        <f t="shared" si="359"/>
        <v>7470.875588736347</v>
      </c>
      <c r="AR106" s="14">
        <f t="shared" si="360"/>
        <v>7470.875588736347</v>
      </c>
      <c r="AS106" s="14">
        <f t="shared" si="361"/>
        <v>7470.875588736347</v>
      </c>
      <c r="AT106" s="14">
        <f t="shared" si="363"/>
        <v>7470.875588736347</v>
      </c>
      <c r="AU106" s="14">
        <f t="shared" si="364"/>
        <v>7470.875588736347</v>
      </c>
      <c r="AV106" s="14">
        <f t="shared" si="364"/>
        <v>7470.875588736347</v>
      </c>
      <c r="AW106" s="14">
        <f t="shared" si="364"/>
        <v>7470.875588736347</v>
      </c>
      <c r="AX106" s="14">
        <f t="shared" si="364"/>
        <v>7470.875588736347</v>
      </c>
      <c r="BC106" s="14">
        <f aca="true" t="shared" si="374" ref="BC106:BN106">BC104*Gewicht_Methan/1000*2.75</f>
        <v>0</v>
      </c>
      <c r="BD106" s="14">
        <f t="shared" si="374"/>
        <v>0</v>
      </c>
      <c r="BE106" s="14">
        <f t="shared" si="374"/>
        <v>0</v>
      </c>
      <c r="BF106" s="14">
        <f t="shared" si="374"/>
        <v>589.8059675318168</v>
      </c>
      <c r="BG106" s="14">
        <f t="shared" si="374"/>
        <v>1179.6119350636336</v>
      </c>
      <c r="BH106" s="14">
        <f t="shared" si="374"/>
        <v>1179.6119350636336</v>
      </c>
      <c r="BI106" s="14">
        <f t="shared" si="374"/>
        <v>1179.6119350636336</v>
      </c>
      <c r="BJ106" s="14">
        <f t="shared" si="374"/>
        <v>1179.6119350636336</v>
      </c>
      <c r="BK106" s="14">
        <f t="shared" si="374"/>
        <v>1179.6119350636336</v>
      </c>
      <c r="BL106" s="14">
        <f t="shared" si="374"/>
        <v>983.0099458863613</v>
      </c>
      <c r="BM106" s="14">
        <f t="shared" si="374"/>
        <v>0</v>
      </c>
      <c r="BN106" s="14">
        <f t="shared" si="374"/>
        <v>0</v>
      </c>
      <c r="BO106" s="50">
        <f t="shared" si="365"/>
        <v>7470.875588736347</v>
      </c>
      <c r="BQ106" s="14">
        <f aca="true" t="shared" si="375" ref="BQ106:CB106">BQ104*Gewicht_Methan/1000*2.75</f>
        <v>0</v>
      </c>
      <c r="BR106" s="14">
        <f t="shared" si="375"/>
        <v>0</v>
      </c>
      <c r="BS106" s="14">
        <f t="shared" si="375"/>
        <v>0</v>
      </c>
      <c r="BT106" s="14">
        <f t="shared" si="375"/>
        <v>589.8059675318168</v>
      </c>
      <c r="BU106" s="14">
        <f t="shared" si="375"/>
        <v>1179.6119350636336</v>
      </c>
      <c r="BV106" s="14">
        <f t="shared" si="375"/>
        <v>1179.6119350636336</v>
      </c>
      <c r="BW106" s="14">
        <f t="shared" si="375"/>
        <v>1179.6119350636336</v>
      </c>
      <c r="BX106" s="14">
        <f t="shared" si="375"/>
        <v>1179.6119350636336</v>
      </c>
      <c r="BY106" s="14">
        <f t="shared" si="375"/>
        <v>1179.6119350636336</v>
      </c>
      <c r="BZ106" s="14">
        <f t="shared" si="375"/>
        <v>983.0099458863613</v>
      </c>
      <c r="CA106" s="14">
        <f t="shared" si="375"/>
        <v>0</v>
      </c>
      <c r="CB106" s="14">
        <f t="shared" si="375"/>
        <v>0</v>
      </c>
      <c r="CC106" s="50">
        <f t="shared" si="366"/>
        <v>7470.875588736347</v>
      </c>
      <c r="CE106" s="14">
        <f aca="true" t="shared" si="376" ref="CE106:CP106">CE104*Gewicht_Methan/1000*2.75</f>
        <v>0</v>
      </c>
      <c r="CF106" s="14">
        <f t="shared" si="376"/>
        <v>0</v>
      </c>
      <c r="CG106" s="14">
        <f t="shared" si="376"/>
        <v>0</v>
      </c>
      <c r="CH106" s="14">
        <f t="shared" si="376"/>
        <v>589.8059675318168</v>
      </c>
      <c r="CI106" s="14">
        <f t="shared" si="376"/>
        <v>1179.6119350636336</v>
      </c>
      <c r="CJ106" s="14">
        <f t="shared" si="376"/>
        <v>1179.6119350636336</v>
      </c>
      <c r="CK106" s="14">
        <f t="shared" si="376"/>
        <v>1179.6119350636336</v>
      </c>
      <c r="CL106" s="14">
        <f t="shared" si="376"/>
        <v>1179.6119350636336</v>
      </c>
      <c r="CM106" s="14">
        <f t="shared" si="376"/>
        <v>1179.6119350636336</v>
      </c>
      <c r="CN106" s="14">
        <f t="shared" si="376"/>
        <v>983.0099458863613</v>
      </c>
      <c r="CO106" s="14">
        <f t="shared" si="376"/>
        <v>0</v>
      </c>
      <c r="CP106" s="14">
        <f t="shared" si="376"/>
        <v>0</v>
      </c>
      <c r="CQ106" s="50">
        <f t="shared" si="367"/>
        <v>7470.875588736347</v>
      </c>
    </row>
    <row r="107" spans="1:95" ht="12.75">
      <c r="A107" s="25"/>
      <c r="B107" s="51" t="s">
        <v>189</v>
      </c>
      <c r="C107" s="51" t="s">
        <v>20</v>
      </c>
      <c r="D107" s="36">
        <f>D103*'Basis data'!$B$54</f>
        <v>0</v>
      </c>
      <c r="E107" s="36">
        <f>E103*'Basis data'!$B$54</f>
        <v>0</v>
      </c>
      <c r="F107" s="36">
        <f>F103*'Basis data'!$B$54</f>
        <v>0</v>
      </c>
      <c r="G107" s="36">
        <f>G103*'Basis data'!$B$54</f>
        <v>0</v>
      </c>
      <c r="H107" s="36">
        <f>H103*'Basis data'!$B$54</f>
        <v>0</v>
      </c>
      <c r="I107" s="36">
        <f>I103*'Basis data'!$B$54</f>
        <v>0</v>
      </c>
      <c r="J107" s="36">
        <f>J103*'Basis data'!$B$54</f>
        <v>0</v>
      </c>
      <c r="K107" s="36">
        <f>K103*'Basis data'!$B$54</f>
        <v>0</v>
      </c>
      <c r="L107" s="36">
        <f>L103*'Basis data'!$B$54</f>
        <v>0</v>
      </c>
      <c r="M107" s="36">
        <f>M103*'Basis data'!$B$54</f>
        <v>0</v>
      </c>
      <c r="N107" s="36">
        <f>N103*'Basis data'!$B$54</f>
        <v>0</v>
      </c>
      <c r="O107" s="36">
        <f>O103*'Basis data'!$B$54</f>
        <v>0</v>
      </c>
      <c r="P107" s="36">
        <f>P103*'Basis data'!$B$54</f>
        <v>0</v>
      </c>
      <c r="Q107" s="36">
        <f>Q103*'Basis data'!$B$54</f>
        <v>0</v>
      </c>
      <c r="R107" s="36">
        <f>R103*'Basis data'!$B$54</f>
        <v>0</v>
      </c>
      <c r="S107" s="36">
        <f>S103*'Basis data'!$B$54</f>
        <v>0</v>
      </c>
      <c r="T107" s="36">
        <f>T103*'Basis data'!$B$54</f>
        <v>0</v>
      </c>
      <c r="U107" s="36">
        <f>U103*'Basis data'!$B$54</f>
        <v>0</v>
      </c>
      <c r="V107" s="36">
        <f>V103*'Basis data'!$B$54</f>
        <v>0</v>
      </c>
      <c r="W107" s="36">
        <f>W103*'Basis data'!$B$54</f>
        <v>0</v>
      </c>
      <c r="X107" s="36">
        <f>X103*'Basis data'!$B$54</f>
        <v>0</v>
      </c>
      <c r="Y107" s="36">
        <f>Y103*'Basis data'!$B$54</f>
        <v>0</v>
      </c>
      <c r="Z107" s="36">
        <f>Z103*'Basis data'!$B$54</f>
        <v>0</v>
      </c>
      <c r="AA107" s="36">
        <f>AA103*'Basis data'!$B$54</f>
        <v>0</v>
      </c>
      <c r="AB107" s="36">
        <f>AB103*'Basis data'!$B$54</f>
        <v>0</v>
      </c>
      <c r="AC107" s="36">
        <f>AC103*'Basis data'!$B$54</f>
        <v>0</v>
      </c>
      <c r="AD107" s="36">
        <f>AD103*'Basis data'!$B$54</f>
        <v>0</v>
      </c>
      <c r="AE107" s="36">
        <f>AE103*'Basis data'!$B$54</f>
        <v>0</v>
      </c>
      <c r="AF107" s="36">
        <f>AF103*'Basis data'!$B$54</f>
        <v>0</v>
      </c>
      <c r="AG107" s="36">
        <f>AG103*'Basis data'!$B$54</f>
        <v>0</v>
      </c>
      <c r="AH107" s="36">
        <f>AH103*'Basis data'!$B$54</f>
        <v>0</v>
      </c>
      <c r="AI107" s="36">
        <f>AI103*'Basis data'!$B$54</f>
        <v>0</v>
      </c>
      <c r="AJ107" s="36">
        <f>AJ103*'Basis data'!$B$54</f>
        <v>0</v>
      </c>
      <c r="AK107" s="36">
        <f>AK103*'Basis data'!$B$54</f>
        <v>0</v>
      </c>
      <c r="AL107" s="36">
        <f>AL103*'Basis data'!$B$54</f>
        <v>0</v>
      </c>
      <c r="AM107" s="36">
        <f>AM103*'Basis data'!$B$54</f>
        <v>0</v>
      </c>
      <c r="AN107" s="14">
        <f>SUM(D107:O107)</f>
        <v>0</v>
      </c>
      <c r="AO107" s="140">
        <f>SUM(P107:AA107)</f>
        <v>0</v>
      </c>
      <c r="AP107" s="14">
        <f>SUM(AB107:AM107)</f>
        <v>0</v>
      </c>
      <c r="AQ107" s="14">
        <f t="shared" si="359"/>
        <v>0</v>
      </c>
      <c r="AR107" s="14">
        <f t="shared" si="360"/>
        <v>0</v>
      </c>
      <c r="AS107" s="14">
        <f t="shared" si="361"/>
        <v>0</v>
      </c>
      <c r="AT107" s="14">
        <f t="shared" si="363"/>
        <v>0</v>
      </c>
      <c r="AU107" s="14">
        <f t="shared" si="364"/>
        <v>0</v>
      </c>
      <c r="AV107" s="14">
        <f t="shared" si="364"/>
        <v>0</v>
      </c>
      <c r="AW107" s="14">
        <f t="shared" si="364"/>
        <v>0</v>
      </c>
      <c r="AX107" s="14">
        <f t="shared" si="364"/>
        <v>0</v>
      </c>
      <c r="AY107" s="14">
        <f>AVERAGE(AO107:AX107)</f>
        <v>0</v>
      </c>
      <c r="AZ107" s="14"/>
      <c r="BA107" s="14"/>
      <c r="BB107" s="14"/>
      <c r="BC107" s="36">
        <f>BC103*'Basis data'!$B$54</f>
        <v>0</v>
      </c>
      <c r="BD107" s="36">
        <f>BD103*'Basis data'!$B$54</f>
        <v>0</v>
      </c>
      <c r="BE107" s="36">
        <f>BE103*'Basis data'!$B$54</f>
        <v>0</v>
      </c>
      <c r="BF107" s="36">
        <f>BF103*'Basis data'!$B$54</f>
        <v>0</v>
      </c>
      <c r="BG107" s="36">
        <f>BG103*'Basis data'!$B$54</f>
        <v>0</v>
      </c>
      <c r="BH107" s="36">
        <f>BH103*'Basis data'!$B$54</f>
        <v>0</v>
      </c>
      <c r="BI107" s="36">
        <f>BI103*'Basis data'!$B$54</f>
        <v>0</v>
      </c>
      <c r="BJ107" s="36">
        <f>BJ103*'Basis data'!$B$54</f>
        <v>0</v>
      </c>
      <c r="BK107" s="36">
        <f>BK103*'Basis data'!$B$54</f>
        <v>0</v>
      </c>
      <c r="BL107" s="36">
        <f>BL103*'Basis data'!$B$54</f>
        <v>0</v>
      </c>
      <c r="BM107" s="36">
        <f>BM103*'Basis data'!$B$54</f>
        <v>0</v>
      </c>
      <c r="BN107" s="36">
        <f>BN103*'Basis data'!$B$54</f>
        <v>0</v>
      </c>
      <c r="BO107" s="50">
        <f t="shared" si="365"/>
        <v>0</v>
      </c>
      <c r="BQ107" s="36">
        <f>BQ103*'Basis data'!$B$54</f>
        <v>0</v>
      </c>
      <c r="BR107" s="36">
        <f>BR103*'Basis data'!$B$54</f>
        <v>0</v>
      </c>
      <c r="BS107" s="36">
        <f>BS103*'Basis data'!$B$54</f>
        <v>0</v>
      </c>
      <c r="BT107" s="36">
        <f>BT103*'Basis data'!$B$54</f>
        <v>0</v>
      </c>
      <c r="BU107" s="36">
        <f>BU103*'Basis data'!$B$54</f>
        <v>0</v>
      </c>
      <c r="BV107" s="36">
        <f>BV103*'Basis data'!$B$54</f>
        <v>0</v>
      </c>
      <c r="BW107" s="36">
        <f>BW103*'Basis data'!$B$54</f>
        <v>0</v>
      </c>
      <c r="BX107" s="36">
        <f>BX103*'Basis data'!$B$54</f>
        <v>0</v>
      </c>
      <c r="BY107" s="36">
        <f>BY103*'Basis data'!$B$54</f>
        <v>0</v>
      </c>
      <c r="BZ107" s="36">
        <f>BZ103*'Basis data'!$B$54</f>
        <v>0</v>
      </c>
      <c r="CA107" s="36">
        <f>CA103*'Basis data'!$B$54</f>
        <v>0</v>
      </c>
      <c r="CB107" s="36">
        <f>CB103*'Basis data'!$B$54</f>
        <v>0</v>
      </c>
      <c r="CC107" s="50">
        <f t="shared" si="366"/>
        <v>0</v>
      </c>
      <c r="CE107" s="36">
        <f>CE103*'Basis data'!$B$54</f>
        <v>0</v>
      </c>
      <c r="CF107" s="36">
        <f>CF103*'Basis data'!$B$54</f>
        <v>0</v>
      </c>
      <c r="CG107" s="36">
        <f>CG103*'Basis data'!$B$54</f>
        <v>0</v>
      </c>
      <c r="CH107" s="36">
        <f>CH103*'Basis data'!$B$54</f>
        <v>0</v>
      </c>
      <c r="CI107" s="36">
        <f>CI103*'Basis data'!$B$54</f>
        <v>0</v>
      </c>
      <c r="CJ107" s="36">
        <f>CJ103*'Basis data'!$B$54</f>
        <v>0</v>
      </c>
      <c r="CK107" s="36">
        <f>CK103*'Basis data'!$B$54</f>
        <v>0</v>
      </c>
      <c r="CL107" s="36">
        <f>CL103*'Basis data'!$B$54</f>
        <v>0</v>
      </c>
      <c r="CM107" s="36">
        <f>CM103*'Basis data'!$B$54</f>
        <v>0</v>
      </c>
      <c r="CN107" s="36">
        <f>CN103*'Basis data'!$B$54</f>
        <v>0</v>
      </c>
      <c r="CO107" s="36">
        <f>CO103*'Basis data'!$B$54</f>
        <v>0</v>
      </c>
      <c r="CP107" s="36">
        <f>CP103*'Basis data'!$B$54</f>
        <v>0</v>
      </c>
      <c r="CQ107" s="50">
        <f t="shared" si="367"/>
        <v>0</v>
      </c>
    </row>
    <row r="108" spans="1:95" ht="12.75">
      <c r="A108" s="25"/>
      <c r="B108" s="51" t="s">
        <v>99</v>
      </c>
      <c r="C108" s="51" t="s">
        <v>16</v>
      </c>
      <c r="D108" s="14">
        <f aca="true" t="shared" si="377" ref="D108:AA108">D107*CO2_Vermeidung_Strom_2008</f>
        <v>0</v>
      </c>
      <c r="E108" s="14">
        <f t="shared" si="377"/>
        <v>0</v>
      </c>
      <c r="F108" s="14">
        <f t="shared" si="377"/>
        <v>0</v>
      </c>
      <c r="G108" s="14">
        <f t="shared" si="377"/>
        <v>0</v>
      </c>
      <c r="H108" s="14">
        <f t="shared" si="377"/>
        <v>0</v>
      </c>
      <c r="I108" s="14">
        <f t="shared" si="377"/>
        <v>0</v>
      </c>
      <c r="J108" s="14">
        <f t="shared" si="377"/>
        <v>0</v>
      </c>
      <c r="K108" s="14">
        <f t="shared" si="377"/>
        <v>0</v>
      </c>
      <c r="L108" s="14">
        <f t="shared" si="377"/>
        <v>0</v>
      </c>
      <c r="M108" s="14">
        <f t="shared" si="377"/>
        <v>0</v>
      </c>
      <c r="N108" s="14">
        <f t="shared" si="377"/>
        <v>0</v>
      </c>
      <c r="O108" s="14">
        <f t="shared" si="377"/>
        <v>0</v>
      </c>
      <c r="P108" s="14">
        <f t="shared" si="377"/>
        <v>0</v>
      </c>
      <c r="Q108" s="14">
        <f t="shared" si="377"/>
        <v>0</v>
      </c>
      <c r="R108" s="14">
        <f t="shared" si="377"/>
        <v>0</v>
      </c>
      <c r="S108" s="14">
        <f t="shared" si="377"/>
        <v>0</v>
      </c>
      <c r="T108" s="14">
        <f t="shared" si="377"/>
        <v>0</v>
      </c>
      <c r="U108" s="14">
        <f t="shared" si="377"/>
        <v>0</v>
      </c>
      <c r="V108" s="14">
        <f t="shared" si="377"/>
        <v>0</v>
      </c>
      <c r="W108" s="14">
        <f t="shared" si="377"/>
        <v>0</v>
      </c>
      <c r="X108" s="14">
        <f t="shared" si="377"/>
        <v>0</v>
      </c>
      <c r="Y108" s="14">
        <f t="shared" si="377"/>
        <v>0</v>
      </c>
      <c r="Z108" s="14">
        <f t="shared" si="377"/>
        <v>0</v>
      </c>
      <c r="AA108" s="14">
        <f t="shared" si="377"/>
        <v>0</v>
      </c>
      <c r="AB108" s="14">
        <f aca="true" t="shared" si="378" ref="AB108:AM108">AB107*CO2_Vermeidung_Strom_2009</f>
        <v>0</v>
      </c>
      <c r="AC108" s="14">
        <f t="shared" si="378"/>
        <v>0</v>
      </c>
      <c r="AD108" s="14">
        <f t="shared" si="378"/>
        <v>0</v>
      </c>
      <c r="AE108" s="14">
        <f t="shared" si="378"/>
        <v>0</v>
      </c>
      <c r="AF108" s="14">
        <f t="shared" si="378"/>
        <v>0</v>
      </c>
      <c r="AG108" s="14">
        <f t="shared" si="378"/>
        <v>0</v>
      </c>
      <c r="AH108" s="14">
        <f t="shared" si="378"/>
        <v>0</v>
      </c>
      <c r="AI108" s="14">
        <f t="shared" si="378"/>
        <v>0</v>
      </c>
      <c r="AJ108" s="14">
        <f t="shared" si="378"/>
        <v>0</v>
      </c>
      <c r="AK108" s="14">
        <f t="shared" si="378"/>
        <v>0</v>
      </c>
      <c r="AL108" s="14">
        <f t="shared" si="378"/>
        <v>0</v>
      </c>
      <c r="AM108" s="14">
        <f t="shared" si="378"/>
        <v>0</v>
      </c>
      <c r="AN108" s="14">
        <f>SUM(D108:O108)</f>
        <v>0</v>
      </c>
      <c r="AO108" s="140">
        <f>SUM(P108:AA108)</f>
        <v>0</v>
      </c>
      <c r="AP108" s="14">
        <f>SUM(AB108:AM108)</f>
        <v>0</v>
      </c>
      <c r="AQ108" s="14">
        <f>BO108</f>
        <v>0</v>
      </c>
      <c r="AR108" s="14">
        <f>CC108</f>
        <v>0</v>
      </c>
      <c r="AS108" s="14">
        <f>CQ108</f>
        <v>0</v>
      </c>
      <c r="AT108" s="14">
        <f t="shared" si="363"/>
        <v>0</v>
      </c>
      <c r="AU108" s="14">
        <f>AT108</f>
        <v>0</v>
      </c>
      <c r="AV108" s="14">
        <f>AU108</f>
        <v>0</v>
      </c>
      <c r="AW108" s="14">
        <f>AV108</f>
        <v>0</v>
      </c>
      <c r="AX108" s="14">
        <f>AW108</f>
        <v>0</v>
      </c>
      <c r="AY108" s="14"/>
      <c r="AZ108" s="14"/>
      <c r="BA108" s="14"/>
      <c r="BB108" s="14"/>
      <c r="BC108" s="14">
        <f aca="true" t="shared" si="379" ref="BC108:BN108">BC107*CO2_Vermeidung_Strom_2010</f>
        <v>0</v>
      </c>
      <c r="BD108" s="14">
        <f t="shared" si="379"/>
        <v>0</v>
      </c>
      <c r="BE108" s="14">
        <f t="shared" si="379"/>
        <v>0</v>
      </c>
      <c r="BF108" s="14">
        <f t="shared" si="379"/>
        <v>0</v>
      </c>
      <c r="BG108" s="14">
        <f t="shared" si="379"/>
        <v>0</v>
      </c>
      <c r="BH108" s="14">
        <f t="shared" si="379"/>
        <v>0</v>
      </c>
      <c r="BI108" s="14">
        <f t="shared" si="379"/>
        <v>0</v>
      </c>
      <c r="BJ108" s="14">
        <f t="shared" si="379"/>
        <v>0</v>
      </c>
      <c r="BK108" s="14">
        <f t="shared" si="379"/>
        <v>0</v>
      </c>
      <c r="BL108" s="14">
        <f t="shared" si="379"/>
        <v>0</v>
      </c>
      <c r="BM108" s="14">
        <f t="shared" si="379"/>
        <v>0</v>
      </c>
      <c r="BN108" s="14">
        <f t="shared" si="379"/>
        <v>0</v>
      </c>
      <c r="BO108" s="50">
        <f t="shared" si="365"/>
        <v>0</v>
      </c>
      <c r="BQ108" s="14">
        <f aca="true" t="shared" si="380" ref="BQ108:CB108">BQ107*CO2_Vermeidung_Strom_2011</f>
        <v>0</v>
      </c>
      <c r="BR108" s="14">
        <f t="shared" si="380"/>
        <v>0</v>
      </c>
      <c r="BS108" s="14">
        <f t="shared" si="380"/>
        <v>0</v>
      </c>
      <c r="BT108" s="14">
        <f t="shared" si="380"/>
        <v>0</v>
      </c>
      <c r="BU108" s="14">
        <f t="shared" si="380"/>
        <v>0</v>
      </c>
      <c r="BV108" s="14">
        <f t="shared" si="380"/>
        <v>0</v>
      </c>
      <c r="BW108" s="14">
        <f t="shared" si="380"/>
        <v>0</v>
      </c>
      <c r="BX108" s="14">
        <f t="shared" si="380"/>
        <v>0</v>
      </c>
      <c r="BY108" s="14">
        <f t="shared" si="380"/>
        <v>0</v>
      </c>
      <c r="BZ108" s="14">
        <f t="shared" si="380"/>
        <v>0</v>
      </c>
      <c r="CA108" s="14">
        <f t="shared" si="380"/>
        <v>0</v>
      </c>
      <c r="CB108" s="14">
        <f t="shared" si="380"/>
        <v>0</v>
      </c>
      <c r="CC108" s="50">
        <f t="shared" si="366"/>
        <v>0</v>
      </c>
      <c r="CE108" s="14">
        <f aca="true" t="shared" si="381" ref="CE108:CP108">CE107*CO2_Vermeidung_Strom_2012</f>
        <v>0</v>
      </c>
      <c r="CF108" s="14">
        <f t="shared" si="381"/>
        <v>0</v>
      </c>
      <c r="CG108" s="14">
        <f t="shared" si="381"/>
        <v>0</v>
      </c>
      <c r="CH108" s="14">
        <f t="shared" si="381"/>
        <v>0</v>
      </c>
      <c r="CI108" s="14">
        <f t="shared" si="381"/>
        <v>0</v>
      </c>
      <c r="CJ108" s="14">
        <f t="shared" si="381"/>
        <v>0</v>
      </c>
      <c r="CK108" s="14">
        <f t="shared" si="381"/>
        <v>0</v>
      </c>
      <c r="CL108" s="14">
        <f t="shared" si="381"/>
        <v>0</v>
      </c>
      <c r="CM108" s="14">
        <f t="shared" si="381"/>
        <v>0</v>
      </c>
      <c r="CN108" s="14">
        <f t="shared" si="381"/>
        <v>0</v>
      </c>
      <c r="CO108" s="14">
        <f t="shared" si="381"/>
        <v>0</v>
      </c>
      <c r="CP108" s="14">
        <f t="shared" si="381"/>
        <v>0</v>
      </c>
      <c r="CQ108" s="50">
        <f t="shared" si="367"/>
        <v>0</v>
      </c>
    </row>
    <row r="109" spans="1:95" ht="12.75">
      <c r="A109" s="25"/>
      <c r="B109" s="51" t="s">
        <v>81</v>
      </c>
      <c r="C109" s="51" t="s">
        <v>16</v>
      </c>
      <c r="D109" s="14">
        <f aca="true" t="shared" si="382" ref="D109:AX109">D105-D106-D108</f>
        <v>0</v>
      </c>
      <c r="E109" s="14">
        <f t="shared" si="382"/>
        <v>0</v>
      </c>
      <c r="F109" s="14">
        <f t="shared" si="382"/>
        <v>0</v>
      </c>
      <c r="G109" s="14">
        <f t="shared" si="382"/>
        <v>0</v>
      </c>
      <c r="H109" s="14">
        <f t="shared" si="382"/>
        <v>0</v>
      </c>
      <c r="I109" s="14">
        <f t="shared" si="382"/>
        <v>7828.333750876841</v>
      </c>
      <c r="J109" s="14">
        <f t="shared" si="382"/>
        <v>7828.333750876841</v>
      </c>
      <c r="K109" s="14">
        <f t="shared" si="382"/>
        <v>7828.333750876841</v>
      </c>
      <c r="L109" s="14">
        <f t="shared" si="382"/>
        <v>7828.333750876841</v>
      </c>
      <c r="M109" s="14">
        <f t="shared" si="382"/>
        <v>7828.333750876841</v>
      </c>
      <c r="N109" s="14">
        <f t="shared" si="382"/>
        <v>0</v>
      </c>
      <c r="O109" s="14">
        <f t="shared" si="382"/>
        <v>0</v>
      </c>
      <c r="P109" s="14">
        <f t="shared" si="382"/>
        <v>0</v>
      </c>
      <c r="Q109" s="14">
        <f t="shared" si="382"/>
        <v>0</v>
      </c>
      <c r="R109" s="14">
        <f t="shared" si="382"/>
        <v>0</v>
      </c>
      <c r="S109" s="14">
        <f t="shared" si="382"/>
        <v>3914.1668754384204</v>
      </c>
      <c r="T109" s="14">
        <f t="shared" si="382"/>
        <v>7828.333750876841</v>
      </c>
      <c r="U109" s="14">
        <f t="shared" si="382"/>
        <v>7828.333750876841</v>
      </c>
      <c r="V109" s="14">
        <f t="shared" si="382"/>
        <v>7828.333750876841</v>
      </c>
      <c r="W109" s="14">
        <f t="shared" si="382"/>
        <v>7828.333750876841</v>
      </c>
      <c r="X109" s="14">
        <f t="shared" si="382"/>
        <v>7828.333750876841</v>
      </c>
      <c r="Y109" s="14">
        <f t="shared" si="382"/>
        <v>6523.611459064034</v>
      </c>
      <c r="Z109" s="14">
        <f t="shared" si="382"/>
        <v>0</v>
      </c>
      <c r="AA109" s="14">
        <f t="shared" si="382"/>
        <v>0</v>
      </c>
      <c r="AB109" s="14">
        <f t="shared" si="382"/>
        <v>0</v>
      </c>
      <c r="AC109" s="14">
        <f t="shared" si="382"/>
        <v>0</v>
      </c>
      <c r="AD109" s="14">
        <f t="shared" si="382"/>
        <v>0</v>
      </c>
      <c r="AE109" s="14">
        <f t="shared" si="382"/>
        <v>3914.1668754384204</v>
      </c>
      <c r="AF109" s="14">
        <f t="shared" si="382"/>
        <v>7828.333750876841</v>
      </c>
      <c r="AG109" s="14">
        <f t="shared" si="382"/>
        <v>7828.333750876841</v>
      </c>
      <c r="AH109" s="14">
        <f t="shared" si="382"/>
        <v>7828.333750876841</v>
      </c>
      <c r="AI109" s="14">
        <f t="shared" si="382"/>
        <v>7828.333750876841</v>
      </c>
      <c r="AJ109" s="14">
        <f t="shared" si="382"/>
        <v>7828.333750876841</v>
      </c>
      <c r="AK109" s="14">
        <f t="shared" si="382"/>
        <v>6523.611459064034</v>
      </c>
      <c r="AL109" s="14">
        <f t="shared" si="382"/>
        <v>0</v>
      </c>
      <c r="AM109" s="14">
        <f t="shared" si="382"/>
        <v>0</v>
      </c>
      <c r="AN109" s="14">
        <f t="shared" si="382"/>
        <v>39141.668754384205</v>
      </c>
      <c r="AO109" s="140">
        <f t="shared" si="382"/>
        <v>49579.44708888666</v>
      </c>
      <c r="AP109" s="14">
        <f t="shared" si="382"/>
        <v>49579.44708888666</v>
      </c>
      <c r="AQ109" s="14">
        <f t="shared" si="382"/>
        <v>49579.44708888666</v>
      </c>
      <c r="AR109" s="14">
        <f t="shared" si="382"/>
        <v>49579.44708888666</v>
      </c>
      <c r="AS109" s="14">
        <f t="shared" si="382"/>
        <v>49579.44708888666</v>
      </c>
      <c r="AT109" s="14">
        <f t="shared" si="382"/>
        <v>49579.44708888666</v>
      </c>
      <c r="AU109" s="14">
        <f t="shared" si="382"/>
        <v>49579.44708888666</v>
      </c>
      <c r="AV109" s="14">
        <f t="shared" si="382"/>
        <v>49579.44708888666</v>
      </c>
      <c r="AW109" s="14">
        <f t="shared" si="382"/>
        <v>49579.44708888666</v>
      </c>
      <c r="AX109" s="14">
        <f t="shared" si="382"/>
        <v>49579.44708888666</v>
      </c>
      <c r="AY109" s="50">
        <f>SUM(AO109:AX109)</f>
        <v>495794.4708888666</v>
      </c>
      <c r="BC109" s="14">
        <f aca="true" t="shared" si="383" ref="BC109:BN109">BC105-BC106-BC108</f>
        <v>0</v>
      </c>
      <c r="BD109" s="14">
        <f t="shared" si="383"/>
        <v>0</v>
      </c>
      <c r="BE109" s="14">
        <f t="shared" si="383"/>
        <v>0</v>
      </c>
      <c r="BF109" s="14">
        <f t="shared" si="383"/>
        <v>3914.1668754384204</v>
      </c>
      <c r="BG109" s="14">
        <f t="shared" si="383"/>
        <v>7828.333750876841</v>
      </c>
      <c r="BH109" s="14">
        <f t="shared" si="383"/>
        <v>7828.333750876841</v>
      </c>
      <c r="BI109" s="14">
        <f t="shared" si="383"/>
        <v>7828.333750876841</v>
      </c>
      <c r="BJ109" s="14">
        <f t="shared" si="383"/>
        <v>7828.333750876841</v>
      </c>
      <c r="BK109" s="14">
        <f t="shared" si="383"/>
        <v>7828.333750876841</v>
      </c>
      <c r="BL109" s="14">
        <f t="shared" si="383"/>
        <v>6523.611459064034</v>
      </c>
      <c r="BM109" s="14">
        <f t="shared" si="383"/>
        <v>0</v>
      </c>
      <c r="BN109" s="14">
        <f t="shared" si="383"/>
        <v>0</v>
      </c>
      <c r="BO109" s="50">
        <f t="shared" si="365"/>
        <v>49579.447088886656</v>
      </c>
      <c r="BP109" s="14"/>
      <c r="BQ109" s="14">
        <f aca="true" t="shared" si="384" ref="BQ109:CB109">BQ105-BQ106-BQ108</f>
        <v>0</v>
      </c>
      <c r="BR109" s="14">
        <f t="shared" si="384"/>
        <v>0</v>
      </c>
      <c r="BS109" s="14">
        <f t="shared" si="384"/>
        <v>0</v>
      </c>
      <c r="BT109" s="14">
        <f t="shared" si="384"/>
        <v>3914.1668754384204</v>
      </c>
      <c r="BU109" s="14">
        <f t="shared" si="384"/>
        <v>7828.333750876841</v>
      </c>
      <c r="BV109" s="14">
        <f t="shared" si="384"/>
        <v>7828.333750876841</v>
      </c>
      <c r="BW109" s="14">
        <f t="shared" si="384"/>
        <v>7828.333750876841</v>
      </c>
      <c r="BX109" s="14">
        <f t="shared" si="384"/>
        <v>7828.333750876841</v>
      </c>
      <c r="BY109" s="14">
        <f t="shared" si="384"/>
        <v>7828.333750876841</v>
      </c>
      <c r="BZ109" s="14">
        <f t="shared" si="384"/>
        <v>6523.611459064034</v>
      </c>
      <c r="CA109" s="14">
        <f t="shared" si="384"/>
        <v>0</v>
      </c>
      <c r="CB109" s="14">
        <f t="shared" si="384"/>
        <v>0</v>
      </c>
      <c r="CC109" s="50">
        <f t="shared" si="366"/>
        <v>49579.447088886656</v>
      </c>
      <c r="CD109" s="14"/>
      <c r="CE109" s="14">
        <f aca="true" t="shared" si="385" ref="CE109:CP109">CE105-CE106-CE108</f>
        <v>0</v>
      </c>
      <c r="CF109" s="14">
        <f t="shared" si="385"/>
        <v>0</v>
      </c>
      <c r="CG109" s="14">
        <f t="shared" si="385"/>
        <v>0</v>
      </c>
      <c r="CH109" s="14">
        <f t="shared" si="385"/>
        <v>3914.1668754384204</v>
      </c>
      <c r="CI109" s="14">
        <f t="shared" si="385"/>
        <v>7828.333750876841</v>
      </c>
      <c r="CJ109" s="14">
        <f t="shared" si="385"/>
        <v>7828.333750876841</v>
      </c>
      <c r="CK109" s="14">
        <f t="shared" si="385"/>
        <v>7828.333750876841</v>
      </c>
      <c r="CL109" s="14">
        <f t="shared" si="385"/>
        <v>7828.333750876841</v>
      </c>
      <c r="CM109" s="14">
        <f t="shared" si="385"/>
        <v>7828.333750876841</v>
      </c>
      <c r="CN109" s="14">
        <f t="shared" si="385"/>
        <v>6523.611459064034</v>
      </c>
      <c r="CO109" s="14">
        <f t="shared" si="385"/>
        <v>0</v>
      </c>
      <c r="CP109" s="14">
        <f t="shared" si="385"/>
        <v>0</v>
      </c>
      <c r="CQ109" s="50">
        <f t="shared" si="367"/>
        <v>49579.447088886656</v>
      </c>
    </row>
    <row r="110" spans="1:94" ht="13.5" thickBot="1">
      <c r="A110" s="42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148"/>
      <c r="AP110" s="44"/>
      <c r="AQ110" s="44"/>
      <c r="AR110" s="44"/>
      <c r="AS110" s="44"/>
      <c r="AT110" s="44"/>
      <c r="AU110" s="44"/>
      <c r="AV110" s="44"/>
      <c r="AW110" s="44"/>
      <c r="AX110" s="45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</row>
    <row r="111" ht="12.75">
      <c r="B111" s="1"/>
    </row>
    <row r="115" ht="12.75">
      <c r="B115" s="1"/>
    </row>
    <row r="117" ht="12.75">
      <c r="CD117" s="14"/>
    </row>
  </sheetData>
  <printOptions gridLines="1" horizontalCentered="1"/>
  <pageMargins left="0.1968503937007874" right="0.15748031496062992" top="1.15" bottom="0.1968503937007874" header="0.7" footer="0.196850393700787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7" sqref="A27"/>
    </sheetView>
  </sheetViews>
  <sheetFormatPr defaultColWidth="11.421875" defaultRowHeight="12.75"/>
  <cols>
    <col min="1" max="1" width="51.57421875" style="0" customWidth="1"/>
    <col min="2" max="2" width="51.7109375" style="0" customWidth="1"/>
    <col min="3" max="3" width="3.421875" style="0" customWidth="1"/>
  </cols>
  <sheetData>
    <row r="1" spans="1:2" ht="18">
      <c r="A1" s="131" t="str">
        <f>'Basis data'!A1</f>
        <v>Shcheglovskaya-Glubokaya</v>
      </c>
      <c r="B1" s="91" t="s">
        <v>133</v>
      </c>
    </row>
    <row r="2" spans="1:2" ht="12.75">
      <c r="A2" s="92" t="s">
        <v>134</v>
      </c>
      <c r="B2" s="91">
        <v>5</v>
      </c>
    </row>
    <row r="3" spans="1:2" s="2" customFormat="1" ht="12.75">
      <c r="A3" s="92" t="s">
        <v>135</v>
      </c>
      <c r="B3" s="91">
        <v>5</v>
      </c>
    </row>
    <row r="4" spans="1:2" ht="14.25">
      <c r="A4" s="91" t="s">
        <v>30</v>
      </c>
      <c r="B4" s="91" t="s">
        <v>156</v>
      </c>
    </row>
    <row r="5" spans="1:2" ht="12.75">
      <c r="A5" s="93">
        <v>2008</v>
      </c>
      <c r="B5" s="95">
        <f>'Consumption-Table'!AO$20</f>
        <v>142715.3418341842</v>
      </c>
    </row>
    <row r="6" spans="1:2" ht="12.75">
      <c r="A6" s="93">
        <v>2009</v>
      </c>
      <c r="B6" s="95">
        <f>'Consumption-Table'!AP$20</f>
        <v>179256.82560031046</v>
      </c>
    </row>
    <row r="7" spans="1:2" ht="12.75">
      <c r="A7" s="93">
        <v>2010</v>
      </c>
      <c r="B7" s="95">
        <f>'Consumption-Table'!AQ$20</f>
        <v>179109.29640031047</v>
      </c>
    </row>
    <row r="8" spans="1:2" ht="12.75">
      <c r="A8" s="93">
        <v>2011</v>
      </c>
      <c r="B8" s="95">
        <f>'Consumption-Table'!AR$20</f>
        <v>178951.2294003105</v>
      </c>
    </row>
    <row r="9" spans="1:2" ht="12.75">
      <c r="A9" s="93">
        <v>2012</v>
      </c>
      <c r="B9" s="95">
        <f>'Consumption-Table'!AS$20</f>
        <v>178793.16240031045</v>
      </c>
    </row>
    <row r="10" spans="1:2" ht="27">
      <c r="A10" s="94" t="s">
        <v>157</v>
      </c>
      <c r="B10" s="95">
        <f>SUM(B5:B9)</f>
        <v>858825.855635426</v>
      </c>
    </row>
    <row r="11" spans="1:2" ht="27">
      <c r="A11" s="94" t="s">
        <v>158</v>
      </c>
      <c r="B11" s="95">
        <f>B10/5</f>
        <v>171765.1711270852</v>
      </c>
    </row>
    <row r="12" ht="15.75" customHeight="1"/>
    <row r="16" spans="1:2" ht="12.75">
      <c r="A16" s="175" t="s">
        <v>195</v>
      </c>
      <c r="B16" s="175"/>
    </row>
    <row r="17" spans="1:3" ht="12.75">
      <c r="A17" s="93">
        <v>2013</v>
      </c>
      <c r="B17" s="95">
        <f>'Consumption-Table'!AT$20</f>
        <v>178793.16240031045</v>
      </c>
      <c r="C17" s="26"/>
    </row>
    <row r="18" spans="1:4" ht="12.75">
      <c r="A18" s="93">
        <v>2014</v>
      </c>
      <c r="B18" s="95">
        <f>'Consumption-Table'!AU$20</f>
        <v>178793.16240031045</v>
      </c>
      <c r="C18" s="26"/>
      <c r="D18" s="26"/>
    </row>
    <row r="19" spans="1:2" ht="12.75">
      <c r="A19" s="93">
        <v>2015</v>
      </c>
      <c r="B19" s="95">
        <f>'Consumption-Table'!AV$20</f>
        <v>178793.16240031045</v>
      </c>
    </row>
    <row r="20" spans="1:2" ht="12.75">
      <c r="A20" s="93">
        <v>2016</v>
      </c>
      <c r="B20" s="95">
        <f>'Consumption-Table'!AW$20</f>
        <v>178793.16240031045</v>
      </c>
    </row>
    <row r="21" spans="1:2" ht="12.75">
      <c r="A21" s="93">
        <v>2017</v>
      </c>
      <c r="B21" s="95">
        <f>'Consumption-Table'!AX$20</f>
        <v>178793.16240031045</v>
      </c>
    </row>
    <row r="22" spans="1:4" ht="27">
      <c r="A22" s="94" t="s">
        <v>196</v>
      </c>
      <c r="B22" s="95">
        <f>SUM(B17:B21)</f>
        <v>893965.8120015522</v>
      </c>
      <c r="C22" s="26"/>
      <c r="D22" s="26"/>
    </row>
    <row r="25" spans="3:4" ht="12.75">
      <c r="C25" s="26"/>
      <c r="D25" s="26"/>
    </row>
    <row r="26" spans="3:4" ht="12.75">
      <c r="C26" s="26"/>
      <c r="D26" s="26"/>
    </row>
    <row r="27" ht="12.75">
      <c r="D27" s="26"/>
    </row>
    <row r="28" ht="12.75">
      <c r="D28" s="26"/>
    </row>
  </sheetData>
  <mergeCells count="1">
    <mergeCell ref="A16:B16"/>
  </mergeCells>
  <printOptions horizontalCentered="1"/>
  <pageMargins left="0.5118110236220472" right="0.4330708661417323" top="0.87" bottom="0.984251968503937" header="0.5118110236220472" footer="0.5118110236220472"/>
  <pageSetup horizontalDpi="600" verticalDpi="600" orientation="landscape" paperSize="9" scale="120" r:id="rId2"/>
  <headerFooter alignWithMargins="0">
    <oddFooter>&amp;C&amp;F, &amp;A,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23" sqref="G23"/>
    </sheetView>
  </sheetViews>
  <sheetFormatPr defaultColWidth="11.421875" defaultRowHeight="12.75"/>
  <cols>
    <col min="1" max="1" width="31.140625" style="109" customWidth="1"/>
    <col min="2" max="6" width="7.28125" style="0" bestFit="1" customWidth="1"/>
    <col min="7" max="7" width="12.57421875" style="0" customWidth="1"/>
    <col min="8" max="8" width="39.140625" style="0" bestFit="1" customWidth="1"/>
  </cols>
  <sheetData>
    <row r="1" spans="1:8" ht="18.75" customHeight="1" thickBot="1">
      <c r="A1" s="107" t="s">
        <v>101</v>
      </c>
      <c r="B1" s="112"/>
      <c r="C1" s="112"/>
      <c r="D1" s="173"/>
      <c r="E1" s="112"/>
      <c r="F1" s="112"/>
      <c r="G1" s="113"/>
      <c r="H1" s="123" t="str">
        <f>'Basis data'!A1</f>
        <v>Shcheglovskaya-Glubokaya</v>
      </c>
    </row>
    <row r="2" spans="1:7" ht="15">
      <c r="A2" s="110" t="s">
        <v>100</v>
      </c>
      <c r="B2" s="111">
        <v>2008</v>
      </c>
      <c r="C2" s="104">
        <v>2009</v>
      </c>
      <c r="D2" s="111">
        <v>2010</v>
      </c>
      <c r="E2" s="104">
        <v>2011</v>
      </c>
      <c r="F2" s="111">
        <v>2012</v>
      </c>
      <c r="G2" s="114" t="s">
        <v>174</v>
      </c>
    </row>
    <row r="3" spans="1:7" ht="15">
      <c r="A3" s="108" t="s">
        <v>102</v>
      </c>
      <c r="B3" s="115"/>
      <c r="C3" s="115"/>
      <c r="D3" s="115"/>
      <c r="E3" s="115"/>
      <c r="F3" s="115"/>
      <c r="G3" s="116"/>
    </row>
    <row r="4" spans="1:7" ht="15">
      <c r="A4" s="82" t="s">
        <v>104</v>
      </c>
      <c r="B4" s="83">
        <f>'Consumption-Table'!AO16</f>
        <v>7470.875588736347</v>
      </c>
      <c r="C4" s="83">
        <f>'Consumption-Table'!AP16</f>
        <v>7470.875588736347</v>
      </c>
      <c r="D4" s="83">
        <f>'Consumption-Table'!AQ16</f>
        <v>7470.875588736347</v>
      </c>
      <c r="E4" s="83">
        <f>'Consumption-Table'!AR16</f>
        <v>7470.875588736347</v>
      </c>
      <c r="F4" s="83">
        <f>'Consumption-Table'!AS16</f>
        <v>7470.875588736347</v>
      </c>
      <c r="G4" s="84">
        <f>'Consumption-Table'!AT16</f>
        <v>7470.875588736347</v>
      </c>
    </row>
    <row r="5" spans="1:7" ht="15">
      <c r="A5" s="82" t="s">
        <v>105</v>
      </c>
      <c r="B5" s="83">
        <f>'Consumption-Table'!AO17</f>
        <v>9246.756328915722</v>
      </c>
      <c r="C5" s="83">
        <f>'Consumption-Table'!AP17</f>
        <v>9287.920899513978</v>
      </c>
      <c r="D5" s="83">
        <f>'Consumption-Table'!AQ17</f>
        <v>9287.920899513978</v>
      </c>
      <c r="E5" s="83">
        <f>'Consumption-Table'!AR17</f>
        <v>9287.920899513978</v>
      </c>
      <c r="F5" s="83">
        <f>'Consumption-Table'!AS17</f>
        <v>9287.920899513978</v>
      </c>
      <c r="G5" s="84">
        <f>'Consumption-Table'!AT17</f>
        <v>9287.920899513978</v>
      </c>
    </row>
    <row r="6" spans="1:7" ht="15">
      <c r="A6" s="82" t="s">
        <v>106</v>
      </c>
      <c r="B6" s="83">
        <f>'Consumption-Table'!AO18</f>
        <v>1369.9569095099714</v>
      </c>
      <c r="C6" s="83">
        <f>'Consumption-Table'!AP18</f>
        <v>5993.561479106123</v>
      </c>
      <c r="D6" s="83">
        <f>'Consumption-Table'!AQ18</f>
        <v>5993.561479106123</v>
      </c>
      <c r="E6" s="83">
        <f>'Consumption-Table'!AR18</f>
        <v>5993.561479106123</v>
      </c>
      <c r="F6" s="83">
        <f>'Consumption-Table'!AS18</f>
        <v>5993.561479106123</v>
      </c>
      <c r="G6" s="84">
        <f>'Consumption-Table'!AT18</f>
        <v>5993.561479106123</v>
      </c>
    </row>
    <row r="7" spans="1:7" ht="15">
      <c r="A7" s="88" t="s">
        <v>103</v>
      </c>
      <c r="B7" s="83"/>
      <c r="C7" s="83"/>
      <c r="D7" s="83"/>
      <c r="E7" s="83"/>
      <c r="F7" s="83"/>
      <c r="G7" s="84"/>
    </row>
    <row r="8" spans="1:7" ht="15.75" thickBot="1">
      <c r="A8" s="89" t="s">
        <v>106</v>
      </c>
      <c r="B8" s="85">
        <f>'Consumption-Table'!AO19</f>
        <v>60.71520000000002</v>
      </c>
      <c r="C8" s="85">
        <f>'Consumption-Table'!AP19</f>
        <v>259.8960000000001</v>
      </c>
      <c r="D8" s="85">
        <f>'Consumption-Table'!AQ19</f>
        <v>254.54520000000002</v>
      </c>
      <c r="E8" s="85">
        <f>'Consumption-Table'!AR19</f>
        <v>248.81220000000002</v>
      </c>
      <c r="F8" s="85">
        <f>'Consumption-Table'!AS19</f>
        <v>243.07920000000001</v>
      </c>
      <c r="G8" s="90">
        <f>'Consumption-Table'!AT19</f>
        <v>243.07920000000001</v>
      </c>
    </row>
    <row r="9" spans="1:7" ht="15" thickBot="1">
      <c r="A9" s="86" t="s">
        <v>111</v>
      </c>
      <c r="B9" s="87">
        <f aca="true" t="shared" si="0" ref="B9:G9">SUM(B4:B6)+B8</f>
        <v>18148.30402716204</v>
      </c>
      <c r="C9" s="87">
        <f t="shared" si="0"/>
        <v>23012.25396735645</v>
      </c>
      <c r="D9" s="87">
        <f t="shared" si="0"/>
        <v>23006.90316735645</v>
      </c>
      <c r="E9" s="87">
        <f t="shared" si="0"/>
        <v>23001.17016735645</v>
      </c>
      <c r="F9" s="87">
        <f t="shared" si="0"/>
        <v>22995.43716735645</v>
      </c>
      <c r="G9" s="174">
        <f t="shared" si="0"/>
        <v>22995.43716735645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H14" sqref="H14"/>
    </sheetView>
  </sheetViews>
  <sheetFormatPr defaultColWidth="11.421875" defaultRowHeight="12.75"/>
  <cols>
    <col min="1" max="1" width="26.28125" style="0" customWidth="1"/>
    <col min="2" max="6" width="8.421875" style="0" bestFit="1" customWidth="1"/>
    <col min="7" max="7" width="12.7109375" style="0" customWidth="1"/>
  </cols>
  <sheetData>
    <row r="1" spans="1:7" ht="15" thickBot="1">
      <c r="A1" s="107" t="s">
        <v>107</v>
      </c>
      <c r="B1" s="112"/>
      <c r="C1" s="112"/>
      <c r="D1" s="112"/>
      <c r="E1" s="112"/>
      <c r="F1" s="112"/>
      <c r="G1" s="113"/>
    </row>
    <row r="2" spans="1:7" ht="15">
      <c r="A2" s="110" t="s">
        <v>100</v>
      </c>
      <c r="B2" s="111">
        <v>2008</v>
      </c>
      <c r="C2" s="104">
        <v>2009</v>
      </c>
      <c r="D2" s="111">
        <v>2010</v>
      </c>
      <c r="E2" s="104">
        <v>2011</v>
      </c>
      <c r="F2" s="111">
        <v>2012</v>
      </c>
      <c r="G2" s="114" t="s">
        <v>174</v>
      </c>
    </row>
    <row r="3" spans="1:7" ht="15">
      <c r="A3" s="108" t="s">
        <v>110</v>
      </c>
      <c r="B3" s="115"/>
      <c r="C3" s="115"/>
      <c r="D3" s="115"/>
      <c r="E3" s="115"/>
      <c r="F3" s="115"/>
      <c r="G3" s="116"/>
    </row>
    <row r="4" spans="1:7" ht="15">
      <c r="A4" s="82" t="s">
        <v>104</v>
      </c>
      <c r="B4" s="83">
        <f>'Consumption-Table'!AO10</f>
        <v>57050.32267762301</v>
      </c>
      <c r="C4" s="83">
        <f>'Consumption-Table'!AP10</f>
        <v>57050.32267762301</v>
      </c>
      <c r="D4" s="83">
        <f>'Consumption-Table'!AQ10</f>
        <v>57050.32267762301</v>
      </c>
      <c r="E4" s="83">
        <f>'Consumption-Table'!AR10</f>
        <v>57050.32267762301</v>
      </c>
      <c r="F4" s="83">
        <f>'Consumption-Table'!AS10</f>
        <v>57050.32267762301</v>
      </c>
      <c r="G4" s="84">
        <f>'Consumption-Table'!AT10</f>
        <v>57050.32267762301</v>
      </c>
    </row>
    <row r="5" spans="1:7" ht="15">
      <c r="A5" s="82" t="s">
        <v>105</v>
      </c>
      <c r="B5" s="83">
        <f>'Consumption-Table'!AO11</f>
        <v>70611.59378444734</v>
      </c>
      <c r="C5" s="83">
        <f>'Consumption-Table'!AP11</f>
        <v>70925.94141447038</v>
      </c>
      <c r="D5" s="83">
        <f>'Consumption-Table'!AQ11</f>
        <v>70925.94141447038</v>
      </c>
      <c r="E5" s="83">
        <f>'Consumption-Table'!AR11</f>
        <v>70925.94141447038</v>
      </c>
      <c r="F5" s="83">
        <f>'Consumption-Table'!AS11</f>
        <v>70925.94141447038</v>
      </c>
      <c r="G5" s="84">
        <f>'Consumption-Table'!AT11</f>
        <v>70925.94141447038</v>
      </c>
    </row>
    <row r="6" spans="1:7" ht="15">
      <c r="A6" s="82" t="s">
        <v>106</v>
      </c>
      <c r="B6" s="83">
        <f>'Consumption-Table'!AO12</f>
        <v>10461.489127167051</v>
      </c>
      <c r="C6" s="83">
        <f>'Consumption-Table'!AP12</f>
        <v>45769.01493135584</v>
      </c>
      <c r="D6" s="83">
        <f>'Consumption-Table'!AQ12</f>
        <v>45769.01493135584</v>
      </c>
      <c r="E6" s="83">
        <f>'Consumption-Table'!AR12</f>
        <v>45769.01493135584</v>
      </c>
      <c r="F6" s="83">
        <f>'Consumption-Table'!AS12</f>
        <v>45769.01493135584</v>
      </c>
      <c r="G6" s="84">
        <f>'Consumption-Table'!AT12</f>
        <v>45769.01493135584</v>
      </c>
    </row>
    <row r="7" spans="1:7" ht="30">
      <c r="A7" s="88" t="s">
        <v>108</v>
      </c>
      <c r="B7" s="83">
        <f>'Consumption-Table'!AO13</f>
        <v>21005.520272108846</v>
      </c>
      <c r="C7" s="83">
        <f>'Consumption-Table'!AP13</f>
        <v>21098.200544217692</v>
      </c>
      <c r="D7" s="83">
        <f>'Consumption-Table'!AQ13</f>
        <v>21098.20054421769</v>
      </c>
      <c r="E7" s="83">
        <f>'Consumption-Table'!AR13</f>
        <v>21098.20054421769</v>
      </c>
      <c r="F7" s="83">
        <f>'Consumption-Table'!AS13</f>
        <v>21098.20054421769</v>
      </c>
      <c r="G7" s="84">
        <f>'Consumption-Table'!AT13</f>
        <v>21098.20054421769</v>
      </c>
    </row>
    <row r="8" spans="1:7" ht="30.75" thickBot="1">
      <c r="A8" s="89" t="s">
        <v>109</v>
      </c>
      <c r="B8" s="85">
        <f>'Consumption-Table'!AO14</f>
        <v>1734.7199999999996</v>
      </c>
      <c r="C8" s="85">
        <f>'Consumption-Table'!AP14</f>
        <v>7425.600000000001</v>
      </c>
      <c r="D8" s="85">
        <f>'Consumption-Table'!AQ14</f>
        <v>7272.720000000001</v>
      </c>
      <c r="E8" s="85">
        <f>'Consumption-Table'!AR14</f>
        <v>7108.920000000001</v>
      </c>
      <c r="F8" s="85">
        <f>'Consumption-Table'!AS14</f>
        <v>6945.119999999998</v>
      </c>
      <c r="G8" s="90">
        <f>'Consumption-Table'!AT14</f>
        <v>6945.119999999998</v>
      </c>
    </row>
    <row r="9" spans="1:7" ht="15" thickBot="1">
      <c r="A9" s="117" t="s">
        <v>111</v>
      </c>
      <c r="B9" s="105">
        <f aca="true" t="shared" si="0" ref="B9:G9">SUM(B4:B8)</f>
        <v>160863.64586134625</v>
      </c>
      <c r="C9" s="105">
        <f t="shared" si="0"/>
        <v>202269.07956766692</v>
      </c>
      <c r="D9" s="105">
        <f t="shared" si="0"/>
        <v>202116.19956766692</v>
      </c>
      <c r="E9" s="105">
        <f t="shared" si="0"/>
        <v>201952.39956766693</v>
      </c>
      <c r="F9" s="105">
        <f t="shared" si="0"/>
        <v>201788.5995676669</v>
      </c>
      <c r="G9" s="118">
        <f t="shared" si="0"/>
        <v>201788.5995676669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0" zoomScaleNormal="90" workbookViewId="0" topLeftCell="A1">
      <selection activeCell="B26" sqref="B26"/>
    </sheetView>
  </sheetViews>
  <sheetFormatPr defaultColWidth="11.421875" defaultRowHeight="12.75"/>
  <cols>
    <col min="1" max="1" width="24.57421875" style="0" customWidth="1"/>
    <col min="2" max="2" width="20.00390625" style="0" customWidth="1"/>
    <col min="3" max="3" width="16.8515625" style="0" customWidth="1"/>
    <col min="4" max="4" width="19.57421875" style="0" customWidth="1"/>
    <col min="5" max="5" width="19.7109375" style="0" customWidth="1"/>
  </cols>
  <sheetData>
    <row r="1" spans="1:3" ht="18">
      <c r="A1" s="123" t="str">
        <f>'Basis data'!A1</f>
        <v>Shcheglovskaya-Glubokaya</v>
      </c>
      <c r="C1" s="2"/>
    </row>
    <row r="2" ht="13.5" thickBot="1"/>
    <row r="3" spans="1:5" ht="46.5" customHeight="1">
      <c r="A3" s="96" t="s">
        <v>30</v>
      </c>
      <c r="B3" s="97" t="s">
        <v>31</v>
      </c>
      <c r="C3" s="97" t="s">
        <v>32</v>
      </c>
      <c r="D3" s="97" t="s">
        <v>33</v>
      </c>
      <c r="E3" s="98" t="s">
        <v>34</v>
      </c>
    </row>
    <row r="4" spans="1:5" ht="15">
      <c r="A4" s="176" t="s">
        <v>161</v>
      </c>
      <c r="B4" s="177"/>
      <c r="C4" s="177"/>
      <c r="D4" s="177"/>
      <c r="E4" s="178"/>
    </row>
    <row r="5" spans="1:5" ht="15">
      <c r="A5" s="99">
        <v>2008</v>
      </c>
      <c r="B5" s="5">
        <f>'Consumption-Table'!AO$15</f>
        <v>18148.30402716204</v>
      </c>
      <c r="C5" s="101" t="s">
        <v>35</v>
      </c>
      <c r="D5" s="5">
        <f>'Consumption-Table'!AO$9</f>
        <v>160863.64586134625</v>
      </c>
      <c r="E5" s="103">
        <f>'Consumption-Table'!AO$20</f>
        <v>142715.3418341842</v>
      </c>
    </row>
    <row r="6" spans="1:5" ht="15">
      <c r="A6" s="99">
        <v>2009</v>
      </c>
      <c r="B6" s="5">
        <f>'Consumption-Table'!AP$15</f>
        <v>23012.25396735645</v>
      </c>
      <c r="C6" s="101" t="s">
        <v>35</v>
      </c>
      <c r="D6" s="5">
        <f>'Consumption-Table'!AP$9</f>
        <v>202269.07956766692</v>
      </c>
      <c r="E6" s="103">
        <f>'Consumption-Table'!AP$20</f>
        <v>179256.82560031046</v>
      </c>
    </row>
    <row r="7" spans="1:5" ht="15">
      <c r="A7" s="99">
        <v>2010</v>
      </c>
      <c r="B7" s="5">
        <f>'Consumption-Table'!AQ$15</f>
        <v>23006.90316735645</v>
      </c>
      <c r="C7" s="101" t="s">
        <v>35</v>
      </c>
      <c r="D7" s="5">
        <f>'Consumption-Table'!AQ$9</f>
        <v>202116.19956766692</v>
      </c>
      <c r="E7" s="103">
        <f>'Consumption-Table'!AQ$20</f>
        <v>179109.29640031047</v>
      </c>
    </row>
    <row r="8" spans="1:5" ht="15">
      <c r="A8" s="99">
        <v>2011</v>
      </c>
      <c r="B8" s="5">
        <f>'Consumption-Table'!AR$15</f>
        <v>23001.17016735645</v>
      </c>
      <c r="C8" s="101" t="s">
        <v>35</v>
      </c>
      <c r="D8" s="5">
        <f>'Consumption-Table'!AR$9</f>
        <v>201952.39956766693</v>
      </c>
      <c r="E8" s="103">
        <f>'Consumption-Table'!AR$20</f>
        <v>178951.2294003105</v>
      </c>
    </row>
    <row r="9" spans="1:5" ht="15">
      <c r="A9" s="99">
        <v>2012</v>
      </c>
      <c r="B9" s="5">
        <f>'Consumption-Table'!AS$15</f>
        <v>22995.43716735645</v>
      </c>
      <c r="C9" s="101" t="s">
        <v>35</v>
      </c>
      <c r="D9" s="5">
        <f>'Consumption-Table'!AS$9</f>
        <v>201788.5995676669</v>
      </c>
      <c r="E9" s="103">
        <f>'Consumption-Table'!AS$20</f>
        <v>178793.16240031045</v>
      </c>
    </row>
    <row r="10" spans="1:5" ht="30">
      <c r="A10" s="88" t="s">
        <v>36</v>
      </c>
      <c r="B10" s="100">
        <f>SUM(B5:B9)</f>
        <v>110164.06849658783</v>
      </c>
      <c r="C10" s="101" t="s">
        <v>35</v>
      </c>
      <c r="D10" s="100">
        <f>SUM(D5:D9)</f>
        <v>968989.9241320139</v>
      </c>
      <c r="E10" s="102">
        <f>SUM(E5:E9)</f>
        <v>858825.855635426</v>
      </c>
    </row>
    <row r="13" ht="12.75">
      <c r="F13" s="50"/>
    </row>
    <row r="16" spans="1:5" ht="15">
      <c r="A16" s="176" t="s">
        <v>194</v>
      </c>
      <c r="B16" s="177"/>
      <c r="C16" s="177"/>
      <c r="D16" s="177"/>
      <c r="E16" s="178"/>
    </row>
    <row r="17" spans="1:5" ht="15">
      <c r="A17" s="99">
        <v>2013</v>
      </c>
      <c r="B17" s="5">
        <f>'Consumption-Table'!AT$15</f>
        <v>22995.43716735645</v>
      </c>
      <c r="C17" s="4" t="s">
        <v>35</v>
      </c>
      <c r="D17" s="5">
        <f>'Consumption-Table'!AT$9</f>
        <v>201788.5995676669</v>
      </c>
      <c r="E17" s="103">
        <f>'Consumption-Table'!AT$20</f>
        <v>178793.16240031045</v>
      </c>
    </row>
    <row r="18" spans="1:5" ht="15">
      <c r="A18" s="99">
        <v>2014</v>
      </c>
      <c r="B18" s="5">
        <f>'Consumption-Table'!AU$15</f>
        <v>22995.43716735645</v>
      </c>
      <c r="C18" s="4" t="s">
        <v>35</v>
      </c>
      <c r="D18" s="5">
        <f>'Consumption-Table'!AU$9</f>
        <v>201788.5995676669</v>
      </c>
      <c r="E18" s="103">
        <f>'Consumption-Table'!AU$20</f>
        <v>178793.16240031045</v>
      </c>
    </row>
    <row r="19" spans="1:5" ht="15">
      <c r="A19" s="99">
        <v>2015</v>
      </c>
      <c r="B19" s="5">
        <f>'Consumption-Table'!AV$15</f>
        <v>22995.43716735645</v>
      </c>
      <c r="C19" s="4" t="s">
        <v>35</v>
      </c>
      <c r="D19" s="5">
        <f>'Consumption-Table'!AV$9</f>
        <v>201788.5995676669</v>
      </c>
      <c r="E19" s="103">
        <f>'Consumption-Table'!AV$20</f>
        <v>178793.16240031045</v>
      </c>
    </row>
    <row r="20" spans="1:5" ht="15">
      <c r="A20" s="99">
        <v>2016</v>
      </c>
      <c r="B20" s="5">
        <f>'Consumption-Table'!AW$15</f>
        <v>22995.43716735645</v>
      </c>
      <c r="C20" s="4" t="s">
        <v>35</v>
      </c>
      <c r="D20" s="5">
        <f>'Consumption-Table'!AW$9</f>
        <v>201788.5995676669</v>
      </c>
      <c r="E20" s="103">
        <f>'Consumption-Table'!AW$20</f>
        <v>178793.16240031045</v>
      </c>
    </row>
    <row r="21" spans="1:5" ht="15">
      <c r="A21" s="99">
        <v>2017</v>
      </c>
      <c r="B21" s="5">
        <f>'Consumption-Table'!AX$15</f>
        <v>22995.43716735645</v>
      </c>
      <c r="C21" s="4" t="s">
        <v>35</v>
      </c>
      <c r="D21" s="5">
        <f>'Consumption-Table'!AX$9</f>
        <v>201788.5995676669</v>
      </c>
      <c r="E21" s="103">
        <f>'Consumption-Table'!AX$20</f>
        <v>178793.16240031045</v>
      </c>
    </row>
    <row r="22" spans="1:5" ht="30">
      <c r="A22" s="88" t="s">
        <v>36</v>
      </c>
      <c r="B22" s="100">
        <f>SUM(B17:B21)</f>
        <v>114977.18583678224</v>
      </c>
      <c r="C22" s="4" t="s">
        <v>35</v>
      </c>
      <c r="D22" s="100">
        <f>SUM(D17:D21)</f>
        <v>1008942.9978383345</v>
      </c>
      <c r="E22" s="102">
        <f>SUM(E17:E21)</f>
        <v>893965.8120015522</v>
      </c>
    </row>
    <row r="27" s="2" customFormat="1" ht="46.5" customHeight="1"/>
  </sheetData>
  <mergeCells count="2">
    <mergeCell ref="A4:E4"/>
    <mergeCell ref="A16:E16"/>
  </mergeCells>
  <printOptions/>
  <pageMargins left="0.52" right="0.42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8"/>
  <sheetViews>
    <sheetView zoomScale="90" zoomScaleNormal="90" workbookViewId="0" topLeftCell="A1">
      <selection activeCell="K45" sqref="K45"/>
    </sheetView>
  </sheetViews>
  <sheetFormatPr defaultColWidth="11.421875" defaultRowHeight="12.75"/>
  <cols>
    <col min="1" max="1" width="4.140625" style="0" customWidth="1"/>
    <col min="2" max="2" width="13.00390625" style="0" customWidth="1"/>
    <col min="3" max="6" width="12.7109375" style="0" customWidth="1"/>
    <col min="7" max="7" width="13.140625" style="0" customWidth="1"/>
    <col min="8" max="12" width="12.7109375" style="0" customWidth="1"/>
  </cols>
  <sheetData>
    <row r="1" ht="18.75" thickBot="1">
      <c r="B1" s="123" t="str">
        <f>'Basis data'!A1</f>
        <v>Shcheglovskaya-Glubokaya</v>
      </c>
    </row>
    <row r="2" spans="3:11" ht="13.5" thickTop="1">
      <c r="C2" s="179" t="s">
        <v>37</v>
      </c>
      <c r="D2" s="180"/>
      <c r="E2" s="181"/>
      <c r="F2" s="10" t="s">
        <v>38</v>
      </c>
      <c r="G2" s="11"/>
      <c r="H2" s="12"/>
      <c r="I2" s="10" t="s">
        <v>39</v>
      </c>
      <c r="J2" s="11"/>
      <c r="K2" s="12"/>
    </row>
    <row r="3" spans="2:12" ht="76.5">
      <c r="B3" s="6" t="s">
        <v>30</v>
      </c>
      <c r="C3" s="8" t="s">
        <v>31</v>
      </c>
      <c r="D3" s="3" t="s">
        <v>33</v>
      </c>
      <c r="E3" s="9" t="s">
        <v>34</v>
      </c>
      <c r="F3" s="8" t="s">
        <v>31</v>
      </c>
      <c r="G3" s="3" t="s">
        <v>33</v>
      </c>
      <c r="H3" s="9" t="s">
        <v>34</v>
      </c>
      <c r="I3" s="8" t="s">
        <v>31</v>
      </c>
      <c r="J3" s="3" t="s">
        <v>33</v>
      </c>
      <c r="K3" s="9" t="s">
        <v>34</v>
      </c>
      <c r="L3" s="9" t="s">
        <v>178</v>
      </c>
    </row>
    <row r="4" spans="2:13" ht="12.75">
      <c r="B4" s="7">
        <v>2008</v>
      </c>
      <c r="C4" s="13">
        <f>CO2_Fuel_emission_2008</f>
        <v>9246.756328915722</v>
      </c>
      <c r="D4" s="14">
        <f>CO2_Methan_destr_2008+CO2_Reduction_Fuel_2008</f>
        <v>91617.11405655618</v>
      </c>
      <c r="E4" s="15">
        <f aca="true" t="shared" si="0" ref="E4:E13">D4-C4</f>
        <v>82370.35772764045</v>
      </c>
      <c r="F4" s="13">
        <f>CO2_Emis_Fackel_2008</f>
        <v>7470.875588736347</v>
      </c>
      <c r="G4" s="14">
        <f>CO2_Fackel_reduc_2008</f>
        <v>57050.32267762301</v>
      </c>
      <c r="H4" s="15">
        <f>G4-F4</f>
        <v>49579.44708888666</v>
      </c>
      <c r="I4" s="13">
        <f>CO2_Emisson_BHKW_2008</f>
        <v>1369.9569095099714</v>
      </c>
      <c r="J4" s="14">
        <f>CO2_BHKW_Methan_2008+CO2_Reduction_Power_2008</f>
        <v>12196.20912716705</v>
      </c>
      <c r="K4" s="15">
        <f aca="true" t="shared" si="1" ref="K4:K13">J4-I4</f>
        <v>10826.252217657078</v>
      </c>
      <c r="L4" s="50">
        <f>'Consumption-Table'!AO19</f>
        <v>60.71520000000002</v>
      </c>
      <c r="M4" s="50"/>
    </row>
    <row r="5" spans="2:13" ht="12.75">
      <c r="B5" s="7">
        <v>2009</v>
      </c>
      <c r="C5" s="13">
        <f>CO2_Fuel_emission_2009</f>
        <v>9287.920899513978</v>
      </c>
      <c r="D5" s="14">
        <f>CO2_Methan_destr_2009+CO2_Reduction_Fuel_2009</f>
        <v>92024.14195868807</v>
      </c>
      <c r="E5" s="15">
        <f t="shared" si="0"/>
        <v>82736.22105917409</v>
      </c>
      <c r="F5" s="13">
        <f>CO2_Emis_Fackel_2009</f>
        <v>7470.875588736347</v>
      </c>
      <c r="G5" s="14">
        <f>CO2_Fackel_reduc_2009</f>
        <v>57050.32267762301</v>
      </c>
      <c r="H5" s="15">
        <f>G5-F5</f>
        <v>49579.44708888666</v>
      </c>
      <c r="I5" s="13">
        <f>CO2_Emisson_BHKW_2009</f>
        <v>5993.561479106123</v>
      </c>
      <c r="J5" s="14">
        <f>CO2_BHKW_Methan_2009+CO2_Reduction_Power_2009</f>
        <v>53194.61493135584</v>
      </c>
      <c r="K5" s="15">
        <f t="shared" si="1"/>
        <v>47201.05345224972</v>
      </c>
      <c r="L5" s="50">
        <f>'Consumption-Table'!AP19</f>
        <v>259.8960000000001</v>
      </c>
      <c r="M5" s="50"/>
    </row>
    <row r="6" spans="2:13" ht="12.75">
      <c r="B6" s="7">
        <v>2010</v>
      </c>
      <c r="C6" s="13">
        <f>CO2_Fuel_emission_2010</f>
        <v>9287.920899513978</v>
      </c>
      <c r="D6" s="14">
        <f>CO2_Methan_destr_2010+CO2_Reduction_Fuel_2010</f>
        <v>92024.14195868807</v>
      </c>
      <c r="E6" s="15">
        <f t="shared" si="0"/>
        <v>82736.22105917409</v>
      </c>
      <c r="F6" s="13">
        <f>CO2_Emis_Fackel_2010</f>
        <v>7470.875588736347</v>
      </c>
      <c r="G6" s="14">
        <f>CO2_Fackel_reduc_2010</f>
        <v>57050.32267762301</v>
      </c>
      <c r="H6" s="15">
        <f aca="true" t="shared" si="2" ref="H6:H13">G6-F6</f>
        <v>49579.44708888666</v>
      </c>
      <c r="I6" s="13">
        <f>CO2_Emisson_BHKW_2010</f>
        <v>5993.561479106123</v>
      </c>
      <c r="J6" s="14">
        <f>CO2_BHKW_Methan_2010+CO2_Reduction_Power_2010</f>
        <v>53041.734931355844</v>
      </c>
      <c r="K6" s="15">
        <f t="shared" si="1"/>
        <v>47048.17345224972</v>
      </c>
      <c r="L6" s="50">
        <f>'Consumption-Table'!AQ19</f>
        <v>254.54520000000002</v>
      </c>
      <c r="M6" s="50"/>
    </row>
    <row r="7" spans="2:13" ht="12.75">
      <c r="B7" s="7">
        <v>2011</v>
      </c>
      <c r="C7" s="13">
        <f>CO2_Fuel_emission_2011</f>
        <v>9287.920899513978</v>
      </c>
      <c r="D7" s="14">
        <f>CO2_Methan_destr_2011+CO2_Reduction_Fuel_2011</f>
        <v>92024.14195868807</v>
      </c>
      <c r="E7" s="15">
        <f t="shared" si="0"/>
        <v>82736.22105917409</v>
      </c>
      <c r="F7" s="13">
        <f>CO2_Emis_Fackel_2011</f>
        <v>7470.875588736347</v>
      </c>
      <c r="G7" s="14">
        <f>CO2_Fackel_reduc_2011</f>
        <v>57050.32267762301</v>
      </c>
      <c r="H7" s="15">
        <f t="shared" si="2"/>
        <v>49579.44708888666</v>
      </c>
      <c r="I7" s="13">
        <f>CO2_Emisson_BHKW_2011</f>
        <v>5993.561479106123</v>
      </c>
      <c r="J7" s="14">
        <f>CO2_BHKW_Methan_2011+CO2_Reduction_Power_2011</f>
        <v>52877.93493135584</v>
      </c>
      <c r="K7" s="15">
        <f t="shared" si="1"/>
        <v>46884.37345224972</v>
      </c>
      <c r="L7" s="50">
        <f>'Consumption-Table'!AR19</f>
        <v>248.81220000000002</v>
      </c>
      <c r="M7" s="50"/>
    </row>
    <row r="8" spans="2:13" ht="12.75">
      <c r="B8" s="7">
        <v>2012</v>
      </c>
      <c r="C8" s="13">
        <f>CO2_Fuel_emission_2012</f>
        <v>9287.920899513978</v>
      </c>
      <c r="D8" s="14">
        <f>CO2_Methan_destr_2012+CO2_Reduction_Fuel_2012</f>
        <v>92024.14195868807</v>
      </c>
      <c r="E8" s="15">
        <f t="shared" si="0"/>
        <v>82736.22105917409</v>
      </c>
      <c r="F8" s="13">
        <f>CO2_Emis_Fackel_2012</f>
        <v>7470.875588736347</v>
      </c>
      <c r="G8" s="14">
        <f>CO2_Fackel_reduc_2012</f>
        <v>57050.32267762301</v>
      </c>
      <c r="H8" s="15">
        <f t="shared" si="2"/>
        <v>49579.44708888666</v>
      </c>
      <c r="I8" s="13">
        <f>CO2_Emisson_BHKW_2012</f>
        <v>5993.561479106123</v>
      </c>
      <c r="J8" s="14">
        <f>CO2_BHKW_Methan_2012+CO2_Reduction_Power_2012</f>
        <v>52714.13493135584</v>
      </c>
      <c r="K8" s="15">
        <f t="shared" si="1"/>
        <v>46720.573452249715</v>
      </c>
      <c r="L8" s="50">
        <f>'Consumption-Table'!AS19</f>
        <v>243.07920000000001</v>
      </c>
      <c r="M8" s="50"/>
    </row>
    <row r="9" spans="2:13" ht="12.75">
      <c r="B9" s="7">
        <v>2013</v>
      </c>
      <c r="C9" s="13">
        <f>CO2_Fuel_emission_2012</f>
        <v>9287.920899513978</v>
      </c>
      <c r="D9" s="14">
        <f>CO2_Methan_destr_2013+CO2_Reduction_Fuel_2013</f>
        <v>92024.14195868807</v>
      </c>
      <c r="E9" s="15">
        <f t="shared" si="0"/>
        <v>82736.22105917409</v>
      </c>
      <c r="F9" s="13">
        <f>CO2_Emis_Fackel_2013</f>
        <v>7470.875588736347</v>
      </c>
      <c r="G9" s="14">
        <f>CO2_Fackel_reduc_2013</f>
        <v>57050.32267762301</v>
      </c>
      <c r="H9" s="15">
        <f t="shared" si="2"/>
        <v>49579.44708888666</v>
      </c>
      <c r="I9" s="13">
        <f>CO2_Emisson_BHKW_2013</f>
        <v>5993.561479106123</v>
      </c>
      <c r="J9" s="14">
        <f>CO2_BHKW_Methan_2013+CO2_Reduction_Power_2013</f>
        <v>52714.13493135584</v>
      </c>
      <c r="K9" s="15">
        <f t="shared" si="1"/>
        <v>46720.573452249715</v>
      </c>
      <c r="L9" s="50">
        <f>'Consumption-Table'!AT19</f>
        <v>243.07920000000001</v>
      </c>
      <c r="M9" s="50"/>
    </row>
    <row r="10" spans="2:13" ht="12.75">
      <c r="B10" s="7">
        <v>2014</v>
      </c>
      <c r="C10" s="13">
        <f>CO2_Fuel_emission_2014</f>
        <v>9287.920899513978</v>
      </c>
      <c r="D10" s="14">
        <f>CO2_Methan_destr_2014+CO2_Reduction_Fuel_2014</f>
        <v>92024.14195868807</v>
      </c>
      <c r="E10" s="15">
        <f t="shared" si="0"/>
        <v>82736.22105917409</v>
      </c>
      <c r="F10" s="13">
        <f>CO2_Emis_Fackel_2014</f>
        <v>7470.875588736347</v>
      </c>
      <c r="G10" s="14">
        <f>CO2_Fackel_reduc_2014</f>
        <v>57050.32267762301</v>
      </c>
      <c r="H10" s="15">
        <f t="shared" si="2"/>
        <v>49579.44708888666</v>
      </c>
      <c r="I10" s="13">
        <f>CO2_Emisson_BHKW_2014</f>
        <v>5993.561479106123</v>
      </c>
      <c r="J10" s="14">
        <f>CO2_BHKW_Methan_2014+CO2_Reduction_Power_2014</f>
        <v>52714.13493135584</v>
      </c>
      <c r="K10" s="15">
        <f t="shared" si="1"/>
        <v>46720.573452249715</v>
      </c>
      <c r="L10" s="50">
        <f>'Consumption-Table'!AU19</f>
        <v>243.07920000000001</v>
      </c>
      <c r="M10" s="50"/>
    </row>
    <row r="11" spans="2:13" ht="12.75">
      <c r="B11" s="7">
        <v>2015</v>
      </c>
      <c r="C11" s="13">
        <f>CO2_Fuel_emission_2015</f>
        <v>9287.920899513978</v>
      </c>
      <c r="D11" s="14">
        <f>CO2_Methan_destr_2015+CO2_Reduction_Fuel_2015</f>
        <v>92024.14195868807</v>
      </c>
      <c r="E11" s="15">
        <f t="shared" si="0"/>
        <v>82736.22105917409</v>
      </c>
      <c r="F11" s="13">
        <f>CO2_Emis_Fackel_2015</f>
        <v>7470.875588736347</v>
      </c>
      <c r="G11" s="14">
        <f>CO2_Fackel_reduc_2015</f>
        <v>57050.32267762301</v>
      </c>
      <c r="H11" s="15">
        <f t="shared" si="2"/>
        <v>49579.44708888666</v>
      </c>
      <c r="I11" s="13">
        <f>CO2_Emisson_BHKW_2015</f>
        <v>5993.561479106123</v>
      </c>
      <c r="J11" s="14">
        <f>CO2_BHKW_Methan_2015+CO2_Reduction_Power_2015</f>
        <v>52714.13493135584</v>
      </c>
      <c r="K11" s="15">
        <f t="shared" si="1"/>
        <v>46720.573452249715</v>
      </c>
      <c r="L11" s="50">
        <f>'Consumption-Table'!AV19</f>
        <v>243.07920000000001</v>
      </c>
      <c r="M11" s="50"/>
    </row>
    <row r="12" spans="2:13" ht="12.75">
      <c r="B12" s="7">
        <v>2016</v>
      </c>
      <c r="C12" s="13">
        <f>CO2_Fuel_emission_2016</f>
        <v>9287.920899513978</v>
      </c>
      <c r="D12" s="14">
        <f>CO2_Methan_destr_2016+CO2_Reduction_Fuel_2016</f>
        <v>92024.14195868807</v>
      </c>
      <c r="E12" s="15">
        <f t="shared" si="0"/>
        <v>82736.22105917409</v>
      </c>
      <c r="F12" s="13">
        <f>CO2_Emis_Fackel_2016</f>
        <v>7470.875588736347</v>
      </c>
      <c r="G12" s="14">
        <f>CO2_Fackel_reduc_2016</f>
        <v>57050.32267762301</v>
      </c>
      <c r="H12" s="15">
        <f t="shared" si="2"/>
        <v>49579.44708888666</v>
      </c>
      <c r="I12" s="13">
        <f>CO2_Emisson_BHKW_2016</f>
        <v>5993.561479106123</v>
      </c>
      <c r="J12" s="14">
        <f>CO2_BHKW_Methan_2016+CO2_Reduction_Power_2016</f>
        <v>52714.13493135584</v>
      </c>
      <c r="K12" s="15">
        <f t="shared" si="1"/>
        <v>46720.573452249715</v>
      </c>
      <c r="L12" s="50">
        <f>'Consumption-Table'!AW19</f>
        <v>243.07920000000001</v>
      </c>
      <c r="M12" s="50"/>
    </row>
    <row r="13" spans="2:13" ht="12.75">
      <c r="B13" s="7">
        <v>2017</v>
      </c>
      <c r="C13" s="13">
        <f>CO2_Fuel_emission_2017</f>
        <v>9287.920899513978</v>
      </c>
      <c r="D13" s="14">
        <f>CO2_Methan_destr_2017+CO2_Reduction_Fuel_2017</f>
        <v>92024.14195868807</v>
      </c>
      <c r="E13" s="15">
        <f t="shared" si="0"/>
        <v>82736.22105917409</v>
      </c>
      <c r="F13" s="13">
        <f>CO2_Emis_Fackel_2017</f>
        <v>7470.875588736347</v>
      </c>
      <c r="G13" s="14">
        <f>CO2_Fackel_reduc_2017</f>
        <v>57050.32267762301</v>
      </c>
      <c r="H13" s="15">
        <f t="shared" si="2"/>
        <v>49579.44708888666</v>
      </c>
      <c r="I13" s="13">
        <f>CO2_Emisson_BHKW_2017</f>
        <v>5993.561479106123</v>
      </c>
      <c r="J13" s="14">
        <f>CO2_BHKW_Methan_2017+CO2_Reduction_Power_2017</f>
        <v>52714.13493135584</v>
      </c>
      <c r="K13" s="15">
        <f t="shared" si="1"/>
        <v>46720.573452249715</v>
      </c>
      <c r="L13" s="50">
        <f>'Consumption-Table'!AX19</f>
        <v>243.07920000000001</v>
      </c>
      <c r="M13" s="50"/>
    </row>
    <row r="14" spans="2:14" ht="39" thickBot="1">
      <c r="B14" s="6" t="s">
        <v>36</v>
      </c>
      <c r="C14" s="16">
        <f aca="true" t="shared" si="3" ref="C14:K14">SUM(C4:C13)</f>
        <v>92838.04442454153</v>
      </c>
      <c r="D14" s="17">
        <f t="shared" si="3"/>
        <v>919834.3916847486</v>
      </c>
      <c r="E14" s="18">
        <f t="shared" si="3"/>
        <v>826996.3472602072</v>
      </c>
      <c r="F14" s="16">
        <f t="shared" si="3"/>
        <v>74708.75588736347</v>
      </c>
      <c r="G14" s="17">
        <f t="shared" si="3"/>
        <v>570503.22677623</v>
      </c>
      <c r="H14" s="18">
        <f t="shared" si="3"/>
        <v>495794.4708888666</v>
      </c>
      <c r="I14" s="16">
        <f t="shared" si="3"/>
        <v>55312.01022146508</v>
      </c>
      <c r="J14" s="17">
        <f t="shared" si="3"/>
        <v>487595.3035093696</v>
      </c>
      <c r="K14" s="18">
        <f t="shared" si="3"/>
        <v>432283.29328790447</v>
      </c>
      <c r="L14" s="50">
        <f>SUM(L4:L13)</f>
        <v>2282.443800000001</v>
      </c>
      <c r="M14" s="50">
        <f>K14+H14+E14-L14</f>
        <v>1752791.6676369782</v>
      </c>
      <c r="N14" s="50">
        <f>K14+H14+E14</f>
        <v>1755074.1114369782</v>
      </c>
    </row>
    <row r="15" ht="13.5" thickTop="1"/>
    <row r="16" spans="2:12" ht="12.75">
      <c r="B16" t="s">
        <v>76</v>
      </c>
      <c r="C16" s="50">
        <f>C13/2.75</f>
        <v>3377.4257816414465</v>
      </c>
      <c r="E16" s="50"/>
      <c r="F16" s="50">
        <f>F13/2.75</f>
        <v>2716.6820322677627</v>
      </c>
      <c r="G16" s="50"/>
      <c r="H16" s="50"/>
      <c r="I16" s="50">
        <f>I13/2.75</f>
        <v>2179.4769014931358</v>
      </c>
      <c r="J16" s="50"/>
      <c r="K16" s="50"/>
      <c r="L16" s="50">
        <f>I16+F16+C16</f>
        <v>8273.584715402345</v>
      </c>
    </row>
    <row r="18" spans="2:9" ht="12.75">
      <c r="B18" t="s">
        <v>77</v>
      </c>
      <c r="I18" s="50">
        <f>(C16+F16+I16)*2.75</f>
        <v>22752.35796735645</v>
      </c>
    </row>
  </sheetData>
  <mergeCells count="1">
    <mergeCell ref="C2:E2"/>
  </mergeCells>
  <printOptions/>
  <pageMargins left="0.64" right="0.51" top="1" bottom="1" header="0.4921259845" footer="0.492125984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88"/>
  <sheetViews>
    <sheetView zoomScale="70" zoomScaleNormal="70" workbookViewId="0" topLeftCell="A1">
      <pane xSplit="1" topLeftCell="Z1" activePane="topRight" state="frozen"/>
      <selection pane="topLeft" activeCell="A1" sqref="A1"/>
      <selection pane="topRight" activeCell="A7" sqref="A7"/>
    </sheetView>
  </sheetViews>
  <sheetFormatPr defaultColWidth="11.421875" defaultRowHeight="12.75"/>
  <cols>
    <col min="1" max="1" width="29.57421875" style="0" bestFit="1" customWidth="1"/>
    <col min="2" max="2" width="5.8515625" style="0" bestFit="1" customWidth="1"/>
    <col min="3" max="3" width="12.00390625" style="0" bestFit="1" customWidth="1"/>
    <col min="4" max="21" width="10.421875" style="0" bestFit="1" customWidth="1"/>
    <col min="22" max="22" width="9.7109375" style="0" bestFit="1" customWidth="1"/>
    <col min="23" max="26" width="10.421875" style="0" bestFit="1" customWidth="1"/>
    <col min="27" max="27" width="10.421875" style="0" customWidth="1"/>
    <col min="28" max="33" width="10.421875" style="0" bestFit="1" customWidth="1"/>
    <col min="34" max="34" width="9.7109375" style="0" bestFit="1" customWidth="1"/>
    <col min="35" max="38" width="10.421875" style="0" bestFit="1" customWidth="1"/>
    <col min="39" max="39" width="27.57421875" style="0" bestFit="1" customWidth="1"/>
    <col min="40" max="49" width="10.140625" style="1" bestFit="1" customWidth="1"/>
    <col min="50" max="50" width="9.140625" style="0" bestFit="1" customWidth="1"/>
  </cols>
  <sheetData>
    <row r="1" ht="18">
      <c r="A1" s="123" t="str">
        <f>'Basis data'!A1</f>
        <v>Shcheglovskaya-Glubokaya</v>
      </c>
    </row>
    <row r="2" ht="13.5" thickBot="1">
      <c r="A2" t="s">
        <v>172</v>
      </c>
    </row>
    <row r="3" spans="1:49" ht="12.75">
      <c r="A3" s="58"/>
      <c r="B3" s="58"/>
      <c r="C3" s="21">
        <v>39448</v>
      </c>
      <c r="D3" s="21">
        <v>39479</v>
      </c>
      <c r="E3" s="21">
        <v>39508</v>
      </c>
      <c r="F3" s="21">
        <v>39539</v>
      </c>
      <c r="G3" s="21">
        <v>39569</v>
      </c>
      <c r="H3" s="21">
        <v>39600</v>
      </c>
      <c r="I3" s="21">
        <v>39630</v>
      </c>
      <c r="J3" s="21">
        <v>39661</v>
      </c>
      <c r="K3" s="21">
        <v>39692</v>
      </c>
      <c r="L3" s="21">
        <v>39722</v>
      </c>
      <c r="M3" s="21">
        <v>39753</v>
      </c>
      <c r="N3" s="21">
        <v>39783</v>
      </c>
      <c r="O3" s="21">
        <v>39814</v>
      </c>
      <c r="P3" s="21">
        <v>39845</v>
      </c>
      <c r="Q3" s="21">
        <v>39873</v>
      </c>
      <c r="R3" s="21">
        <v>39904</v>
      </c>
      <c r="S3" s="21">
        <v>39934</v>
      </c>
      <c r="T3" s="21">
        <v>39965</v>
      </c>
      <c r="U3" s="21">
        <v>39995</v>
      </c>
      <c r="V3" s="21">
        <v>40026</v>
      </c>
      <c r="W3" s="21">
        <v>40057</v>
      </c>
      <c r="X3" s="21">
        <v>40087</v>
      </c>
      <c r="Y3" s="21">
        <v>40118</v>
      </c>
      <c r="Z3" s="21">
        <v>40148</v>
      </c>
      <c r="AA3" s="21">
        <v>40179</v>
      </c>
      <c r="AB3" s="21">
        <v>40210</v>
      </c>
      <c r="AC3" s="21">
        <v>40238</v>
      </c>
      <c r="AD3" s="21">
        <v>40269</v>
      </c>
      <c r="AE3" s="21">
        <v>40299</v>
      </c>
      <c r="AF3" s="21">
        <v>40330</v>
      </c>
      <c r="AG3" s="21">
        <v>40360</v>
      </c>
      <c r="AH3" s="21">
        <v>40391</v>
      </c>
      <c r="AI3" s="21">
        <v>40422</v>
      </c>
      <c r="AJ3" s="21">
        <v>40452</v>
      </c>
      <c r="AK3" s="21">
        <v>40483</v>
      </c>
      <c r="AL3" s="21">
        <v>40513</v>
      </c>
      <c r="AM3" s="57"/>
      <c r="AN3" s="119">
        <v>2008</v>
      </c>
      <c r="AO3" s="119">
        <v>2009</v>
      </c>
      <c r="AP3" s="119">
        <v>2010</v>
      </c>
      <c r="AQ3" s="119">
        <v>2011</v>
      </c>
      <c r="AR3" s="119">
        <v>2012</v>
      </c>
      <c r="AS3" s="119">
        <v>2013</v>
      </c>
      <c r="AT3" s="119">
        <v>2014</v>
      </c>
      <c r="AU3" s="119">
        <v>2015</v>
      </c>
      <c r="AV3" s="119">
        <v>2016</v>
      </c>
      <c r="AW3" s="120">
        <v>2017</v>
      </c>
    </row>
    <row r="4" spans="1:50" ht="12.75">
      <c r="A4" t="s">
        <v>169</v>
      </c>
      <c r="B4" t="s">
        <v>16</v>
      </c>
      <c r="C4" s="50">
        <f>'Consumption-Table'!P74</f>
        <v>902.1876848047567</v>
      </c>
      <c r="D4" s="50">
        <f>'Consumption-Table'!Q74</f>
        <v>902.1876848047567</v>
      </c>
      <c r="E4" s="50">
        <f>'Consumption-Table'!R74</f>
        <v>902.1876848047567</v>
      </c>
      <c r="F4" s="50">
        <f>'Consumption-Table'!S74</f>
        <v>902.1876848047567</v>
      </c>
      <c r="G4" s="50">
        <f>'Consumption-Table'!T74</f>
        <v>902.1876848047567</v>
      </c>
      <c r="H4" s="50">
        <f>'Consumption-Table'!U74</f>
        <v>902.1876848047567</v>
      </c>
      <c r="I4" s="50">
        <f>'Consumption-Table'!V74</f>
        <v>902.1876848047567</v>
      </c>
      <c r="J4" s="50">
        <f>'Consumption-Table'!W74</f>
        <v>902.1876848047567</v>
      </c>
      <c r="K4" s="50">
        <f>'Consumption-Table'!X74</f>
        <v>902.1876848047567</v>
      </c>
      <c r="L4" s="50">
        <f>'Consumption-Table'!Y74</f>
        <v>902.1876848047567</v>
      </c>
      <c r="M4" s="50">
        <f>'Consumption-Table'!Z74</f>
        <v>902.1876848047567</v>
      </c>
      <c r="N4" s="50">
        <f>'Consumption-Table'!AA74</f>
        <v>902.1876848047567</v>
      </c>
      <c r="O4" s="50">
        <f>'Consumption-Table'!AB74</f>
        <v>3933.4211210208114</v>
      </c>
      <c r="P4" s="50">
        <f>'Consumption-Table'!AC74</f>
        <v>3933.4211210208114</v>
      </c>
      <c r="Q4" s="50">
        <f>'Consumption-Table'!AD74</f>
        <v>3933.4211210208114</v>
      </c>
      <c r="R4" s="50">
        <f>'Consumption-Table'!AE74</f>
        <v>3933.4211210208114</v>
      </c>
      <c r="S4" s="50">
        <f>'Consumption-Table'!AF74</f>
        <v>3933.4211210208114</v>
      </c>
      <c r="T4" s="50">
        <f>'Consumption-Table'!AG74</f>
        <v>3933.4211210208114</v>
      </c>
      <c r="U4" s="50">
        <f>'Consumption-Table'!AH74</f>
        <v>3933.4211210208114</v>
      </c>
      <c r="V4" s="50">
        <f>'Consumption-Table'!AI74</f>
        <v>3933.4211210208114</v>
      </c>
      <c r="W4" s="50">
        <f>'Consumption-Table'!AJ74</f>
        <v>3933.4211210208114</v>
      </c>
      <c r="X4" s="50">
        <f>'Consumption-Table'!AK74</f>
        <v>3933.4211210208114</v>
      </c>
      <c r="Y4" s="50">
        <f>'Consumption-Table'!AL74</f>
        <v>3933.4211210208114</v>
      </c>
      <c r="Z4" s="50">
        <f>'Consumption-Table'!AM74</f>
        <v>3933.4211210208114</v>
      </c>
      <c r="AA4" s="50">
        <f>'Consumption-Table'!BC74</f>
        <v>3920.6811210208116</v>
      </c>
      <c r="AB4" s="50">
        <f>'Consumption-Table'!BD74</f>
        <v>3920.6811210208116</v>
      </c>
      <c r="AC4" s="50">
        <f>'Consumption-Table'!BE74</f>
        <v>3920.6811210208116</v>
      </c>
      <c r="AD4" s="50">
        <f>'Consumption-Table'!BF74</f>
        <v>3920.6811210208116</v>
      </c>
      <c r="AE4" s="50">
        <f>'Consumption-Table'!BG74</f>
        <v>3920.6811210208116</v>
      </c>
      <c r="AF4" s="50">
        <f>'Consumption-Table'!BH74</f>
        <v>3920.6811210208116</v>
      </c>
      <c r="AG4" s="50">
        <f>'Consumption-Table'!BI74</f>
        <v>3920.6811210208116</v>
      </c>
      <c r="AH4" s="50">
        <f>'Consumption-Table'!BJ74</f>
        <v>3920.6811210208116</v>
      </c>
      <c r="AI4" s="50">
        <f>'Consumption-Table'!BK74</f>
        <v>3920.6811210208116</v>
      </c>
      <c r="AJ4" s="50">
        <f>'Consumption-Table'!BL74</f>
        <v>3920.6811210208116</v>
      </c>
      <c r="AK4" s="50">
        <f>'Consumption-Table'!BM74</f>
        <v>3920.6811210208116</v>
      </c>
      <c r="AL4" s="50">
        <f>'Consumption-Table'!BN74</f>
        <v>3920.6811210208116</v>
      </c>
      <c r="AM4" t="s">
        <v>169</v>
      </c>
      <c r="AN4" s="121">
        <f>'Consumption-Table'!AO74</f>
        <v>10826.252217657078</v>
      </c>
      <c r="AO4" s="121">
        <f>'Consumption-Table'!AP74</f>
        <v>47201.05345224972</v>
      </c>
      <c r="AP4" s="121">
        <f>'Consumption-Table'!AQ74</f>
        <v>47048.17345224972</v>
      </c>
      <c r="AQ4" s="121">
        <f>'Consumption-Table'!AR74</f>
        <v>46884.37345224972</v>
      </c>
      <c r="AR4" s="121">
        <f>'Consumption-Table'!AS74</f>
        <v>46720.573452249715</v>
      </c>
      <c r="AS4" s="121">
        <f>'Consumption-Table'!AT74</f>
        <v>46720.573452249715</v>
      </c>
      <c r="AT4" s="121">
        <f>'Consumption-Table'!AU74</f>
        <v>46720.573452249715</v>
      </c>
      <c r="AU4" s="121">
        <f>'Consumption-Table'!AV74</f>
        <v>46720.573452249715</v>
      </c>
      <c r="AV4" s="121">
        <f>'Consumption-Table'!AW74</f>
        <v>46720.573452249715</v>
      </c>
      <c r="AW4" s="121">
        <f>'Consumption-Table'!AX74</f>
        <v>46720.573452249715</v>
      </c>
      <c r="AX4" s="50">
        <f>SUM(AN4:AW4)</f>
        <v>432283.29328790447</v>
      </c>
    </row>
    <row r="5" spans="1:50" ht="12.75">
      <c r="A5" t="s">
        <v>90</v>
      </c>
      <c r="B5" t="s">
        <v>16</v>
      </c>
      <c r="C5" s="50">
        <f>'Consumption-Table'!P31</f>
        <v>12979.892187232646</v>
      </c>
      <c r="D5" s="50">
        <f>'Consumption-Table'!Q31</f>
        <v>12614.028855699009</v>
      </c>
      <c r="E5" s="50">
        <f>'Consumption-Table'!R31</f>
        <v>14463.484101436148</v>
      </c>
      <c r="F5" s="50">
        <f>'Consumption-Table'!S31</f>
        <v>6378.827185288937</v>
      </c>
      <c r="G5" s="50">
        <f>'Consumption-Table'!T31</f>
        <v>1962.856773677955</v>
      </c>
      <c r="H5" s="50">
        <f>'Consumption-Table'!U31</f>
        <v>947.5860286721163</v>
      </c>
      <c r="I5" s="50">
        <f>'Consumption-Table'!V31</f>
        <v>980.5137285101434</v>
      </c>
      <c r="J5" s="50">
        <f>'Consumption-Table'!W31</f>
        <v>980.5137285101434</v>
      </c>
      <c r="K5" s="50">
        <f>'Consumption-Table'!X31</f>
        <v>947.5860286721163</v>
      </c>
      <c r="L5" s="50">
        <f>'Consumption-Table'!Y31</f>
        <v>3240.6264066418735</v>
      </c>
      <c r="M5" s="50">
        <f>'Consumption-Table'!Z31</f>
        <v>12979.892187232646</v>
      </c>
      <c r="N5" s="50">
        <f>'Consumption-Table'!AA31</f>
        <v>13894.550516066733</v>
      </c>
      <c r="O5" s="50">
        <f>'Consumption-Table'!AB31</f>
        <v>12979.892187232646</v>
      </c>
      <c r="P5" s="50">
        <f>'Consumption-Table'!AC31</f>
        <v>12979.892187232646</v>
      </c>
      <c r="Q5" s="50">
        <f>'Consumption-Table'!AD31</f>
        <v>14463.484101436148</v>
      </c>
      <c r="R5" s="50">
        <f>'Consumption-Table'!AE31</f>
        <v>6378.827185288937</v>
      </c>
      <c r="S5" s="50">
        <f>'Consumption-Table'!AF31</f>
        <v>1962.856773677955</v>
      </c>
      <c r="T5" s="50">
        <f>'Consumption-Table'!AG31</f>
        <v>947.5860286721163</v>
      </c>
      <c r="U5" s="50">
        <f>'Consumption-Table'!AH31</f>
        <v>980.5137285101434</v>
      </c>
      <c r="V5" s="50">
        <f>'Consumption-Table'!AI31</f>
        <v>980.5137285101434</v>
      </c>
      <c r="W5" s="50">
        <f>'Consumption-Table'!AJ31</f>
        <v>947.5860286721163</v>
      </c>
      <c r="X5" s="50">
        <f>'Consumption-Table'!AK31</f>
        <v>3240.6264066418735</v>
      </c>
      <c r="Y5" s="50">
        <f>'Consumption-Table'!AL31</f>
        <v>12979.892187232646</v>
      </c>
      <c r="Z5" s="50">
        <f>'Consumption-Table'!AM31</f>
        <v>13894.550516066733</v>
      </c>
      <c r="AA5" s="50">
        <f>'Consumption-Table'!BC31</f>
        <v>12979.892187232646</v>
      </c>
      <c r="AB5" s="50">
        <f>'Consumption-Table'!BD31</f>
        <v>12979.892187232646</v>
      </c>
      <c r="AC5" s="50">
        <f>'Consumption-Table'!BE31</f>
        <v>14463.484101436148</v>
      </c>
      <c r="AD5" s="50">
        <f>'Consumption-Table'!BF31</f>
        <v>6378.827185288937</v>
      </c>
      <c r="AE5" s="50">
        <f>'Consumption-Table'!BG31</f>
        <v>1962.856773677955</v>
      </c>
      <c r="AF5" s="50">
        <f>'Consumption-Table'!BH31</f>
        <v>947.5860286721163</v>
      </c>
      <c r="AG5" s="50">
        <f>'Consumption-Table'!BI31</f>
        <v>980.5137285101434</v>
      </c>
      <c r="AH5" s="50">
        <f>'Consumption-Table'!BJ31</f>
        <v>980.5137285101434</v>
      </c>
      <c r="AI5" s="50">
        <f>'Consumption-Table'!BK31</f>
        <v>947.5860286721163</v>
      </c>
      <c r="AJ5" s="50">
        <f>'Consumption-Table'!BL31</f>
        <v>3240.6264066418735</v>
      </c>
      <c r="AK5" s="50">
        <f>'Consumption-Table'!BM31</f>
        <v>12979.892187232646</v>
      </c>
      <c r="AL5" s="50">
        <f>'Consumption-Table'!BN31</f>
        <v>13894.550516066733</v>
      </c>
      <c r="AM5" t="s">
        <v>90</v>
      </c>
      <c r="AN5" s="121">
        <f>'Consumption-Table'!AO31</f>
        <v>82370.35772764045</v>
      </c>
      <c r="AO5" s="121">
        <f>'Consumption-Table'!AP31</f>
        <v>82736.22105917409</v>
      </c>
      <c r="AP5" s="121">
        <f>'Consumption-Table'!AQ31</f>
        <v>82736.22105917409</v>
      </c>
      <c r="AQ5" s="121">
        <f>'Consumption-Table'!AR31</f>
        <v>82736.22105917409</v>
      </c>
      <c r="AR5" s="121">
        <f>'Consumption-Table'!AS31</f>
        <v>82736.22105917409</v>
      </c>
      <c r="AS5" s="121">
        <f>'Consumption-Table'!AT31</f>
        <v>82736.22105917409</v>
      </c>
      <c r="AT5" s="121">
        <f>'Consumption-Table'!AU31</f>
        <v>82736.22105917409</v>
      </c>
      <c r="AU5" s="121">
        <f>'Consumption-Table'!AV31</f>
        <v>82736.22105917409</v>
      </c>
      <c r="AV5" s="121">
        <f>'Consumption-Table'!AW31</f>
        <v>82736.22105917409</v>
      </c>
      <c r="AW5" s="121">
        <f>'Consumption-Table'!AX31</f>
        <v>82736.22105917409</v>
      </c>
      <c r="AX5" s="50">
        <f>SUM(AN5:AW5)</f>
        <v>826996.3472602072</v>
      </c>
    </row>
    <row r="6" spans="1:50" ht="12.75">
      <c r="A6" t="s">
        <v>83</v>
      </c>
      <c r="B6" t="s">
        <v>16</v>
      </c>
      <c r="C6" s="50">
        <f>'Consumption-Table'!P109</f>
        <v>0</v>
      </c>
      <c r="D6" s="50">
        <f>'Consumption-Table'!Q109</f>
        <v>0</v>
      </c>
      <c r="E6" s="50">
        <f>'Consumption-Table'!R109</f>
        <v>0</v>
      </c>
      <c r="F6" s="50">
        <f>'Consumption-Table'!S109</f>
        <v>3914.1668754384204</v>
      </c>
      <c r="G6" s="50">
        <f>'Consumption-Table'!T109</f>
        <v>7828.333750876841</v>
      </c>
      <c r="H6" s="50">
        <f>'Consumption-Table'!U109</f>
        <v>7828.333750876841</v>
      </c>
      <c r="I6" s="50">
        <f>'Consumption-Table'!V109</f>
        <v>7828.333750876841</v>
      </c>
      <c r="J6" s="50">
        <f>'Consumption-Table'!W109</f>
        <v>7828.333750876841</v>
      </c>
      <c r="K6" s="50">
        <f>'Consumption-Table'!X109</f>
        <v>7828.333750876841</v>
      </c>
      <c r="L6" s="50">
        <f>'Consumption-Table'!Y109</f>
        <v>6523.611459064034</v>
      </c>
      <c r="M6" s="50">
        <f>'Consumption-Table'!Z109</f>
        <v>0</v>
      </c>
      <c r="N6" s="50">
        <f>'Consumption-Table'!AA109</f>
        <v>0</v>
      </c>
      <c r="O6" s="50">
        <f>'Consumption-Table'!AB109</f>
        <v>0</v>
      </c>
      <c r="P6" s="50">
        <f>'Consumption-Table'!AC109</f>
        <v>0</v>
      </c>
      <c r="Q6" s="50">
        <f>'Consumption-Table'!AD109</f>
        <v>0</v>
      </c>
      <c r="R6" s="50">
        <f>'Consumption-Table'!AE109</f>
        <v>3914.1668754384204</v>
      </c>
      <c r="S6" s="50">
        <f>'Consumption-Table'!AF109</f>
        <v>7828.333750876841</v>
      </c>
      <c r="T6" s="50">
        <f>'Consumption-Table'!AG109</f>
        <v>7828.333750876841</v>
      </c>
      <c r="U6" s="50">
        <f>'Consumption-Table'!AH109</f>
        <v>7828.333750876841</v>
      </c>
      <c r="V6" s="50">
        <f>'Consumption-Table'!AI109</f>
        <v>7828.333750876841</v>
      </c>
      <c r="W6" s="50">
        <f>'Consumption-Table'!AJ109</f>
        <v>7828.333750876841</v>
      </c>
      <c r="X6" s="50">
        <f>'Consumption-Table'!AK109</f>
        <v>6523.611459064034</v>
      </c>
      <c r="Y6" s="50">
        <f>'Consumption-Table'!AL109</f>
        <v>0</v>
      </c>
      <c r="Z6" s="50">
        <f>'Consumption-Table'!AM109</f>
        <v>0</v>
      </c>
      <c r="AA6" s="50">
        <f>'Consumption-Table'!BC109</f>
        <v>0</v>
      </c>
      <c r="AB6" s="50">
        <f>'Consumption-Table'!BD109</f>
        <v>0</v>
      </c>
      <c r="AC6" s="50">
        <f>'Consumption-Table'!BE109</f>
        <v>0</v>
      </c>
      <c r="AD6" s="50">
        <f>'Consumption-Table'!BF109</f>
        <v>3914.1668754384204</v>
      </c>
      <c r="AE6" s="50">
        <f>'Consumption-Table'!BG109</f>
        <v>7828.333750876841</v>
      </c>
      <c r="AF6" s="50">
        <f>'Consumption-Table'!BH109</f>
        <v>7828.333750876841</v>
      </c>
      <c r="AG6" s="50">
        <f>'Consumption-Table'!BI109</f>
        <v>7828.333750876841</v>
      </c>
      <c r="AH6" s="50">
        <f>'Consumption-Table'!BJ109</f>
        <v>7828.333750876841</v>
      </c>
      <c r="AI6" s="50">
        <f>'Consumption-Table'!BK109</f>
        <v>7828.333750876841</v>
      </c>
      <c r="AJ6" s="50">
        <f>'Consumption-Table'!BL109</f>
        <v>6523.611459064034</v>
      </c>
      <c r="AK6" s="50">
        <f>'Consumption-Table'!BM109</f>
        <v>0</v>
      </c>
      <c r="AL6" s="50">
        <f>'Consumption-Table'!BN109</f>
        <v>0</v>
      </c>
      <c r="AM6" t="s">
        <v>83</v>
      </c>
      <c r="AN6" s="121">
        <f>'Consumption-Table'!AO109</f>
        <v>49579.44708888666</v>
      </c>
      <c r="AO6" s="121">
        <f>'Consumption-Table'!AP109</f>
        <v>49579.44708888666</v>
      </c>
      <c r="AP6" s="121">
        <f>'Consumption-Table'!AQ109</f>
        <v>49579.44708888666</v>
      </c>
      <c r="AQ6" s="121">
        <f>'Consumption-Table'!AR109</f>
        <v>49579.44708888666</v>
      </c>
      <c r="AR6" s="121">
        <f>'Consumption-Table'!AS109</f>
        <v>49579.44708888666</v>
      </c>
      <c r="AS6" s="121">
        <f>'Consumption-Table'!AT109</f>
        <v>49579.44708888666</v>
      </c>
      <c r="AT6" s="121">
        <f>'Consumption-Table'!AU109</f>
        <v>49579.44708888666</v>
      </c>
      <c r="AU6" s="121">
        <f>'Consumption-Table'!AV109</f>
        <v>49579.44708888666</v>
      </c>
      <c r="AV6" s="121">
        <f>'Consumption-Table'!AW109</f>
        <v>49579.44708888666</v>
      </c>
      <c r="AW6" s="121">
        <f>'Consumption-Table'!AX109</f>
        <v>49579.44708888666</v>
      </c>
      <c r="AX6" s="50">
        <f>SUM(AN6:AW6)</f>
        <v>495794.4708888666</v>
      </c>
    </row>
    <row r="7" ht="12.75">
      <c r="AX7" s="50">
        <f>SUM(AX4:AX6)</f>
        <v>1755074.1114369782</v>
      </c>
    </row>
    <row r="8" spans="3:49" ht="12.75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AW8"/>
    </row>
    <row r="43" ht="13.5" thickBot="1">
      <c r="A43" t="s">
        <v>170</v>
      </c>
    </row>
    <row r="44" spans="1:49" ht="12.75">
      <c r="A44" s="58"/>
      <c r="B44" s="58"/>
      <c r="C44" s="21">
        <v>39448</v>
      </c>
      <c r="D44" s="21">
        <v>39479</v>
      </c>
      <c r="E44" s="21">
        <v>39508</v>
      </c>
      <c r="F44" s="21">
        <v>39539</v>
      </c>
      <c r="G44" s="21">
        <v>39569</v>
      </c>
      <c r="H44" s="21">
        <v>39600</v>
      </c>
      <c r="I44" s="21">
        <v>39630</v>
      </c>
      <c r="J44" s="21">
        <v>39661</v>
      </c>
      <c r="K44" s="21">
        <v>39692</v>
      </c>
      <c r="L44" s="21">
        <v>39722</v>
      </c>
      <c r="M44" s="21">
        <v>39753</v>
      </c>
      <c r="N44" s="21">
        <v>39783</v>
      </c>
      <c r="O44" s="21">
        <v>39814</v>
      </c>
      <c r="P44" s="21">
        <v>39845</v>
      </c>
      <c r="Q44" s="21">
        <v>39873</v>
      </c>
      <c r="R44" s="21">
        <v>39904</v>
      </c>
      <c r="S44" s="21">
        <v>39934</v>
      </c>
      <c r="T44" s="21">
        <v>39965</v>
      </c>
      <c r="U44" s="21">
        <v>39995</v>
      </c>
      <c r="V44" s="21">
        <v>40026</v>
      </c>
      <c r="W44" s="21">
        <v>40057</v>
      </c>
      <c r="X44" s="21">
        <v>40087</v>
      </c>
      <c r="Y44" s="21">
        <v>40118</v>
      </c>
      <c r="Z44" s="21">
        <v>40148</v>
      </c>
      <c r="AA44" s="21">
        <v>40179</v>
      </c>
      <c r="AB44" s="21">
        <v>40210</v>
      </c>
      <c r="AC44" s="21">
        <v>40238</v>
      </c>
      <c r="AD44" s="21">
        <v>40269</v>
      </c>
      <c r="AE44" s="21">
        <v>40299</v>
      </c>
      <c r="AF44" s="21">
        <v>40330</v>
      </c>
      <c r="AG44" s="21">
        <v>40360</v>
      </c>
      <c r="AH44" s="21">
        <v>40391</v>
      </c>
      <c r="AI44" s="21">
        <v>40422</v>
      </c>
      <c r="AJ44" s="21">
        <v>40452</v>
      </c>
      <c r="AK44" s="21">
        <v>40483</v>
      </c>
      <c r="AL44" s="21">
        <v>40513</v>
      </c>
      <c r="AM44" s="57"/>
      <c r="AN44" s="119">
        <v>2008</v>
      </c>
      <c r="AO44" s="119">
        <v>2009</v>
      </c>
      <c r="AP44" s="119">
        <v>2010</v>
      </c>
      <c r="AQ44" s="119">
        <v>2011</v>
      </c>
      <c r="AR44" s="119">
        <v>2012</v>
      </c>
      <c r="AS44" s="119">
        <v>2013</v>
      </c>
      <c r="AT44" s="119">
        <v>2014</v>
      </c>
      <c r="AU44" s="119">
        <v>2015</v>
      </c>
      <c r="AV44" s="119">
        <v>2016</v>
      </c>
      <c r="AW44" s="120">
        <v>2017</v>
      </c>
    </row>
    <row r="45" spans="1:49" ht="12.75">
      <c r="A45" t="s">
        <v>175</v>
      </c>
      <c r="B45" t="s">
        <v>14</v>
      </c>
      <c r="C45" s="50">
        <f>'Consumption-Table'!P24</f>
        <v>7160</v>
      </c>
      <c r="D45" s="50">
        <f>'Consumption-Table'!Q24</f>
        <v>6960</v>
      </c>
      <c r="E45" s="50">
        <f>'Consumption-Table'!R24</f>
        <v>7928</v>
      </c>
      <c r="F45" s="50">
        <f>'Consumption-Table'!S24</f>
        <v>3487</v>
      </c>
      <c r="G45" s="50">
        <f>'Consumption-Table'!T24</f>
        <v>1073</v>
      </c>
      <c r="H45" s="50">
        <f>'Consumption-Table'!U24</f>
        <v>518</v>
      </c>
      <c r="I45" s="50">
        <f>'Consumption-Table'!V24</f>
        <v>536</v>
      </c>
      <c r="J45" s="50">
        <f>'Consumption-Table'!W24</f>
        <v>536</v>
      </c>
      <c r="K45" s="50">
        <f>'Consumption-Table'!X24</f>
        <v>518</v>
      </c>
      <c r="L45" s="50">
        <f>'Consumption-Table'!Y24</f>
        <v>1793</v>
      </c>
      <c r="M45" s="50">
        <f>'Consumption-Table'!Z24</f>
        <v>7160</v>
      </c>
      <c r="N45" s="50">
        <f>'Consumption-Table'!AA24</f>
        <v>7660</v>
      </c>
      <c r="O45" s="50">
        <f>'Consumption-Table'!AB24</f>
        <v>7160</v>
      </c>
      <c r="P45" s="50">
        <f>'Consumption-Table'!AC24</f>
        <v>7160</v>
      </c>
      <c r="Q45" s="50">
        <f>'Consumption-Table'!AD24</f>
        <v>7928</v>
      </c>
      <c r="R45" s="50">
        <f>'Consumption-Table'!AE24</f>
        <v>3487</v>
      </c>
      <c r="S45" s="50">
        <f>'Consumption-Table'!AF24</f>
        <v>1073</v>
      </c>
      <c r="T45" s="50">
        <f>'Consumption-Table'!AG24</f>
        <v>518</v>
      </c>
      <c r="U45" s="50">
        <f>'Consumption-Table'!AH24</f>
        <v>536</v>
      </c>
      <c r="V45" s="50">
        <f>'Consumption-Table'!AI24</f>
        <v>536</v>
      </c>
      <c r="W45" s="50">
        <f>'Consumption-Table'!AJ24</f>
        <v>518</v>
      </c>
      <c r="X45" s="50">
        <f>'Consumption-Table'!AK24</f>
        <v>1793</v>
      </c>
      <c r="Y45" s="50">
        <f>'Consumption-Table'!AL24</f>
        <v>7160</v>
      </c>
      <c r="Z45" s="50">
        <f>'Consumption-Table'!AM24</f>
        <v>7660</v>
      </c>
      <c r="AA45" s="50">
        <f>'Consumption-Table'!BC24</f>
        <v>7160</v>
      </c>
      <c r="AB45" s="50">
        <f>'Consumption-Table'!BD24</f>
        <v>7160</v>
      </c>
      <c r="AC45" s="50">
        <f>'Consumption-Table'!BE24</f>
        <v>7928</v>
      </c>
      <c r="AD45" s="50">
        <f>'Consumption-Table'!BF24</f>
        <v>3487</v>
      </c>
      <c r="AE45" s="50">
        <f>'Consumption-Table'!BG24</f>
        <v>1073</v>
      </c>
      <c r="AF45" s="50">
        <f>'Consumption-Table'!BH24</f>
        <v>518</v>
      </c>
      <c r="AG45" s="50">
        <f>'Consumption-Table'!BI24</f>
        <v>536</v>
      </c>
      <c r="AH45" s="50">
        <f>'Consumption-Table'!BJ24</f>
        <v>536</v>
      </c>
      <c r="AI45" s="50">
        <f>'Consumption-Table'!BK24</f>
        <v>518</v>
      </c>
      <c r="AJ45" s="50">
        <f>'Consumption-Table'!BL24</f>
        <v>1793</v>
      </c>
      <c r="AK45" s="50">
        <f>'Consumption-Table'!BM24</f>
        <v>7160</v>
      </c>
      <c r="AL45" s="50">
        <f>'Consumption-Table'!BN24</f>
        <v>7660</v>
      </c>
      <c r="AM45" t="s">
        <v>175</v>
      </c>
      <c r="AN45" s="121">
        <f>'Consumption-Table'!AO24</f>
        <v>45329</v>
      </c>
      <c r="AO45" s="121">
        <f>'Consumption-Table'!AP24</f>
        <v>45529</v>
      </c>
      <c r="AP45" s="121">
        <f>'Consumption-Table'!AQ24</f>
        <v>45529</v>
      </c>
      <c r="AQ45" s="121">
        <f>'Consumption-Table'!AR24</f>
        <v>45529</v>
      </c>
      <c r="AR45" s="121">
        <f>'Consumption-Table'!AS24</f>
        <v>45529</v>
      </c>
      <c r="AS45" s="121">
        <f>'Consumption-Table'!AT24</f>
        <v>45529</v>
      </c>
      <c r="AT45" s="121">
        <f>'Consumption-Table'!AU24</f>
        <v>45529</v>
      </c>
      <c r="AU45" s="121">
        <f>'Consumption-Table'!AV24</f>
        <v>45529</v>
      </c>
      <c r="AV45" s="121">
        <f>'Consumption-Table'!AW24</f>
        <v>45529</v>
      </c>
      <c r="AW45" s="121">
        <f>'Consumption-Table'!AX24</f>
        <v>45529</v>
      </c>
    </row>
    <row r="46" spans="1:49" ht="12.75">
      <c r="A46" t="s">
        <v>84</v>
      </c>
      <c r="B46" t="s">
        <v>14</v>
      </c>
      <c r="C46" s="50">
        <f>'Consumption-Table'!P36</f>
        <v>0</v>
      </c>
      <c r="D46" s="50">
        <f>'Consumption-Table'!Q36</f>
        <v>0</v>
      </c>
      <c r="E46" s="50">
        <f>'Consumption-Table'!R36</f>
        <v>0</v>
      </c>
      <c r="F46" s="50">
        <f>'Consumption-Table'!S36</f>
        <v>0</v>
      </c>
      <c r="G46" s="50">
        <f>'Consumption-Table'!T36</f>
        <v>0</v>
      </c>
      <c r="H46" s="50">
        <f>'Consumption-Table'!U36</f>
        <v>0</v>
      </c>
      <c r="I46" s="50">
        <f>'Consumption-Table'!V36</f>
        <v>0</v>
      </c>
      <c r="J46" s="50">
        <f>'Consumption-Table'!W36</f>
        <v>0</v>
      </c>
      <c r="K46" s="50">
        <f>'Consumption-Table'!X36</f>
        <v>0</v>
      </c>
      <c r="L46" s="50">
        <f>'Consumption-Table'!Y36</f>
        <v>0</v>
      </c>
      <c r="M46" s="50">
        <f>'Consumption-Table'!Z36</f>
        <v>0</v>
      </c>
      <c r="N46" s="50">
        <f>'Consumption-Table'!AA36</f>
        <v>0</v>
      </c>
      <c r="O46" s="50">
        <f>'Consumption-Table'!AB36</f>
        <v>0</v>
      </c>
      <c r="P46" s="50">
        <f>'Consumption-Table'!AC36</f>
        <v>0</v>
      </c>
      <c r="Q46" s="50">
        <f>'Consumption-Table'!AD36</f>
        <v>0</v>
      </c>
      <c r="R46" s="50">
        <f>'Consumption-Table'!AE36</f>
        <v>0</v>
      </c>
      <c r="S46" s="50">
        <f>'Consumption-Table'!AF36</f>
        <v>0</v>
      </c>
      <c r="T46" s="50">
        <f>'Consumption-Table'!AG36</f>
        <v>0</v>
      </c>
      <c r="U46" s="50">
        <f>'Consumption-Table'!AH36</f>
        <v>0</v>
      </c>
      <c r="V46" s="50">
        <f>'Consumption-Table'!AI36</f>
        <v>0</v>
      </c>
      <c r="W46" s="50">
        <f>'Consumption-Table'!AJ36</f>
        <v>0</v>
      </c>
      <c r="X46" s="50">
        <f>'Consumption-Table'!AK36</f>
        <v>0</v>
      </c>
      <c r="Y46" s="50">
        <f>'Consumption-Table'!AL36</f>
        <v>0</v>
      </c>
      <c r="Z46" s="50">
        <f>'Consumption-Table'!AM36</f>
        <v>0</v>
      </c>
      <c r="AA46" s="50">
        <f>'Consumption-Table'!BC36</f>
        <v>0</v>
      </c>
      <c r="AB46" s="50">
        <f>'Consumption-Table'!BD36</f>
        <v>0</v>
      </c>
      <c r="AC46" s="50">
        <f>'Consumption-Table'!BE36</f>
        <v>0</v>
      </c>
      <c r="AD46" s="50">
        <f>'Consumption-Table'!BF36</f>
        <v>0</v>
      </c>
      <c r="AE46" s="50">
        <f>'Consumption-Table'!BG36</f>
        <v>0</v>
      </c>
      <c r="AF46" s="50">
        <f>'Consumption-Table'!BH36</f>
        <v>0</v>
      </c>
      <c r="AG46" s="50">
        <f>'Consumption-Table'!BI36</f>
        <v>0</v>
      </c>
      <c r="AH46" s="50">
        <f>'Consumption-Table'!BJ36</f>
        <v>0</v>
      </c>
      <c r="AI46" s="50">
        <f>'Consumption-Table'!BK36</f>
        <v>0</v>
      </c>
      <c r="AJ46" s="50">
        <f>'Consumption-Table'!BL36</f>
        <v>0</v>
      </c>
      <c r="AK46" s="50">
        <f>'Consumption-Table'!BM36</f>
        <v>0</v>
      </c>
      <c r="AL46" s="50">
        <f>'Consumption-Table'!BN36</f>
        <v>0</v>
      </c>
      <c r="AM46" t="s">
        <v>84</v>
      </c>
      <c r="AN46" s="121">
        <f>'Consumption-Table'!AO36</f>
        <v>0</v>
      </c>
      <c r="AO46" s="121">
        <f>'Consumption-Table'!AP36</f>
        <v>0</v>
      </c>
      <c r="AP46" s="121">
        <f>'Consumption-Table'!AQ36</f>
        <v>0</v>
      </c>
      <c r="AQ46" s="121">
        <f>'Consumption-Table'!AR36</f>
        <v>0</v>
      </c>
      <c r="AR46" s="121">
        <f>'Consumption-Table'!AS36</f>
        <v>0</v>
      </c>
      <c r="AS46" s="121">
        <f>'Consumption-Table'!AT36</f>
        <v>0</v>
      </c>
      <c r="AT46" s="121">
        <f>'Consumption-Table'!AU36</f>
        <v>0</v>
      </c>
      <c r="AU46" s="121">
        <f>'Consumption-Table'!AV36</f>
        <v>0</v>
      </c>
      <c r="AV46" s="121">
        <f>'Consumption-Table'!AW36</f>
        <v>0</v>
      </c>
      <c r="AW46" s="121">
        <f>'Consumption-Table'!AX36</f>
        <v>0</v>
      </c>
    </row>
    <row r="47" spans="1:49" ht="12.75">
      <c r="A47" t="s">
        <v>85</v>
      </c>
      <c r="B47" t="s">
        <v>14</v>
      </c>
      <c r="C47" s="50">
        <f>'Consumption-Table'!P47</f>
        <v>5000</v>
      </c>
      <c r="D47" s="50">
        <f>'Consumption-Table'!Q47</f>
        <v>4800</v>
      </c>
      <c r="E47" s="50">
        <f>'Consumption-Table'!R47</f>
        <v>7208</v>
      </c>
      <c r="F47" s="50">
        <f>'Consumption-Table'!S47</f>
        <v>3487</v>
      </c>
      <c r="G47" s="50">
        <f>'Consumption-Table'!T47</f>
        <v>1073</v>
      </c>
      <c r="H47" s="50">
        <f>'Consumption-Table'!U47</f>
        <v>518</v>
      </c>
      <c r="I47" s="50">
        <f>'Consumption-Table'!V47</f>
        <v>536</v>
      </c>
      <c r="J47" s="50">
        <f>'Consumption-Table'!W47</f>
        <v>536</v>
      </c>
      <c r="K47" s="50">
        <f>'Consumption-Table'!X47</f>
        <v>518</v>
      </c>
      <c r="L47" s="50">
        <f>'Consumption-Table'!Y47</f>
        <v>1073</v>
      </c>
      <c r="M47" s="50">
        <f>'Consumption-Table'!Z47</f>
        <v>5000</v>
      </c>
      <c r="N47" s="50">
        <f>'Consumption-Table'!AA47</f>
        <v>5500</v>
      </c>
      <c r="O47" s="50">
        <f>'Consumption-Table'!AB47</f>
        <v>5000</v>
      </c>
      <c r="P47" s="50">
        <f>'Consumption-Table'!AC47</f>
        <v>5000</v>
      </c>
      <c r="Q47" s="50">
        <f>'Consumption-Table'!AD47</f>
        <v>7208</v>
      </c>
      <c r="R47" s="50">
        <f>'Consumption-Table'!AE47</f>
        <v>3487</v>
      </c>
      <c r="S47" s="50">
        <f>'Consumption-Table'!AF47</f>
        <v>1073</v>
      </c>
      <c r="T47" s="50">
        <f>'Consumption-Table'!AG47</f>
        <v>518</v>
      </c>
      <c r="U47" s="50">
        <f>'Consumption-Table'!AH47</f>
        <v>536</v>
      </c>
      <c r="V47" s="50">
        <f>'Consumption-Table'!AI47</f>
        <v>536</v>
      </c>
      <c r="W47" s="50">
        <f>'Consumption-Table'!AJ47</f>
        <v>518</v>
      </c>
      <c r="X47" s="50">
        <f>'Consumption-Table'!AK47</f>
        <v>1073</v>
      </c>
      <c r="Y47" s="50">
        <f>'Consumption-Table'!AL47</f>
        <v>5000</v>
      </c>
      <c r="Z47" s="50">
        <f>'Consumption-Table'!AM47</f>
        <v>5500</v>
      </c>
      <c r="AA47" s="50">
        <f>'Consumption-Table'!BC47</f>
        <v>5000</v>
      </c>
      <c r="AB47" s="50">
        <f>'Consumption-Table'!BD47</f>
        <v>5000</v>
      </c>
      <c r="AC47" s="50">
        <f>'Consumption-Table'!BE47</f>
        <v>7208</v>
      </c>
      <c r="AD47" s="50">
        <f>'Consumption-Table'!BF47</f>
        <v>3487</v>
      </c>
      <c r="AE47" s="50">
        <f>'Consumption-Table'!BG47</f>
        <v>1073</v>
      </c>
      <c r="AF47" s="50">
        <f>'Consumption-Table'!BH47</f>
        <v>518</v>
      </c>
      <c r="AG47" s="50">
        <f>'Consumption-Table'!BI47</f>
        <v>536</v>
      </c>
      <c r="AH47" s="50">
        <f>'Consumption-Table'!BJ47</f>
        <v>536</v>
      </c>
      <c r="AI47" s="50">
        <f>'Consumption-Table'!BK47</f>
        <v>518</v>
      </c>
      <c r="AJ47" s="50">
        <f>'Consumption-Table'!BL47</f>
        <v>1073</v>
      </c>
      <c r="AK47" s="50">
        <f>'Consumption-Table'!BM47</f>
        <v>5000</v>
      </c>
      <c r="AL47" s="50">
        <f>'Consumption-Table'!BN47</f>
        <v>5500</v>
      </c>
      <c r="AM47" t="s">
        <v>85</v>
      </c>
      <c r="AN47" s="121">
        <f>'Consumption-Table'!AO47</f>
        <v>35249</v>
      </c>
      <c r="AO47" s="121">
        <f>'Consumption-Table'!AP47</f>
        <v>35449</v>
      </c>
      <c r="AP47" s="121">
        <f>'Consumption-Table'!AQ47</f>
        <v>35449</v>
      </c>
      <c r="AQ47" s="121">
        <f>'Consumption-Table'!AR47</f>
        <v>35449</v>
      </c>
      <c r="AR47" s="121">
        <f>'Consumption-Table'!AS47</f>
        <v>35449</v>
      </c>
      <c r="AS47" s="121">
        <f>'Consumption-Table'!AT47</f>
        <v>35449</v>
      </c>
      <c r="AT47" s="121">
        <f>'Consumption-Table'!AU47</f>
        <v>35449</v>
      </c>
      <c r="AU47" s="121">
        <f>'Consumption-Table'!AV47</f>
        <v>35449</v>
      </c>
      <c r="AV47" s="121">
        <f>'Consumption-Table'!AW47</f>
        <v>35449</v>
      </c>
      <c r="AW47" s="121">
        <f>'Consumption-Table'!AX47</f>
        <v>35449</v>
      </c>
    </row>
    <row r="48" spans="1:49" ht="12.75">
      <c r="A48" t="s">
        <v>173</v>
      </c>
      <c r="B48" t="s">
        <v>14</v>
      </c>
      <c r="C48" s="50">
        <f>'Consumption-Table'!P58</f>
        <v>2160</v>
      </c>
      <c r="D48" s="50">
        <f>'Consumption-Table'!Q58</f>
        <v>2160</v>
      </c>
      <c r="E48" s="50">
        <f>'Consumption-Table'!R58</f>
        <v>720</v>
      </c>
      <c r="F48" s="50">
        <f>'Consumption-Table'!S58</f>
        <v>0</v>
      </c>
      <c r="G48" s="50">
        <f>'Consumption-Table'!T58</f>
        <v>0</v>
      </c>
      <c r="H48" s="50">
        <f>'Consumption-Table'!U58</f>
        <v>0</v>
      </c>
      <c r="I48" s="50">
        <f>'Consumption-Table'!V58</f>
        <v>0</v>
      </c>
      <c r="J48" s="50">
        <f>'Consumption-Table'!W58</f>
        <v>0</v>
      </c>
      <c r="K48" s="50">
        <f>'Consumption-Table'!X58</f>
        <v>0</v>
      </c>
      <c r="L48" s="50">
        <f>'Consumption-Table'!Y58</f>
        <v>720</v>
      </c>
      <c r="M48" s="50">
        <f>'Consumption-Table'!Z58</f>
        <v>2160</v>
      </c>
      <c r="N48" s="50">
        <f>'Consumption-Table'!AA58</f>
        <v>2160</v>
      </c>
      <c r="O48" s="50">
        <f>'Consumption-Table'!AB58</f>
        <v>2160</v>
      </c>
      <c r="P48" s="50">
        <f>'Consumption-Table'!AC58</f>
        <v>2160</v>
      </c>
      <c r="Q48" s="50">
        <f>'Consumption-Table'!AD58</f>
        <v>720</v>
      </c>
      <c r="R48" s="50">
        <f>'Consumption-Table'!AE58</f>
        <v>0</v>
      </c>
      <c r="S48" s="50">
        <f>'Consumption-Table'!AF58</f>
        <v>0</v>
      </c>
      <c r="T48" s="50">
        <f>'Consumption-Table'!AG58</f>
        <v>0</v>
      </c>
      <c r="U48" s="50">
        <f>'Consumption-Table'!AH58</f>
        <v>0</v>
      </c>
      <c r="V48" s="50">
        <f>'Consumption-Table'!AI58</f>
        <v>0</v>
      </c>
      <c r="W48" s="50">
        <f>'Consumption-Table'!AJ58</f>
        <v>0</v>
      </c>
      <c r="X48" s="50">
        <f>'Consumption-Table'!AK58</f>
        <v>720</v>
      </c>
      <c r="Y48" s="50">
        <f>'Consumption-Table'!AL58</f>
        <v>2160</v>
      </c>
      <c r="Z48" s="50">
        <f>'Consumption-Table'!AM58</f>
        <v>2160</v>
      </c>
      <c r="AA48" s="50">
        <f>'Consumption-Table'!BC58</f>
        <v>2160</v>
      </c>
      <c r="AB48" s="50">
        <f>'Consumption-Table'!BC58</f>
        <v>2160</v>
      </c>
      <c r="AC48" s="50">
        <f>'Consumption-Table'!BE58</f>
        <v>720</v>
      </c>
      <c r="AD48" s="50">
        <f>'Consumption-Table'!BF58</f>
        <v>0</v>
      </c>
      <c r="AE48" s="50">
        <f>'Consumption-Table'!BG58</f>
        <v>0</v>
      </c>
      <c r="AF48" s="50">
        <f>'Consumption-Table'!BG58</f>
        <v>0</v>
      </c>
      <c r="AG48" s="50">
        <f>'Consumption-Table'!BI58</f>
        <v>0</v>
      </c>
      <c r="AH48" s="50">
        <f>'Consumption-Table'!BI58</f>
        <v>0</v>
      </c>
      <c r="AI48" s="50">
        <f>'Consumption-Table'!BK58</f>
        <v>0</v>
      </c>
      <c r="AJ48" s="50">
        <f>'Consumption-Table'!BL58</f>
        <v>720</v>
      </c>
      <c r="AK48" s="50">
        <f>'Consumption-Table'!BM58</f>
        <v>2160</v>
      </c>
      <c r="AL48" s="50">
        <f>'Consumption-Table'!BM58</f>
        <v>2160</v>
      </c>
      <c r="AM48" t="s">
        <v>173</v>
      </c>
      <c r="AN48" s="121">
        <f>'Consumption-Table'!AO58</f>
        <v>10080</v>
      </c>
      <c r="AO48" s="121">
        <f>'Consumption-Table'!AP58</f>
        <v>10080</v>
      </c>
      <c r="AP48" s="121">
        <f>'Consumption-Table'!AQ58</f>
        <v>10080</v>
      </c>
      <c r="AQ48" s="121">
        <f>'Consumption-Table'!AR58</f>
        <v>10080</v>
      </c>
      <c r="AR48" s="121">
        <f>'Consumption-Table'!AS58</f>
        <v>10080</v>
      </c>
      <c r="AS48" s="121">
        <f>'Consumption-Table'!AT58</f>
        <v>10080</v>
      </c>
      <c r="AT48" s="121">
        <f>'Consumption-Table'!AU58</f>
        <v>10080</v>
      </c>
      <c r="AU48" s="121">
        <f>'Consumption-Table'!AV58</f>
        <v>10080</v>
      </c>
      <c r="AV48" s="121">
        <f>'Consumption-Table'!AW58</f>
        <v>10080</v>
      </c>
      <c r="AW48" s="121">
        <f>'Consumption-Table'!AX58</f>
        <v>10080</v>
      </c>
    </row>
    <row r="49" spans="1:49" ht="12.75">
      <c r="A49" t="s">
        <v>176</v>
      </c>
      <c r="B49" t="s">
        <v>14</v>
      </c>
      <c r="C49" s="50">
        <f>C48+C47+C46</f>
        <v>7160</v>
      </c>
      <c r="D49" s="50">
        <f aca="true" t="shared" si="0" ref="D49:AL49">D48+D47+D46</f>
        <v>6960</v>
      </c>
      <c r="E49" s="50">
        <f t="shared" si="0"/>
        <v>7928</v>
      </c>
      <c r="F49" s="50">
        <f t="shared" si="0"/>
        <v>3487</v>
      </c>
      <c r="G49" s="50">
        <f t="shared" si="0"/>
        <v>1073</v>
      </c>
      <c r="H49" s="50">
        <f t="shared" si="0"/>
        <v>518</v>
      </c>
      <c r="I49" s="50">
        <f t="shared" si="0"/>
        <v>536</v>
      </c>
      <c r="J49" s="50">
        <f t="shared" si="0"/>
        <v>536</v>
      </c>
      <c r="K49" s="50">
        <f t="shared" si="0"/>
        <v>518</v>
      </c>
      <c r="L49" s="50">
        <f t="shared" si="0"/>
        <v>1793</v>
      </c>
      <c r="M49" s="50">
        <f t="shared" si="0"/>
        <v>7160</v>
      </c>
      <c r="N49" s="50">
        <f t="shared" si="0"/>
        <v>7660</v>
      </c>
      <c r="O49" s="50">
        <f t="shared" si="0"/>
        <v>7160</v>
      </c>
      <c r="P49" s="50">
        <f t="shared" si="0"/>
        <v>7160</v>
      </c>
      <c r="Q49" s="50">
        <f t="shared" si="0"/>
        <v>7928</v>
      </c>
      <c r="R49" s="50">
        <f t="shared" si="0"/>
        <v>3487</v>
      </c>
      <c r="S49" s="50">
        <f t="shared" si="0"/>
        <v>1073</v>
      </c>
      <c r="T49" s="50">
        <f t="shared" si="0"/>
        <v>518</v>
      </c>
      <c r="U49" s="50">
        <f t="shared" si="0"/>
        <v>536</v>
      </c>
      <c r="V49" s="50">
        <f t="shared" si="0"/>
        <v>536</v>
      </c>
      <c r="W49" s="50">
        <f t="shared" si="0"/>
        <v>518</v>
      </c>
      <c r="X49" s="50">
        <f t="shared" si="0"/>
        <v>1793</v>
      </c>
      <c r="Y49" s="50">
        <f t="shared" si="0"/>
        <v>7160</v>
      </c>
      <c r="Z49" s="50">
        <f t="shared" si="0"/>
        <v>7660</v>
      </c>
      <c r="AA49" s="50">
        <f t="shared" si="0"/>
        <v>7160</v>
      </c>
      <c r="AB49" s="50">
        <f t="shared" si="0"/>
        <v>7160</v>
      </c>
      <c r="AC49" s="50">
        <f t="shared" si="0"/>
        <v>7928</v>
      </c>
      <c r="AD49" s="50">
        <f t="shared" si="0"/>
        <v>3487</v>
      </c>
      <c r="AE49" s="50">
        <f t="shared" si="0"/>
        <v>1073</v>
      </c>
      <c r="AF49" s="50">
        <f t="shared" si="0"/>
        <v>518</v>
      </c>
      <c r="AG49" s="50">
        <f t="shared" si="0"/>
        <v>536</v>
      </c>
      <c r="AH49" s="50">
        <f t="shared" si="0"/>
        <v>536</v>
      </c>
      <c r="AI49" s="50">
        <f t="shared" si="0"/>
        <v>518</v>
      </c>
      <c r="AJ49" s="50">
        <f t="shared" si="0"/>
        <v>1793</v>
      </c>
      <c r="AK49" s="50">
        <f t="shared" si="0"/>
        <v>7160</v>
      </c>
      <c r="AL49" s="50">
        <f t="shared" si="0"/>
        <v>7660</v>
      </c>
      <c r="AM49" t="s">
        <v>176</v>
      </c>
      <c r="AN49" s="121">
        <f>'Consumption-Table'!AO25</f>
        <v>45329</v>
      </c>
      <c r="AO49" s="121">
        <f>'Consumption-Table'!AP25</f>
        <v>45529</v>
      </c>
      <c r="AP49" s="121">
        <f>'Consumption-Table'!AQ25</f>
        <v>45529</v>
      </c>
      <c r="AQ49" s="121">
        <f>'Consumption-Table'!AR25</f>
        <v>45529</v>
      </c>
      <c r="AR49" s="121">
        <f>'Consumption-Table'!AS25</f>
        <v>45529</v>
      </c>
      <c r="AS49" s="121">
        <f>'Consumption-Table'!AT25</f>
        <v>45529</v>
      </c>
      <c r="AT49" s="121">
        <f>'Consumption-Table'!AU25</f>
        <v>45529</v>
      </c>
      <c r="AU49" s="121">
        <f>'Consumption-Table'!AV25</f>
        <v>45529</v>
      </c>
      <c r="AV49" s="121">
        <f>'Consumption-Table'!AW25</f>
        <v>45529</v>
      </c>
      <c r="AW49" s="121">
        <f>'Consumption-Table'!AX25</f>
        <v>45529</v>
      </c>
    </row>
    <row r="50" spans="1:49" ht="12.75">
      <c r="A50" t="s">
        <v>181</v>
      </c>
      <c r="B50" t="s">
        <v>14</v>
      </c>
      <c r="C50" s="50">
        <f>C45-C49</f>
        <v>0</v>
      </c>
      <c r="D50" s="50">
        <f aca="true" t="shared" si="1" ref="D50:AL50">D45-D49</f>
        <v>0</v>
      </c>
      <c r="E50" s="50">
        <f t="shared" si="1"/>
        <v>0</v>
      </c>
      <c r="F50" s="50">
        <f t="shared" si="1"/>
        <v>0</v>
      </c>
      <c r="G50" s="50">
        <f t="shared" si="1"/>
        <v>0</v>
      </c>
      <c r="H50" s="50">
        <f t="shared" si="1"/>
        <v>0</v>
      </c>
      <c r="I50" s="50">
        <f t="shared" si="1"/>
        <v>0</v>
      </c>
      <c r="J50" s="50">
        <f t="shared" si="1"/>
        <v>0</v>
      </c>
      <c r="K50" s="50">
        <f t="shared" si="1"/>
        <v>0</v>
      </c>
      <c r="L50" s="50">
        <f t="shared" si="1"/>
        <v>0</v>
      </c>
      <c r="M50" s="50">
        <f t="shared" si="1"/>
        <v>0</v>
      </c>
      <c r="N50" s="50">
        <f t="shared" si="1"/>
        <v>0</v>
      </c>
      <c r="O50" s="50">
        <f t="shared" si="1"/>
        <v>0</v>
      </c>
      <c r="P50" s="50">
        <f t="shared" si="1"/>
        <v>0</v>
      </c>
      <c r="Q50" s="50">
        <f t="shared" si="1"/>
        <v>0</v>
      </c>
      <c r="R50" s="50">
        <f t="shared" si="1"/>
        <v>0</v>
      </c>
      <c r="S50" s="50">
        <f t="shared" si="1"/>
        <v>0</v>
      </c>
      <c r="T50" s="50">
        <f t="shared" si="1"/>
        <v>0</v>
      </c>
      <c r="U50" s="50">
        <f t="shared" si="1"/>
        <v>0</v>
      </c>
      <c r="V50" s="50">
        <f t="shared" si="1"/>
        <v>0</v>
      </c>
      <c r="W50" s="50">
        <f t="shared" si="1"/>
        <v>0</v>
      </c>
      <c r="X50" s="50">
        <f t="shared" si="1"/>
        <v>0</v>
      </c>
      <c r="Y50" s="50">
        <f t="shared" si="1"/>
        <v>0</v>
      </c>
      <c r="Z50" s="50">
        <f t="shared" si="1"/>
        <v>0</v>
      </c>
      <c r="AA50" s="50">
        <f t="shared" si="1"/>
        <v>0</v>
      </c>
      <c r="AB50" s="50">
        <f t="shared" si="1"/>
        <v>0</v>
      </c>
      <c r="AC50" s="50">
        <f t="shared" si="1"/>
        <v>0</v>
      </c>
      <c r="AD50" s="50">
        <f t="shared" si="1"/>
        <v>0</v>
      </c>
      <c r="AE50" s="50">
        <f t="shared" si="1"/>
        <v>0</v>
      </c>
      <c r="AF50" s="50">
        <f t="shared" si="1"/>
        <v>0</v>
      </c>
      <c r="AG50" s="50">
        <f t="shared" si="1"/>
        <v>0</v>
      </c>
      <c r="AH50" s="50">
        <f t="shared" si="1"/>
        <v>0</v>
      </c>
      <c r="AI50" s="50">
        <f t="shared" si="1"/>
        <v>0</v>
      </c>
      <c r="AJ50" s="50">
        <f t="shared" si="1"/>
        <v>0</v>
      </c>
      <c r="AK50" s="50">
        <f t="shared" si="1"/>
        <v>0</v>
      </c>
      <c r="AL50" s="50">
        <f t="shared" si="1"/>
        <v>0</v>
      </c>
      <c r="AM50" t="s">
        <v>181</v>
      </c>
      <c r="AN50" s="121">
        <f>AN45-AN49</f>
        <v>0</v>
      </c>
      <c r="AO50" s="121">
        <f aca="true" t="shared" si="2" ref="AO50:AW50">AO45-AO49</f>
        <v>0</v>
      </c>
      <c r="AP50" s="121">
        <f t="shared" si="2"/>
        <v>0</v>
      </c>
      <c r="AQ50" s="121">
        <f t="shared" si="2"/>
        <v>0</v>
      </c>
      <c r="AR50" s="121">
        <f t="shared" si="2"/>
        <v>0</v>
      </c>
      <c r="AS50" s="121">
        <f t="shared" si="2"/>
        <v>0</v>
      </c>
      <c r="AT50" s="121">
        <f t="shared" si="2"/>
        <v>0</v>
      </c>
      <c r="AU50" s="121">
        <f t="shared" si="2"/>
        <v>0</v>
      </c>
      <c r="AV50" s="121">
        <f t="shared" si="2"/>
        <v>0</v>
      </c>
      <c r="AW50" s="121">
        <f t="shared" si="2"/>
        <v>0</v>
      </c>
    </row>
    <row r="82" ht="13.5" thickBot="1">
      <c r="A82" t="s">
        <v>86</v>
      </c>
    </row>
    <row r="83" spans="1:49" ht="12.75">
      <c r="A83" s="58"/>
      <c r="B83" s="58"/>
      <c r="C83" s="21">
        <v>39448</v>
      </c>
      <c r="D83" s="21">
        <v>39479</v>
      </c>
      <c r="E83" s="21">
        <v>39508</v>
      </c>
      <c r="F83" s="21">
        <v>39539</v>
      </c>
      <c r="G83" s="21">
        <v>39569</v>
      </c>
      <c r="H83" s="21">
        <v>39600</v>
      </c>
      <c r="I83" s="21">
        <v>39630</v>
      </c>
      <c r="J83" s="21">
        <v>39661</v>
      </c>
      <c r="K83" s="21">
        <v>39692</v>
      </c>
      <c r="L83" s="21">
        <v>39722</v>
      </c>
      <c r="M83" s="21">
        <v>39753</v>
      </c>
      <c r="N83" s="21">
        <v>39783</v>
      </c>
      <c r="O83" s="21">
        <v>39814</v>
      </c>
      <c r="P83" s="21">
        <v>39845</v>
      </c>
      <c r="Q83" s="21">
        <v>39873</v>
      </c>
      <c r="R83" s="21">
        <v>39904</v>
      </c>
      <c r="S83" s="21">
        <v>39934</v>
      </c>
      <c r="T83" s="21">
        <v>39965</v>
      </c>
      <c r="U83" s="21">
        <v>39995</v>
      </c>
      <c r="V83" s="21">
        <v>40026</v>
      </c>
      <c r="W83" s="21">
        <v>40057</v>
      </c>
      <c r="X83" s="21">
        <v>40087</v>
      </c>
      <c r="Y83" s="21">
        <v>40118</v>
      </c>
      <c r="Z83" s="21">
        <v>40148</v>
      </c>
      <c r="AA83" s="21">
        <v>40179</v>
      </c>
      <c r="AB83" s="21">
        <v>40210</v>
      </c>
      <c r="AC83" s="21">
        <v>40238</v>
      </c>
      <c r="AD83" s="21">
        <v>40269</v>
      </c>
      <c r="AE83" s="21">
        <v>40299</v>
      </c>
      <c r="AF83" s="21">
        <v>40330</v>
      </c>
      <c r="AG83" s="21">
        <v>40360</v>
      </c>
      <c r="AH83" s="21">
        <v>40391</v>
      </c>
      <c r="AI83" s="21">
        <v>40422</v>
      </c>
      <c r="AJ83" s="21">
        <v>40452</v>
      </c>
      <c r="AK83" s="21">
        <v>40483</v>
      </c>
      <c r="AL83" s="21">
        <v>40513</v>
      </c>
      <c r="AM83" s="57"/>
      <c r="AN83" s="119">
        <v>2008</v>
      </c>
      <c r="AO83" s="119">
        <v>2009</v>
      </c>
      <c r="AP83" s="119">
        <v>2010</v>
      </c>
      <c r="AQ83" s="119">
        <v>2011</v>
      </c>
      <c r="AR83" s="119">
        <v>2012</v>
      </c>
      <c r="AS83" s="119">
        <v>2013</v>
      </c>
      <c r="AT83" s="119">
        <v>2014</v>
      </c>
      <c r="AU83" s="119">
        <v>2015</v>
      </c>
      <c r="AV83" s="119">
        <v>2016</v>
      </c>
      <c r="AW83" s="120">
        <v>2017</v>
      </c>
    </row>
    <row r="84" spans="1:49" ht="12.75">
      <c r="A84" t="s">
        <v>40</v>
      </c>
      <c r="B84" t="s">
        <v>74</v>
      </c>
      <c r="C84" s="59">
        <f>'Consumption-Table'!P4</f>
        <v>892800</v>
      </c>
      <c r="D84" s="59">
        <f>'Consumption-Table'!Q4</f>
        <v>806400</v>
      </c>
      <c r="E84" s="59">
        <f>'Consumption-Table'!R4</f>
        <v>892800</v>
      </c>
      <c r="F84" s="59">
        <f>'Consumption-Table'!S4</f>
        <v>864000</v>
      </c>
      <c r="G84" s="59">
        <f>'Consumption-Table'!T4</f>
        <v>892800</v>
      </c>
      <c r="H84" s="59">
        <f>'Consumption-Table'!U4</f>
        <v>864000</v>
      </c>
      <c r="I84" s="59">
        <f>'Consumption-Table'!V4</f>
        <v>892800</v>
      </c>
      <c r="J84" s="59">
        <f>'Consumption-Table'!W4</f>
        <v>892800</v>
      </c>
      <c r="K84" s="59">
        <f>'Consumption-Table'!X4</f>
        <v>864000</v>
      </c>
      <c r="L84" s="59">
        <f>'Consumption-Table'!Y4</f>
        <v>892800</v>
      </c>
      <c r="M84" s="59">
        <f>'Consumption-Table'!Z4</f>
        <v>864000</v>
      </c>
      <c r="N84" s="59">
        <f>'Consumption-Table'!AA4</f>
        <v>892800</v>
      </c>
      <c r="O84" s="59">
        <f>'Consumption-Table'!AB4</f>
        <v>1116000</v>
      </c>
      <c r="P84" s="59">
        <f>'Consumption-Table'!AC4</f>
        <v>1008000</v>
      </c>
      <c r="Q84" s="59">
        <f>'Consumption-Table'!AD4</f>
        <v>1116000</v>
      </c>
      <c r="R84" s="59">
        <f>'Consumption-Table'!AE4</f>
        <v>1080000</v>
      </c>
      <c r="S84" s="59">
        <f>'Consumption-Table'!AF4</f>
        <v>1116000</v>
      </c>
      <c r="T84" s="59">
        <f>'Consumption-Table'!AG4</f>
        <v>1080000</v>
      </c>
      <c r="U84" s="59">
        <f>'Consumption-Table'!AH4</f>
        <v>1116000</v>
      </c>
      <c r="V84" s="59">
        <f>'Consumption-Table'!AI4</f>
        <v>1116000</v>
      </c>
      <c r="W84" s="59">
        <f>'Consumption-Table'!AJ4</f>
        <v>1080000</v>
      </c>
      <c r="X84" s="59">
        <f>'Consumption-Table'!AK4</f>
        <v>1116000</v>
      </c>
      <c r="Y84" s="59">
        <f>'Consumption-Table'!AL4</f>
        <v>1080000</v>
      </c>
      <c r="Z84" s="59">
        <f>'Consumption-Table'!AM4</f>
        <v>1116000</v>
      </c>
      <c r="AA84" s="59">
        <f>'Consumption-Table'!BC4</f>
        <v>1116000</v>
      </c>
      <c r="AB84" s="59">
        <f>'Consumption-Table'!BD4</f>
        <v>1008000</v>
      </c>
      <c r="AC84" s="59">
        <f>'Consumption-Table'!BE4</f>
        <v>1116000</v>
      </c>
      <c r="AD84" s="59">
        <f>'Consumption-Table'!BF4</f>
        <v>1080000</v>
      </c>
      <c r="AE84" s="59">
        <f>'Consumption-Table'!BG4</f>
        <v>1116000</v>
      </c>
      <c r="AF84" s="59">
        <f>'Consumption-Table'!BH4</f>
        <v>1080000</v>
      </c>
      <c r="AG84" s="59">
        <f>'Consumption-Table'!BI4</f>
        <v>1116000</v>
      </c>
      <c r="AH84" s="59">
        <f>'Consumption-Table'!BJ4</f>
        <v>1116000</v>
      </c>
      <c r="AI84" s="59">
        <f>'Consumption-Table'!BK4</f>
        <v>1080000</v>
      </c>
      <c r="AJ84" s="59">
        <f>'Consumption-Table'!BL4</f>
        <v>1116000</v>
      </c>
      <c r="AK84" s="59">
        <f>'Consumption-Table'!BM4</f>
        <v>1080000</v>
      </c>
      <c r="AL84" s="59">
        <f>'Consumption-Table'!BN4</f>
        <v>1116000</v>
      </c>
      <c r="AM84" t="s">
        <v>40</v>
      </c>
      <c r="AN84" s="121">
        <f>Entgasung_2008</f>
        <v>10512000</v>
      </c>
      <c r="AO84" s="121">
        <f>Entgasung_2009</f>
        <v>13140000</v>
      </c>
      <c r="AP84" s="121">
        <f>Entgasung_20010</f>
        <v>13140000</v>
      </c>
      <c r="AQ84" s="121">
        <f>Entgasung_2011</f>
        <v>13140000</v>
      </c>
      <c r="AR84" s="121">
        <f>Entgasung_2012</f>
        <v>13140000</v>
      </c>
      <c r="AS84" s="121">
        <f>Entgasung_2013</f>
        <v>13140000</v>
      </c>
      <c r="AT84" s="121">
        <f>Entgasung_2014</f>
        <v>13140000</v>
      </c>
      <c r="AU84" s="121">
        <f>Entgasung_2015</f>
        <v>13140000</v>
      </c>
      <c r="AV84" s="121">
        <f>Entgasung_2016</f>
        <v>13140000</v>
      </c>
      <c r="AW84" s="121">
        <f>Entgasung_2017</f>
        <v>13140000</v>
      </c>
    </row>
    <row r="85" spans="1:49" ht="12.75">
      <c r="A85" t="s">
        <v>89</v>
      </c>
      <c r="B85" t="s">
        <v>15</v>
      </c>
      <c r="C85" s="50">
        <f>'Consumption-Table'!P26</f>
        <v>738383.9396065071</v>
      </c>
      <c r="D85" s="50">
        <f>'Consumption-Table'!Q26</f>
        <v>717506.7642048302</v>
      </c>
      <c r="E85" s="50">
        <f>'Consumption-Table'!R26</f>
        <v>824564.919664629</v>
      </c>
      <c r="F85" s="50">
        <f>'Consumption-Table'!S26</f>
        <v>363993.553128236</v>
      </c>
      <c r="G85" s="50">
        <f>'Consumption-Table'!T26</f>
        <v>112006.04602999633</v>
      </c>
      <c r="H85" s="50">
        <f>'Consumption-Table'!U26</f>
        <v>54071.884290343056</v>
      </c>
      <c r="I85" s="50">
        <f>'Consumption-Table'!V26</f>
        <v>55950.83007649398</v>
      </c>
      <c r="J85" s="50">
        <f>'Consumption-Table'!W26</f>
        <v>55950.83007649398</v>
      </c>
      <c r="K85" s="50">
        <f>'Consumption-Table'!X26</f>
        <v>54071.884290343056</v>
      </c>
      <c r="L85" s="50">
        <f>'Consumption-Table'!Y26</f>
        <v>184157.56421819155</v>
      </c>
      <c r="M85" s="50">
        <f>'Consumption-Table'!Z26</f>
        <v>738383.9396065071</v>
      </c>
      <c r="N85" s="50">
        <f>'Consumption-Table'!AA26</f>
        <v>790576.8781106992</v>
      </c>
      <c r="O85" s="50">
        <f>'Consumption-Table'!AB26</f>
        <v>738383.9396065071</v>
      </c>
      <c r="P85" s="50">
        <f>'Consumption-Table'!AC26</f>
        <v>738383.9396065071</v>
      </c>
      <c r="Q85" s="50">
        <f>'Consumption-Table'!AD26</f>
        <v>824564.919664629</v>
      </c>
      <c r="R85" s="50">
        <f>'Consumption-Table'!AE26</f>
        <v>363993.553128236</v>
      </c>
      <c r="S85" s="50">
        <f>'Consumption-Table'!AF26</f>
        <v>112006.04602999633</v>
      </c>
      <c r="T85" s="50">
        <f>'Consumption-Table'!AG26</f>
        <v>54071.884290343056</v>
      </c>
      <c r="U85" s="50">
        <f>'Consumption-Table'!AH26</f>
        <v>55950.83007649398</v>
      </c>
      <c r="V85" s="50">
        <f>'Consumption-Table'!AI26</f>
        <v>55950.83007649398</v>
      </c>
      <c r="W85" s="50">
        <f>'Consumption-Table'!AJ26</f>
        <v>54071.884290343056</v>
      </c>
      <c r="X85" s="50">
        <f>'Consumption-Table'!AK26</f>
        <v>184157.56421819155</v>
      </c>
      <c r="Y85" s="50">
        <f>'Consumption-Table'!AL26</f>
        <v>738383.9396065071</v>
      </c>
      <c r="Z85" s="50">
        <f>'Consumption-Table'!AM26</f>
        <v>790576.8781106992</v>
      </c>
      <c r="AA85" s="50">
        <f>'Consumption-Table'!BC26</f>
        <v>738383.9396065071</v>
      </c>
      <c r="AB85" s="50">
        <f>'Consumption-Table'!BD26</f>
        <v>738383.9396065071</v>
      </c>
      <c r="AC85" s="50">
        <f>'Consumption-Table'!BE26</f>
        <v>824564.919664629</v>
      </c>
      <c r="AD85" s="50">
        <f>'Consumption-Table'!BF26</f>
        <v>363993.553128236</v>
      </c>
      <c r="AE85" s="50">
        <f>'Consumption-Table'!BG26</f>
        <v>112006.04602999633</v>
      </c>
      <c r="AF85" s="50">
        <f>'Consumption-Table'!BH26</f>
        <v>54071.884290343056</v>
      </c>
      <c r="AG85" s="50">
        <f>'Consumption-Table'!BI26</f>
        <v>55950.83007649398</v>
      </c>
      <c r="AH85" s="50">
        <f>'Consumption-Table'!BJ26</f>
        <v>55950.83007649398</v>
      </c>
      <c r="AI85" s="50">
        <f>'Consumption-Table'!BK26</f>
        <v>54071.884290343056</v>
      </c>
      <c r="AJ85" s="50">
        <f>'Consumption-Table'!BL26</f>
        <v>184157.56421819155</v>
      </c>
      <c r="AK85" s="50">
        <f>'Consumption-Table'!BM26</f>
        <v>738383.9396065071</v>
      </c>
      <c r="AL85" s="50">
        <f>'Consumption-Table'!BN26</f>
        <v>790576.8781106992</v>
      </c>
      <c r="AM85" t="s">
        <v>89</v>
      </c>
      <c r="AN85" s="121">
        <f>'Consumption-Table'!AO26</f>
        <v>4689619.03330327</v>
      </c>
      <c r="AO85" s="121">
        <f>'Consumption-Table'!AP26</f>
        <v>4710496.2087049475</v>
      </c>
      <c r="AP85" s="121">
        <f>'Consumption-Table'!AQ26</f>
        <v>4710496.208704947</v>
      </c>
      <c r="AQ85" s="121">
        <f>'Consumption-Table'!AR26</f>
        <v>4710496.208704947</v>
      </c>
      <c r="AR85" s="121">
        <f>'Consumption-Table'!AS26</f>
        <v>4710496.208704947</v>
      </c>
      <c r="AS85" s="121">
        <f>'Consumption-Table'!AT26</f>
        <v>4710496.208704947</v>
      </c>
      <c r="AT85" s="121">
        <f>'Consumption-Table'!AU26</f>
        <v>4710496.208704947</v>
      </c>
      <c r="AU85" s="121">
        <f>'Consumption-Table'!AV26</f>
        <v>4710496.208704947</v>
      </c>
      <c r="AV85" s="121">
        <f>'Consumption-Table'!AW26</f>
        <v>4710496.208704947</v>
      </c>
      <c r="AW85" s="121">
        <f>'Consumption-Table'!AX26</f>
        <v>4710496.208704947</v>
      </c>
    </row>
    <row r="86" spans="1:49" ht="12.75">
      <c r="A86" t="s">
        <v>171</v>
      </c>
      <c r="B86" t="s">
        <v>15</v>
      </c>
      <c r="C86" s="50">
        <f>'Consumption-Table'!P69</f>
        <v>57899.366447317145</v>
      </c>
      <c r="D86" s="50">
        <f>'Consumption-Table'!Q69</f>
        <v>57899.366447317145</v>
      </c>
      <c r="E86" s="50">
        <f>'Consumption-Table'!R69</f>
        <v>57899.366447317145</v>
      </c>
      <c r="F86" s="50">
        <f>'Consumption-Table'!S69</f>
        <v>57899.366447317145</v>
      </c>
      <c r="G86" s="50">
        <f>'Consumption-Table'!T69</f>
        <v>57899.366447317145</v>
      </c>
      <c r="H86" s="50">
        <f>'Consumption-Table'!U69</f>
        <v>57899.366447317145</v>
      </c>
      <c r="I86" s="50">
        <f>'Consumption-Table'!V69</f>
        <v>57899.366447317145</v>
      </c>
      <c r="J86" s="50">
        <f>'Consumption-Table'!W69</f>
        <v>57899.366447317145</v>
      </c>
      <c r="K86" s="50">
        <f>'Consumption-Table'!X69</f>
        <v>57899.366447317145</v>
      </c>
      <c r="L86" s="50">
        <f>'Consumption-Table'!Y69</f>
        <v>57899.366447317145</v>
      </c>
      <c r="M86" s="50">
        <f>'Consumption-Table'!Z69</f>
        <v>57899.366447317145</v>
      </c>
      <c r="N86" s="50">
        <f>'Consumption-Table'!AA69</f>
        <v>57899.366447317145</v>
      </c>
      <c r="O86" s="50">
        <f>'Consumption-Table'!AB69</f>
        <v>253309.72820701252</v>
      </c>
      <c r="P86" s="50">
        <f>'Consumption-Table'!AC69</f>
        <v>253309.72820701252</v>
      </c>
      <c r="Q86" s="50">
        <f>'Consumption-Table'!AD69</f>
        <v>253309.72820701252</v>
      </c>
      <c r="R86" s="50">
        <f>'Consumption-Table'!AE69</f>
        <v>253309.72820701252</v>
      </c>
      <c r="S86" s="50">
        <f>'Consumption-Table'!AF69</f>
        <v>253309.72820701252</v>
      </c>
      <c r="T86" s="50">
        <f>'Consumption-Table'!AG69</f>
        <v>253309.72820701252</v>
      </c>
      <c r="U86" s="50">
        <f>'Consumption-Table'!AH69</f>
        <v>253309.72820701252</v>
      </c>
      <c r="V86" s="50">
        <f>'Consumption-Table'!AI69</f>
        <v>253309.72820701252</v>
      </c>
      <c r="W86" s="50">
        <f>'Consumption-Table'!AJ69</f>
        <v>253309.72820701252</v>
      </c>
      <c r="X86" s="50">
        <f>'Consumption-Table'!AK69</f>
        <v>253309.72820701252</v>
      </c>
      <c r="Y86" s="50">
        <f>'Consumption-Table'!AL69</f>
        <v>253309.72820701252</v>
      </c>
      <c r="Z86" s="50">
        <f>'Consumption-Table'!AM69</f>
        <v>253309.72820701252</v>
      </c>
      <c r="AA86" s="50">
        <f>'Consumption-Table'!BC69</f>
        <v>253309.72820701252</v>
      </c>
      <c r="AB86" s="50">
        <f>'Consumption-Table'!BD69</f>
        <v>253309.72820701252</v>
      </c>
      <c r="AC86" s="50">
        <f>'Consumption-Table'!BE69</f>
        <v>253309.72820701252</v>
      </c>
      <c r="AD86" s="50">
        <f>'Consumption-Table'!BF69</f>
        <v>253309.72820701252</v>
      </c>
      <c r="AE86" s="50">
        <f>'Consumption-Table'!BG69</f>
        <v>253309.72820701252</v>
      </c>
      <c r="AF86" s="50">
        <f>'Consumption-Table'!BH69</f>
        <v>253309.72820701252</v>
      </c>
      <c r="AG86" s="50">
        <f>'Consumption-Table'!BI69</f>
        <v>253309.72820701252</v>
      </c>
      <c r="AH86" s="50">
        <f>'Consumption-Table'!BJ69</f>
        <v>253309.72820701252</v>
      </c>
      <c r="AI86" s="50">
        <f>'Consumption-Table'!BK69</f>
        <v>253309.72820701252</v>
      </c>
      <c r="AJ86" s="50">
        <f>'Consumption-Table'!BL69</f>
        <v>253309.72820701252</v>
      </c>
      <c r="AK86" s="50">
        <f>'Consumption-Table'!BM69</f>
        <v>253309.72820701252</v>
      </c>
      <c r="AL86" s="50">
        <f>'Consumption-Table'!BN69</f>
        <v>253309.72820701252</v>
      </c>
      <c r="AM86" t="s">
        <v>171</v>
      </c>
      <c r="AN86" s="121">
        <f>'Consumption-Table'!AO69</f>
        <v>694792.3973678057</v>
      </c>
      <c r="AO86" s="121">
        <f>'Consumption-Table'!AP69</f>
        <v>3039716.738484151</v>
      </c>
      <c r="AP86" s="121">
        <f>'Consumption-Table'!AQ69</f>
        <v>3039716.7384841503</v>
      </c>
      <c r="AQ86" s="121">
        <f>'Consumption-Table'!AR69</f>
        <v>3039716.7384841503</v>
      </c>
      <c r="AR86" s="121">
        <f>'Consumption-Table'!AS69</f>
        <v>3039716.7384841503</v>
      </c>
      <c r="AS86" s="121">
        <f>'Consumption-Table'!AT69</f>
        <v>3039716.7384841503</v>
      </c>
      <c r="AT86" s="121">
        <f>'Consumption-Table'!AU69</f>
        <v>3039716.7384841503</v>
      </c>
      <c r="AU86" s="121">
        <f>'Consumption-Table'!AV69</f>
        <v>3039716.7384841503</v>
      </c>
      <c r="AV86" s="121">
        <f>'Consumption-Table'!AW69</f>
        <v>3039716.7384841503</v>
      </c>
      <c r="AW86" s="121">
        <f>'Consumption-Table'!AX69</f>
        <v>3039716.7384841503</v>
      </c>
    </row>
    <row r="87" spans="1:49" ht="12.75">
      <c r="A87" t="s">
        <v>87</v>
      </c>
      <c r="B87" t="s">
        <v>15</v>
      </c>
      <c r="C87" s="50">
        <f>'Consumption-Table'!P104</f>
        <v>0</v>
      </c>
      <c r="D87" s="50">
        <f>'Consumption-Table'!Q104</f>
        <v>0</v>
      </c>
      <c r="E87" s="50">
        <f>'Consumption-Table'!R104</f>
        <v>0</v>
      </c>
      <c r="F87" s="50">
        <f>'Consumption-Table'!S104</f>
        <v>299128.169155226</v>
      </c>
      <c r="G87" s="50">
        <f>'Consumption-Table'!T104</f>
        <v>598256.338310452</v>
      </c>
      <c r="H87" s="50">
        <f>'Consumption-Table'!U104</f>
        <v>598256.338310452</v>
      </c>
      <c r="I87" s="50">
        <f>'Consumption-Table'!V104</f>
        <v>598256.338310452</v>
      </c>
      <c r="J87" s="50">
        <f>'Consumption-Table'!W104</f>
        <v>598256.338310452</v>
      </c>
      <c r="K87" s="50">
        <f>'Consumption-Table'!X104</f>
        <v>598256.338310452</v>
      </c>
      <c r="L87" s="50">
        <f>'Consumption-Table'!Y104</f>
        <v>498546.9485920433</v>
      </c>
      <c r="M87" s="50">
        <f>'Consumption-Table'!Z104</f>
        <v>0</v>
      </c>
      <c r="N87" s="50">
        <f>'Consumption-Table'!AA104</f>
        <v>0</v>
      </c>
      <c r="O87" s="50">
        <f>'Consumption-Table'!AB104</f>
        <v>0</v>
      </c>
      <c r="P87" s="50">
        <f>'Consumption-Table'!AC104</f>
        <v>0</v>
      </c>
      <c r="Q87" s="50">
        <f>'Consumption-Table'!AD104</f>
        <v>0</v>
      </c>
      <c r="R87" s="50">
        <f>'Consumption-Table'!AE104</f>
        <v>299128.169155226</v>
      </c>
      <c r="S87" s="50">
        <f>'Consumption-Table'!AF104</f>
        <v>598256.338310452</v>
      </c>
      <c r="T87" s="50">
        <f>'Consumption-Table'!AG104</f>
        <v>598256.338310452</v>
      </c>
      <c r="U87" s="50">
        <f>'Consumption-Table'!AH104</f>
        <v>598256.338310452</v>
      </c>
      <c r="V87" s="50">
        <f>'Consumption-Table'!AI104</f>
        <v>598256.338310452</v>
      </c>
      <c r="W87" s="50">
        <f>'Consumption-Table'!AJ104</f>
        <v>598256.338310452</v>
      </c>
      <c r="X87" s="50">
        <f>'Consumption-Table'!AK104</f>
        <v>498546.9485920433</v>
      </c>
      <c r="Y87" s="50">
        <f>'Consumption-Table'!AL104</f>
        <v>0</v>
      </c>
      <c r="Z87" s="50">
        <f>'Consumption-Table'!AM104</f>
        <v>0</v>
      </c>
      <c r="AA87" s="50">
        <f>'Consumption-Table'!BC104</f>
        <v>0</v>
      </c>
      <c r="AB87" s="50">
        <f>'Consumption-Table'!BD104</f>
        <v>0</v>
      </c>
      <c r="AC87" s="50">
        <f>'Consumption-Table'!BE104</f>
        <v>0</v>
      </c>
      <c r="AD87" s="50">
        <f>'Consumption-Table'!BF104</f>
        <v>299128.169155226</v>
      </c>
      <c r="AE87" s="50">
        <f>'Consumption-Table'!BG104</f>
        <v>598256.338310452</v>
      </c>
      <c r="AF87" s="50">
        <f>'Consumption-Table'!BH104</f>
        <v>598256.338310452</v>
      </c>
      <c r="AG87" s="50">
        <f>'Consumption-Table'!BI104</f>
        <v>598256.338310452</v>
      </c>
      <c r="AH87" s="50">
        <f>'Consumption-Table'!BJ104</f>
        <v>598256.338310452</v>
      </c>
      <c r="AI87" s="50">
        <f>'Consumption-Table'!BK104</f>
        <v>598256.338310452</v>
      </c>
      <c r="AJ87" s="50">
        <f>'Consumption-Table'!BL104</f>
        <v>498546.9485920433</v>
      </c>
      <c r="AK87" s="50">
        <f>'Consumption-Table'!BM104</f>
        <v>0</v>
      </c>
      <c r="AL87" s="50">
        <f>'Consumption-Table'!BN104</f>
        <v>0</v>
      </c>
      <c r="AM87" t="s">
        <v>87</v>
      </c>
      <c r="AN87" s="121">
        <f>'Consumption-Table'!AO104</f>
        <v>3788956.8092995295</v>
      </c>
      <c r="AO87" s="121">
        <f>'Consumption-Table'!AP104</f>
        <v>3788956.8092995295</v>
      </c>
      <c r="AP87" s="121">
        <f>'Consumption-Table'!AQ104</f>
        <v>3788956.8092995295</v>
      </c>
      <c r="AQ87" s="121">
        <f>'Consumption-Table'!AR104</f>
        <v>3788956.8092995295</v>
      </c>
      <c r="AR87" s="121">
        <f>'Consumption-Table'!AS104</f>
        <v>3788956.8092995295</v>
      </c>
      <c r="AS87" s="121">
        <f>'Consumption-Table'!AT104</f>
        <v>3788956.8092995295</v>
      </c>
      <c r="AT87" s="121">
        <f>'Consumption-Table'!AU104</f>
        <v>3788956.8092995295</v>
      </c>
      <c r="AU87" s="121">
        <f>'Consumption-Table'!AV104</f>
        <v>3788956.8092995295</v>
      </c>
      <c r="AV87" s="121">
        <f>'Consumption-Table'!AW104</f>
        <v>3788956.8092995295</v>
      </c>
      <c r="AW87" s="121">
        <f>'Consumption-Table'!AX104</f>
        <v>3788956.8092995295</v>
      </c>
    </row>
    <row r="88" spans="1:49" ht="12.75">
      <c r="A88" t="s">
        <v>88</v>
      </c>
      <c r="B88" t="s">
        <v>15</v>
      </c>
      <c r="C88" s="50">
        <f aca="true" t="shared" si="3" ref="C88:Y88">C84-C85-C86-C87</f>
        <v>96516.69394617577</v>
      </c>
      <c r="D88" s="50">
        <f t="shared" si="3"/>
        <v>30993.86934785269</v>
      </c>
      <c r="E88" s="50">
        <f t="shared" si="3"/>
        <v>10335.713888053819</v>
      </c>
      <c r="F88" s="50">
        <f t="shared" si="3"/>
        <v>142978.91126922093</v>
      </c>
      <c r="G88" s="50">
        <f t="shared" si="3"/>
        <v>124638.24921223451</v>
      </c>
      <c r="H88" s="50">
        <f t="shared" si="3"/>
        <v>153772.41095188784</v>
      </c>
      <c r="I88" s="50">
        <f t="shared" si="3"/>
        <v>180693.46516573685</v>
      </c>
      <c r="J88" s="50">
        <f t="shared" si="3"/>
        <v>180693.46516573685</v>
      </c>
      <c r="K88" s="50">
        <f t="shared" si="3"/>
        <v>153772.41095188784</v>
      </c>
      <c r="L88" s="50">
        <f t="shared" si="3"/>
        <v>152196.12074244797</v>
      </c>
      <c r="M88" s="50">
        <f t="shared" si="3"/>
        <v>67716.69394617577</v>
      </c>
      <c r="N88" s="50">
        <f t="shared" si="3"/>
        <v>44323.755441983616</v>
      </c>
      <c r="O88" s="50">
        <f t="shared" si="3"/>
        <v>124306.3321864804</v>
      </c>
      <c r="P88" s="50">
        <f t="shared" si="3"/>
        <v>16306.332186480402</v>
      </c>
      <c r="Q88" s="50">
        <f t="shared" si="3"/>
        <v>38125.35212835844</v>
      </c>
      <c r="R88" s="50">
        <f t="shared" si="3"/>
        <v>163568.54950952553</v>
      </c>
      <c r="S88" s="50">
        <f t="shared" si="3"/>
        <v>152427.88745253917</v>
      </c>
      <c r="T88" s="50">
        <f t="shared" si="3"/>
        <v>174362.0491921925</v>
      </c>
      <c r="U88" s="50">
        <f t="shared" si="3"/>
        <v>208483.1034060415</v>
      </c>
      <c r="V88" s="50">
        <f t="shared" si="3"/>
        <v>208483.1034060415</v>
      </c>
      <c r="W88" s="50">
        <f t="shared" si="3"/>
        <v>174362.0491921925</v>
      </c>
      <c r="X88" s="50">
        <f t="shared" si="3"/>
        <v>179985.75898275262</v>
      </c>
      <c r="Y88" s="50">
        <f t="shared" si="3"/>
        <v>88306.3321864804</v>
      </c>
      <c r="Z88" s="50">
        <f>Z84-Z85-Z86-Z87</f>
        <v>72113.39368228824</v>
      </c>
      <c r="AA88" s="50">
        <f>AA84-AA85-AA86-AA87</f>
        <v>124306.3321864804</v>
      </c>
      <c r="AB88" s="50">
        <f aca="true" t="shared" si="4" ref="AB88:AL88">AB84-AB85-AB86-AB87</f>
        <v>16306.332186480402</v>
      </c>
      <c r="AC88" s="50">
        <f t="shared" si="4"/>
        <v>38125.35212835844</v>
      </c>
      <c r="AD88" s="50">
        <f t="shared" si="4"/>
        <v>163568.54950952553</v>
      </c>
      <c r="AE88" s="50">
        <f t="shared" si="4"/>
        <v>152427.88745253917</v>
      </c>
      <c r="AF88" s="50">
        <f t="shared" si="4"/>
        <v>174362.0491921925</v>
      </c>
      <c r="AG88" s="50">
        <f t="shared" si="4"/>
        <v>208483.1034060415</v>
      </c>
      <c r="AH88" s="50">
        <f t="shared" si="4"/>
        <v>208483.1034060415</v>
      </c>
      <c r="AI88" s="50">
        <f t="shared" si="4"/>
        <v>174362.0491921925</v>
      </c>
      <c r="AJ88" s="50">
        <f t="shared" si="4"/>
        <v>179985.75898275262</v>
      </c>
      <c r="AK88" s="50">
        <f t="shared" si="4"/>
        <v>88306.3321864804</v>
      </c>
      <c r="AL88" s="50">
        <f t="shared" si="4"/>
        <v>72113.39368228824</v>
      </c>
      <c r="AM88" t="s">
        <v>88</v>
      </c>
      <c r="AN88" s="121">
        <f aca="true" t="shared" si="5" ref="AN88:AW88">AN84-AN85-AN86-AN87</f>
        <v>1338631.760029395</v>
      </c>
      <c r="AO88" s="121">
        <f t="shared" si="5"/>
        <v>1600830.2435113704</v>
      </c>
      <c r="AP88" s="121">
        <f t="shared" si="5"/>
        <v>1600830.243511374</v>
      </c>
      <c r="AQ88" s="121">
        <f t="shared" si="5"/>
        <v>1600830.243511374</v>
      </c>
      <c r="AR88" s="121">
        <f t="shared" si="5"/>
        <v>1600830.243511374</v>
      </c>
      <c r="AS88" s="121">
        <f t="shared" si="5"/>
        <v>1600830.243511374</v>
      </c>
      <c r="AT88" s="121">
        <f t="shared" si="5"/>
        <v>1600830.243511374</v>
      </c>
      <c r="AU88" s="121">
        <f t="shared" si="5"/>
        <v>1600830.243511374</v>
      </c>
      <c r="AV88" s="121">
        <f t="shared" si="5"/>
        <v>1600830.243511374</v>
      </c>
      <c r="AW88" s="121">
        <f t="shared" si="5"/>
        <v>1600830.243511374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UMSICHT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Adam Hadulla</cp:lastModifiedBy>
  <cp:lastPrinted>2008-05-08T13:04:45Z</cp:lastPrinted>
  <dcterms:created xsi:type="dcterms:W3CDTF">2006-11-08T08:41:00Z</dcterms:created>
  <dcterms:modified xsi:type="dcterms:W3CDTF">2008-11-17T09:10:35Z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