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9140" windowHeight="7680" activeTab="0"/>
  </bookViews>
  <sheets>
    <sheet name="Calculation" sheetId="1" r:id="rId1"/>
    <sheet name="Assumptions" sheetId="2" r:id="rId2"/>
  </sheets>
  <definedNames/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F2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Price at the beginning of 2008</t>
        </r>
      </text>
    </comment>
  </commentList>
</comments>
</file>

<file path=xl/sharedStrings.xml><?xml version="1.0" encoding="utf-8"?>
<sst xmlns="http://schemas.openxmlformats.org/spreadsheetml/2006/main" count="116" uniqueCount="87">
  <si>
    <t>GWh</t>
  </si>
  <si>
    <t>mln. nm3</t>
  </si>
  <si>
    <t>RK1</t>
  </si>
  <si>
    <t>RK2</t>
  </si>
  <si>
    <t>Lt/t</t>
  </si>
  <si>
    <t>Lt/MWh</t>
  </si>
  <si>
    <t>NPV</t>
  </si>
  <si>
    <t>IRR</t>
  </si>
  <si>
    <t>t</t>
  </si>
  <si>
    <t>NOx</t>
  </si>
  <si>
    <t>CO</t>
  </si>
  <si>
    <t>CO2</t>
  </si>
  <si>
    <t>Su subsidija</t>
  </si>
  <si>
    <t>Be subsidijos</t>
  </si>
  <si>
    <t>Discount rate</t>
  </si>
  <si>
    <t>Natural gas price</t>
  </si>
  <si>
    <t>HFO price</t>
  </si>
  <si>
    <t>Power supplied</t>
  </si>
  <si>
    <t>Heat supplied</t>
  </si>
  <si>
    <t>Natural gas consumed</t>
  </si>
  <si>
    <t>Fuel consumption</t>
  </si>
  <si>
    <t>CO2 emissions</t>
  </si>
  <si>
    <t>NOx emissions</t>
  </si>
  <si>
    <t>CO emissions</t>
  </si>
  <si>
    <t>Reduction of Natural gas consumption in RK1 and RK2</t>
  </si>
  <si>
    <t>Reduction of HFO consumption RK1 and RK2</t>
  </si>
  <si>
    <t>Reduction of fuel consumption in RK1 and RK2</t>
  </si>
  <si>
    <t>Reduction of Nox emissions in RK1 and RK2</t>
  </si>
  <si>
    <t>Reduction of CO emissions in RK1 and RK2</t>
  </si>
  <si>
    <t>Reduction of CO2 emissions in RK1 and RK2</t>
  </si>
  <si>
    <t>Reduction of CO emissions in LPP</t>
  </si>
  <si>
    <t xml:space="preserve">Reduction of NOx emissions in LPP </t>
  </si>
  <si>
    <t>Rduction of fuel consumption in LPP</t>
  </si>
  <si>
    <t xml:space="preserve">Total Nox reductions </t>
  </si>
  <si>
    <t>Total CO2 reductions</t>
  </si>
  <si>
    <t>Total fuel reductions</t>
  </si>
  <si>
    <t>With subsidy</t>
  </si>
  <si>
    <t>Without subsidy</t>
  </si>
  <si>
    <t>Investments</t>
  </si>
  <si>
    <t>Fixed costs</t>
  </si>
  <si>
    <t>Expenditures for salaries</t>
  </si>
  <si>
    <t>expenditures for fuel</t>
  </si>
  <si>
    <t>Reduced expenditures for fuel in RK1 ir RK2</t>
  </si>
  <si>
    <t>Revenues from power sales</t>
  </si>
  <si>
    <t>Cash flow</t>
  </si>
  <si>
    <t>Lt/1000 nm3</t>
  </si>
  <si>
    <t>t.o.e.</t>
  </si>
  <si>
    <t>1000 t</t>
  </si>
  <si>
    <t>thousand Lt</t>
  </si>
  <si>
    <t xml:space="preserve">Discontents pining sautés </t>
  </si>
  <si>
    <t>Natural gas</t>
  </si>
  <si>
    <t>HFO</t>
  </si>
  <si>
    <t>Electricity price</t>
  </si>
  <si>
    <t>Eficiency</t>
  </si>
  <si>
    <t>Production</t>
  </si>
  <si>
    <t xml:space="preserve">LHV of Natural gas </t>
  </si>
  <si>
    <t>LHV of HFO</t>
  </si>
  <si>
    <t>kg/1000 nm3</t>
  </si>
  <si>
    <t>t/1000nm3</t>
  </si>
  <si>
    <t>2013-2030</t>
  </si>
  <si>
    <t>3,1%</t>
  </si>
  <si>
    <t>-10,5%</t>
  </si>
  <si>
    <t>-2,6%</t>
  </si>
  <si>
    <t>4,3%</t>
  </si>
  <si>
    <t>4,5%</t>
  </si>
  <si>
    <t>4,2%</t>
  </si>
  <si>
    <t>20,6%</t>
  </si>
  <si>
    <t>-4,4%</t>
  </si>
  <si>
    <t>-5,0%</t>
  </si>
  <si>
    <t>-0,3%</t>
  </si>
  <si>
    <t>0,5%</t>
  </si>
  <si>
    <t>3,4%</t>
  </si>
  <si>
    <t>8,5 %</t>
  </si>
  <si>
    <t>1,2%</t>
  </si>
  <si>
    <t>-1,2%</t>
  </si>
  <si>
    <t>-0,5%</t>
  </si>
  <si>
    <t>0,6%</t>
  </si>
  <si>
    <t>1,7%</t>
  </si>
  <si>
    <t>GDP growth</t>
  </si>
  <si>
    <t>Salary growth</t>
  </si>
  <si>
    <t>Inflation</t>
  </si>
  <si>
    <t>Macroeconomic statistics</t>
  </si>
  <si>
    <t>Macroeconomic projections</t>
  </si>
  <si>
    <t>Thousand, EUR</t>
  </si>
  <si>
    <t>Total investment</t>
  </si>
  <si>
    <t>Subsidy</t>
  </si>
  <si>
    <t>Investment price compared to 2004 estimations, thousand Lt</t>
  </si>
</sst>
</file>

<file path=xl/styles.xml><?xml version="1.0" encoding="utf-8"?>
<styleSheet xmlns="http://schemas.openxmlformats.org/spreadsheetml/2006/main">
  <numFmts count="5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.0\ &quot;Lt&quot;_-;\-* #,##0.0\ &quot;Lt&quot;_-;_-* &quot;-&quot;??\ &quot;Lt&quot;_-;_-@_-"/>
    <numFmt numFmtId="189" formatCode="_-* #,##0\ &quot;Lt&quot;_-;\-* #,##0\ &quot;Lt&quot;_-;_-* &quot;-&quot;??\ &quot;Lt&quot;_-;_-@_-"/>
    <numFmt numFmtId="190" formatCode="_-* #,##0.0\ _L_t_-;\-* #,##0.0\ _L_t_-;_-* &quot;-&quot;??\ _L_t_-;_-@_-"/>
    <numFmt numFmtId="191" formatCode="_-* #,##0\ _L_t_-;\-* #,##0\ _L_t_-;_-* &quot;-&quot;??\ _L_t_-;_-@_-"/>
    <numFmt numFmtId="192" formatCode="0.0"/>
    <numFmt numFmtId="193" formatCode="0.0000"/>
    <numFmt numFmtId="194" formatCode="0.000"/>
    <numFmt numFmtId="195" formatCode="0.0%"/>
    <numFmt numFmtId="196" formatCode="0.00000"/>
    <numFmt numFmtId="197" formatCode="_-* #,##0.0\ _L_t_-;\-* #,##0.0\ _L_t_-;_-* &quot;-&quot;?\ _L_t_-;_-@_-"/>
    <numFmt numFmtId="198" formatCode="_-* #,##0\ _L_t_-;\-* #,##0\ _L_t_-;_-* &quot;-&quot;?\ _L_t_-;_-@_-"/>
    <numFmt numFmtId="199" formatCode="0.000%"/>
    <numFmt numFmtId="200" formatCode="_-* #,##0.000\ _L_t_-;\-* #,##0.000\ _L_t_-;_-* &quot;-&quot;??\ _L_t_-;_-@_-"/>
    <numFmt numFmtId="201" formatCode="_-* #,##0.000\ _L_t_-;\-* #,##0.000\ _L_t_-;_-* &quot;-&quot;???\ _L_t_-;_-@_-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.0_-;\-* #,##0.0_-;_-* &quot;-&quot;?_-;_-@_-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91" fontId="0" fillId="0" borderId="0" xfId="42" applyNumberFormat="1" applyAlignment="1">
      <alignment horizontal="center"/>
    </xf>
    <xf numFmtId="192" fontId="0" fillId="0" borderId="0" xfId="0" applyNumberFormat="1" applyAlignment="1">
      <alignment horizontal="center"/>
    </xf>
    <xf numFmtId="9" fontId="0" fillId="0" borderId="0" xfId="59" applyAlignment="1">
      <alignment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5" fontId="1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0" fontId="1" fillId="0" borderId="0" xfId="0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91" fontId="0" fillId="0" borderId="0" xfId="42" applyNumberFormat="1" applyFill="1" applyAlignment="1">
      <alignment horizontal="center"/>
    </xf>
    <xf numFmtId="191" fontId="0" fillId="0" borderId="0" xfId="0" applyNumberFormat="1" applyFill="1" applyAlignment="1">
      <alignment/>
    </xf>
    <xf numFmtId="0" fontId="0" fillId="0" borderId="0" xfId="0" applyAlignment="1">
      <alignment vertical="top" wrapText="1"/>
    </xf>
    <xf numFmtId="9" fontId="0" fillId="0" borderId="0" xfId="59" applyAlignment="1">
      <alignment vertical="top" wrapText="1"/>
    </xf>
    <xf numFmtId="195" fontId="0" fillId="0" borderId="0" xfId="59" applyNumberFormat="1" applyAlignment="1">
      <alignment vertical="top" wrapText="1"/>
    </xf>
    <xf numFmtId="195" fontId="0" fillId="0" borderId="0" xfId="59" applyNumberFormat="1" applyAlignment="1">
      <alignment horizontal="center" vertical="top" wrapText="1"/>
    </xf>
    <xf numFmtId="195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00" fontId="0" fillId="0" borderId="0" xfId="42" applyNumberFormat="1" applyAlignment="1">
      <alignment vertical="top" wrapText="1"/>
    </xf>
    <xf numFmtId="195" fontId="0" fillId="0" borderId="0" xfId="59" applyNumberFormat="1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 wrapText="1"/>
    </xf>
    <xf numFmtId="175" fontId="0" fillId="0" borderId="0" xfId="0" applyNumberFormat="1" applyFill="1" applyAlignment="1">
      <alignment/>
    </xf>
    <xf numFmtId="195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M60"/>
  <sheetViews>
    <sheetView tabSelected="1" zoomScaleSheetLayoutView="100" workbookViewId="0" topLeftCell="B1">
      <selection activeCell="H6" sqref="H6"/>
    </sheetView>
  </sheetViews>
  <sheetFormatPr defaultColWidth="9.140625" defaultRowHeight="12.75"/>
  <cols>
    <col min="1" max="1" width="47.28125" style="0" customWidth="1"/>
    <col min="2" max="2" width="13.57421875" style="0" customWidth="1"/>
    <col min="3" max="3" width="12.00390625" style="0" customWidth="1"/>
    <col min="4" max="6" width="11.140625" style="0" customWidth="1"/>
    <col min="7" max="7" width="11.57421875" style="0" customWidth="1"/>
    <col min="8" max="13" width="11.140625" style="0" customWidth="1"/>
  </cols>
  <sheetData>
    <row r="2" spans="3:13" ht="12.75">
      <c r="C2" s="11">
        <v>2008</v>
      </c>
      <c r="D2" s="11">
        <v>2009</v>
      </c>
      <c r="E2" s="11">
        <v>2010</v>
      </c>
      <c r="F2" s="11">
        <v>2011</v>
      </c>
      <c r="G2" s="11">
        <v>2012</v>
      </c>
      <c r="H2" s="11">
        <v>2013</v>
      </c>
      <c r="I2" s="11">
        <v>2014</v>
      </c>
      <c r="J2" s="11">
        <v>2015</v>
      </c>
      <c r="K2" s="11">
        <v>2016</v>
      </c>
      <c r="L2" s="11">
        <v>2017</v>
      </c>
      <c r="M2" s="11">
        <v>2018</v>
      </c>
    </row>
    <row r="3" spans="3:13" ht="12.7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t="s">
        <v>15</v>
      </c>
      <c r="B4" t="s">
        <v>45</v>
      </c>
      <c r="C4" s="29">
        <v>1250</v>
      </c>
      <c r="D4" s="8">
        <v>830.4</v>
      </c>
      <c r="E4" s="8">
        <v>994.5</v>
      </c>
      <c r="F4" s="8">
        <v>1067</v>
      </c>
      <c r="G4" s="8">
        <v>1159.1</v>
      </c>
      <c r="H4" s="8">
        <v>1211.4</v>
      </c>
      <c r="I4" s="8">
        <v>1266.2</v>
      </c>
      <c r="J4" s="8">
        <v>1304.2</v>
      </c>
      <c r="K4" s="8">
        <v>1319.3</v>
      </c>
      <c r="L4" s="8">
        <v>1334.6</v>
      </c>
      <c r="M4" s="8">
        <v>1350.3</v>
      </c>
    </row>
    <row r="5" spans="1:13" ht="12.75">
      <c r="A5" t="s">
        <v>16</v>
      </c>
      <c r="B5" t="s">
        <v>4</v>
      </c>
      <c r="C5" s="29">
        <v>1009.4423095120762</v>
      </c>
      <c r="D5" s="8">
        <v>861.2035229087335</v>
      </c>
      <c r="E5" s="8">
        <v>1069.9655989045466</v>
      </c>
      <c r="F5" s="8">
        <v>1162.9159631300213</v>
      </c>
      <c r="G5" s="8">
        <v>1265.933415670167</v>
      </c>
      <c r="H5" s="8">
        <v>1321.759889668424</v>
      </c>
      <c r="I5" s="8">
        <v>1380.5294232792508</v>
      </c>
      <c r="J5" s="8">
        <v>1419.2247948245918</v>
      </c>
      <c r="K5" s="8">
        <v>1431.02180290241</v>
      </c>
      <c r="L5" s="8">
        <v>1442.5232665375947</v>
      </c>
      <c r="M5" s="8">
        <v>1453.844850160688</v>
      </c>
    </row>
    <row r="6" spans="1:13" ht="12.75">
      <c r="A6" t="s">
        <v>52</v>
      </c>
      <c r="B6" t="s">
        <v>5</v>
      </c>
      <c r="C6" s="29">
        <v>104.5</v>
      </c>
      <c r="D6" s="8">
        <v>118.1</v>
      </c>
      <c r="E6" s="8">
        <v>217.142810305861</v>
      </c>
      <c r="F6" s="8">
        <v>232.8900707892008</v>
      </c>
      <c r="G6" s="8">
        <v>244.656215889335</v>
      </c>
      <c r="H6" s="8">
        <v>257.02746339348795</v>
      </c>
      <c r="I6" s="8">
        <v>269.5954871569834</v>
      </c>
      <c r="J6" s="8">
        <v>278.62439174868746</v>
      </c>
      <c r="K6" s="8">
        <v>282.6875228471248</v>
      </c>
      <c r="L6" s="8">
        <v>286.7740014049445</v>
      </c>
      <c r="M6" s="8">
        <v>290.8493572087977</v>
      </c>
    </row>
    <row r="7" ht="12.75">
      <c r="C7" s="2"/>
    </row>
    <row r="8" spans="1:13" ht="12.75">
      <c r="A8" t="s">
        <v>17</v>
      </c>
      <c r="B8" t="s">
        <v>0</v>
      </c>
      <c r="D8" s="1">
        <v>53.7</v>
      </c>
      <c r="E8" s="3">
        <v>203.175</v>
      </c>
      <c r="F8" s="3">
        <v>203.175</v>
      </c>
      <c r="G8" s="3">
        <v>203.175</v>
      </c>
      <c r="H8" s="3">
        <v>203.175</v>
      </c>
      <c r="I8" s="3">
        <v>203.175</v>
      </c>
      <c r="J8" s="3">
        <v>203.175</v>
      </c>
      <c r="K8" s="3">
        <v>203.175</v>
      </c>
      <c r="L8" s="3">
        <v>203.175</v>
      </c>
      <c r="M8" s="3">
        <v>203.175</v>
      </c>
    </row>
    <row r="9" spans="1:13" ht="12.75">
      <c r="A9" t="s">
        <v>18</v>
      </c>
      <c r="B9" t="s">
        <v>0</v>
      </c>
      <c r="D9" s="1">
        <v>53.7</v>
      </c>
      <c r="E9" s="3">
        <v>203.175</v>
      </c>
      <c r="F9" s="3">
        <v>203.175</v>
      </c>
      <c r="G9" s="3">
        <v>203.175</v>
      </c>
      <c r="H9" s="3">
        <v>203.175</v>
      </c>
      <c r="I9" s="3">
        <v>203.175</v>
      </c>
      <c r="J9" s="3">
        <v>203.175</v>
      </c>
      <c r="K9" s="3">
        <v>203.175</v>
      </c>
      <c r="L9" s="3">
        <v>203.175</v>
      </c>
      <c r="M9" s="3">
        <v>203.175</v>
      </c>
    </row>
    <row r="10" spans="1:13" ht="12.75">
      <c r="A10" t="s">
        <v>19</v>
      </c>
      <c r="B10" t="s">
        <v>1</v>
      </c>
      <c r="D10" s="3">
        <v>12.695641</v>
      </c>
      <c r="E10" s="3">
        <v>48.034208</v>
      </c>
      <c r="F10" s="3">
        <v>48.034208</v>
      </c>
      <c r="G10" s="3">
        <v>48.034208</v>
      </c>
      <c r="H10" s="3">
        <v>48.034208</v>
      </c>
      <c r="I10" s="3">
        <v>48.034208</v>
      </c>
      <c r="J10" s="3">
        <v>48.034208</v>
      </c>
      <c r="K10" s="3">
        <v>48.034208</v>
      </c>
      <c r="L10" s="3">
        <v>48.034208</v>
      </c>
      <c r="M10" s="3">
        <v>48.034208</v>
      </c>
    </row>
    <row r="11" spans="1:13" ht="12.75">
      <c r="A11" t="s">
        <v>20</v>
      </c>
      <c r="B11" t="s">
        <v>46</v>
      </c>
      <c r="D11" s="2">
        <f>D10*Assumptions!$F$2/11.63*1000</f>
        <v>10156.5128</v>
      </c>
      <c r="E11" s="2">
        <f>E10*Assumptions!$F$2/7*1000</f>
        <v>63844.324461714285</v>
      </c>
      <c r="F11" s="2">
        <f>F10*Assumptions!$F$2/7*1000</f>
        <v>63844.324461714285</v>
      </c>
      <c r="G11" s="2">
        <f>G10*Assumptions!$F$2/7*1000</f>
        <v>63844.324461714285</v>
      </c>
      <c r="H11" s="2">
        <f>H10*Assumptions!$F$2/7*1000</f>
        <v>63844.324461714285</v>
      </c>
      <c r="I11" s="2">
        <f>I10*Assumptions!$F$2/7*1000</f>
        <v>63844.324461714285</v>
      </c>
      <c r="J11" s="2">
        <f>J10*Assumptions!$F$2/7*1000</f>
        <v>63844.324461714285</v>
      </c>
      <c r="K11" s="2">
        <f>K10*Assumptions!$F$2/7*1000</f>
        <v>63844.324461714285</v>
      </c>
      <c r="L11" s="2">
        <f>L10*Assumptions!$F$2/7*1000</f>
        <v>63844.324461714285</v>
      </c>
      <c r="M11" s="2">
        <f>M10*Assumptions!$F$2/7*1000</f>
        <v>63844.324461714285</v>
      </c>
    </row>
    <row r="12" spans="1:13" ht="12.75">
      <c r="A12" t="s">
        <v>22</v>
      </c>
      <c r="B12" t="s">
        <v>8</v>
      </c>
      <c r="D12" s="3">
        <f>D10*Assumptions!$L$2</f>
        <v>4.989386913000001</v>
      </c>
      <c r="E12" s="3">
        <f>E10*Assumptions!$L$2</f>
        <v>18.877443744</v>
      </c>
      <c r="F12" s="3">
        <f>F10*Assumptions!$L$2</f>
        <v>18.877443744</v>
      </c>
      <c r="G12" s="3">
        <f>G10*Assumptions!$L$2</f>
        <v>18.877443744</v>
      </c>
      <c r="H12" s="3">
        <f>H10*Assumptions!$L$2</f>
        <v>18.877443744</v>
      </c>
      <c r="I12" s="3">
        <f>I10*Assumptions!$L$2</f>
        <v>18.877443744</v>
      </c>
      <c r="J12" s="3">
        <f>J10*Assumptions!$L$2</f>
        <v>18.877443744</v>
      </c>
      <c r="K12" s="3">
        <f>K10*Assumptions!$L$2</f>
        <v>18.877443744</v>
      </c>
      <c r="L12" s="3">
        <f>L10*Assumptions!$L$2</f>
        <v>18.877443744</v>
      </c>
      <c r="M12" s="3">
        <f>M10*Assumptions!$L$2</f>
        <v>18.877443744</v>
      </c>
    </row>
    <row r="13" spans="1:13" ht="12.75">
      <c r="A13" t="s">
        <v>23</v>
      </c>
      <c r="B13" t="s">
        <v>8</v>
      </c>
      <c r="D13" s="3">
        <f>D10*Assumptions!$L$3</f>
        <v>3.719822813</v>
      </c>
      <c r="E13" s="3">
        <f>E10*Assumptions!$L$3</f>
        <v>14.074022944</v>
      </c>
      <c r="F13" s="3">
        <f>F10*Assumptions!$L$3</f>
        <v>14.074022944</v>
      </c>
      <c r="G13" s="3">
        <f>G10*Assumptions!$L$3</f>
        <v>14.074022944</v>
      </c>
      <c r="H13" s="3">
        <f>H10*Assumptions!$L$3</f>
        <v>14.074022944</v>
      </c>
      <c r="I13" s="3">
        <f>I10*Assumptions!$L$3</f>
        <v>14.074022944</v>
      </c>
      <c r="J13" s="3">
        <f>J10*Assumptions!$L$3</f>
        <v>14.074022944</v>
      </c>
      <c r="K13" s="3">
        <f>K10*Assumptions!$L$3</f>
        <v>14.074022944</v>
      </c>
      <c r="L13" s="3">
        <f>L10*Assumptions!$L$3</f>
        <v>14.074022944</v>
      </c>
      <c r="M13" s="3">
        <f>M10*Assumptions!$L$3</f>
        <v>14.074022944</v>
      </c>
    </row>
    <row r="14" spans="1:13" ht="12.75">
      <c r="A14" t="s">
        <v>21</v>
      </c>
      <c r="B14" t="s">
        <v>8</v>
      </c>
      <c r="D14" s="2">
        <f>D10*Assumptions!$L$4*1000</f>
        <v>27732.829752780002</v>
      </c>
      <c r="E14" s="2">
        <f>E10*Assumptions!$L$4*1000</f>
        <v>104927.70808292572</v>
      </c>
      <c r="F14" s="2">
        <f>F10*Assumptions!$L$4*1000</f>
        <v>104927.70808292572</v>
      </c>
      <c r="G14" s="2">
        <f>G10*Assumptions!$L$4*1000</f>
        <v>104927.70808292572</v>
      </c>
      <c r="H14" s="2">
        <f>H10*Assumptions!$L$4*1000</f>
        <v>104927.70808292572</v>
      </c>
      <c r="I14" s="2">
        <f>I10*Assumptions!$L$4*1000</f>
        <v>104927.70808292572</v>
      </c>
      <c r="J14" s="2">
        <f>J10*Assumptions!$L$4*1000</f>
        <v>104927.70808292572</v>
      </c>
      <c r="K14" s="2">
        <f>K10*Assumptions!$L$4*1000</f>
        <v>104927.70808292572</v>
      </c>
      <c r="L14" s="2">
        <f>L10*Assumptions!$L$4*1000</f>
        <v>104927.70808292572</v>
      </c>
      <c r="M14" s="2">
        <f>M10*Assumptions!$L$4*1000</f>
        <v>104927.70808292572</v>
      </c>
    </row>
    <row r="15" spans="4:13" ht="12.75"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4:13" ht="12.75"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t="s">
        <v>24</v>
      </c>
      <c r="B17" t="s">
        <v>1</v>
      </c>
      <c r="D17" s="3">
        <f>D9*Assumptions!$B$2*Assumptions!$D$2/Assumptions!$C$2/Assumptions!$F$2+D9*Assumptions!$B$3*Assumptions!$D$3/Assumptions!$C$3/Assumptions!$F$3</f>
        <v>5.105597422521587</v>
      </c>
      <c r="E17" s="3">
        <f>E9*Assumptions!$B$2*Assumptions!$D$2/Assumptions!$C$2/Assumptions!$F$2+E9*Assumptions!$B$3*Assumptions!$D$3/Assumptions!$C$3/Assumptions!$F$3</f>
        <v>19.31712767822762</v>
      </c>
      <c r="F17" s="3">
        <f>F9*Assumptions!$B$2*Assumptions!$D$2/Assumptions!$C$2/Assumptions!$F$2+F9*Assumptions!$B$3*Assumptions!$D$3/Assumptions!$C$3/Assumptions!$F$3</f>
        <v>19.31712767822762</v>
      </c>
      <c r="G17" s="3">
        <f>G9*Assumptions!$B$2*Assumptions!$D$2/Assumptions!$C$2/Assumptions!$F$2+G9*Assumptions!$B$3*Assumptions!$D$3/Assumptions!$C$3/Assumptions!$F$3</f>
        <v>19.31712767822762</v>
      </c>
      <c r="H17" s="3">
        <f>H9*Assumptions!$B$2*Assumptions!$D$2/Assumptions!$C$2/Assumptions!$F$2+H9*Assumptions!$B$3*Assumptions!$D$3/Assumptions!$C$3/Assumptions!$F$3</f>
        <v>19.31712767822762</v>
      </c>
      <c r="I17" s="3">
        <f>I9*Assumptions!$B$2*Assumptions!$D$2/Assumptions!$C$2/Assumptions!$F$2+I9*Assumptions!$B$3*Assumptions!$D$3/Assumptions!$C$3/Assumptions!$F$3</f>
        <v>19.31712767822762</v>
      </c>
      <c r="J17" s="3">
        <f>J9*Assumptions!$B$2*Assumptions!$D$2/Assumptions!$C$2/Assumptions!$F$2+J9*Assumptions!$B$3*Assumptions!$D$3/Assumptions!$C$3/Assumptions!$F$3</f>
        <v>19.31712767822762</v>
      </c>
      <c r="K17" s="3">
        <f>K9*Assumptions!$B$2*Assumptions!$D$2/Assumptions!$C$2/Assumptions!$F$2+K9*Assumptions!$B$3*Assumptions!$D$3/Assumptions!$C$3/Assumptions!$F$3</f>
        <v>19.31712767822762</v>
      </c>
      <c r="L17" s="3">
        <f>L9*Assumptions!$B$2*Assumptions!$D$2/Assumptions!$C$2/Assumptions!$F$2+L9*Assumptions!$B$3*Assumptions!$D$3/Assumptions!$C$3/Assumptions!$F$3</f>
        <v>19.31712767822762</v>
      </c>
      <c r="M17" s="3">
        <f>M9*Assumptions!$B$2*Assumptions!$D$2/Assumptions!$C$2/Assumptions!$F$2+M9*Assumptions!$B$3*Assumptions!$D$3/Assumptions!$C$3/Assumptions!$F$3</f>
        <v>19.31712767822762</v>
      </c>
    </row>
    <row r="18" spans="1:13" ht="12.75">
      <c r="A18" t="s">
        <v>25</v>
      </c>
      <c r="B18" t="s">
        <v>47</v>
      </c>
      <c r="D18" s="3">
        <f>D9*Assumptions!$B$2*Assumptions!$E$2/Assumptions!$C$2/Assumptions!$G$2+D9*Assumptions!$B$3*Assumptions!$E$3/Assumptions!$C$3/Assumptions!$G$3</f>
        <v>1.2690057380329403</v>
      </c>
      <c r="E18" s="3">
        <f>E9*Assumptions!$B$2*Assumptions!$E$2/Assumptions!$C$2/Assumptions!$G$2+E9*Assumptions!$B$3*Assumptions!$E$3/Assumptions!$C$3/Assumptions!$G$3</f>
        <v>4.801308022808988</v>
      </c>
      <c r="F18" s="3">
        <f>F9*Assumptions!$B$2*Assumptions!$E$2/Assumptions!$C$2/Assumptions!$G$2+F9*Assumptions!$B$3*Assumptions!$E$3/Assumptions!$C$3/Assumptions!$G$3</f>
        <v>4.801308022808988</v>
      </c>
      <c r="G18" s="3">
        <f>G9*Assumptions!$B$2*Assumptions!$E$2/Assumptions!$C$2/Assumptions!$G$2+G9*Assumptions!$B$3*Assumptions!$E$3/Assumptions!$C$3/Assumptions!$G$3</f>
        <v>4.801308022808988</v>
      </c>
      <c r="H18" s="3">
        <f>H9*Assumptions!$B$2*Assumptions!$E$2/Assumptions!$C$2/Assumptions!$G$2+H9*Assumptions!$B$3*Assumptions!$E$3/Assumptions!$C$3/Assumptions!$G$3</f>
        <v>4.801308022808988</v>
      </c>
      <c r="I18" s="3">
        <f>I9*Assumptions!$B$2*Assumptions!$E$2/Assumptions!$C$2/Assumptions!$G$2+I9*Assumptions!$B$3*Assumptions!$E$3/Assumptions!$C$3/Assumptions!$G$3</f>
        <v>4.801308022808988</v>
      </c>
      <c r="J18" s="3">
        <f>J9*Assumptions!$B$2*Assumptions!$E$2/Assumptions!$C$2/Assumptions!$G$2+J9*Assumptions!$B$3*Assumptions!$E$3/Assumptions!$C$3/Assumptions!$G$3</f>
        <v>4.801308022808988</v>
      </c>
      <c r="K18" s="3">
        <f>K9*Assumptions!$B$2*Assumptions!$E$2/Assumptions!$C$2/Assumptions!$G$2+K9*Assumptions!$B$3*Assumptions!$E$3/Assumptions!$C$3/Assumptions!$G$3</f>
        <v>4.801308022808988</v>
      </c>
      <c r="L18" s="3">
        <f>L9*Assumptions!$B$2*Assumptions!$E$2/Assumptions!$C$2/Assumptions!$G$2+L9*Assumptions!$B$3*Assumptions!$E$3/Assumptions!$C$3/Assumptions!$G$3</f>
        <v>4.801308022808988</v>
      </c>
      <c r="M18" s="3">
        <f>M9*Assumptions!$B$2*Assumptions!$E$2/Assumptions!$C$2/Assumptions!$G$2+M9*Assumptions!$B$3*Assumptions!$E$3/Assumptions!$C$3/Assumptions!$G$3</f>
        <v>4.801308022808988</v>
      </c>
    </row>
    <row r="19" spans="1:13" ht="12.75">
      <c r="A19" t="s">
        <v>26</v>
      </c>
      <c r="B19" t="s">
        <v>46</v>
      </c>
      <c r="D19" s="2">
        <f>(D17*Assumptions!$F$2/7+D18*Assumptions!$G$2/7)*1000</f>
        <v>8767.530162262985</v>
      </c>
      <c r="E19" s="2">
        <f>(E17*Assumptions!$F$2/7+E18*Assumptions!$G$2/7)*1000</f>
        <v>33172.121801076006</v>
      </c>
      <c r="F19" s="2">
        <f>(F17*Assumptions!$F$2/7+F18*Assumptions!$G$2/7)*1000</f>
        <v>33172.121801076006</v>
      </c>
      <c r="G19" s="2">
        <f>(G17*Assumptions!$F$2/7+G18*Assumptions!$G$2/7)*1000</f>
        <v>33172.121801076006</v>
      </c>
      <c r="H19" s="2">
        <f>(H17*Assumptions!$F$2/7+H18*Assumptions!$G$2/7)*1000</f>
        <v>33172.121801076006</v>
      </c>
      <c r="I19" s="2">
        <f>(I17*Assumptions!$F$2/7+I18*Assumptions!$G$2/7)*1000</f>
        <v>33172.121801076006</v>
      </c>
      <c r="J19" s="2">
        <f>(J17*Assumptions!$F$2/7+J18*Assumptions!$G$2/7)*1000</f>
        <v>33172.121801076006</v>
      </c>
      <c r="K19" s="2">
        <f>(K17*Assumptions!$F$2/7+K18*Assumptions!$G$2/7)*1000</f>
        <v>33172.121801076006</v>
      </c>
      <c r="L19" s="2">
        <f>(L17*Assumptions!$F$2/7+L18*Assumptions!$G$2/7)*1000</f>
        <v>33172.121801076006</v>
      </c>
      <c r="M19" s="2">
        <f>(M17*Assumptions!$F$2/7+M18*Assumptions!$G$2/7)*1000</f>
        <v>33172.121801076006</v>
      </c>
    </row>
    <row r="20" spans="1:13" ht="12.75">
      <c r="A20" t="s">
        <v>27</v>
      </c>
      <c r="B20" t="s">
        <v>8</v>
      </c>
      <c r="D20" s="3">
        <f>0.0859*D$9</f>
        <v>4.612830000000001</v>
      </c>
      <c r="E20" s="3">
        <f>0.0859*E$9</f>
        <v>17.452732500000003</v>
      </c>
      <c r="F20" s="3">
        <f aca="true" t="shared" si="0" ref="F20:M20">0.0859*F$9</f>
        <v>17.452732500000003</v>
      </c>
      <c r="G20" s="3">
        <f t="shared" si="0"/>
        <v>17.452732500000003</v>
      </c>
      <c r="H20" s="3">
        <f t="shared" si="0"/>
        <v>17.452732500000003</v>
      </c>
      <c r="I20" s="3">
        <f t="shared" si="0"/>
        <v>17.452732500000003</v>
      </c>
      <c r="J20" s="3">
        <f t="shared" si="0"/>
        <v>17.452732500000003</v>
      </c>
      <c r="K20" s="3">
        <f t="shared" si="0"/>
        <v>17.452732500000003</v>
      </c>
      <c r="L20" s="3">
        <f t="shared" si="0"/>
        <v>17.452732500000003</v>
      </c>
      <c r="M20" s="3">
        <f t="shared" si="0"/>
        <v>17.452732500000003</v>
      </c>
    </row>
    <row r="21" spans="1:13" ht="12.75">
      <c r="A21" t="s">
        <v>28</v>
      </c>
      <c r="B21" t="s">
        <v>8</v>
      </c>
      <c r="D21" s="3">
        <f>0.00425*D$9</f>
        <v>0.22822500000000004</v>
      </c>
      <c r="E21" s="3">
        <f>0.00425*E$9</f>
        <v>0.8634937500000001</v>
      </c>
      <c r="F21" s="3">
        <f aca="true" t="shared" si="1" ref="F21:M21">0.00425*F$9</f>
        <v>0.8634937500000001</v>
      </c>
      <c r="G21" s="3">
        <f t="shared" si="1"/>
        <v>0.8634937500000001</v>
      </c>
      <c r="H21" s="3">
        <f t="shared" si="1"/>
        <v>0.8634937500000001</v>
      </c>
      <c r="I21" s="3">
        <f t="shared" si="1"/>
        <v>0.8634937500000001</v>
      </c>
      <c r="J21" s="3">
        <f t="shared" si="1"/>
        <v>0.8634937500000001</v>
      </c>
      <c r="K21" s="3">
        <f t="shared" si="1"/>
        <v>0.8634937500000001</v>
      </c>
      <c r="L21" s="3">
        <f t="shared" si="1"/>
        <v>0.8634937500000001</v>
      </c>
      <c r="M21" s="3">
        <f t="shared" si="1"/>
        <v>0.8634937500000001</v>
      </c>
    </row>
    <row r="22" spans="1:13" ht="12.75">
      <c r="A22" t="s">
        <v>29</v>
      </c>
      <c r="B22" t="s">
        <v>8</v>
      </c>
      <c r="D22" s="2">
        <f>297.8*D$9</f>
        <v>15991.86</v>
      </c>
      <c r="E22" s="2">
        <f>297.8*E$9</f>
        <v>60505.51500000001</v>
      </c>
      <c r="F22" s="2">
        <f aca="true" t="shared" si="2" ref="F22:M22">297.8*F$9</f>
        <v>60505.51500000001</v>
      </c>
      <c r="G22" s="2">
        <f t="shared" si="2"/>
        <v>60505.51500000001</v>
      </c>
      <c r="H22" s="2">
        <f t="shared" si="2"/>
        <v>60505.51500000001</v>
      </c>
      <c r="I22" s="2">
        <f t="shared" si="2"/>
        <v>60505.51500000001</v>
      </c>
      <c r="J22" s="2">
        <f t="shared" si="2"/>
        <v>60505.51500000001</v>
      </c>
      <c r="K22" s="2">
        <f t="shared" si="2"/>
        <v>60505.51500000001</v>
      </c>
      <c r="L22" s="2">
        <f t="shared" si="2"/>
        <v>60505.51500000001</v>
      </c>
      <c r="M22" s="2">
        <f t="shared" si="2"/>
        <v>60505.51500000001</v>
      </c>
    </row>
    <row r="23" spans="4:13" ht="12.75"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31</v>
      </c>
      <c r="B24" t="s">
        <v>8</v>
      </c>
      <c r="D24" s="2">
        <f>D8*0.9</f>
        <v>48.330000000000005</v>
      </c>
      <c r="E24" s="2">
        <f>E8*0.9</f>
        <v>182.85750000000002</v>
      </c>
      <c r="F24" s="2">
        <f>F8*0.9</f>
        <v>182.85750000000002</v>
      </c>
      <c r="G24" s="2">
        <f>G8*0.9</f>
        <v>182.85750000000002</v>
      </c>
      <c r="H24" s="2">
        <f aca="true" t="shared" si="3" ref="H24:M24">H8*0.9</f>
        <v>182.85750000000002</v>
      </c>
      <c r="I24" s="2">
        <f t="shared" si="3"/>
        <v>182.85750000000002</v>
      </c>
      <c r="J24" s="2">
        <f t="shared" si="3"/>
        <v>182.85750000000002</v>
      </c>
      <c r="K24" s="2">
        <f t="shared" si="3"/>
        <v>182.85750000000002</v>
      </c>
      <c r="L24" s="2">
        <f t="shared" si="3"/>
        <v>182.85750000000002</v>
      </c>
      <c r="M24" s="2">
        <f t="shared" si="3"/>
        <v>182.85750000000002</v>
      </c>
    </row>
    <row r="25" spans="1:13" ht="12.75">
      <c r="A25" t="s">
        <v>30</v>
      </c>
      <c r="B25" t="s">
        <v>8</v>
      </c>
      <c r="D25" s="2">
        <f>D8*773</f>
        <v>41510.100000000006</v>
      </c>
      <c r="E25" s="2">
        <f>E8*773</f>
        <v>157054.27500000002</v>
      </c>
      <c r="F25" s="2">
        <f>F8*773</f>
        <v>157054.27500000002</v>
      </c>
      <c r="G25" s="2">
        <f>G8*773</f>
        <v>157054.27500000002</v>
      </c>
      <c r="H25" s="2">
        <f aca="true" t="shared" si="4" ref="H25:M25">H8*773</f>
        <v>157054.27500000002</v>
      </c>
      <c r="I25" s="2">
        <f t="shared" si="4"/>
        <v>157054.27500000002</v>
      </c>
      <c r="J25" s="2">
        <f t="shared" si="4"/>
        <v>157054.27500000002</v>
      </c>
      <c r="K25" s="2">
        <f t="shared" si="4"/>
        <v>157054.27500000002</v>
      </c>
      <c r="L25" s="2">
        <f t="shared" si="4"/>
        <v>157054.27500000002</v>
      </c>
      <c r="M25" s="2">
        <f t="shared" si="4"/>
        <v>157054.27500000002</v>
      </c>
    </row>
    <row r="26" spans="1:13" ht="12.75">
      <c r="A26" t="s">
        <v>32</v>
      </c>
      <c r="B26" t="s">
        <v>46</v>
      </c>
      <c r="D26" s="2">
        <f>D8*318</f>
        <v>17076.600000000002</v>
      </c>
      <c r="E26" s="2">
        <f>E8*318</f>
        <v>64609.65</v>
      </c>
      <c r="F26" s="2">
        <f>F8*318</f>
        <v>64609.65</v>
      </c>
      <c r="G26" s="2">
        <f>G8*318</f>
        <v>64609.65</v>
      </c>
      <c r="H26" s="2">
        <f aca="true" t="shared" si="5" ref="H26:M26">H8*318</f>
        <v>64609.65</v>
      </c>
      <c r="I26" s="2">
        <f t="shared" si="5"/>
        <v>64609.65</v>
      </c>
      <c r="J26" s="2">
        <f t="shared" si="5"/>
        <v>64609.65</v>
      </c>
      <c r="K26" s="2">
        <f t="shared" si="5"/>
        <v>64609.65</v>
      </c>
      <c r="L26" s="2">
        <f t="shared" si="5"/>
        <v>64609.65</v>
      </c>
      <c r="M26" s="2">
        <f t="shared" si="5"/>
        <v>64609.65</v>
      </c>
    </row>
    <row r="27" spans="4:13" ht="12.75"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t="s">
        <v>33</v>
      </c>
      <c r="B28" t="s">
        <v>8</v>
      </c>
      <c r="D28" s="2">
        <f>D24+D20-D12</f>
        <v>47.95344308700001</v>
      </c>
      <c r="E28" s="2">
        <f aca="true" t="shared" si="6" ref="E28:M28">E24+E20-E12</f>
        <v>181.432788756</v>
      </c>
      <c r="F28" s="2">
        <f t="shared" si="6"/>
        <v>181.432788756</v>
      </c>
      <c r="G28" s="2">
        <f t="shared" si="6"/>
        <v>181.432788756</v>
      </c>
      <c r="H28" s="2">
        <f t="shared" si="6"/>
        <v>181.432788756</v>
      </c>
      <c r="I28" s="2">
        <f t="shared" si="6"/>
        <v>181.432788756</v>
      </c>
      <c r="J28" s="2">
        <f t="shared" si="6"/>
        <v>181.432788756</v>
      </c>
      <c r="K28" s="2">
        <f t="shared" si="6"/>
        <v>181.432788756</v>
      </c>
      <c r="L28" s="2">
        <f t="shared" si="6"/>
        <v>181.432788756</v>
      </c>
      <c r="M28" s="2">
        <f t="shared" si="6"/>
        <v>181.432788756</v>
      </c>
    </row>
    <row r="29" spans="1:13" ht="12.75">
      <c r="A29" t="s">
        <v>34</v>
      </c>
      <c r="B29" t="s">
        <v>8</v>
      </c>
      <c r="D29" s="2">
        <f>D25+D22-D14</f>
        <v>29769.130247220004</v>
      </c>
      <c r="E29" s="2">
        <f aca="true" t="shared" si="7" ref="E29:M29">E25+E22-E14</f>
        <v>112632.08191707432</v>
      </c>
      <c r="F29" s="2">
        <f t="shared" si="7"/>
        <v>112632.08191707432</v>
      </c>
      <c r="G29" s="2">
        <f t="shared" si="7"/>
        <v>112632.08191707432</v>
      </c>
      <c r="H29" s="2">
        <f t="shared" si="7"/>
        <v>112632.08191707432</v>
      </c>
      <c r="I29" s="2">
        <f t="shared" si="7"/>
        <v>112632.08191707432</v>
      </c>
      <c r="J29" s="2">
        <f t="shared" si="7"/>
        <v>112632.08191707432</v>
      </c>
      <c r="K29" s="2">
        <f t="shared" si="7"/>
        <v>112632.08191707432</v>
      </c>
      <c r="L29" s="2">
        <f t="shared" si="7"/>
        <v>112632.08191707432</v>
      </c>
      <c r="M29" s="2">
        <f t="shared" si="7"/>
        <v>112632.08191707432</v>
      </c>
    </row>
    <row r="30" spans="1:13" ht="12.75">
      <c r="A30" t="s">
        <v>35</v>
      </c>
      <c r="B30" t="s">
        <v>46</v>
      </c>
      <c r="D30" s="2">
        <f>D26+D19-D11</f>
        <v>15687.617362262987</v>
      </c>
      <c r="E30" s="2">
        <f aca="true" t="shared" si="8" ref="E30:M30">E26+E19-E11</f>
        <v>33937.44733936173</v>
      </c>
      <c r="F30" s="2">
        <f t="shared" si="8"/>
        <v>33937.44733936173</v>
      </c>
      <c r="G30" s="2">
        <f t="shared" si="8"/>
        <v>33937.44733936173</v>
      </c>
      <c r="H30" s="2">
        <f t="shared" si="8"/>
        <v>33937.44733936173</v>
      </c>
      <c r="I30" s="2">
        <f t="shared" si="8"/>
        <v>33937.44733936173</v>
      </c>
      <c r="J30" s="2">
        <f t="shared" si="8"/>
        <v>33937.44733936173</v>
      </c>
      <c r="K30" s="2">
        <f t="shared" si="8"/>
        <v>33937.44733936173</v>
      </c>
      <c r="L30" s="2">
        <f t="shared" si="8"/>
        <v>33937.44733936173</v>
      </c>
      <c r="M30" s="2">
        <f t="shared" si="8"/>
        <v>33937.44733936173</v>
      </c>
    </row>
    <row r="31" spans="4:13" ht="12.75"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3:13" ht="12.75">
      <c r="C32" s="11">
        <f>C2</f>
        <v>2008</v>
      </c>
      <c r="D32" s="11">
        <f aca="true" t="shared" si="9" ref="D32:M32">D2</f>
        <v>2009</v>
      </c>
      <c r="E32" s="11">
        <f t="shared" si="9"/>
        <v>2010</v>
      </c>
      <c r="F32" s="11">
        <f t="shared" si="9"/>
        <v>2011</v>
      </c>
      <c r="G32" s="11">
        <f t="shared" si="9"/>
        <v>2012</v>
      </c>
      <c r="H32" s="11">
        <f t="shared" si="9"/>
        <v>2013</v>
      </c>
      <c r="I32" s="11">
        <f t="shared" si="9"/>
        <v>2014</v>
      </c>
      <c r="J32" s="11">
        <f t="shared" si="9"/>
        <v>2015</v>
      </c>
      <c r="K32" s="11">
        <f t="shared" si="9"/>
        <v>2016</v>
      </c>
      <c r="L32" s="11">
        <f t="shared" si="9"/>
        <v>2017</v>
      </c>
      <c r="M32" s="11">
        <f t="shared" si="9"/>
        <v>2018</v>
      </c>
    </row>
    <row r="33" spans="1:4" ht="12.75">
      <c r="A33" s="9" t="s">
        <v>36</v>
      </c>
      <c r="B33" t="s">
        <v>83</v>
      </c>
      <c r="C33" s="14">
        <f>C34/3.45</f>
        <v>-8711.13095476</v>
      </c>
      <c r="D33" s="14">
        <f>D34/3.45</f>
        <v>-13682.52188524</v>
      </c>
    </row>
    <row r="34" spans="1:13" s="13" customFormat="1" ht="12.75">
      <c r="A34" s="13" t="s">
        <v>38</v>
      </c>
      <c r="B34" s="13" t="s">
        <v>48</v>
      </c>
      <c r="C34" s="14">
        <f>Assumptions!F25*0.389</f>
        <v>-30053.401793922</v>
      </c>
      <c r="D34" s="14">
        <f>Assumptions!F25*0.611</f>
        <v>-47204.700504078</v>
      </c>
      <c r="M34" s="13">
        <f>M45</f>
        <v>56956.703154</v>
      </c>
    </row>
    <row r="35" spans="1:13" ht="12.75">
      <c r="A35" t="s">
        <v>39</v>
      </c>
      <c r="B35" t="s">
        <v>48</v>
      </c>
      <c r="D35" s="2">
        <f>E35*$D$8/$E$8</f>
        <v>-363.41823551125873</v>
      </c>
      <c r="E35" s="2">
        <v>-1375</v>
      </c>
      <c r="F35" s="2">
        <v>-1375</v>
      </c>
      <c r="G35" s="2">
        <v>-1375</v>
      </c>
      <c r="H35" s="2">
        <v>-1375</v>
      </c>
      <c r="I35" s="2">
        <v>-1375</v>
      </c>
      <c r="J35" s="2">
        <v>-1375</v>
      </c>
      <c r="K35" s="2">
        <v>-1375</v>
      </c>
      <c r="L35" s="2">
        <v>-1375</v>
      </c>
      <c r="M35" s="2">
        <v>-1375</v>
      </c>
    </row>
    <row r="36" spans="1:13" s="13" customFormat="1" ht="12.75">
      <c r="A36" s="13" t="s">
        <v>40</v>
      </c>
      <c r="B36" s="13" t="s">
        <v>48</v>
      </c>
      <c r="D36" s="14">
        <f>E36*$D$8/$E$8</f>
        <v>-200.87117017349576</v>
      </c>
      <c r="E36" s="14">
        <f>-800+(-800*-5%)</f>
        <v>-760</v>
      </c>
      <c r="F36" s="14">
        <f>E36+(E36*-0.3%)</f>
        <v>-757.72</v>
      </c>
      <c r="G36" s="14">
        <f>F36+(F36*0.5%)</f>
        <v>-761.5086</v>
      </c>
      <c r="H36" s="14">
        <f>G36+(G36*3.4%)</f>
        <v>-787.3998924</v>
      </c>
      <c r="I36" s="14">
        <f>H36+(H36*3.4%)</f>
        <v>-814.1714887416</v>
      </c>
      <c r="J36" s="14">
        <f>I36+(I36*3.4%)</f>
        <v>-841.8533193588144</v>
      </c>
      <c r="K36" s="14">
        <f>J36+(J36*3.4%)</f>
        <v>-870.476332217014</v>
      </c>
      <c r="L36" s="14">
        <f>K36+(K36*3.4%)</f>
        <v>-900.0725275123925</v>
      </c>
      <c r="M36" s="14">
        <f>L36+(L36*3.4%)</f>
        <v>-930.6749934478139</v>
      </c>
    </row>
    <row r="37" spans="1:13" ht="12.75">
      <c r="A37" t="s">
        <v>41</v>
      </c>
      <c r="B37" t="s">
        <v>48</v>
      </c>
      <c r="D37" s="5">
        <f>-D10*D4</f>
        <v>-10542.460286399999</v>
      </c>
      <c r="E37" s="5">
        <f aca="true" t="shared" si="10" ref="E37:M37">-E10*E4</f>
        <v>-47770.019856</v>
      </c>
      <c r="F37" s="5">
        <f t="shared" si="10"/>
        <v>-51252.499936</v>
      </c>
      <c r="G37" s="5">
        <f t="shared" si="10"/>
        <v>-55676.450492799995</v>
      </c>
      <c r="H37" s="5">
        <f t="shared" si="10"/>
        <v>-58188.6395712</v>
      </c>
      <c r="I37" s="5">
        <f t="shared" si="10"/>
        <v>-60820.9141696</v>
      </c>
      <c r="J37" s="5">
        <f t="shared" si="10"/>
        <v>-62646.2140736</v>
      </c>
      <c r="K37" s="5">
        <f t="shared" si="10"/>
        <v>-63371.5306144</v>
      </c>
      <c r="L37" s="5">
        <f t="shared" si="10"/>
        <v>-64106.453996799995</v>
      </c>
      <c r="M37" s="5">
        <f t="shared" si="10"/>
        <v>-64860.591062399995</v>
      </c>
    </row>
    <row r="38" spans="1:13" ht="12.75">
      <c r="A38" t="s">
        <v>42</v>
      </c>
      <c r="B38" t="s">
        <v>48</v>
      </c>
      <c r="D38" s="5">
        <f>D17*D4+D18*D5</f>
        <v>5332.560311847291</v>
      </c>
      <c r="E38" s="5">
        <f>E17*E4+E18*E5</f>
        <v>24348.11789014739</v>
      </c>
      <c r="F38" s="5">
        <f>F17*F4+F18*F5</f>
        <v>26194.892976297684</v>
      </c>
      <c r="G38" s="5">
        <f>G17*G4+G18*G5</f>
        <v>28468.61895683279</v>
      </c>
      <c r="H38" s="5">
        <f>H17*H4+H18*H5</f>
        <v>29746.944831897068</v>
      </c>
      <c r="I38" s="5">
        <f>I17*I4+I18*I5</f>
        <v>31087.694061886345</v>
      </c>
      <c r="J38" s="5">
        <f>J17*J4+J18*J5</f>
        <v>32007.533311505216</v>
      </c>
      <c r="K38" s="5">
        <f>K17*K4+K18*K5</f>
        <v>32355.863008975626</v>
      </c>
      <c r="L38" s="5">
        <f>L17*L4+L18*L5</f>
        <v>32706.63713207816</v>
      </c>
      <c r="M38" s="5">
        <f>M17*M4+M18*M5</f>
        <v>33064.2744469068</v>
      </c>
    </row>
    <row r="39" spans="1:13" ht="12.75">
      <c r="A39" t="s">
        <v>43</v>
      </c>
      <c r="B39" t="s">
        <v>48</v>
      </c>
      <c r="D39" s="5">
        <f>D8*D6</f>
        <v>6341.97</v>
      </c>
      <c r="E39" s="5">
        <f aca="true" t="shared" si="11" ref="E39:M39">E8*E6</f>
        <v>44117.99048389331</v>
      </c>
      <c r="F39" s="5">
        <f t="shared" si="11"/>
        <v>47317.440132595875</v>
      </c>
      <c r="G39" s="5">
        <f t="shared" si="11"/>
        <v>49708.026663315635</v>
      </c>
      <c r="H39" s="5">
        <f t="shared" si="11"/>
        <v>52221.55487497192</v>
      </c>
      <c r="I39" s="5">
        <f t="shared" si="11"/>
        <v>54775.063103120105</v>
      </c>
      <c r="J39" s="5">
        <f t="shared" si="11"/>
        <v>56609.51079353958</v>
      </c>
      <c r="K39" s="5">
        <f t="shared" si="11"/>
        <v>57435.03745446458</v>
      </c>
      <c r="L39" s="5">
        <f t="shared" si="11"/>
        <v>58265.307735449605</v>
      </c>
      <c r="M39" s="5">
        <f t="shared" si="11"/>
        <v>59093.318150897474</v>
      </c>
    </row>
    <row r="40" spans="1:13" ht="12.75">
      <c r="A40" t="s">
        <v>44</v>
      </c>
      <c r="B40" t="s">
        <v>48</v>
      </c>
      <c r="C40" s="5">
        <f>SUM(C34:C39)</f>
        <v>-30053.401793922</v>
      </c>
      <c r="D40" s="5">
        <f>SUM(D34:D39)</f>
        <v>-46636.91988431545</v>
      </c>
      <c r="E40" s="5">
        <f>SUM(E34:E39)</f>
        <v>18561.0885180407</v>
      </c>
      <c r="F40" s="5">
        <f>SUM(F34:F39)</f>
        <v>20127.113172893558</v>
      </c>
      <c r="G40" s="5">
        <f aca="true" t="shared" si="12" ref="G40:M40">SUM(G34:G39)</f>
        <v>20363.68652734843</v>
      </c>
      <c r="H40" s="5">
        <f t="shared" si="12"/>
        <v>21617.460243268986</v>
      </c>
      <c r="I40" s="5">
        <f t="shared" si="12"/>
        <v>22852.671506664847</v>
      </c>
      <c r="J40" s="5">
        <f t="shared" si="12"/>
        <v>23753.976712085976</v>
      </c>
      <c r="K40" s="5">
        <f t="shared" si="12"/>
        <v>24173.8935168232</v>
      </c>
      <c r="L40" s="5">
        <f t="shared" si="12"/>
        <v>24590.41834321538</v>
      </c>
      <c r="M40" s="5">
        <f t="shared" si="12"/>
        <v>81948.02969595647</v>
      </c>
    </row>
    <row r="41" spans="1:3" ht="12.75">
      <c r="A41" t="s">
        <v>6</v>
      </c>
      <c r="B41" t="s">
        <v>48</v>
      </c>
      <c r="C41" s="6">
        <f>NPV(Assumptions!B9,D40:M40)+C40</f>
        <v>95961.35242378476</v>
      </c>
    </row>
    <row r="42" spans="1:13" ht="12.75">
      <c r="A42" t="s">
        <v>7</v>
      </c>
      <c r="C42" s="7">
        <f>IRR(C40:M40)</f>
        <v>0.2396777611423245</v>
      </c>
      <c r="E42" s="5"/>
      <c r="F42" s="5"/>
      <c r="G42" s="5"/>
      <c r="H42" s="5"/>
      <c r="I42" s="5"/>
      <c r="J42" s="5"/>
      <c r="K42" s="5"/>
      <c r="L42" s="5"/>
      <c r="M42" s="5"/>
    </row>
    <row r="43" ht="12.75">
      <c r="A43" s="12"/>
    </row>
    <row r="44" spans="1:4" ht="12.75">
      <c r="A44" s="9" t="s">
        <v>37</v>
      </c>
      <c r="B44" t="s">
        <v>83</v>
      </c>
      <c r="C44" s="14">
        <f>C45/3.45</f>
        <v>-12844.14929096</v>
      </c>
      <c r="D44" s="14">
        <f>D45/3.45</f>
        <v>-20174.229349039997</v>
      </c>
    </row>
    <row r="45" spans="1:13" s="13" customFormat="1" ht="12.75">
      <c r="A45" s="13" t="str">
        <f>A34</f>
        <v>Investments</v>
      </c>
      <c r="B45" s="13" t="str">
        <f>B34</f>
        <v>thousand Lt</v>
      </c>
      <c r="C45" s="14">
        <f>Assumptions!F26*0.389</f>
        <v>-44312.315053812</v>
      </c>
      <c r="D45" s="14">
        <f>Assumptions!F26*0.611</f>
        <v>-69601.091254188</v>
      </c>
      <c r="E45" s="14"/>
      <c r="F45" s="14"/>
      <c r="G45" s="14"/>
      <c r="H45" s="14"/>
      <c r="M45" s="13">
        <f>-SUM(C45+D45)*10/20</f>
        <v>56956.703154</v>
      </c>
    </row>
    <row r="46" spans="1:13" ht="12.75">
      <c r="A46" t="str">
        <f>A35</f>
        <v>Fixed costs</v>
      </c>
      <c r="B46" t="str">
        <f>B35</f>
        <v>thousand Lt</v>
      </c>
      <c r="D46" s="5">
        <f>D35</f>
        <v>-363.41823551125873</v>
      </c>
      <c r="E46" s="5">
        <f aca="true" t="shared" si="13" ref="E46:M50">E35</f>
        <v>-1375</v>
      </c>
      <c r="F46" s="5">
        <f t="shared" si="13"/>
        <v>-1375</v>
      </c>
      <c r="G46" s="5">
        <f t="shared" si="13"/>
        <v>-1375</v>
      </c>
      <c r="H46" s="5">
        <f t="shared" si="13"/>
        <v>-1375</v>
      </c>
      <c r="I46" s="5">
        <f t="shared" si="13"/>
        <v>-1375</v>
      </c>
      <c r="J46" s="5">
        <f t="shared" si="13"/>
        <v>-1375</v>
      </c>
      <c r="K46" s="5">
        <f t="shared" si="13"/>
        <v>-1375</v>
      </c>
      <c r="L46" s="5">
        <f t="shared" si="13"/>
        <v>-1375</v>
      </c>
      <c r="M46" s="5">
        <f t="shared" si="13"/>
        <v>-1375</v>
      </c>
    </row>
    <row r="47" spans="1:13" s="13" customFormat="1" ht="12.75">
      <c r="A47" s="13" t="str">
        <f aca="true" t="shared" si="14" ref="A47:B50">A36</f>
        <v>Expenditures for salaries</v>
      </c>
      <c r="B47" s="13" t="str">
        <f t="shared" si="14"/>
        <v>thousand Lt</v>
      </c>
      <c r="D47" s="15">
        <f>D36</f>
        <v>-200.87117017349576</v>
      </c>
      <c r="E47" s="15">
        <f aca="true" t="shared" si="15" ref="E47:M47">E36</f>
        <v>-760</v>
      </c>
      <c r="F47" s="15">
        <f t="shared" si="15"/>
        <v>-757.72</v>
      </c>
      <c r="G47" s="15">
        <f t="shared" si="15"/>
        <v>-761.5086</v>
      </c>
      <c r="H47" s="15">
        <f t="shared" si="15"/>
        <v>-787.3998924</v>
      </c>
      <c r="I47" s="15">
        <f t="shared" si="15"/>
        <v>-814.1714887416</v>
      </c>
      <c r="J47" s="15">
        <f t="shared" si="15"/>
        <v>-841.8533193588144</v>
      </c>
      <c r="K47" s="15">
        <f t="shared" si="15"/>
        <v>-870.476332217014</v>
      </c>
      <c r="L47" s="15">
        <f t="shared" si="15"/>
        <v>-900.0725275123925</v>
      </c>
      <c r="M47" s="15">
        <f t="shared" si="15"/>
        <v>-930.6749934478139</v>
      </c>
    </row>
    <row r="48" spans="1:13" ht="12.75">
      <c r="A48" t="str">
        <f t="shared" si="14"/>
        <v>expenditures for fuel</v>
      </c>
      <c r="B48" t="str">
        <f t="shared" si="14"/>
        <v>thousand Lt</v>
      </c>
      <c r="D48" s="5">
        <f>D37</f>
        <v>-10542.460286399999</v>
      </c>
      <c r="E48" s="5">
        <f t="shared" si="13"/>
        <v>-47770.019856</v>
      </c>
      <c r="F48" s="5">
        <f t="shared" si="13"/>
        <v>-51252.499936</v>
      </c>
      <c r="G48" s="5">
        <f t="shared" si="13"/>
        <v>-55676.450492799995</v>
      </c>
      <c r="H48" s="5">
        <f t="shared" si="13"/>
        <v>-58188.6395712</v>
      </c>
      <c r="I48" s="5">
        <f t="shared" si="13"/>
        <v>-60820.9141696</v>
      </c>
      <c r="J48" s="5">
        <f t="shared" si="13"/>
        <v>-62646.2140736</v>
      </c>
      <c r="K48" s="5">
        <f t="shared" si="13"/>
        <v>-63371.5306144</v>
      </c>
      <c r="L48" s="5">
        <f t="shared" si="13"/>
        <v>-64106.453996799995</v>
      </c>
      <c r="M48" s="5">
        <f t="shared" si="13"/>
        <v>-64860.591062399995</v>
      </c>
    </row>
    <row r="49" spans="1:13" ht="12.75">
      <c r="A49" t="str">
        <f t="shared" si="14"/>
        <v>Reduced expenditures for fuel in RK1 ir RK2</v>
      </c>
      <c r="B49" t="str">
        <f t="shared" si="14"/>
        <v>thousand Lt</v>
      </c>
      <c r="D49" s="5">
        <f>D38</f>
        <v>5332.560311847291</v>
      </c>
      <c r="E49" s="5">
        <f t="shared" si="13"/>
        <v>24348.11789014739</v>
      </c>
      <c r="F49" s="5">
        <f t="shared" si="13"/>
        <v>26194.892976297684</v>
      </c>
      <c r="G49" s="5">
        <f t="shared" si="13"/>
        <v>28468.61895683279</v>
      </c>
      <c r="H49" s="5">
        <f t="shared" si="13"/>
        <v>29746.944831897068</v>
      </c>
      <c r="I49" s="5">
        <f t="shared" si="13"/>
        <v>31087.694061886345</v>
      </c>
      <c r="J49" s="5">
        <f t="shared" si="13"/>
        <v>32007.533311505216</v>
      </c>
      <c r="K49" s="5">
        <f t="shared" si="13"/>
        <v>32355.863008975626</v>
      </c>
      <c r="L49" s="5">
        <f t="shared" si="13"/>
        <v>32706.63713207816</v>
      </c>
      <c r="M49" s="5">
        <f t="shared" si="13"/>
        <v>33064.2744469068</v>
      </c>
    </row>
    <row r="50" spans="1:13" ht="12.75">
      <c r="A50" t="str">
        <f>A39</f>
        <v>Revenues from power sales</v>
      </c>
      <c r="B50" t="str">
        <f t="shared" si="14"/>
        <v>thousand Lt</v>
      </c>
      <c r="D50" s="5">
        <f>D39</f>
        <v>6341.97</v>
      </c>
      <c r="E50" s="5">
        <f t="shared" si="13"/>
        <v>44117.99048389331</v>
      </c>
      <c r="F50" s="5">
        <f t="shared" si="13"/>
        <v>47317.440132595875</v>
      </c>
      <c r="G50" s="5">
        <f t="shared" si="13"/>
        <v>49708.026663315635</v>
      </c>
      <c r="H50" s="5">
        <f t="shared" si="13"/>
        <v>52221.55487497192</v>
      </c>
      <c r="I50" s="5">
        <f t="shared" si="13"/>
        <v>54775.063103120105</v>
      </c>
      <c r="J50" s="5">
        <f t="shared" si="13"/>
        <v>56609.51079353958</v>
      </c>
      <c r="K50" s="5">
        <f t="shared" si="13"/>
        <v>57435.03745446458</v>
      </c>
      <c r="L50" s="5">
        <f t="shared" si="13"/>
        <v>58265.307735449605</v>
      </c>
      <c r="M50" s="5">
        <f t="shared" si="13"/>
        <v>59093.318150897474</v>
      </c>
    </row>
    <row r="51" spans="1:13" ht="12.75">
      <c r="A51" t="str">
        <f>A40</f>
        <v>Cash flow</v>
      </c>
      <c r="B51" t="str">
        <f>B40</f>
        <v>thousand Lt</v>
      </c>
      <c r="C51" s="5">
        <f aca="true" t="shared" si="16" ref="C51:M51">SUM(C45:C50)</f>
        <v>-44312.315053812</v>
      </c>
      <c r="D51" s="5">
        <f t="shared" si="16"/>
        <v>-69033.31063442546</v>
      </c>
      <c r="E51" s="5">
        <f t="shared" si="16"/>
        <v>18561.0885180407</v>
      </c>
      <c r="F51" s="5">
        <f t="shared" si="16"/>
        <v>20127.113172893558</v>
      </c>
      <c r="G51" s="5">
        <f t="shared" si="16"/>
        <v>20363.68652734843</v>
      </c>
      <c r="H51" s="5">
        <f t="shared" si="16"/>
        <v>21617.460243268986</v>
      </c>
      <c r="I51" s="5">
        <f t="shared" si="16"/>
        <v>22852.671506664847</v>
      </c>
      <c r="J51" s="5">
        <f t="shared" si="16"/>
        <v>23753.976712085976</v>
      </c>
      <c r="K51" s="5">
        <f t="shared" si="16"/>
        <v>24173.8935168232</v>
      </c>
      <c r="L51" s="5">
        <f t="shared" si="16"/>
        <v>24590.41834321538</v>
      </c>
      <c r="M51" s="5">
        <f t="shared" si="16"/>
        <v>81948.02969595647</v>
      </c>
    </row>
    <row r="52" spans="1:3" ht="12.75">
      <c r="A52" t="str">
        <f>A41</f>
        <v>NPV</v>
      </c>
      <c r="B52" t="str">
        <f>B41</f>
        <v>thousand Lt</v>
      </c>
      <c r="C52" s="6">
        <f>NPV(Assumptions!B9,D51:M51)+C51</f>
        <v>60633.39800668874</v>
      </c>
    </row>
    <row r="53" spans="1:3" ht="12.75">
      <c r="A53" t="str">
        <f>A42</f>
        <v>IRR</v>
      </c>
      <c r="C53" s="7">
        <f>IRR(C51:M51)</f>
        <v>0.14851984039008553</v>
      </c>
    </row>
    <row r="55" ht="12.75">
      <c r="D55" s="4"/>
    </row>
    <row r="56" spans="3:13" ht="12.75" hidden="1">
      <c r="C56" s="4">
        <f>1</f>
        <v>1</v>
      </c>
      <c r="D56" s="4">
        <f>1/(1+Assumptions!$B$9)^(D58-$C$58)</f>
        <v>0.9407337723424272</v>
      </c>
      <c r="E56" s="4">
        <f>1/(1+Assumptions!$B$9)^(E58-$C$58)</f>
        <v>0.8849800304256136</v>
      </c>
      <c r="F56" s="4">
        <f>1/(1+Assumptions!$B$9)^(F58-$C$58)</f>
        <v>0.8325306024700034</v>
      </c>
      <c r="G56" s="4">
        <f>1/(1+Assumptions!$B$9)^(G58-$C$58)</f>
        <v>0.78318965425212</v>
      </c>
      <c r="H56" s="4">
        <f>1/(1+Assumptions!$B$9)^(H58-$C$58)</f>
        <v>0.7367729579041581</v>
      </c>
      <c r="I56" s="4">
        <f>1/(1+Assumptions!$B$9)^(I58-$C$58)</f>
        <v>0.693107204049067</v>
      </c>
      <c r="J56" s="4">
        <f>1/(1+Assumptions!$B$9)^(J58-$C$58)</f>
        <v>0.6520293547027911</v>
      </c>
      <c r="K56" s="4">
        <f>1/(1+Assumptions!$B$9)^(K58-$C$58)</f>
        <v>0.6133860345275552</v>
      </c>
      <c r="L56" s="4">
        <f>1/(1+Assumptions!$B$9)^(L58-$C$58)</f>
        <v>0.5770329581632693</v>
      </c>
      <c r="M56" s="4">
        <f>1/(1+Assumptions!$B$9)^(M58-$C$58)</f>
        <v>0.5428343914988423</v>
      </c>
    </row>
    <row r="57" ht="12.75" hidden="1"/>
    <row r="58" spans="1:13" ht="12.75" hidden="1">
      <c r="A58" t="s">
        <v>49</v>
      </c>
      <c r="C58">
        <f>C2</f>
        <v>2008</v>
      </c>
      <c r="D58">
        <f aca="true" t="shared" si="17" ref="D58:M58">D2</f>
        <v>2009</v>
      </c>
      <c r="E58">
        <f t="shared" si="17"/>
        <v>2010</v>
      </c>
      <c r="F58">
        <f t="shared" si="17"/>
        <v>2011</v>
      </c>
      <c r="G58">
        <f t="shared" si="17"/>
        <v>2012</v>
      </c>
      <c r="H58">
        <f t="shared" si="17"/>
        <v>2013</v>
      </c>
      <c r="I58">
        <f t="shared" si="17"/>
        <v>2014</v>
      </c>
      <c r="J58">
        <f t="shared" si="17"/>
        <v>2015</v>
      </c>
      <c r="K58">
        <f t="shared" si="17"/>
        <v>2016</v>
      </c>
      <c r="L58">
        <f t="shared" si="17"/>
        <v>2017</v>
      </c>
      <c r="M58">
        <f t="shared" si="17"/>
        <v>2018</v>
      </c>
    </row>
    <row r="59" spans="1:13" ht="12.75" hidden="1">
      <c r="A59" t="s">
        <v>12</v>
      </c>
      <c r="C59" s="10">
        <f>C40*C$56/1000</f>
        <v>-30.053401793922</v>
      </c>
      <c r="D59" s="10">
        <f>D40*D$56/1000+C59</f>
        <v>-73.92632736712562</v>
      </c>
      <c r="E59" s="10">
        <f aca="true" t="shared" si="18" ref="E59:M59">E40*E$56/1000+D59</f>
        <v>-57.50013468569746</v>
      </c>
      <c r="F59" s="10">
        <f t="shared" si="18"/>
        <v>-40.74369702988645</v>
      </c>
      <c r="G59" s="10">
        <f t="shared" si="18"/>
        <v>-24.79506841923388</v>
      </c>
      <c r="H59" s="10">
        <f t="shared" si="18"/>
        <v>-8.867908293425046</v>
      </c>
      <c r="I59" s="10">
        <f t="shared" si="18"/>
        <v>6.971442959611206</v>
      </c>
      <c r="J59" s="10">
        <f t="shared" si="18"/>
        <v>22.459733066817755</v>
      </c>
      <c r="K59" s="10">
        <f t="shared" si="18"/>
        <v>37.28766175019331</v>
      </c>
      <c r="L59" s="10">
        <f t="shared" si="18"/>
        <v>51.4771435892512</v>
      </c>
      <c r="M59" s="10">
        <f t="shared" si="18"/>
        <v>95.96135242378479</v>
      </c>
    </row>
    <row r="60" spans="1:13" ht="12.75" hidden="1">
      <c r="A60" t="s">
        <v>13</v>
      </c>
      <c r="C60" s="10">
        <f>C51*C$56/1000</f>
        <v>-44.312315053812</v>
      </c>
      <c r="D60" s="10">
        <f>D51*D$56/1000+C60</f>
        <v>-109.25428178422166</v>
      </c>
      <c r="E60" s="10">
        <f aca="true" t="shared" si="19" ref="E60:M60">E51*E$56/1000+D60</f>
        <v>-92.8280891027935</v>
      </c>
      <c r="F60" s="10">
        <f t="shared" si="19"/>
        <v>-76.07165144698249</v>
      </c>
      <c r="G60" s="10">
        <f t="shared" si="19"/>
        <v>-60.123022836329916</v>
      </c>
      <c r="H60" s="10">
        <f t="shared" si="19"/>
        <v>-44.195862710521084</v>
      </c>
      <c r="I60" s="10">
        <f t="shared" si="19"/>
        <v>-28.35651145748483</v>
      </c>
      <c r="J60" s="10">
        <f t="shared" si="19"/>
        <v>-12.868221350278285</v>
      </c>
      <c r="K60" s="10">
        <f t="shared" si="19"/>
        <v>1.9597073330972723</v>
      </c>
      <c r="L60" s="10">
        <f t="shared" si="19"/>
        <v>16.14918917215516</v>
      </c>
      <c r="M60" s="10">
        <f t="shared" si="19"/>
        <v>60.63339800668875</v>
      </c>
    </row>
  </sheetData>
  <printOptions/>
  <pageMargins left="0.2755905511811024" right="0.1968503937007874" top="0.31496062992125984" bottom="0.6692913385826772" header="0.1968503937007874" footer="0.5118110236220472"/>
  <pageSetup fitToHeight="2" horizontalDpi="600" verticalDpi="600" orientation="landscape" paperSize="9" scale="85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I28" sqref="I28"/>
    </sheetView>
  </sheetViews>
  <sheetFormatPr defaultColWidth="9.140625" defaultRowHeight="12.75"/>
  <cols>
    <col min="1" max="1" width="20.7109375" style="16" customWidth="1"/>
    <col min="2" max="2" width="9.8515625" style="16" customWidth="1"/>
    <col min="3" max="3" width="11.57421875" style="16" customWidth="1"/>
    <col min="4" max="4" width="11.140625" style="16" customWidth="1"/>
    <col min="5" max="5" width="9.140625" style="16" customWidth="1"/>
    <col min="6" max="6" width="11.57421875" style="16" customWidth="1"/>
    <col min="7" max="7" width="10.00390625" style="16" customWidth="1"/>
    <col min="8" max="12" width="9.140625" style="16" customWidth="1"/>
    <col min="13" max="13" width="9.00390625" style="16" customWidth="1"/>
    <col min="14" max="16384" width="9.140625" style="16" customWidth="1"/>
  </cols>
  <sheetData>
    <row r="1" spans="2:7" ht="25.5">
      <c r="B1" s="16" t="s">
        <v>54</v>
      </c>
      <c r="C1" s="16" t="s">
        <v>53</v>
      </c>
      <c r="D1" s="16" t="s">
        <v>50</v>
      </c>
      <c r="E1" s="16" t="s">
        <v>51</v>
      </c>
      <c r="F1" s="16" t="s">
        <v>55</v>
      </c>
      <c r="G1" s="16" t="s">
        <v>56</v>
      </c>
    </row>
    <row r="2" spans="1:13" ht="12.75">
      <c r="A2" s="16" t="s">
        <v>2</v>
      </c>
      <c r="B2" s="17">
        <v>0.5</v>
      </c>
      <c r="C2" s="18">
        <v>0.871</v>
      </c>
      <c r="D2" s="19">
        <v>0.774</v>
      </c>
      <c r="E2" s="20">
        <f>1-D2</f>
        <v>0.22599999999999998</v>
      </c>
      <c r="F2" s="16">
        <f>8*1.163</f>
        <v>9.304</v>
      </c>
      <c r="G2" s="21">
        <v>10.93</v>
      </c>
      <c r="K2" s="16" t="s">
        <v>9</v>
      </c>
      <c r="L2" s="22">
        <v>0.393</v>
      </c>
      <c r="M2" s="23" t="s">
        <v>57</v>
      </c>
    </row>
    <row r="3" spans="1:13" ht="12.75">
      <c r="A3" s="16" t="s">
        <v>3</v>
      </c>
      <c r="B3" s="17">
        <v>0.5</v>
      </c>
      <c r="C3" s="18">
        <v>0.879</v>
      </c>
      <c r="D3" s="19">
        <v>0.774</v>
      </c>
      <c r="E3" s="20">
        <f>1-D3</f>
        <v>0.22599999999999998</v>
      </c>
      <c r="F3" s="16">
        <f>8*1.163</f>
        <v>9.304</v>
      </c>
      <c r="G3" s="21">
        <v>10.93</v>
      </c>
      <c r="K3" s="16" t="s">
        <v>10</v>
      </c>
      <c r="L3" s="22">
        <v>0.293</v>
      </c>
      <c r="M3" s="23" t="s">
        <v>57</v>
      </c>
    </row>
    <row r="4" spans="11:13" ht="12.75">
      <c r="K4" s="16" t="s">
        <v>11</v>
      </c>
      <c r="L4" s="22">
        <f>1.6442*9.3/7</f>
        <v>2.184437142857143</v>
      </c>
      <c r="M4" s="23" t="s">
        <v>58</v>
      </c>
    </row>
    <row r="5" spans="12:13" ht="12.75">
      <c r="L5" s="22"/>
      <c r="M5" s="23"/>
    </row>
    <row r="6" spans="1:13" ht="25.5">
      <c r="A6" s="16" t="s">
        <v>84</v>
      </c>
      <c r="B6" s="31">
        <v>-101000</v>
      </c>
      <c r="C6" s="16" t="s">
        <v>48</v>
      </c>
      <c r="L6" s="22"/>
      <c r="M6" s="23"/>
    </row>
    <row r="7" spans="1:13" ht="25.5">
      <c r="A7" s="16" t="s">
        <v>85</v>
      </c>
      <c r="B7" s="31">
        <v>-32500</v>
      </c>
      <c r="C7" s="16" t="s">
        <v>48</v>
      </c>
      <c r="L7" s="22"/>
      <c r="M7" s="23"/>
    </row>
    <row r="8" spans="12:13" ht="12.75">
      <c r="L8" s="22"/>
      <c r="M8" s="23"/>
    </row>
    <row r="9" spans="1:2" ht="12.75">
      <c r="A9" s="16" t="s">
        <v>14</v>
      </c>
      <c r="B9" s="18">
        <v>0.063</v>
      </c>
    </row>
    <row r="10" ht="12.75"/>
    <row r="11" ht="12.75">
      <c r="A11" s="26" t="s">
        <v>81</v>
      </c>
    </row>
    <row r="12" spans="2:6" ht="12.75">
      <c r="B12" s="16">
        <v>2003</v>
      </c>
      <c r="C12" s="16">
        <v>2004</v>
      </c>
      <c r="D12" s="16">
        <v>2005</v>
      </c>
      <c r="E12" s="16">
        <v>2006</v>
      </c>
      <c r="F12" s="16">
        <v>2007</v>
      </c>
    </row>
    <row r="13" spans="1:6" ht="12.75">
      <c r="A13" s="24" t="s">
        <v>78</v>
      </c>
      <c r="B13" s="30">
        <v>0.102</v>
      </c>
      <c r="C13" s="30">
        <v>0.074</v>
      </c>
      <c r="D13" s="30">
        <v>0.078</v>
      </c>
      <c r="E13" s="30">
        <v>0.078</v>
      </c>
      <c r="F13" s="30">
        <v>0.098</v>
      </c>
    </row>
    <row r="14" spans="1:6" ht="12.75">
      <c r="A14" s="24" t="s">
        <v>80</v>
      </c>
      <c r="B14" s="30">
        <v>-0.011</v>
      </c>
      <c r="C14" s="30">
        <v>0.012</v>
      </c>
      <c r="D14" s="30">
        <v>0.027</v>
      </c>
      <c r="E14" s="30">
        <v>0.038</v>
      </c>
      <c r="F14" s="30">
        <v>0.058</v>
      </c>
    </row>
    <row r="15" ht="12.75"/>
    <row r="16" s="26" customFormat="1" ht="12.75">
      <c r="A16" s="26" t="s">
        <v>82</v>
      </c>
    </row>
    <row r="17" spans="1:7" ht="24">
      <c r="A17" s="24"/>
      <c r="B17" s="27">
        <v>2008</v>
      </c>
      <c r="C17" s="27">
        <v>2009</v>
      </c>
      <c r="D17" s="27">
        <v>2010</v>
      </c>
      <c r="E17" s="28">
        <v>2011</v>
      </c>
      <c r="F17" s="28">
        <v>2012</v>
      </c>
      <c r="G17" s="28" t="s">
        <v>59</v>
      </c>
    </row>
    <row r="18" spans="1:7" ht="12.75">
      <c r="A18" s="24" t="s">
        <v>78</v>
      </c>
      <c r="B18" s="24" t="s">
        <v>60</v>
      </c>
      <c r="C18" s="24" t="s">
        <v>61</v>
      </c>
      <c r="D18" s="24" t="s">
        <v>62</v>
      </c>
      <c r="E18" s="25" t="s">
        <v>63</v>
      </c>
      <c r="F18" s="25" t="s">
        <v>64</v>
      </c>
      <c r="G18" s="25" t="s">
        <v>65</v>
      </c>
    </row>
    <row r="19" spans="1:7" ht="12.75">
      <c r="A19" s="24" t="s">
        <v>79</v>
      </c>
      <c r="B19" s="24" t="s">
        <v>66</v>
      </c>
      <c r="C19" s="24" t="s">
        <v>67</v>
      </c>
      <c r="D19" s="24" t="s">
        <v>68</v>
      </c>
      <c r="E19" s="25" t="s">
        <v>69</v>
      </c>
      <c r="F19" s="25" t="s">
        <v>70</v>
      </c>
      <c r="G19" s="25" t="s">
        <v>71</v>
      </c>
    </row>
    <row r="20" spans="1:7" ht="12.75">
      <c r="A20" s="24" t="s">
        <v>80</v>
      </c>
      <c r="B20" s="24" t="s">
        <v>72</v>
      </c>
      <c r="C20" s="24" t="s">
        <v>73</v>
      </c>
      <c r="D20" s="24" t="s">
        <v>74</v>
      </c>
      <c r="E20" s="25" t="s">
        <v>75</v>
      </c>
      <c r="F20" s="25" t="s">
        <v>76</v>
      </c>
      <c r="G20" s="25" t="s">
        <v>77</v>
      </c>
    </row>
    <row r="21" spans="1:7" ht="12.75">
      <c r="A21" s="24"/>
      <c r="B21" s="24"/>
      <c r="C21" s="24"/>
      <c r="D21" s="24"/>
      <c r="E21" s="25"/>
      <c r="F21" s="25"/>
      <c r="G21" s="25"/>
    </row>
    <row r="22" ht="12.75"/>
    <row r="23" s="26" customFormat="1" ht="12.75">
      <c r="A23" s="26" t="s">
        <v>86</v>
      </c>
    </row>
    <row r="24" spans="2:6" ht="12.75">
      <c r="B24" s="16">
        <v>2004</v>
      </c>
      <c r="C24" s="16">
        <v>2005</v>
      </c>
      <c r="D24" s="16">
        <v>2006</v>
      </c>
      <c r="E24" s="16">
        <v>2007</v>
      </c>
      <c r="F24" s="16">
        <v>2008</v>
      </c>
    </row>
    <row r="25" spans="1:6" ht="12.75">
      <c r="A25" s="16" t="s">
        <v>36</v>
      </c>
      <c r="B25" s="31">
        <f>B6-B7</f>
        <v>-68500</v>
      </c>
      <c r="C25" s="31">
        <f>B25+B25*D14</f>
        <v>-70349.5</v>
      </c>
      <c r="D25" s="31">
        <f>C25+C25*E14</f>
        <v>-73022.781</v>
      </c>
      <c r="E25" s="31">
        <f>D25+D25*F14</f>
        <v>-77258.102298</v>
      </c>
      <c r="F25" s="31">
        <f>E25</f>
        <v>-77258.102298</v>
      </c>
    </row>
    <row r="26" spans="1:6" ht="12.75">
      <c r="A26" s="16" t="s">
        <v>37</v>
      </c>
      <c r="B26" s="31">
        <f>B6</f>
        <v>-101000</v>
      </c>
      <c r="C26" s="31">
        <f>B26+B26*D14</f>
        <v>-103727</v>
      </c>
      <c r="D26" s="31">
        <f>C26+C26*E14</f>
        <v>-107668.626</v>
      </c>
      <c r="E26" s="31">
        <f>D26+D26*F14</f>
        <v>-113913.406308</v>
      </c>
      <c r="F26" s="31">
        <f>E26</f>
        <v>-113913.406308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Northtown Technology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Ekostrategija</dc:creator>
  <cp:keywords/>
  <dc:description/>
  <cp:lastModifiedBy>.</cp:lastModifiedBy>
  <cp:lastPrinted>2004-11-09T20:11:06Z</cp:lastPrinted>
  <dcterms:created xsi:type="dcterms:W3CDTF">2004-10-26T13:36:46Z</dcterms:created>
  <dcterms:modified xsi:type="dcterms:W3CDTF">2010-02-14T22:15:51Z</dcterms:modified>
  <cp:category/>
  <cp:version/>
  <cp:contentType/>
  <cp:contentStatus/>
</cp:coreProperties>
</file>