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2120" windowHeight="9120" activeTab="0"/>
  </bookViews>
  <sheets>
    <sheet name="Input Parameters" sheetId="1" r:id="rId1"/>
    <sheet name="Cashflow1" sheetId="2" r:id="rId2"/>
    <sheet name="Financing" sheetId="3" r:id="rId3"/>
    <sheet name="Taxes" sheetId="4" r:id="rId4"/>
    <sheet name="Sensitivity_data" sheetId="5" r:id="rId5"/>
    <sheet name="Sensitivity_Diagram1" sheetId="6" r:id="rId6"/>
  </sheets>
  <definedNames/>
  <calcPr fullCalcOnLoad="1"/>
</workbook>
</file>

<file path=xl/sharedStrings.xml><?xml version="1.0" encoding="utf-8"?>
<sst xmlns="http://schemas.openxmlformats.org/spreadsheetml/2006/main" count="159" uniqueCount="97">
  <si>
    <t>Investment</t>
  </si>
  <si>
    <t>Cashflow</t>
  </si>
  <si>
    <t>EUR/kWh bzw.</t>
  </si>
  <si>
    <t>Revenues:</t>
  </si>
  <si>
    <t>Power</t>
  </si>
  <si>
    <t>Heat</t>
  </si>
  <si>
    <t xml:space="preserve">EUR/t </t>
  </si>
  <si>
    <t>Rev. Power</t>
  </si>
  <si>
    <t>Rev. Heat</t>
  </si>
  <si>
    <t>Project</t>
  </si>
  <si>
    <t>Year</t>
  </si>
  <si>
    <t xml:space="preserve">Investment </t>
  </si>
  <si>
    <t>Production Start</t>
  </si>
  <si>
    <t>Production End</t>
  </si>
  <si>
    <t>EUR</t>
  </si>
  <si>
    <t>Total cost per year</t>
  </si>
  <si>
    <t>Rev/year</t>
  </si>
  <si>
    <t>Total Capex</t>
  </si>
  <si>
    <t>Interest</t>
  </si>
  <si>
    <t>Cash</t>
  </si>
  <si>
    <t>Out</t>
  </si>
  <si>
    <t>In</t>
  </si>
  <si>
    <t>NPV (10 %)</t>
  </si>
  <si>
    <t>%</t>
  </si>
  <si>
    <t>Income Tax</t>
  </si>
  <si>
    <t>Loan Repayment</t>
  </si>
  <si>
    <t>Depreciation</t>
  </si>
  <si>
    <t>Taxable</t>
  </si>
  <si>
    <t>Income</t>
  </si>
  <si>
    <t>Tax</t>
  </si>
  <si>
    <t>Tax Rate</t>
  </si>
  <si>
    <t>Loss carry</t>
  </si>
  <si>
    <t>forward</t>
  </si>
  <si>
    <t>Cash in Prod.</t>
  </si>
  <si>
    <t>Opex</t>
  </si>
  <si>
    <t>Income bf. cf</t>
  </si>
  <si>
    <t>Taxable Inc.</t>
  </si>
  <si>
    <t>aft. cf</t>
  </si>
  <si>
    <t>NPV (0 %)</t>
  </si>
  <si>
    <t>FreeCash</t>
  </si>
  <si>
    <t>aft. Amort.</t>
  </si>
  <si>
    <t>Avoided CO2-Emissions by using Coal Mine Methane</t>
  </si>
  <si>
    <t>Efficiency
[%]</t>
  </si>
  <si>
    <t>Volume CH4 
[m3]</t>
  </si>
  <si>
    <t xml:space="preserve">GHP 21 in Calculation= 
because 1 t CH4 produces  2,75 t CO2 </t>
  </si>
  <si>
    <t>spec. Emissons
[kg CO2 / kWh]</t>
  </si>
  <si>
    <t>incl. Financing</t>
  </si>
  <si>
    <t>Loan</t>
  </si>
  <si>
    <t>Percentage of Debt Fin.</t>
  </si>
  <si>
    <t>Repayment Time Loan years</t>
  </si>
  <si>
    <t>Inflation rate OPEX</t>
  </si>
  <si>
    <t>Capex</t>
  </si>
  <si>
    <t>Production</t>
  </si>
  <si>
    <t>Capex ERU</t>
  </si>
  <si>
    <t>Opex ERU</t>
  </si>
  <si>
    <t>Production ERU</t>
  </si>
  <si>
    <t xml:space="preserve"> Repayment</t>
  </si>
  <si>
    <t>IRR</t>
  </si>
  <si>
    <t>Depreciation Time</t>
  </si>
  <si>
    <t>Sensitivity Production</t>
  </si>
  <si>
    <t>Sensitivity Capex</t>
  </si>
  <si>
    <t>Sensitivity Opex</t>
  </si>
  <si>
    <t>Delta Cap</t>
  </si>
  <si>
    <t>Delta Opex</t>
  </si>
  <si>
    <t>Delta Prod.</t>
  </si>
  <si>
    <t>Makro mit Strg+Shift+G ausführbar!!!!</t>
  </si>
  <si>
    <t>↑</t>
  </si>
  <si>
    <t>cumulated</t>
  </si>
  <si>
    <t>Revenues from ERUs</t>
  </si>
  <si>
    <t>ERU Price [EUR/t]</t>
  </si>
  <si>
    <t>Rev. ERU</t>
  </si>
  <si>
    <t>Surplus ERU</t>
  </si>
  <si>
    <t>efficiency</t>
  </si>
  <si>
    <t>CO2eq [t]</t>
  </si>
  <si>
    <t>CO2-Equivalent by power generation 
(Avoided emissons in power stations)</t>
  </si>
  <si>
    <t>CO2-Equivalent by heat generation 
(Avoided emissions in heat plants)</t>
  </si>
  <si>
    <t>Capex flaring</t>
  </si>
  <si>
    <t>Opex flaring</t>
  </si>
  <si>
    <t>Opex total</t>
  </si>
  <si>
    <t>Cost/ Unit/ KWh</t>
  </si>
  <si>
    <t>Capex heat production</t>
  </si>
  <si>
    <t>firing capacity [MWh]</t>
  </si>
  <si>
    <t>produced power [MWh]</t>
  </si>
  <si>
    <t>power consumption</t>
  </si>
  <si>
    <t xml:space="preserve">Capex CHP unit </t>
  </si>
  <si>
    <t>Opex CHP (EUR/kWh)</t>
  </si>
  <si>
    <t>Opex heat production (EUR/kWh)</t>
  </si>
  <si>
    <t>ERU Volume</t>
  </si>
  <si>
    <t>ERU revenue</t>
  </si>
  <si>
    <t>produced heat [MWh]</t>
  </si>
  <si>
    <t>calorific value Methane 9,979 KWh/m3</t>
  </si>
  <si>
    <t>gained environmental effect in t CO2</t>
  </si>
  <si>
    <r>
      <t>Capex = CAP</t>
    </r>
    <r>
      <rPr>
        <sz val="10"/>
        <rFont val="Arial"/>
        <family val="0"/>
      </rPr>
      <t xml:space="preserve">ital </t>
    </r>
    <r>
      <rPr>
        <i/>
        <sz val="10"/>
        <rFont val="Arial"/>
        <family val="0"/>
      </rPr>
      <t>EX</t>
    </r>
    <r>
      <rPr>
        <sz val="10"/>
        <rFont val="Arial"/>
        <family val="0"/>
      </rPr>
      <t>penditure</t>
    </r>
  </si>
  <si>
    <t>Opex = OPErational eXpenditure</t>
  </si>
  <si>
    <t>run macro using Strg+Shift+G</t>
  </si>
  <si>
    <t>Weight CH4 
[t]</t>
  </si>
  <si>
    <t>Economic Parameters excl. ERUs - No.22 Kommunarskaya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</si>
</sst>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"/>
    <numFmt numFmtId="181" formatCode="0.0000"/>
    <numFmt numFmtId="182" formatCode="0.000"/>
    <numFmt numFmtId="183" formatCode="0.0"/>
    <numFmt numFmtId="184" formatCode="0.000000"/>
    <numFmt numFmtId="185" formatCode="0.00000"/>
    <numFmt numFmtId="186" formatCode="#,##0.000"/>
    <numFmt numFmtId="187" formatCode="0.0000000000"/>
    <numFmt numFmtId="188" formatCode="0.000000000"/>
    <numFmt numFmtId="189" formatCode="0.00000000"/>
    <numFmt numFmtId="190" formatCode="0.0000000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#,##0.0000"/>
  </numFmts>
  <fonts count="18">
    <font>
      <sz val="10"/>
      <name val="Arial"/>
      <family val="0"/>
    </font>
    <font>
      <sz val="12"/>
      <name val="Frutiger 45 Light"/>
      <family val="2"/>
    </font>
    <font>
      <b/>
      <sz val="12"/>
      <name val="Frutiger 45 Light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Frutiger 45 Light"/>
      <family val="2"/>
    </font>
    <font>
      <b/>
      <sz val="10"/>
      <color indexed="12"/>
      <name val="Arial"/>
      <family val="2"/>
    </font>
    <font>
      <i/>
      <sz val="10"/>
      <name val="Arial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2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9" fontId="7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2" fontId="5" fillId="2" borderId="0" xfId="0" applyNumberFormat="1" applyFont="1" applyFill="1" applyAlignment="1">
      <alignment/>
    </xf>
    <xf numFmtId="3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3" xfId="0" applyFill="1" applyBorder="1" applyAlignment="1">
      <alignment/>
    </xf>
    <xf numFmtId="0" fontId="3" fillId="4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2" fontId="0" fillId="4" borderId="7" xfId="0" applyNumberFormat="1" applyFill="1" applyBorder="1" applyAlignment="1">
      <alignment/>
    </xf>
    <xf numFmtId="0" fontId="0" fillId="4" borderId="8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0" fontId="0" fillId="6" borderId="0" xfId="0" applyFill="1" applyAlignment="1">
      <alignment/>
    </xf>
    <xf numFmtId="3" fontId="0" fillId="6" borderId="0" xfId="0" applyNumberFormat="1" applyFill="1" applyAlignment="1">
      <alignment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Border="1" applyAlignment="1">
      <alignment/>
    </xf>
    <xf numFmtId="0" fontId="0" fillId="4" borderId="12" xfId="0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0" borderId="0" xfId="0" applyBorder="1" applyAlignment="1">
      <alignment/>
    </xf>
    <xf numFmtId="9" fontId="0" fillId="0" borderId="0" xfId="19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2" borderId="1" xfId="0" applyNumberFormat="1" applyFill="1" applyBorder="1" applyAlignment="1">
      <alignment horizontal="center"/>
    </xf>
    <xf numFmtId="9" fontId="0" fillId="0" borderId="0" xfId="19" applyAlignment="1">
      <alignment/>
    </xf>
    <xf numFmtId="0" fontId="5" fillId="0" borderId="0" xfId="0" applyFont="1" applyFill="1" applyAlignment="1">
      <alignment/>
    </xf>
    <xf numFmtId="3" fontId="2" fillId="0" borderId="1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 quotePrefix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center"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Border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3" fontId="3" fillId="0" borderId="0" xfId="0" applyNumberFormat="1" applyFont="1" applyAlignment="1">
      <alignment/>
    </xf>
    <xf numFmtId="18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9" fontId="0" fillId="2" borderId="0" xfId="19" applyFont="1" applyFill="1" applyAlignment="1">
      <alignment/>
    </xf>
    <xf numFmtId="182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0" borderId="6" xfId="0" applyNumberFormat="1" applyBorder="1" applyAlignment="1">
      <alignment/>
    </xf>
    <xf numFmtId="0" fontId="0" fillId="2" borderId="6" xfId="0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5" fillId="0" borderId="0" xfId="0" applyFont="1" applyAlignment="1">
      <alignment/>
    </xf>
    <xf numFmtId="195" fontId="0" fillId="2" borderId="0" xfId="0" applyNumberFormat="1" applyFill="1" applyAlignment="1">
      <alignment/>
    </xf>
    <xf numFmtId="3" fontId="0" fillId="7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8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2" xfId="0" applyFill="1" applyBorder="1" applyAlignment="1">
      <alignment horizontal="center"/>
    </xf>
    <xf numFmtId="0" fontId="0" fillId="9" borderId="9" xfId="0" applyFill="1" applyBorder="1" applyAlignment="1">
      <alignment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16" fillId="3" borderId="1" xfId="0" applyFont="1" applyFill="1" applyBorder="1" applyAlignment="1">
      <alignment/>
    </xf>
    <xf numFmtId="1" fontId="17" fillId="10" borderId="1" xfId="0" applyNumberFormat="1" applyFont="1" applyFill="1" applyBorder="1" applyAlignment="1">
      <alignment horizontal="center"/>
    </xf>
    <xf numFmtId="2" fontId="17" fillId="10" borderId="1" xfId="0" applyNumberFormat="1" applyFont="1" applyFill="1" applyBorder="1" applyAlignment="1">
      <alignment horizontal="center"/>
    </xf>
    <xf numFmtId="3" fontId="17" fillId="1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 Sensitivity
Utilisation of CMM:  No.22 Kommunarskaya,  heat production, power generation and flaring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725"/>
          <c:w val="0.95425"/>
          <c:h val="0.7495"/>
        </c:manualLayout>
      </c:layout>
      <c:scatterChart>
        <c:scatterStyle val="line"/>
        <c:varyColors val="0"/>
        <c:ser>
          <c:idx val="3"/>
          <c:order val="0"/>
          <c:tx>
            <c:strRef>
              <c:f>Sensitivity_data!$E$14</c:f>
              <c:strCache>
                <c:ptCount val="1"/>
                <c:pt idx="0">
                  <c:v>Capex ERU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Sensitivity_data!$E$15:$E$23</c:f>
              <c:numCache>
                <c:ptCount val="9"/>
                <c:pt idx="0">
                  <c:v>38.38215894900429</c:v>
                </c:pt>
                <c:pt idx="1">
                  <c:v>37.53171693440066</c:v>
                </c:pt>
                <c:pt idx="2">
                  <c:v>36.67178414700737</c:v>
                </c:pt>
                <c:pt idx="3">
                  <c:v>35.80163800645274</c:v>
                </c:pt>
                <c:pt idx="4">
                  <c:v>34.920481604518486</c:v>
                </c:pt>
                <c:pt idx="5">
                  <c:v>34.027432813030146</c:v>
                </c:pt>
                <c:pt idx="6">
                  <c:v>33.121511269883534</c:v>
                </c:pt>
                <c:pt idx="7">
                  <c:v>32.201622718497305</c:v>
                </c:pt>
                <c:pt idx="8">
                  <c:v>31.263166648352108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Sensitivity_data!$F$14</c:f>
              <c:strCache>
                <c:ptCount val="1"/>
                <c:pt idx="0">
                  <c:v>Opex ERU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Sensitivity_data!$F$15:$F$23</c:f>
              <c:numCache>
                <c:ptCount val="9"/>
                <c:pt idx="0">
                  <c:v>42.52420405934367</c:v>
                </c:pt>
                <c:pt idx="1">
                  <c:v>40.35090520192622</c:v>
                </c:pt>
                <c:pt idx="2">
                  <c:v>38.377084378886245</c:v>
                </c:pt>
                <c:pt idx="3">
                  <c:v>36.57458697743937</c:v>
                </c:pt>
                <c:pt idx="4">
                  <c:v>34.920481604518486</c:v>
                </c:pt>
                <c:pt idx="5">
                  <c:v>33.395883043940124</c:v>
                </c:pt>
                <c:pt idx="6">
                  <c:v>31.98508281055898</c:v>
                </c:pt>
                <c:pt idx="7">
                  <c:v>30.674896856152582</c:v>
                </c:pt>
                <c:pt idx="8">
                  <c:v>29.454169279019982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Sensitivity_data!$G$14</c:f>
              <c:strCache>
                <c:ptCount val="1"/>
                <c:pt idx="0">
                  <c:v>Production ERU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Sensitivity_data!$G$15:$G$23</c:f>
              <c:numCache>
                <c:ptCount val="9"/>
                <c:pt idx="0">
                  <c:v>27.92292712077765</c:v>
                </c:pt>
                <c:pt idx="1">
                  <c:v>29.732384555107217</c:v>
                </c:pt>
                <c:pt idx="2">
                  <c:v>31.499358935446313</c:v>
                </c:pt>
                <c:pt idx="3">
                  <c:v>33.227634430890035</c:v>
                </c:pt>
                <c:pt idx="4">
                  <c:v>34.920481604518486</c:v>
                </c:pt>
                <c:pt idx="5">
                  <c:v>36.58074858237703</c:v>
                </c:pt>
                <c:pt idx="6">
                  <c:v>38.210932606701355</c:v>
                </c:pt>
                <c:pt idx="7">
                  <c:v>39.8132368658634</c:v>
                </c:pt>
                <c:pt idx="8">
                  <c:v>41.389616119744566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Sensitivity_data!$B$14</c:f>
              <c:strCache>
                <c:ptCount val="1"/>
                <c:pt idx="0">
                  <c:v>Capex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Sensitivity_data!$B$15:$B$20</c:f>
              <c:numCache>
                <c:ptCount val="6"/>
                <c:pt idx="0">
                  <c:v>17.751857604067244</c:v>
                </c:pt>
                <c:pt idx="1">
                  <c:v>16.55224121422582</c:v>
                </c:pt>
                <c:pt idx="2">
                  <c:v>15.328384475781398</c:v>
                </c:pt>
                <c:pt idx="3">
                  <c:v>14.072614080920879</c:v>
                </c:pt>
                <c:pt idx="4">
                  <c:v>12.777382274400113</c:v>
                </c:pt>
                <c:pt idx="5">
                  <c:v>11.32787429907064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Sensitivity_data!$C$14</c:f>
              <c:strCache>
                <c:ptCount val="1"/>
                <c:pt idx="0">
                  <c:v>Opex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Sensitivity_data!$C$15:$C$23</c:f>
              <c:numCache>
                <c:ptCount val="9"/>
                <c:pt idx="0">
                  <c:v>17.16570827703978</c:v>
                </c:pt>
                <c:pt idx="1">
                  <c:v>15.922734504893873</c:v>
                </c:pt>
                <c:pt idx="2">
                  <c:v>14.778563344317991</c:v>
                </c:pt>
                <c:pt idx="3">
                  <c:v>13.74077786218035</c:v>
                </c:pt>
                <c:pt idx="4">
                  <c:v>12.777382274400113</c:v>
                </c:pt>
                <c:pt idx="5">
                  <c:v>11.878556911784417</c:v>
                </c:pt>
                <c:pt idx="6">
                  <c:v>10.855711376190348</c:v>
                </c:pt>
                <c:pt idx="7">
                  <c:v>9.896447057853583</c:v>
                </c:pt>
                <c:pt idx="8">
                  <c:v>8.993834605872614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Sensitivity_data!$D$14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Sensitivity_data!$A$15:$A$23</c:f>
              <c:numCache>
                <c:ptCount val="9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</c:numCache>
            </c:numRef>
          </c:xVal>
          <c:yVal>
            <c:numRef>
              <c:f>Sensitivity_data!$D$15:$D$23</c:f>
              <c:numCache>
                <c:ptCount val="9"/>
                <c:pt idx="0">
                  <c:v>7.435673653455073</c:v>
                </c:pt>
                <c:pt idx="1">
                  <c:v>8.902166788154453</c:v>
                </c:pt>
                <c:pt idx="2">
                  <c:v>10.309113103894436</c:v>
                </c:pt>
                <c:pt idx="3">
                  <c:v>11.664051324938479</c:v>
                </c:pt>
                <c:pt idx="4">
                  <c:v>12.777382274400113</c:v>
                </c:pt>
                <c:pt idx="5">
                  <c:v>13.817823843546858</c:v>
                </c:pt>
                <c:pt idx="6">
                  <c:v>14.824908670295883</c:v>
                </c:pt>
                <c:pt idx="7">
                  <c:v>15.824094863926</c:v>
                </c:pt>
                <c:pt idx="8">
                  <c:v>16.788492823282485</c:v>
                </c:pt>
              </c:numCache>
            </c:numRef>
          </c:yVal>
          <c:smooth val="0"/>
        </c:ser>
        <c:axId val="17872132"/>
        <c:axId val="26631461"/>
      </c:scatterChart>
      <c:valAx>
        <c:axId val="1787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Variance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31461"/>
        <c:crosses val="autoZero"/>
        <c:crossBetween val="midCat"/>
        <c:dispUnits/>
      </c:valAx>
      <c:valAx>
        <c:axId val="26631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IRR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721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65"/>
          <c:y val="0.11425"/>
          <c:w val="0.80725"/>
          <c:h val="0.049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9"/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55</xdr:row>
      <xdr:rowOff>28575</xdr:rowOff>
    </xdr:from>
    <xdr:to>
      <xdr:col>2</xdr:col>
      <xdr:colOff>1057275</xdr:colOff>
      <xdr:row>59</xdr:row>
      <xdr:rowOff>0</xdr:rowOff>
    </xdr:to>
    <xdr:sp macro="[0]!Sensitivity">
      <xdr:nvSpPr>
        <xdr:cNvPr id="1" name="AutoShape 2"/>
        <xdr:cNvSpPr>
          <a:spLocks/>
        </xdr:cNvSpPr>
      </xdr:nvSpPr>
      <xdr:spPr>
        <a:xfrm>
          <a:off x="3067050" y="9810750"/>
          <a:ext cx="942975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latin typeface="Arial Black"/>
              <a:cs typeface="Arial Black"/>
            </a:rPr>
            <a:t>GO!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77"/>
  <sheetViews>
    <sheetView tabSelected="1" workbookViewId="0" topLeftCell="A10">
      <selection activeCell="B54" sqref="B54"/>
    </sheetView>
  </sheetViews>
  <sheetFormatPr defaultColWidth="11.421875" defaultRowHeight="12.75"/>
  <cols>
    <col min="1" max="1" width="28.8515625" style="0" customWidth="1"/>
    <col min="2" max="2" width="15.421875" style="0" customWidth="1"/>
    <col min="3" max="3" width="16.421875" style="0" customWidth="1"/>
    <col min="4" max="4" width="22.00390625" style="0" customWidth="1"/>
    <col min="5" max="5" width="15.28125" style="0" customWidth="1"/>
  </cols>
  <sheetData>
    <row r="1" spans="1:5" ht="33.75" customHeight="1">
      <c r="A1" s="115" t="s">
        <v>41</v>
      </c>
      <c r="B1" s="116"/>
      <c r="C1" s="116"/>
      <c r="D1" s="116"/>
      <c r="E1" s="117"/>
    </row>
    <row r="2" spans="1:5" ht="15.75" customHeight="1">
      <c r="A2" s="52" t="s">
        <v>81</v>
      </c>
      <c r="B2" s="65" t="s">
        <v>42</v>
      </c>
      <c r="C2" s="1" t="s">
        <v>43</v>
      </c>
      <c r="D2" s="1" t="s">
        <v>95</v>
      </c>
      <c r="E2" s="1" t="s">
        <v>73</v>
      </c>
    </row>
    <row r="3" spans="1:7" ht="15" customHeight="1">
      <c r="A3" s="66">
        <f>C3*9.979/1000</f>
        <v>114431.42163355356</v>
      </c>
      <c r="B3" s="13">
        <v>100</v>
      </c>
      <c r="C3" s="2">
        <f>11467223.3323533*E42</f>
        <v>11467223.3323533</v>
      </c>
      <c r="D3" s="2">
        <f>C3*0.717/1000</f>
        <v>8221.999129297315</v>
      </c>
      <c r="E3" s="44">
        <f>D3*18.25</f>
        <v>150051.484109676</v>
      </c>
      <c r="G3" s="5"/>
    </row>
    <row r="4" spans="1:5" ht="15" customHeight="1">
      <c r="A4" s="118" t="s">
        <v>44</v>
      </c>
      <c r="B4" s="119"/>
      <c r="C4" s="119"/>
      <c r="D4" s="119"/>
      <c r="E4" s="55">
        <v>18.25</v>
      </c>
    </row>
    <row r="5" spans="1:5" ht="29.25" customHeight="1">
      <c r="A5" s="120" t="s">
        <v>74</v>
      </c>
      <c r="B5" s="121"/>
      <c r="C5" s="121"/>
      <c r="D5" s="121"/>
      <c r="E5" s="122"/>
    </row>
    <row r="6" spans="1:5" ht="15" customHeight="1">
      <c r="A6" s="52" t="s">
        <v>82</v>
      </c>
      <c r="B6" s="1" t="s">
        <v>45</v>
      </c>
      <c r="C6" s="3"/>
      <c r="D6" s="3"/>
      <c r="E6" s="1" t="s">
        <v>73</v>
      </c>
    </row>
    <row r="7" spans="1:5" ht="15" customHeight="1">
      <c r="A7" s="2">
        <f>18144*E42</f>
        <v>18144</v>
      </c>
      <c r="B7" s="4">
        <v>0.896</v>
      </c>
      <c r="C7" s="3"/>
      <c r="D7" s="3"/>
      <c r="E7" s="44">
        <f>A7*B7</f>
        <v>16257.024</v>
      </c>
    </row>
    <row r="8" spans="1:5" ht="15" customHeight="1">
      <c r="A8" s="44" t="s">
        <v>83</v>
      </c>
      <c r="B8" s="4"/>
      <c r="C8" s="3"/>
      <c r="D8" s="3"/>
      <c r="E8" s="44"/>
    </row>
    <row r="9" spans="1:5" ht="15" customHeight="1">
      <c r="A9" s="2">
        <f>318*2*E42</f>
        <v>636</v>
      </c>
      <c r="B9" s="4">
        <v>0.807</v>
      </c>
      <c r="C9" s="51"/>
      <c r="D9" s="51"/>
      <c r="E9" s="54">
        <f>A9*B9</f>
        <v>513.2520000000001</v>
      </c>
    </row>
    <row r="10" spans="1:5" ht="30.75" customHeight="1">
      <c r="A10" s="112" t="s">
        <v>75</v>
      </c>
      <c r="B10" s="113"/>
      <c r="C10" s="113"/>
      <c r="D10" s="113"/>
      <c r="E10" s="114"/>
    </row>
    <row r="11" spans="1:5" ht="15" customHeight="1">
      <c r="A11" s="53" t="s">
        <v>89</v>
      </c>
      <c r="B11" s="1" t="s">
        <v>45</v>
      </c>
      <c r="C11" s="3" t="s">
        <v>72</v>
      </c>
      <c r="D11" s="3"/>
      <c r="E11" s="1" t="s">
        <v>73</v>
      </c>
    </row>
    <row r="12" spans="1:7" ht="15" customHeight="1">
      <c r="A12" s="2">
        <f>35635*E42</f>
        <v>35635</v>
      </c>
      <c r="B12" s="13">
        <v>0.3406</v>
      </c>
      <c r="C12" s="3">
        <v>73.5</v>
      </c>
      <c r="D12" s="3"/>
      <c r="E12" s="49">
        <f>A12/(C12/100)*B12</f>
        <v>16513.307482993197</v>
      </c>
      <c r="F12" s="111"/>
      <c r="G12" s="42"/>
    </row>
    <row r="13" spans="1:5" ht="15" customHeight="1">
      <c r="A13" s="56"/>
      <c r="B13" s="50"/>
      <c r="C13" s="50"/>
      <c r="D13" s="50"/>
      <c r="E13" s="57"/>
    </row>
    <row r="14" spans="1:5" ht="15" customHeight="1">
      <c r="A14" s="58" t="s">
        <v>90</v>
      </c>
      <c r="B14" s="59"/>
      <c r="C14" s="59"/>
      <c r="D14" s="59"/>
      <c r="E14" s="60"/>
    </row>
    <row r="15" spans="1:5" ht="15" customHeight="1" thickBot="1">
      <c r="A15" s="61"/>
      <c r="B15" s="59"/>
      <c r="C15" s="59"/>
      <c r="D15" s="59"/>
      <c r="E15" s="60"/>
    </row>
    <row r="16" spans="1:5" ht="15" customHeight="1">
      <c r="A16" s="62" t="s">
        <v>91</v>
      </c>
      <c r="B16" s="63"/>
      <c r="C16" s="63"/>
      <c r="D16" s="63"/>
      <c r="E16" s="64">
        <f>E3+E7+E12-E9</f>
        <v>182308.5635926692</v>
      </c>
    </row>
    <row r="17" ht="8.25" customHeight="1"/>
    <row r="18" ht="6" customHeight="1"/>
    <row r="19" spans="1:3" ht="15">
      <c r="A19" s="7" t="s">
        <v>3</v>
      </c>
      <c r="B19" s="6" t="s">
        <v>2</v>
      </c>
      <c r="C19" t="s">
        <v>16</v>
      </c>
    </row>
    <row r="20" ht="12.75">
      <c r="B20" s="6" t="s">
        <v>6</v>
      </c>
    </row>
    <row r="21" spans="1:3" ht="12.75">
      <c r="A21" t="s">
        <v>5</v>
      </c>
      <c r="B21" s="81">
        <f>0.008*1</f>
        <v>0.008</v>
      </c>
      <c r="C21" s="5">
        <f>$A$12*B21*1000</f>
        <v>285080</v>
      </c>
    </row>
    <row r="22" spans="1:3" ht="12.75">
      <c r="A22" t="s">
        <v>4</v>
      </c>
      <c r="B22" s="79">
        <f>0.035*1</f>
        <v>0.035</v>
      </c>
      <c r="C22" s="5">
        <f>$A$7*B22*1000</f>
        <v>635040.0000000001</v>
      </c>
    </row>
    <row r="23" spans="2:3" ht="12.75">
      <c r="B23" s="45"/>
      <c r="C23" s="5"/>
    </row>
    <row r="24" spans="1:2" ht="12.75">
      <c r="A24" s="6" t="s">
        <v>9</v>
      </c>
      <c r="B24" s="82" t="s">
        <v>10</v>
      </c>
    </row>
    <row r="25" ht="12.75">
      <c r="B25" s="82"/>
    </row>
    <row r="26" spans="1:3" ht="12.75">
      <c r="A26" t="s">
        <v>11</v>
      </c>
      <c r="B26" s="79">
        <v>2007</v>
      </c>
      <c r="C26" s="8"/>
    </row>
    <row r="27" spans="1:2" ht="12.75">
      <c r="A27" t="s">
        <v>12</v>
      </c>
      <c r="B27" s="79">
        <v>2008</v>
      </c>
    </row>
    <row r="28" spans="1:2" ht="12.75">
      <c r="A28" t="s">
        <v>13</v>
      </c>
      <c r="B28" s="79">
        <v>2017</v>
      </c>
    </row>
    <row r="29" ht="5.25" customHeight="1">
      <c r="B29" s="48"/>
    </row>
    <row r="30" ht="5.25" customHeight="1"/>
    <row r="31" spans="1:5" ht="13.5" thickBot="1">
      <c r="A31" s="69"/>
      <c r="B31" s="69" t="s">
        <v>79</v>
      </c>
      <c r="C31" s="69" t="s">
        <v>15</v>
      </c>
      <c r="D31" s="69"/>
      <c r="E31" s="69"/>
    </row>
    <row r="32" spans="1:7" ht="12.75">
      <c r="A32" t="s">
        <v>76</v>
      </c>
      <c r="B32" s="68">
        <f>300000</f>
        <v>300000</v>
      </c>
      <c r="C32" s="5">
        <f>B32</f>
        <v>300000</v>
      </c>
      <c r="D32" t="s">
        <v>14</v>
      </c>
      <c r="E32" s="76" t="s">
        <v>60</v>
      </c>
      <c r="G32" s="90" t="s">
        <v>92</v>
      </c>
    </row>
    <row r="33" spans="1:5" ht="12.75">
      <c r="A33" t="s">
        <v>80</v>
      </c>
      <c r="B33" s="68">
        <v>700000</v>
      </c>
      <c r="C33" s="5">
        <f>B33</f>
        <v>700000</v>
      </c>
      <c r="D33" t="s">
        <v>14</v>
      </c>
      <c r="E33" s="77">
        <v>1</v>
      </c>
    </row>
    <row r="34" spans="1:4" ht="12.75">
      <c r="A34" s="83" t="s">
        <v>84</v>
      </c>
      <c r="B34" s="84">
        <v>1000000</v>
      </c>
      <c r="C34" s="85">
        <f>1.35*2*B34</f>
        <v>2700000</v>
      </c>
      <c r="D34" s="42" t="s">
        <v>14</v>
      </c>
    </row>
    <row r="35" spans="1:4" ht="12.75">
      <c r="A35" s="6" t="s">
        <v>17</v>
      </c>
      <c r="B35" s="6"/>
      <c r="C35" s="71">
        <f>SUM(C32:C34)*$E$33</f>
        <v>3700000</v>
      </c>
      <c r="D35" t="s">
        <v>14</v>
      </c>
    </row>
    <row r="36" spans="1:5" ht="13.5" thickBot="1">
      <c r="A36" s="69"/>
      <c r="B36" s="70"/>
      <c r="C36" s="69"/>
      <c r="D36" s="69"/>
      <c r="E36" s="69"/>
    </row>
    <row r="37" spans="1:7" ht="12.75">
      <c r="A37" t="s">
        <v>77</v>
      </c>
      <c r="B37" s="67">
        <v>50000</v>
      </c>
      <c r="C37" s="5">
        <f>1*B37</f>
        <v>50000</v>
      </c>
      <c r="D37" t="s">
        <v>14</v>
      </c>
      <c r="E37" s="76" t="s">
        <v>61</v>
      </c>
      <c r="G37" t="s">
        <v>93</v>
      </c>
    </row>
    <row r="38" spans="1:5" ht="12.75">
      <c r="A38" t="s">
        <v>86</v>
      </c>
      <c r="B38" s="91">
        <v>0.001</v>
      </c>
      <c r="C38" s="5">
        <f>A12*B38*1000</f>
        <v>35635</v>
      </c>
      <c r="D38" t="s">
        <v>14</v>
      </c>
      <c r="E38" s="77">
        <v>1</v>
      </c>
    </row>
    <row r="39" spans="1:4" ht="12.75">
      <c r="A39" s="83" t="s">
        <v>85</v>
      </c>
      <c r="B39" s="86">
        <f>0.025</f>
        <v>0.025</v>
      </c>
      <c r="C39" s="85">
        <f>A7*B39*1000</f>
        <v>453600</v>
      </c>
      <c r="D39" t="s">
        <v>14</v>
      </c>
    </row>
    <row r="40" spans="1:4" ht="12.75">
      <c r="A40" s="6" t="s">
        <v>78</v>
      </c>
      <c r="B40" s="72"/>
      <c r="C40" s="71">
        <f>SUM(C37:C39)*E38</f>
        <v>539235</v>
      </c>
      <c r="D40" t="s">
        <v>14</v>
      </c>
    </row>
    <row r="41" ht="12.75">
      <c r="E41" s="110" t="s">
        <v>59</v>
      </c>
    </row>
    <row r="42" ht="12.75">
      <c r="E42" s="77">
        <v>1</v>
      </c>
    </row>
    <row r="43" spans="1:2" ht="12.75">
      <c r="A43" t="s">
        <v>58</v>
      </c>
      <c r="B43" s="79">
        <v>10</v>
      </c>
    </row>
    <row r="44" spans="1:2" ht="12.75">
      <c r="A44" t="s">
        <v>18</v>
      </c>
      <c r="B44" s="80">
        <v>0.15</v>
      </c>
    </row>
    <row r="45" spans="1:2" ht="12.75">
      <c r="A45" t="s">
        <v>48</v>
      </c>
      <c r="B45" s="80">
        <v>1</v>
      </c>
    </row>
    <row r="46" spans="1:2" ht="12.75">
      <c r="A46" t="s">
        <v>49</v>
      </c>
      <c r="B46" s="79">
        <v>10</v>
      </c>
    </row>
    <row r="47" spans="1:2" ht="12.75">
      <c r="A47" t="s">
        <v>30</v>
      </c>
      <c r="B47" s="80">
        <v>0.33</v>
      </c>
    </row>
    <row r="48" spans="1:2" ht="12.75">
      <c r="A48" t="s">
        <v>50</v>
      </c>
      <c r="B48" s="80">
        <v>0.11</v>
      </c>
    </row>
    <row r="50" spans="1:3" ht="14.25">
      <c r="A50" s="106" t="s">
        <v>96</v>
      </c>
      <c r="B50" s="106"/>
      <c r="C50" s="106"/>
    </row>
    <row r="51" spans="1:5" ht="14.25">
      <c r="A51" s="107" t="str">
        <f>Cashflow1!M26</f>
        <v>IRR</v>
      </c>
      <c r="B51" s="108">
        <f>Cashflow1!N26*100</f>
        <v>11.026033250091729</v>
      </c>
      <c r="C51" s="107" t="s">
        <v>23</v>
      </c>
      <c r="D51" s="6" t="s">
        <v>68</v>
      </c>
      <c r="E51" s="5">
        <f>E60</f>
        <v>0</v>
      </c>
    </row>
    <row r="52" spans="1:5" ht="14.25">
      <c r="A52" s="107" t="str">
        <f>Cashflow1!M27</f>
        <v>NPV (0 %)</v>
      </c>
      <c r="B52" s="109">
        <f>Cashflow1!N27</f>
        <v>3002323.0466325115</v>
      </c>
      <c r="C52" s="107" t="s">
        <v>14</v>
      </c>
      <c r="D52" s="6" t="s">
        <v>87</v>
      </c>
      <c r="E52" s="78">
        <f>E16</f>
        <v>182308.5635926692</v>
      </c>
    </row>
    <row r="53" spans="1:5" ht="14.25">
      <c r="A53" s="107" t="str">
        <f>Cashflow1!M28</f>
        <v>NPV (10 %)</v>
      </c>
      <c r="B53" s="109">
        <f>Cashflow1!N28</f>
        <v>166501.83066237933</v>
      </c>
      <c r="C53" s="107" t="s">
        <v>14</v>
      </c>
      <c r="D53" s="6" t="s">
        <v>69</v>
      </c>
      <c r="E53" s="14">
        <v>0</v>
      </c>
    </row>
    <row r="54" ht="12.75">
      <c r="D54" s="48"/>
    </row>
    <row r="56" spans="4:6" ht="12.75">
      <c r="D56" s="87" t="s">
        <v>10</v>
      </c>
      <c r="E56" s="88" t="s">
        <v>88</v>
      </c>
      <c r="F56" s="6"/>
    </row>
    <row r="57" spans="4:5" ht="13.5" thickBot="1">
      <c r="D57">
        <f>B26</f>
        <v>2007</v>
      </c>
      <c r="E57" s="89">
        <v>0</v>
      </c>
    </row>
    <row r="58" spans="1:5" ht="13.5" thickBot="1">
      <c r="A58" s="23" t="s">
        <v>94</v>
      </c>
      <c r="B58" s="22"/>
      <c r="D58">
        <f>IF(D57=0,0,IF(D57&lt;=$B$28,D57+1,0))</f>
        <v>2008</v>
      </c>
      <c r="E58" s="89">
        <f aca="true" t="shared" si="0" ref="E58:E69">IF(D58&lt;=2008,0,$E$52*$E$53)</f>
        <v>0</v>
      </c>
    </row>
    <row r="59" spans="4:5" ht="12.75">
      <c r="D59">
        <f aca="true" t="shared" si="1" ref="D59:D69">IF(D58=0,0,IF(D58&lt;=$B$28,D58+1,0))</f>
        <v>2009</v>
      </c>
      <c r="E59" s="89">
        <f t="shared" si="0"/>
        <v>0</v>
      </c>
    </row>
    <row r="60" spans="1:5" ht="12.75">
      <c r="A60" s="42"/>
      <c r="B60" s="42"/>
      <c r="D60">
        <f t="shared" si="1"/>
        <v>2010</v>
      </c>
      <c r="E60" s="89">
        <f t="shared" si="0"/>
        <v>0</v>
      </c>
    </row>
    <row r="61" spans="1:5" ht="12.75">
      <c r="A61" s="42"/>
      <c r="B61" s="43"/>
      <c r="D61">
        <f t="shared" si="1"/>
        <v>2011</v>
      </c>
      <c r="E61" s="89">
        <f t="shared" si="0"/>
        <v>0</v>
      </c>
    </row>
    <row r="62" spans="4:6" ht="12.75">
      <c r="D62">
        <f t="shared" si="1"/>
        <v>2012</v>
      </c>
      <c r="E62" s="89">
        <f t="shared" si="0"/>
        <v>0</v>
      </c>
      <c r="F62" s="12"/>
    </row>
    <row r="63" spans="4:6" ht="12.75">
      <c r="D63">
        <f t="shared" si="1"/>
        <v>2013</v>
      </c>
      <c r="E63" s="89">
        <f t="shared" si="0"/>
        <v>0</v>
      </c>
      <c r="F63" s="12"/>
    </row>
    <row r="64" spans="4:6" ht="12.75">
      <c r="D64">
        <f t="shared" si="1"/>
        <v>2014</v>
      </c>
      <c r="E64" s="89">
        <v>0</v>
      </c>
      <c r="F64" s="12"/>
    </row>
    <row r="65" spans="1:6" ht="12.75">
      <c r="A65" s="42"/>
      <c r="B65" s="43"/>
      <c r="C65" s="42"/>
      <c r="D65">
        <f t="shared" si="1"/>
        <v>2015</v>
      </c>
      <c r="E65" s="89">
        <v>0</v>
      </c>
      <c r="F65" s="12"/>
    </row>
    <row r="66" spans="1:6" ht="12.75">
      <c r="A66" s="42"/>
      <c r="B66" s="42"/>
      <c r="C66" s="42"/>
      <c r="D66">
        <f t="shared" si="1"/>
        <v>2016</v>
      </c>
      <c r="E66" s="89">
        <v>0</v>
      </c>
      <c r="F66" s="12"/>
    </row>
    <row r="67" spans="1:6" ht="12.75">
      <c r="A67" s="42"/>
      <c r="B67" s="42"/>
      <c r="C67" s="42"/>
      <c r="D67">
        <f t="shared" si="1"/>
        <v>2017</v>
      </c>
      <c r="E67" s="89">
        <v>0</v>
      </c>
      <c r="F67" s="12"/>
    </row>
    <row r="68" spans="4:6" ht="12.75">
      <c r="D68">
        <f t="shared" si="1"/>
        <v>2018</v>
      </c>
      <c r="E68" s="89">
        <v>0</v>
      </c>
      <c r="F68" s="12"/>
    </row>
    <row r="69" spans="4:6" ht="12.75">
      <c r="D69">
        <f t="shared" si="1"/>
        <v>0</v>
      </c>
      <c r="E69" s="89">
        <f t="shared" si="0"/>
        <v>0</v>
      </c>
      <c r="F69" s="12"/>
    </row>
    <row r="70" spans="4:6" ht="12.75">
      <c r="D70" s="73"/>
      <c r="E70" s="74"/>
      <c r="F70" s="75"/>
    </row>
    <row r="71" spans="4:6" ht="12.75">
      <c r="D71" s="73"/>
      <c r="E71" s="74"/>
      <c r="F71" s="75"/>
    </row>
    <row r="72" spans="4:6" ht="12.75">
      <c r="D72" s="73"/>
      <c r="E72" s="74"/>
      <c r="F72" s="75"/>
    </row>
    <row r="73" spans="4:6" ht="12.75">
      <c r="D73" s="73"/>
      <c r="E73" s="74"/>
      <c r="F73" s="75"/>
    </row>
    <row r="74" ht="12.75">
      <c r="F74" s="12"/>
    </row>
    <row r="75" ht="12.75">
      <c r="F75" s="12"/>
    </row>
    <row r="76" ht="12.75">
      <c r="F76" s="12"/>
    </row>
    <row r="77" ht="12.75">
      <c r="F77" s="12"/>
    </row>
  </sheetData>
  <mergeCells count="4">
    <mergeCell ref="A10:E10"/>
    <mergeCell ref="A1:E1"/>
    <mergeCell ref="A4:D4"/>
    <mergeCell ref="A5:E5"/>
  </mergeCells>
  <printOptions/>
  <pageMargins left="0.75" right="0.75" top="1" bottom="1" header="0.4921259845" footer="0.4921259845"/>
  <pageSetup horizontalDpi="355" verticalDpi="355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T28"/>
  <sheetViews>
    <sheetView workbookViewId="0" topLeftCell="A1">
      <selection activeCell="G15" sqref="G15"/>
    </sheetView>
  </sheetViews>
  <sheetFormatPr defaultColWidth="11.421875" defaultRowHeight="12.75"/>
  <cols>
    <col min="1" max="1" width="8.28125" style="0" customWidth="1"/>
    <col min="2" max="2" width="10.28125" style="0" customWidth="1"/>
    <col min="3" max="3" width="10.140625" style="0" customWidth="1"/>
    <col min="4" max="4" width="11.00390625" style="0" customWidth="1"/>
    <col min="5" max="5" width="10.8515625" style="0" customWidth="1"/>
    <col min="6" max="6" width="10.7109375" style="0" customWidth="1"/>
    <col min="7" max="7" width="11.140625" style="0" customWidth="1"/>
    <col min="8" max="8" width="9.8515625" style="0" customWidth="1"/>
    <col min="14" max="14" width="15.140625" style="0" bestFit="1" customWidth="1"/>
  </cols>
  <sheetData>
    <row r="2" spans="1:16" ht="12.75">
      <c r="A2" s="95"/>
      <c r="B2" s="96"/>
      <c r="C2" s="96"/>
      <c r="D2" s="96"/>
      <c r="E2" s="97" t="s">
        <v>47</v>
      </c>
      <c r="F2" s="96"/>
      <c r="G2" s="96"/>
      <c r="H2" s="96"/>
      <c r="I2" s="98"/>
      <c r="J2" s="98"/>
      <c r="K2" s="95"/>
      <c r="L2" s="97" t="s">
        <v>19</v>
      </c>
      <c r="M2" s="97" t="s">
        <v>19</v>
      </c>
      <c r="N2" s="97" t="s">
        <v>1</v>
      </c>
      <c r="O2" s="97" t="s">
        <v>1</v>
      </c>
      <c r="P2" s="99" t="s">
        <v>39</v>
      </c>
    </row>
    <row r="3" spans="1:16" ht="12.75">
      <c r="A3" s="100" t="s">
        <v>10</v>
      </c>
      <c r="B3" s="101" t="s">
        <v>0</v>
      </c>
      <c r="C3" s="101" t="s">
        <v>34</v>
      </c>
      <c r="D3" s="101" t="s">
        <v>18</v>
      </c>
      <c r="E3" s="101" t="s">
        <v>56</v>
      </c>
      <c r="F3" s="101" t="s">
        <v>24</v>
      </c>
      <c r="G3" s="101" t="s">
        <v>7</v>
      </c>
      <c r="H3" s="101" t="s">
        <v>8</v>
      </c>
      <c r="I3" s="102" t="s">
        <v>70</v>
      </c>
      <c r="J3" s="102" t="s">
        <v>71</v>
      </c>
      <c r="K3" s="100" t="s">
        <v>10</v>
      </c>
      <c r="L3" s="101" t="s">
        <v>20</v>
      </c>
      <c r="M3" s="101" t="s">
        <v>21</v>
      </c>
      <c r="N3" s="101" t="s">
        <v>46</v>
      </c>
      <c r="O3" s="101" t="s">
        <v>67</v>
      </c>
      <c r="P3" s="102" t="s">
        <v>40</v>
      </c>
    </row>
    <row r="4" spans="1:16" ht="12.75">
      <c r="A4" s="103"/>
      <c r="B4" s="104" t="s">
        <v>14</v>
      </c>
      <c r="C4" s="104" t="s">
        <v>14</v>
      </c>
      <c r="D4" s="104" t="s">
        <v>14</v>
      </c>
      <c r="E4" s="104" t="s">
        <v>14</v>
      </c>
      <c r="F4" s="104" t="s">
        <v>14</v>
      </c>
      <c r="G4" s="104" t="s">
        <v>14</v>
      </c>
      <c r="H4" s="104" t="s">
        <v>14</v>
      </c>
      <c r="I4" s="105" t="s">
        <v>14</v>
      </c>
      <c r="J4" s="105" t="s">
        <v>14</v>
      </c>
      <c r="K4" s="103"/>
      <c r="L4" s="104" t="s">
        <v>14</v>
      </c>
      <c r="M4" s="104" t="s">
        <v>14</v>
      </c>
      <c r="N4" s="104" t="s">
        <v>14</v>
      </c>
      <c r="O4" s="104" t="s">
        <v>14</v>
      </c>
      <c r="P4" s="105" t="s">
        <v>14</v>
      </c>
    </row>
    <row r="5" spans="1:16" ht="12.75">
      <c r="A5" s="94">
        <f>'Input Parameters'!$B$26</f>
        <v>2007</v>
      </c>
      <c r="B5" s="46">
        <f>IF(A5='Input Parameters'!$B$26,'Input Parameters'!$C$35,0)</f>
        <v>3700000</v>
      </c>
      <c r="C5" s="46">
        <v>25000</v>
      </c>
      <c r="D5" s="46">
        <f>Financing!E8</f>
        <v>0</v>
      </c>
      <c r="E5" s="46">
        <f>Financing!C8</f>
        <v>0</v>
      </c>
      <c r="F5" s="46">
        <f>Taxes!J8</f>
        <v>0</v>
      </c>
      <c r="G5" s="15">
        <v>0</v>
      </c>
      <c r="H5" s="15">
        <v>10000</v>
      </c>
      <c r="I5" s="15">
        <f>'Input Parameters'!E57</f>
        <v>0</v>
      </c>
      <c r="J5" s="15">
        <f>'Input Parameters'!F57</f>
        <v>0</v>
      </c>
      <c r="K5" s="94">
        <f>'Input Parameters'!$B$26</f>
        <v>2007</v>
      </c>
      <c r="L5" s="92">
        <f>SUM(B5:F5)-E5-D6</f>
        <v>3170000</v>
      </c>
      <c r="M5" s="15">
        <f>SUM(G5:J5)</f>
        <v>10000</v>
      </c>
      <c r="N5" s="46">
        <f>M5-L5</f>
        <v>-3160000</v>
      </c>
      <c r="O5" s="46">
        <f>N5</f>
        <v>-3160000</v>
      </c>
      <c r="P5" s="46"/>
    </row>
    <row r="6" spans="1:16" ht="12.75">
      <c r="A6" s="94">
        <f>IF(A5&lt;100,0,IF('Input Parameters'!$B$28=A5,0,A5+1))</f>
        <v>2008</v>
      </c>
      <c r="B6" s="46">
        <f>IF(A6='Input Parameters'!$B$26,'Input Parameters'!$C$35,0)</f>
        <v>0</v>
      </c>
      <c r="C6" s="46">
        <f>IF(A6&gt;='Input Parameters'!$B$27,'Input Parameters'!$C$40,0)*(1+'Input Parameters'!$B$48)^(A6-'Input Parameters'!$B$26)</f>
        <v>598550.8500000001</v>
      </c>
      <c r="D6" s="46">
        <f>Financing!E9</f>
        <v>555000</v>
      </c>
      <c r="E6" s="46">
        <f>Financing!C9</f>
        <v>370000</v>
      </c>
      <c r="F6" s="46">
        <f>Taxes!J9</f>
        <v>0</v>
      </c>
      <c r="G6" s="15">
        <f>IF(A6&gt;='Input Parameters'!$B$27,'Input Parameters'!$C$22)*(1+'Input Parameters'!$B$48)^(A6-'Input Parameters'!$B$26)/2</f>
        <v>352447.20000000007</v>
      </c>
      <c r="H6" s="15">
        <f>(IF(A6&gt;='Input Parameters'!$B$27,'Input Parameters'!$C$21,0))*(1+'Input Parameters'!$B$48)^(A6-'Input Parameters'!$B$26)</f>
        <v>316438.80000000005</v>
      </c>
      <c r="I6" s="15">
        <f>'Input Parameters'!E58</f>
        <v>0</v>
      </c>
      <c r="J6" s="15">
        <f>'Input Parameters'!F58</f>
        <v>0</v>
      </c>
      <c r="K6" s="94">
        <f>IF(K5&lt;100,0,IF('Input Parameters'!$B$28=K5,0,K5+1))</f>
        <v>2008</v>
      </c>
      <c r="L6" s="92">
        <f aca="true" t="shared" si="0" ref="L6:L16">SUM(B6:F6)-E6-D7</f>
        <v>654050.8500000001</v>
      </c>
      <c r="M6" s="15">
        <f aca="true" t="shared" si="1" ref="M6:M19">SUM(G6:J6)</f>
        <v>668886.0000000001</v>
      </c>
      <c r="N6" s="46">
        <f aca="true" t="shared" si="2" ref="N6:N19">M6-L6</f>
        <v>14835.150000000023</v>
      </c>
      <c r="O6" s="46">
        <f>IF(A5=0,0,O5+N6)</f>
        <v>-3145164.85</v>
      </c>
      <c r="P6" s="46">
        <f>+N6-E6</f>
        <v>-355164.85</v>
      </c>
    </row>
    <row r="7" spans="1:16" ht="12.75">
      <c r="A7" s="94">
        <f>IF(A6&lt;100,0,IF('Input Parameters'!$B$28=A6,0,A6+1))</f>
        <v>2009</v>
      </c>
      <c r="B7" s="46">
        <f>IF(A7='Input Parameters'!$B$26,'Input Parameters'!$C$35,0)</f>
        <v>0</v>
      </c>
      <c r="C7" s="46">
        <f>IF(A7&gt;='Input Parameters'!$B$27,'Input Parameters'!$C$40,0)*(1+'Input Parameters'!$B$48)^(A7-'Input Parameters'!$B$26)</f>
        <v>664391.4435</v>
      </c>
      <c r="D7" s="46">
        <f>Financing!E10</f>
        <v>499500</v>
      </c>
      <c r="E7" s="46">
        <f>Financing!C10</f>
        <v>370000</v>
      </c>
      <c r="F7" s="46">
        <f>Taxes!J10</f>
        <v>0</v>
      </c>
      <c r="G7" s="15">
        <f>IF(A7&gt;='Input Parameters'!$B$27,'Input Parameters'!$C$22)*(1+'Input Parameters'!$B$48)^(A7-'Input Parameters'!$B$26)</f>
        <v>782432.7840000002</v>
      </c>
      <c r="H7" s="15">
        <f>(IF(A7&gt;='Input Parameters'!$B$27,'Input Parameters'!$C$21,0))*(1+'Input Parameters'!$B$48)^(A7-'Input Parameters'!$B$26)</f>
        <v>351247.068</v>
      </c>
      <c r="I7" s="15">
        <f>'Input Parameters'!E59</f>
        <v>0</v>
      </c>
      <c r="J7" s="15">
        <f>'Input Parameters'!F59</f>
        <v>0</v>
      </c>
      <c r="K7" s="94">
        <f>IF(K6&lt;100,0,IF('Input Parameters'!$B$28=K6,0,K6+1))</f>
        <v>2009</v>
      </c>
      <c r="L7" s="92">
        <f t="shared" si="0"/>
        <v>719891.4435</v>
      </c>
      <c r="M7" s="15">
        <f t="shared" si="1"/>
        <v>1133679.8520000002</v>
      </c>
      <c r="N7" s="46">
        <f t="shared" si="2"/>
        <v>413788.40850000014</v>
      </c>
      <c r="O7" s="46">
        <f aca="true" t="shared" si="3" ref="O7:O24">IF(A6=0,0,O6+N7)</f>
        <v>-2731376.4414999997</v>
      </c>
      <c r="P7" s="46">
        <f aca="true" t="shared" si="4" ref="P7:P19">+N7-E7</f>
        <v>43788.408500000136</v>
      </c>
    </row>
    <row r="8" spans="1:16" ht="12.75">
      <c r="A8" s="94">
        <f>IF(A7&lt;100,0,IF('Input Parameters'!$B$28=A7,0,A7+1))</f>
        <v>2010</v>
      </c>
      <c r="B8" s="46">
        <f>IF(A8='Input Parameters'!$B$26,'Input Parameters'!$C$35,0)</f>
        <v>0</v>
      </c>
      <c r="C8" s="46">
        <f>IF(A8&gt;='Input Parameters'!$B$27,'Input Parameters'!$C$40,0)*(1+'Input Parameters'!$B$48)^(A8-'Input Parameters'!$B$26)</f>
        <v>737474.5022850002</v>
      </c>
      <c r="D8" s="46">
        <f>Financing!E11</f>
        <v>444000</v>
      </c>
      <c r="E8" s="46">
        <f>Financing!C11</f>
        <v>370000</v>
      </c>
      <c r="F8" s="46">
        <f>Taxes!J11</f>
        <v>0</v>
      </c>
      <c r="G8" s="15">
        <f>IF(A8&gt;='Input Parameters'!$B$27,'Input Parameters'!$C$22)*(1+'Input Parameters'!$B$48)^(A8-'Input Parameters'!$B$26)</f>
        <v>868500.3902400003</v>
      </c>
      <c r="H8" s="15">
        <f>(IF(A8&gt;='Input Parameters'!$B$27,'Input Parameters'!$C$21,0))*(1+'Input Parameters'!$B$48)^(A8-'Input Parameters'!$B$26)</f>
        <v>389884.2454800001</v>
      </c>
      <c r="I8" s="15">
        <f>'Input Parameters'!E60</f>
        <v>0</v>
      </c>
      <c r="J8" s="15">
        <f>'Input Parameters'!F60</f>
        <v>0</v>
      </c>
      <c r="K8" s="94">
        <f>IF(K7&lt;100,0,IF('Input Parameters'!$B$28=K7,0,K7+1))</f>
        <v>2010</v>
      </c>
      <c r="L8" s="92">
        <f t="shared" si="0"/>
        <v>792974.5022850002</v>
      </c>
      <c r="M8" s="15">
        <f t="shared" si="1"/>
        <v>1258384.6357200004</v>
      </c>
      <c r="N8" s="46">
        <f t="shared" si="2"/>
        <v>465410.1334350002</v>
      </c>
      <c r="O8" s="46">
        <f t="shared" si="3"/>
        <v>-2265966.3080649995</v>
      </c>
      <c r="P8" s="46">
        <f t="shared" si="4"/>
        <v>95410.1334350002</v>
      </c>
    </row>
    <row r="9" spans="1:16" ht="12.75">
      <c r="A9" s="94">
        <f>IF(A8&lt;100,0,IF('Input Parameters'!$B$28=A8,0,A8+1))</f>
        <v>2011</v>
      </c>
      <c r="B9" s="46">
        <f>IF(A9='Input Parameters'!$B$26,'Input Parameters'!$C$35,0)</f>
        <v>0</v>
      </c>
      <c r="C9" s="46">
        <f>IF(A9&gt;='Input Parameters'!$B$27,'Input Parameters'!$C$40,0)*(1+'Input Parameters'!$B$48)^(A9-'Input Parameters'!$B$26)</f>
        <v>818596.6975363502</v>
      </c>
      <c r="D9" s="46">
        <f>Financing!E12</f>
        <v>388500</v>
      </c>
      <c r="E9" s="46">
        <f>Financing!C12</f>
        <v>370000</v>
      </c>
      <c r="F9" s="46">
        <f>Taxes!J12</f>
        <v>0</v>
      </c>
      <c r="G9" s="15">
        <f>IF(A9&gt;='Input Parameters'!$B$27,'Input Parameters'!$C$22)*(1+'Input Parameters'!$B$48)^(A9-'Input Parameters'!$B$26)</f>
        <v>964035.4331664004</v>
      </c>
      <c r="H9" s="15">
        <f>(IF(A9&gt;='Input Parameters'!$B$27,'Input Parameters'!$C$21,0))*(1+'Input Parameters'!$B$48)^(A9-'Input Parameters'!$B$26)</f>
        <v>432771.5124828001</v>
      </c>
      <c r="I9" s="15">
        <f>'Input Parameters'!E61</f>
        <v>0</v>
      </c>
      <c r="J9" s="15">
        <f>'Input Parameters'!F61</f>
        <v>0</v>
      </c>
      <c r="K9" s="94">
        <f>IF(K8&lt;100,0,IF('Input Parameters'!$B$28=K8,0,K8+1))</f>
        <v>2011</v>
      </c>
      <c r="L9" s="92">
        <f t="shared" si="0"/>
        <v>874096.6975363502</v>
      </c>
      <c r="M9" s="15">
        <f t="shared" si="1"/>
        <v>1396806.9456492006</v>
      </c>
      <c r="N9" s="46">
        <f t="shared" si="2"/>
        <v>522710.24811285036</v>
      </c>
      <c r="O9" s="46">
        <f t="shared" si="3"/>
        <v>-1743256.0599521492</v>
      </c>
      <c r="P9" s="46">
        <f t="shared" si="4"/>
        <v>152710.24811285036</v>
      </c>
    </row>
    <row r="10" spans="1:16" ht="12.75">
      <c r="A10" s="94">
        <f>IF(A9&lt;100,0,IF('Input Parameters'!$B$28=A9,0,A9+1))</f>
        <v>2012</v>
      </c>
      <c r="B10" s="46">
        <f>IF(A10='Input Parameters'!$B$26,'Input Parameters'!$C$35,0)</f>
        <v>0</v>
      </c>
      <c r="C10" s="46">
        <f>IF(A10&gt;='Input Parameters'!$B$27,'Input Parameters'!$C$40,0)*(1+'Input Parameters'!$B$48)^(A10-'Input Parameters'!$B$26)</f>
        <v>908642.3342653489</v>
      </c>
      <c r="D10" s="46">
        <f>Financing!E13</f>
        <v>333000</v>
      </c>
      <c r="E10" s="46">
        <f>Financing!C13</f>
        <v>370000</v>
      </c>
      <c r="F10" s="46">
        <f>Taxes!J13</f>
        <v>0</v>
      </c>
      <c r="G10" s="15">
        <f>IF(A10&gt;='Input Parameters'!$B$27,'Input Parameters'!$C$22)*(1+'Input Parameters'!$B$48)^(A10-'Input Parameters'!$B$26)</f>
        <v>1070079.3308147045</v>
      </c>
      <c r="H10" s="15">
        <f>(IF(A10&gt;='Input Parameters'!$B$27,'Input Parameters'!$C$21,0))*(1+'Input Parameters'!$B$48)^(A10-'Input Parameters'!$B$26)</f>
        <v>480376.3788559082</v>
      </c>
      <c r="I10" s="15">
        <f>'Input Parameters'!E62</f>
        <v>0</v>
      </c>
      <c r="J10" s="15">
        <f>'Input Parameters'!F62</f>
        <v>0</v>
      </c>
      <c r="K10" s="94">
        <f>IF(K9&lt;100,0,IF('Input Parameters'!$B$28=K9,0,K9+1))</f>
        <v>2012</v>
      </c>
      <c r="L10" s="92">
        <f t="shared" si="0"/>
        <v>964142.334265349</v>
      </c>
      <c r="M10" s="15">
        <f t="shared" si="1"/>
        <v>1550455.7096706126</v>
      </c>
      <c r="N10" s="46">
        <f t="shared" si="2"/>
        <v>586313.3754052636</v>
      </c>
      <c r="O10" s="46">
        <f t="shared" si="3"/>
        <v>-1156942.6845468855</v>
      </c>
      <c r="P10" s="46">
        <f t="shared" si="4"/>
        <v>216313.37540526362</v>
      </c>
    </row>
    <row r="11" spans="1:16" ht="12.75">
      <c r="A11" s="94">
        <f>IF(A10&lt;100,0,IF('Input Parameters'!$B$28=A10,0,A10+1))</f>
        <v>2013</v>
      </c>
      <c r="B11" s="46">
        <f>IF(A11='Input Parameters'!$B$26,'Input Parameters'!$C$35,0)</f>
        <v>0</v>
      </c>
      <c r="C11" s="46">
        <f>IF(A11&gt;='Input Parameters'!$B$27,'Input Parameters'!$C$40,0)*(1+'Input Parameters'!$B$48)^(A11-'Input Parameters'!$B$26)</f>
        <v>1008592.9910345372</v>
      </c>
      <c r="D11" s="46">
        <f>Financing!E14</f>
        <v>277500</v>
      </c>
      <c r="E11" s="46">
        <f>Financing!C14</f>
        <v>370000</v>
      </c>
      <c r="F11" s="46">
        <f>Taxes!J14</f>
        <v>0</v>
      </c>
      <c r="G11" s="15">
        <f>IF(A11&gt;='Input Parameters'!$B$27,'Input Parameters'!$C$22)*(1+'Input Parameters'!$B$48)^(A11-'Input Parameters'!$B$26)</f>
        <v>1187788.0572043222</v>
      </c>
      <c r="H11" s="15">
        <f>(IF(A11&gt;='Input Parameters'!$B$27,'Input Parameters'!$C$21,0))*(1+'Input Parameters'!$B$48)^(A11-'Input Parameters'!$B$26)</f>
        <v>533217.7805300581</v>
      </c>
      <c r="I11" s="15">
        <f>'Input Parameters'!E63</f>
        <v>0</v>
      </c>
      <c r="J11" s="15">
        <f>'Input Parameters'!F63</f>
        <v>0</v>
      </c>
      <c r="K11" s="94">
        <f>IF(K10&lt;100,0,IF('Input Parameters'!$B$28=K10,0,K10+1))</f>
        <v>2013</v>
      </c>
      <c r="L11" s="92">
        <f t="shared" si="0"/>
        <v>1064092.991034537</v>
      </c>
      <c r="M11" s="15">
        <f t="shared" si="1"/>
        <v>1721005.8377343803</v>
      </c>
      <c r="N11" s="46">
        <f t="shared" si="2"/>
        <v>656912.8466998432</v>
      </c>
      <c r="O11" s="46">
        <f t="shared" si="3"/>
        <v>-500029.83784704236</v>
      </c>
      <c r="P11" s="46">
        <f t="shared" si="4"/>
        <v>286912.8466998432</v>
      </c>
    </row>
    <row r="12" spans="1:16" ht="12.75">
      <c r="A12" s="94">
        <f>IF(A11&lt;100,0,IF('Input Parameters'!$B$28=A11,0,A11+1))</f>
        <v>2014</v>
      </c>
      <c r="B12" s="46">
        <f>IF(A12='Input Parameters'!$B$26,'Input Parameters'!$C$35,0)</f>
        <v>0</v>
      </c>
      <c r="C12" s="46">
        <f>IF(A12&gt;='Input Parameters'!$B$27,'Input Parameters'!$C$40,0)*(1+'Input Parameters'!$B$48)^(A12-'Input Parameters'!$B$26)</f>
        <v>1119538.2200483363</v>
      </c>
      <c r="D12" s="46">
        <f>Financing!E15</f>
        <v>222000</v>
      </c>
      <c r="E12" s="46">
        <f>Financing!C15</f>
        <v>370000</v>
      </c>
      <c r="F12" s="46">
        <f>Taxes!J15</f>
        <v>0</v>
      </c>
      <c r="G12" s="15">
        <f>IF(A12&gt;='Input Parameters'!$B$27,'Input Parameters'!$C$22)*(1+'Input Parameters'!$B$48)^(A12-'Input Parameters'!$B$26)</f>
        <v>1318444.7434967975</v>
      </c>
      <c r="H12" s="15">
        <f>(IF(A12&gt;='Input Parameters'!$B$27,'Input Parameters'!$C$21,0))*(1+'Input Parameters'!$B$48)^(A12-'Input Parameters'!$B$26)</f>
        <v>591871.7363883645</v>
      </c>
      <c r="I12" s="15">
        <f>'Input Parameters'!E64</f>
        <v>0</v>
      </c>
      <c r="J12" s="15">
        <f>'Input Parameters'!F64</f>
        <v>0</v>
      </c>
      <c r="K12" s="94">
        <f>IF(K11&lt;100,0,IF('Input Parameters'!$B$28=K11,0,K11+1))</f>
        <v>2014</v>
      </c>
      <c r="L12" s="92">
        <f t="shared" si="0"/>
        <v>1175038.2200483363</v>
      </c>
      <c r="M12" s="15">
        <f t="shared" si="1"/>
        <v>1910316.4798851619</v>
      </c>
      <c r="N12" s="46">
        <f t="shared" si="2"/>
        <v>735278.2598368255</v>
      </c>
      <c r="O12" s="46">
        <f t="shared" si="3"/>
        <v>235248.42198978318</v>
      </c>
      <c r="P12" s="46">
        <f t="shared" si="4"/>
        <v>365278.25983682554</v>
      </c>
    </row>
    <row r="13" spans="1:16" ht="12.75">
      <c r="A13" s="94">
        <f>IF(A12&lt;100,0,IF('Input Parameters'!$B$28=A12,0,A12+1))</f>
        <v>2015</v>
      </c>
      <c r="B13" s="46">
        <f>IF(A13='Input Parameters'!$B$26,'Input Parameters'!$C$35,0)</f>
        <v>0</v>
      </c>
      <c r="C13" s="46">
        <f>IF(A13&gt;='Input Parameters'!$B$27,'Input Parameters'!$C$40,0)*(1+'Input Parameters'!$B$48)^(A13-'Input Parameters'!$B$26)</f>
        <v>1242687.4242536535</v>
      </c>
      <c r="D13" s="46">
        <f>Financing!E16</f>
        <v>166500</v>
      </c>
      <c r="E13" s="46">
        <f>Financing!C16</f>
        <v>370000</v>
      </c>
      <c r="F13" s="46">
        <f>Taxes!J16</f>
        <v>0</v>
      </c>
      <c r="G13" s="15">
        <f>IF(A13&gt;='Input Parameters'!$B$27,'Input Parameters'!$C$22)*(1+'Input Parameters'!$B$48)^(A13-'Input Parameters'!$B$26)</f>
        <v>1463473.6652814457</v>
      </c>
      <c r="H13" s="15">
        <f>(IF(A13&gt;='Input Parameters'!$B$27,'Input Parameters'!$C$21,0))*(1+'Input Parameters'!$B$48)^(A13-'Input Parameters'!$B$26)</f>
        <v>656977.6273910847</v>
      </c>
      <c r="I13" s="15">
        <f>'Input Parameters'!E65</f>
        <v>0</v>
      </c>
      <c r="J13" s="15">
        <f>'Input Parameters'!F65</f>
        <v>0</v>
      </c>
      <c r="K13" s="94">
        <f>IF(K12&lt;100,0,IF('Input Parameters'!$B$28=K12,0,K12+1))</f>
        <v>2015</v>
      </c>
      <c r="L13" s="92">
        <f t="shared" si="0"/>
        <v>1298187.4242536535</v>
      </c>
      <c r="M13" s="15">
        <f t="shared" si="1"/>
        <v>2120451.2926725303</v>
      </c>
      <c r="N13" s="46">
        <f t="shared" si="2"/>
        <v>822263.8684188768</v>
      </c>
      <c r="O13" s="46">
        <f t="shared" si="3"/>
        <v>1057512.29040866</v>
      </c>
      <c r="P13" s="46">
        <f t="shared" si="4"/>
        <v>452263.8684188768</v>
      </c>
    </row>
    <row r="14" spans="1:16" ht="12.75">
      <c r="A14" s="94">
        <f>IF(A13&lt;100,0,IF('Input Parameters'!$B$28=A13,0,A13+1))</f>
        <v>2016</v>
      </c>
      <c r="B14" s="46">
        <f>IF(A14='Input Parameters'!$B$26,'Input Parameters'!$C$35,0)</f>
        <v>0</v>
      </c>
      <c r="C14" s="46">
        <f>IF(A14&gt;='Input Parameters'!$B$27,'Input Parameters'!$C$40,0)*(1+'Input Parameters'!$B$48)^(A14-'Input Parameters'!$B$26)</f>
        <v>1379383.0409215556</v>
      </c>
      <c r="D14" s="46">
        <f>Financing!E17</f>
        <v>111000</v>
      </c>
      <c r="E14" s="46">
        <f>Financing!C17</f>
        <v>370000</v>
      </c>
      <c r="F14" s="46">
        <f>Taxes!J17</f>
        <v>0</v>
      </c>
      <c r="G14" s="15">
        <f>IF(A14&gt;='Input Parameters'!$B$27,'Input Parameters'!$C$22)*(1+'Input Parameters'!$B$48)^(A14-'Input Parameters'!$B$26)</f>
        <v>1624455.7684624048</v>
      </c>
      <c r="H14" s="15">
        <f>(IF(A14&gt;='Input Parameters'!$B$27,'Input Parameters'!$C$21,0))*(1+'Input Parameters'!$B$48)^(A14-'Input Parameters'!$B$26)</f>
        <v>729245.1664041041</v>
      </c>
      <c r="I14" s="15">
        <f>'Input Parameters'!E66</f>
        <v>0</v>
      </c>
      <c r="J14" s="15">
        <f>'Input Parameters'!F66</f>
        <v>0</v>
      </c>
      <c r="K14" s="94">
        <f>IF(K13&lt;100,0,IF('Input Parameters'!$B$28=K13,0,K13+1))</f>
        <v>2016</v>
      </c>
      <c r="L14" s="92">
        <f t="shared" si="0"/>
        <v>1434883.0409215556</v>
      </c>
      <c r="M14" s="15">
        <f t="shared" si="1"/>
        <v>2353700.934866509</v>
      </c>
      <c r="N14" s="46">
        <f t="shared" si="2"/>
        <v>918817.8939449533</v>
      </c>
      <c r="O14" s="46">
        <f t="shared" si="3"/>
        <v>1976330.1843536133</v>
      </c>
      <c r="P14" s="46">
        <f t="shared" si="4"/>
        <v>548817.8939449533</v>
      </c>
    </row>
    <row r="15" spans="1:16" ht="12.75">
      <c r="A15" s="94">
        <f>IF(A14&lt;100,0,IF('Input Parameters'!$B$28=A14,0,A14+1))</f>
        <v>2017</v>
      </c>
      <c r="B15" s="46">
        <f>IF(A15='Input Parameters'!$B$26,'Input Parameters'!$C$35,0)</f>
        <v>0</v>
      </c>
      <c r="C15" s="46">
        <f>IF(A15&gt;='Input Parameters'!$B$27,'Input Parameters'!$C$40,0)*(1+'Input Parameters'!$B$48)^(A15-'Input Parameters'!$B$26)</f>
        <v>1531115.175422927</v>
      </c>
      <c r="D15" s="46">
        <f>Financing!E18</f>
        <v>55500</v>
      </c>
      <c r="E15" s="46">
        <f>Financing!C18</f>
        <v>370000</v>
      </c>
      <c r="F15" s="46">
        <f>Taxes!J18</f>
        <v>0</v>
      </c>
      <c r="G15" s="15">
        <f>IF(A15&gt;='Input Parameters'!$B$27,'Input Parameters'!$C$22)*(1+'Input Parameters'!$B$48)^(A15-'Input Parameters'!$B$26)</f>
        <v>1803145.9029932695</v>
      </c>
      <c r="H15" s="15">
        <f>(IF(A15&gt;='Input Parameters'!$B$27,'Input Parameters'!$C$21,0))*(1+'Input Parameters'!$B$48)^(A15-'Input Parameters'!$B$26)</f>
        <v>809462.1347085556</v>
      </c>
      <c r="I15" s="15">
        <f>'Input Parameters'!E67</f>
        <v>0</v>
      </c>
      <c r="J15" s="15">
        <f>'Input Parameters'!F67</f>
        <v>0</v>
      </c>
      <c r="K15" s="94">
        <f>IF(K14&lt;100,0,IF('Input Parameters'!$B$28=K14,0,K14+1))</f>
        <v>2017</v>
      </c>
      <c r="L15" s="92">
        <f t="shared" si="0"/>
        <v>1586615.175422927</v>
      </c>
      <c r="M15" s="15">
        <f t="shared" si="1"/>
        <v>2612608.037701825</v>
      </c>
      <c r="N15" s="46">
        <f t="shared" si="2"/>
        <v>1025992.8622788982</v>
      </c>
      <c r="O15" s="46">
        <f t="shared" si="3"/>
        <v>3002323.0466325115</v>
      </c>
      <c r="P15" s="46">
        <f t="shared" si="4"/>
        <v>655992.8622788982</v>
      </c>
    </row>
    <row r="16" spans="1:16" ht="12.75">
      <c r="A16" s="94">
        <v>2018</v>
      </c>
      <c r="B16" s="46">
        <f>IF(A16='Input Parameters'!$B$26,'Input Parameters'!$C$35,0)</f>
        <v>0</v>
      </c>
      <c r="C16" s="46">
        <v>0</v>
      </c>
      <c r="D16" s="46">
        <f>Financing!E19</f>
        <v>0</v>
      </c>
      <c r="E16" s="46">
        <f>Financing!C19</f>
        <v>0</v>
      </c>
      <c r="F16" s="46">
        <f>Taxes!J19</f>
        <v>0</v>
      </c>
      <c r="G16" s="15">
        <v>0</v>
      </c>
      <c r="H16" s="15">
        <v>0</v>
      </c>
      <c r="I16" s="15">
        <f>'Input Parameters'!E68</f>
        <v>0</v>
      </c>
      <c r="J16" s="15">
        <f>'Input Parameters'!F68</f>
        <v>0</v>
      </c>
      <c r="K16" s="94">
        <v>2018</v>
      </c>
      <c r="L16" s="92">
        <f t="shared" si="0"/>
        <v>0</v>
      </c>
      <c r="M16" s="15">
        <f>SUM(G16:J16)</f>
        <v>0</v>
      </c>
      <c r="N16" s="46">
        <f>M16-L16</f>
        <v>0</v>
      </c>
      <c r="O16" s="46">
        <f t="shared" si="3"/>
        <v>3002323.0466325115</v>
      </c>
      <c r="P16" s="46">
        <f>+N16-E16</f>
        <v>0</v>
      </c>
    </row>
    <row r="17" spans="1:16" ht="12.75">
      <c r="A17" s="94">
        <v>2019</v>
      </c>
      <c r="B17" s="46">
        <f>IF(A17='Input Parameters'!$B$26,'Input Parameters'!$C$35,0)</f>
        <v>0</v>
      </c>
      <c r="C17" s="46">
        <v>0</v>
      </c>
      <c r="D17" s="46">
        <f>Financing!E20</f>
        <v>0</v>
      </c>
      <c r="E17" s="46">
        <f>Financing!C20</f>
        <v>0</v>
      </c>
      <c r="F17" s="46">
        <f>Taxes!J20</f>
        <v>0</v>
      </c>
      <c r="G17" s="15">
        <v>0</v>
      </c>
      <c r="H17" s="15">
        <f>IF(A17&gt;='Input Parameters'!$B$27,'Input Parameters'!$C$23,0)</f>
        <v>0</v>
      </c>
      <c r="I17" s="15">
        <f>'Input Parameters'!E69</f>
        <v>0</v>
      </c>
      <c r="J17" s="15">
        <f>'Input Parameters'!F69</f>
        <v>0</v>
      </c>
      <c r="K17" s="94">
        <v>0</v>
      </c>
      <c r="L17" s="92">
        <f aca="true" t="shared" si="5" ref="L17:L24">SUM(B17:F17)-E17</f>
        <v>0</v>
      </c>
      <c r="M17" s="15">
        <f>SUM(G17:J17)</f>
        <v>0</v>
      </c>
      <c r="N17" s="46">
        <f>M17-L17</f>
        <v>0</v>
      </c>
      <c r="O17" s="46">
        <v>0</v>
      </c>
      <c r="P17" s="46">
        <f>+N17-E17</f>
        <v>0</v>
      </c>
    </row>
    <row r="18" spans="1:16" ht="12.75">
      <c r="A18" s="94">
        <v>0</v>
      </c>
      <c r="B18" s="46">
        <f>IF(A18='Input Parameters'!$B$26,'Input Parameters'!$C$35,0)</f>
        <v>0</v>
      </c>
      <c r="C18" s="46">
        <f>IF(A18&gt;='Input Parameters'!$B$27,'Input Parameters'!$C$40,0)*(1+'Input Parameters'!$B$48)^(A18-'Input Parameters'!$B$26)</f>
        <v>0</v>
      </c>
      <c r="D18" s="46">
        <f>Financing!E21</f>
        <v>0</v>
      </c>
      <c r="E18" s="46">
        <f>Financing!C21</f>
        <v>0</v>
      </c>
      <c r="F18" s="46">
        <f>Taxes!J21</f>
        <v>0</v>
      </c>
      <c r="G18" s="15">
        <f>IF(A18&gt;='Input Parameters'!$B$27,'Input Parameters'!$C$22,0)</f>
        <v>0</v>
      </c>
      <c r="H18" s="15">
        <f>IF(A18&gt;='Input Parameters'!$B$27,'Input Parameters'!$C$23,0)</f>
        <v>0</v>
      </c>
      <c r="I18" s="15">
        <f>'Input Parameters'!E70</f>
        <v>0</v>
      </c>
      <c r="J18" s="15">
        <f>'Input Parameters'!F70</f>
        <v>0</v>
      </c>
      <c r="K18" s="94">
        <v>0</v>
      </c>
      <c r="L18" s="92">
        <f t="shared" si="5"/>
        <v>0</v>
      </c>
      <c r="M18" s="15">
        <f>SUM(G18:J18)</f>
        <v>0</v>
      </c>
      <c r="N18" s="46">
        <f>M18-L18</f>
        <v>0</v>
      </c>
      <c r="O18" s="46">
        <v>0</v>
      </c>
      <c r="P18" s="46">
        <f>+N18-E18</f>
        <v>0</v>
      </c>
    </row>
    <row r="19" spans="1:16" ht="12.75">
      <c r="A19" s="94">
        <f>IF(A18&lt;100,0,IF('Input Parameters'!$B$28=A18,0,A18+1))</f>
        <v>0</v>
      </c>
      <c r="B19" s="46">
        <f>IF(A19='Input Parameters'!$B$26,'Input Parameters'!$C$35,0)</f>
        <v>0</v>
      </c>
      <c r="C19" s="46">
        <f>IF(A19&gt;='Input Parameters'!$B$27,'Input Parameters'!$C$40,0)*(1+'Input Parameters'!$B$48)^(A19-'Input Parameters'!$B$26)</f>
        <v>0</v>
      </c>
      <c r="D19" s="46">
        <f>Financing!E22</f>
        <v>0</v>
      </c>
      <c r="E19" s="46">
        <f>Financing!C22</f>
        <v>0</v>
      </c>
      <c r="F19" s="46">
        <f>Taxes!J22</f>
        <v>0</v>
      </c>
      <c r="G19" s="15">
        <f>IF(A19&gt;='Input Parameters'!$B$27,'Input Parameters'!$C$22,0)</f>
        <v>0</v>
      </c>
      <c r="H19" s="15">
        <f>IF(A19&gt;='Input Parameters'!$B$27,'Input Parameters'!$C$23,0)</f>
        <v>0</v>
      </c>
      <c r="I19" s="15">
        <f>'Input Parameters'!E71</f>
        <v>0</v>
      </c>
      <c r="J19" s="15">
        <f>'Input Parameters'!F68</f>
        <v>0</v>
      </c>
      <c r="K19" s="94">
        <f>IF(K18&lt;100,0,IF('Input Parameters'!$B$28=K18,0,K18+1))</f>
        <v>0</v>
      </c>
      <c r="L19" s="93">
        <f t="shared" si="5"/>
        <v>0</v>
      </c>
      <c r="M19" s="16">
        <f t="shared" si="1"/>
        <v>0</v>
      </c>
      <c r="N19" s="17">
        <f t="shared" si="2"/>
        <v>0</v>
      </c>
      <c r="O19" s="17">
        <f t="shared" si="3"/>
        <v>0</v>
      </c>
      <c r="P19" s="17">
        <f t="shared" si="4"/>
        <v>0</v>
      </c>
    </row>
    <row r="20" spans="1:16" ht="12.75">
      <c r="A20" s="94">
        <f>IF(A19&lt;100,0,IF('Input Parameters'!$B$28=A19,0,A19+1))</f>
        <v>0</v>
      </c>
      <c r="B20" s="46">
        <f>IF(A20='Input Parameters'!$B$26,'Input Parameters'!$C$35,0)</f>
        <v>0</v>
      </c>
      <c r="C20" s="46">
        <f>IF(A20&gt;='Input Parameters'!$B$27,'Input Parameters'!$C$40,0)*(1+'Input Parameters'!$B$48)^(A20-'Input Parameters'!$B$26)</f>
        <v>0</v>
      </c>
      <c r="D20" s="46">
        <f>Financing!E23</f>
        <v>0</v>
      </c>
      <c r="E20" s="46">
        <f>Financing!C23</f>
        <v>0</v>
      </c>
      <c r="F20" s="46">
        <f>Taxes!J23</f>
        <v>0</v>
      </c>
      <c r="G20" s="15">
        <f>IF(A20&gt;='Input Parameters'!$B$27,'Input Parameters'!$C$22,0)</f>
        <v>0</v>
      </c>
      <c r="H20" s="15">
        <f>IF(A20&gt;='Input Parameters'!$B$27,'Input Parameters'!$C$23,0)</f>
        <v>0</v>
      </c>
      <c r="I20" s="15">
        <f>'Input Parameters'!E72</f>
        <v>0</v>
      </c>
      <c r="J20" s="15">
        <f>'Input Parameters'!F69</f>
        <v>0</v>
      </c>
      <c r="K20" s="94">
        <f>IF(K19&lt;100,0,IF('Input Parameters'!$B$28=K19,0,K19+1))</f>
        <v>0</v>
      </c>
      <c r="L20" s="93">
        <f t="shared" si="5"/>
        <v>0</v>
      </c>
      <c r="M20" s="16">
        <f>SUM(G20:J20)</f>
        <v>0</v>
      </c>
      <c r="N20" s="17">
        <f>M20-L20</f>
        <v>0</v>
      </c>
      <c r="O20" s="17">
        <f t="shared" si="3"/>
        <v>0</v>
      </c>
      <c r="P20" s="17">
        <f>+N20-E20</f>
        <v>0</v>
      </c>
    </row>
    <row r="21" spans="1:16" ht="12.75">
      <c r="A21" s="94">
        <f>IF(A20&lt;100,0,IF('Input Parameters'!$B$28=A20,0,A20+1))</f>
        <v>0</v>
      </c>
      <c r="B21" s="46">
        <f>IF(A21='Input Parameters'!$B$26,'Input Parameters'!$C$35,0)</f>
        <v>0</v>
      </c>
      <c r="C21" s="46">
        <f>IF(A21&gt;='Input Parameters'!$B$27,'Input Parameters'!$C$40,0)*(1+'Input Parameters'!$B$48)^(A21-'Input Parameters'!$B$26)</f>
        <v>0</v>
      </c>
      <c r="D21" s="46">
        <f>Financing!E24</f>
        <v>0</v>
      </c>
      <c r="E21" s="46">
        <f>Financing!C24</f>
        <v>0</v>
      </c>
      <c r="F21" s="46">
        <f>Taxes!J24</f>
        <v>0</v>
      </c>
      <c r="G21" s="15">
        <f>IF(A21&gt;='Input Parameters'!$B$27,'Input Parameters'!$C$22,0)</f>
        <v>0</v>
      </c>
      <c r="H21" s="15">
        <f>IF(A21&gt;='Input Parameters'!$B$27,'Input Parameters'!$C$23,0)</f>
        <v>0</v>
      </c>
      <c r="I21" s="15">
        <f>'Input Parameters'!E73</f>
        <v>0</v>
      </c>
      <c r="J21" s="15">
        <f>'Input Parameters'!F70</f>
        <v>0</v>
      </c>
      <c r="K21" s="94">
        <f>IF(K20&lt;100,0,IF('Input Parameters'!$B$28=K20,0,K20+1))</f>
        <v>0</v>
      </c>
      <c r="L21" s="93">
        <f t="shared" si="5"/>
        <v>0</v>
      </c>
      <c r="M21" s="16">
        <f>SUM(G21:J21)</f>
        <v>0</v>
      </c>
      <c r="N21" s="17">
        <f>M21-L21</f>
        <v>0</v>
      </c>
      <c r="O21" s="17">
        <f t="shared" si="3"/>
        <v>0</v>
      </c>
      <c r="P21" s="17">
        <f>+N21-E21</f>
        <v>0</v>
      </c>
    </row>
    <row r="22" spans="1:16" ht="12.75">
      <c r="A22" s="94">
        <f>IF(A21&lt;100,0,IF('Input Parameters'!$B$28=A21,0,A21+1))</f>
        <v>0</v>
      </c>
      <c r="B22" s="46">
        <f>IF(A22='Input Parameters'!$B$26,'Input Parameters'!$C$35,0)</f>
        <v>0</v>
      </c>
      <c r="C22" s="46">
        <f>IF(A22&gt;='Input Parameters'!$B$27,'Input Parameters'!$C$40,0)*(1+'Input Parameters'!$B$48)^(A22-'Input Parameters'!$B$26)</f>
        <v>0</v>
      </c>
      <c r="D22" s="46">
        <f>Financing!E25</f>
        <v>0</v>
      </c>
      <c r="E22" s="46">
        <f>Financing!C25</f>
        <v>0</v>
      </c>
      <c r="F22" s="46">
        <f>Taxes!J25</f>
        <v>0</v>
      </c>
      <c r="G22" s="15">
        <f>IF(A22&gt;='Input Parameters'!$B$27,'Input Parameters'!$C$22,0)</f>
        <v>0</v>
      </c>
      <c r="H22" s="15">
        <f>IF(A22&gt;='Input Parameters'!$B$27,'Input Parameters'!$C$23,0)</f>
        <v>0</v>
      </c>
      <c r="I22" s="15">
        <f>'Input Parameters'!E74</f>
        <v>0</v>
      </c>
      <c r="J22" s="15">
        <f>'Input Parameters'!F71</f>
        <v>0</v>
      </c>
      <c r="K22" s="94">
        <f>IF(K21&lt;100,0,IF('Input Parameters'!$B$28=K21,0,K21+1))</f>
        <v>0</v>
      </c>
      <c r="L22" s="93">
        <f t="shared" si="5"/>
        <v>0</v>
      </c>
      <c r="M22" s="16">
        <f>SUM(G22:J22)</f>
        <v>0</v>
      </c>
      <c r="N22" s="17">
        <f>M22-L22</f>
        <v>0</v>
      </c>
      <c r="O22" s="17">
        <f t="shared" si="3"/>
        <v>0</v>
      </c>
      <c r="P22" s="17">
        <f>+N22-E22</f>
        <v>0</v>
      </c>
    </row>
    <row r="23" spans="1:16" ht="12.75">
      <c r="A23" s="94">
        <f>IF(A22&lt;100,0,IF('Input Parameters'!$B$28=A22,0,A22+1))</f>
        <v>0</v>
      </c>
      <c r="B23" s="46">
        <f>IF(A23='Input Parameters'!$B$26,'Input Parameters'!$C$35,0)</f>
        <v>0</v>
      </c>
      <c r="C23" s="46">
        <f>IF(A23&gt;='Input Parameters'!$B$27,'Input Parameters'!$C$40,0)*(1+'Input Parameters'!$B$48)^(A23-'Input Parameters'!$B$26)</f>
        <v>0</v>
      </c>
      <c r="D23" s="46">
        <f>Financing!E26</f>
        <v>0</v>
      </c>
      <c r="E23" s="46">
        <f>Financing!C26</f>
        <v>0</v>
      </c>
      <c r="F23" s="46">
        <f>Taxes!J26</f>
        <v>0</v>
      </c>
      <c r="G23" s="15">
        <f>IF(A23&gt;='Input Parameters'!$B$27,'Input Parameters'!$C$22,0)</f>
        <v>0</v>
      </c>
      <c r="H23" s="15">
        <f>IF(A23&gt;='Input Parameters'!$B$27,'Input Parameters'!$C$23,0)</f>
        <v>0</v>
      </c>
      <c r="I23" s="15">
        <f>'Input Parameters'!E75</f>
        <v>0</v>
      </c>
      <c r="J23" s="15">
        <f>'Input Parameters'!F72</f>
        <v>0</v>
      </c>
      <c r="K23" s="94">
        <f>IF(K22&lt;100,0,IF('Input Parameters'!$B$28=K22,0,K22+1))</f>
        <v>0</v>
      </c>
      <c r="L23" s="93">
        <f t="shared" si="5"/>
        <v>0</v>
      </c>
      <c r="M23" s="16">
        <f>SUM(G23:J23)</f>
        <v>0</v>
      </c>
      <c r="N23" s="17">
        <f>M23-L23</f>
        <v>0</v>
      </c>
      <c r="O23" s="17">
        <f t="shared" si="3"/>
        <v>0</v>
      </c>
      <c r="P23" s="17">
        <f>+N23-E23</f>
        <v>0</v>
      </c>
    </row>
    <row r="24" spans="1:16" ht="12.75">
      <c r="A24" s="94">
        <f>IF(A23&lt;100,0,IF('Input Parameters'!$B$28=A23,0,A23+1))</f>
        <v>0</v>
      </c>
      <c r="B24" s="46">
        <f>IF(A24='Input Parameters'!$B$26,'Input Parameters'!$C$35,0)</f>
        <v>0</v>
      </c>
      <c r="C24" s="46">
        <f>IF(A24&gt;='Input Parameters'!$B$27,'Input Parameters'!$C$40,0)*(1+'Input Parameters'!$B$48)^(A24-'Input Parameters'!$B$26)</f>
        <v>0</v>
      </c>
      <c r="D24" s="46">
        <f>Financing!E27</f>
        <v>0</v>
      </c>
      <c r="E24" s="46">
        <f>Financing!C27</f>
        <v>0</v>
      </c>
      <c r="F24" s="46">
        <f>Taxes!J27</f>
        <v>0</v>
      </c>
      <c r="G24" s="15">
        <f>IF(A24&gt;='Input Parameters'!$B$27,'Input Parameters'!$C$22,0)</f>
        <v>0</v>
      </c>
      <c r="H24" s="15">
        <f>IF(A24&gt;='Input Parameters'!$B$27,'Input Parameters'!$C$23,0)</f>
        <v>0</v>
      </c>
      <c r="I24" s="15">
        <f>'Input Parameters'!E76</f>
        <v>0</v>
      </c>
      <c r="J24" s="15">
        <f>'Input Parameters'!F73</f>
        <v>0</v>
      </c>
      <c r="K24" s="94">
        <f>IF(K23&lt;100,0,IF('Input Parameters'!$B$28=K23,0,K23+1))</f>
        <v>0</v>
      </c>
      <c r="L24" s="93">
        <f t="shared" si="5"/>
        <v>0</v>
      </c>
      <c r="M24" s="16">
        <f>SUM(G24:J24)</f>
        <v>0</v>
      </c>
      <c r="N24" s="17">
        <f>M24-L24</f>
        <v>0</v>
      </c>
      <c r="O24" s="17">
        <f t="shared" si="3"/>
        <v>0</v>
      </c>
      <c r="P24" s="17">
        <f>+N24-E24</f>
        <v>0</v>
      </c>
    </row>
    <row r="26" spans="10:14" ht="12.75">
      <c r="J26" s="47"/>
      <c r="M26" s="9" t="s">
        <v>57</v>
      </c>
      <c r="N26" s="11">
        <f>IRR(N5:N24,-0.2)</f>
        <v>0.11026033250091728</v>
      </c>
    </row>
    <row r="27" spans="13:14" ht="12.75">
      <c r="M27" s="9" t="s">
        <v>38</v>
      </c>
      <c r="N27" s="10">
        <f>NPV(0%,N5:N24)</f>
        <v>3002323.0466325115</v>
      </c>
    </row>
    <row r="28" spans="13:20" ht="12.75">
      <c r="M28" s="9" t="s">
        <v>22</v>
      </c>
      <c r="N28" s="10">
        <f>NPV(10%,N5:N24)</f>
        <v>166501.83066237933</v>
      </c>
      <c r="T28">
        <v>1</v>
      </c>
    </row>
  </sheetData>
  <printOptions/>
  <pageMargins left="0.34" right="0.32" top="1" bottom="1" header="0.4921259845" footer="0.492125984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3:I29"/>
  <sheetViews>
    <sheetView workbookViewId="0" topLeftCell="A1">
      <selection activeCell="A18" sqref="A18"/>
    </sheetView>
  </sheetViews>
  <sheetFormatPr defaultColWidth="11.421875" defaultRowHeight="12.75"/>
  <cols>
    <col min="3" max="3" width="15.00390625" style="0" bestFit="1" customWidth="1"/>
    <col min="9" max="9" width="0" style="0" hidden="1" customWidth="1"/>
  </cols>
  <sheetData>
    <row r="3" spans="1:6" ht="12.75">
      <c r="A3" t="s">
        <v>10</v>
      </c>
      <c r="B3" t="s">
        <v>0</v>
      </c>
      <c r="C3" t="s">
        <v>25</v>
      </c>
      <c r="D3" t="s">
        <v>47</v>
      </c>
      <c r="E3" t="s">
        <v>18</v>
      </c>
      <c r="F3" t="s">
        <v>26</v>
      </c>
    </row>
    <row r="8" spans="1:6" ht="12.75">
      <c r="A8">
        <f>'Input Parameters'!$B$26</f>
        <v>2007</v>
      </c>
      <c r="B8" s="5">
        <f>'Input Parameters'!C35</f>
        <v>3700000</v>
      </c>
      <c r="C8" s="5"/>
      <c r="D8" s="5">
        <f>B8*'Input Parameters'!B45</f>
        <v>3700000</v>
      </c>
      <c r="E8" s="5"/>
      <c r="F8" s="5"/>
    </row>
    <row r="9" spans="1:9" ht="12.75">
      <c r="A9">
        <f>IF(A8&lt;100,0,IF('Input Parameters'!$B$28=A8,0,A8+1))</f>
        <v>2008</v>
      </c>
      <c r="B9" s="5"/>
      <c r="C9" s="5">
        <f>IF(D8=0,0,$D$8/'Input Parameters'!$B$46)</f>
        <v>370000</v>
      </c>
      <c r="D9" s="5">
        <f>D8-C9</f>
        <v>3330000</v>
      </c>
      <c r="E9" s="5">
        <f>D8*'Input Parameters'!$B$44</f>
        <v>555000</v>
      </c>
      <c r="F9" s="5">
        <f>$B$8/'Input Parameters'!$B$43</f>
        <v>370000</v>
      </c>
      <c r="I9">
        <v>0</v>
      </c>
    </row>
    <row r="10" spans="1:9" ht="12.75">
      <c r="A10">
        <f>IF(A9&lt;100,0,IF('Input Parameters'!$B$28=A9,0,A9+1))</f>
        <v>2009</v>
      </c>
      <c r="B10" s="5"/>
      <c r="C10" s="5">
        <f>IF(D9=0,0,$D$8/'Input Parameters'!$B$46)</f>
        <v>370000</v>
      </c>
      <c r="D10" s="5">
        <f>D9-C10</f>
        <v>2960000</v>
      </c>
      <c r="E10" s="5">
        <f>D9*'Input Parameters'!$B$44</f>
        <v>499500</v>
      </c>
      <c r="F10" s="5">
        <f>IF(I9+F9=$B$8,0,$B$8/'Input Parameters'!$B$43)</f>
        <v>370000</v>
      </c>
      <c r="I10">
        <f>I9+F9</f>
        <v>370000</v>
      </c>
    </row>
    <row r="11" spans="1:9" ht="12.75">
      <c r="A11">
        <f>IF(A10&lt;100,0,IF('Input Parameters'!$B$28=A10,0,A10+1))</f>
        <v>2010</v>
      </c>
      <c r="B11" s="5"/>
      <c r="C11" s="5">
        <f>IF(D10=0,0,$D$8/'Input Parameters'!$B$46)</f>
        <v>370000</v>
      </c>
      <c r="D11" s="5">
        <f>D10-C11</f>
        <v>2590000</v>
      </c>
      <c r="E11" s="5">
        <f>D10*'Input Parameters'!$B$44</f>
        <v>444000</v>
      </c>
      <c r="F11" s="5">
        <f>IF(I10+F10=$B$8,0,$B$8/'Input Parameters'!$B$43)</f>
        <v>370000</v>
      </c>
      <c r="I11">
        <f aca="true" t="shared" si="0" ref="I11:I27">I10+F10</f>
        <v>740000</v>
      </c>
    </row>
    <row r="12" spans="1:9" ht="12.75">
      <c r="A12">
        <f>IF(A11&lt;100,0,IF('Input Parameters'!$B$28=A11,0,A11+1))</f>
        <v>2011</v>
      </c>
      <c r="B12" s="5"/>
      <c r="C12" s="5">
        <f>IF(D11=0,0,$D$8/'Input Parameters'!$B$46)</f>
        <v>370000</v>
      </c>
      <c r="D12" s="5">
        <f>D11-C12</f>
        <v>2220000</v>
      </c>
      <c r="E12" s="5">
        <f>D11*'Input Parameters'!$B$44</f>
        <v>388500</v>
      </c>
      <c r="F12" s="5">
        <f>IF(I11+F11=$B$8,0,$B$8/'Input Parameters'!$B$43)</f>
        <v>370000</v>
      </c>
      <c r="I12">
        <f t="shared" si="0"/>
        <v>1110000</v>
      </c>
    </row>
    <row r="13" spans="1:9" ht="12.75">
      <c r="A13">
        <f>IF(A12&lt;100,0,IF('Input Parameters'!$B$28=A12,0,A12+1))</f>
        <v>2012</v>
      </c>
      <c r="B13" s="5"/>
      <c r="C13" s="5">
        <f>IF(D12=0,0,$D$8/'Input Parameters'!$B$46)</f>
        <v>370000</v>
      </c>
      <c r="D13" s="5">
        <f>D12-C13</f>
        <v>1850000</v>
      </c>
      <c r="E13" s="5">
        <f>D12*'Input Parameters'!$B$44</f>
        <v>333000</v>
      </c>
      <c r="F13" s="5">
        <f>IF(I12+F12=$B$8,0,$B$8/'Input Parameters'!$B$43)</f>
        <v>370000</v>
      </c>
      <c r="I13">
        <f t="shared" si="0"/>
        <v>1480000</v>
      </c>
    </row>
    <row r="14" spans="1:9" ht="12.75">
      <c r="A14">
        <f>IF(A13&lt;100,0,IF('Input Parameters'!$B$28=A13,0,A13+1))</f>
        <v>2013</v>
      </c>
      <c r="B14" s="5"/>
      <c r="C14" s="5">
        <f>IF(D13=0,0,$D$8/'Input Parameters'!$B$46)</f>
        <v>370000</v>
      </c>
      <c r="D14" s="5">
        <f aca="true" t="shared" si="1" ref="D14:D27">D13-C14</f>
        <v>1480000</v>
      </c>
      <c r="E14" s="5">
        <f>D13*'Input Parameters'!$B$44</f>
        <v>277500</v>
      </c>
      <c r="F14" s="5">
        <f>IF(I13+F13=$B$8,0,$B$8/'Input Parameters'!$B$43)</f>
        <v>370000</v>
      </c>
      <c r="I14">
        <f t="shared" si="0"/>
        <v>1850000</v>
      </c>
    </row>
    <row r="15" spans="1:9" ht="12.75">
      <c r="A15">
        <f>IF(A14&lt;100,0,IF('Input Parameters'!$B$28=A14,0,A14+1))</f>
        <v>2014</v>
      </c>
      <c r="B15" s="5"/>
      <c r="C15" s="5">
        <f>IF(D14=0,0,$D$8/'Input Parameters'!$B$46)</f>
        <v>370000</v>
      </c>
      <c r="D15" s="5">
        <f t="shared" si="1"/>
        <v>1110000</v>
      </c>
      <c r="E15" s="5">
        <f>D14*'Input Parameters'!$B$44</f>
        <v>222000</v>
      </c>
      <c r="F15" s="5">
        <f>IF(I14+F14=$B$8,0,$B$8/'Input Parameters'!$B$43)</f>
        <v>370000</v>
      </c>
      <c r="I15">
        <f t="shared" si="0"/>
        <v>2220000</v>
      </c>
    </row>
    <row r="16" spans="1:9" ht="12.75">
      <c r="A16">
        <f>IF(A15&lt;100,0,IF('Input Parameters'!$B$28=A15,0,A15+1))</f>
        <v>2015</v>
      </c>
      <c r="B16" s="5"/>
      <c r="C16" s="5">
        <f>IF(D15=0,0,$D$8/'Input Parameters'!$B$46)</f>
        <v>370000</v>
      </c>
      <c r="D16" s="5">
        <f t="shared" si="1"/>
        <v>740000</v>
      </c>
      <c r="E16" s="5">
        <f>D15*'Input Parameters'!$B$44</f>
        <v>166500</v>
      </c>
      <c r="F16" s="5">
        <f>IF(I15+F15=$B$8,0,$B$8/'Input Parameters'!$B$43)</f>
        <v>370000</v>
      </c>
      <c r="I16">
        <f t="shared" si="0"/>
        <v>2590000</v>
      </c>
    </row>
    <row r="17" spans="1:9" ht="12.75">
      <c r="A17">
        <f>IF(A16&lt;100,0,IF('Input Parameters'!$B$28=A16,0,A16+1))</f>
        <v>2016</v>
      </c>
      <c r="B17" s="5"/>
      <c r="C17" s="5">
        <f>IF(D16=0,0,$D$8/'Input Parameters'!$B$46)</f>
        <v>370000</v>
      </c>
      <c r="D17" s="5">
        <f t="shared" si="1"/>
        <v>370000</v>
      </c>
      <c r="E17" s="5">
        <f>D16*'Input Parameters'!$B$44</f>
        <v>111000</v>
      </c>
      <c r="F17" s="5">
        <f>IF(I16+F16=$B$8,0,$B$8/'Input Parameters'!$B$43)</f>
        <v>370000</v>
      </c>
      <c r="I17">
        <f t="shared" si="0"/>
        <v>2960000</v>
      </c>
    </row>
    <row r="18" spans="1:9" ht="12.75">
      <c r="A18">
        <f>IF(A17&lt;100,0,IF('Input Parameters'!$B$28=A17,0,A17+1))</f>
        <v>2017</v>
      </c>
      <c r="B18" s="5"/>
      <c r="C18" s="5">
        <f>IF(D17=0,0,$D$8/'Input Parameters'!$B$46)</f>
        <v>370000</v>
      </c>
      <c r="D18" s="5">
        <f t="shared" si="1"/>
        <v>0</v>
      </c>
      <c r="E18" s="5">
        <f>D17*'Input Parameters'!$B$44</f>
        <v>55500</v>
      </c>
      <c r="F18" s="5">
        <f>IF(I17+F17=$B$8,0,$B$8/'Input Parameters'!$B$43)</f>
        <v>370000</v>
      </c>
      <c r="I18">
        <f t="shared" si="0"/>
        <v>3330000</v>
      </c>
    </row>
    <row r="19" spans="1:9" ht="12.75">
      <c r="A19">
        <f>IF(A18&lt;100,0,IF('Input Parameters'!$B$28=A18,0,A18+1))</f>
        <v>0</v>
      </c>
      <c r="B19" s="5"/>
      <c r="C19" s="5">
        <f>IF(D18=0,0,$D$8/'Input Parameters'!$B$46)</f>
        <v>0</v>
      </c>
      <c r="D19" s="5">
        <f t="shared" si="1"/>
        <v>0</v>
      </c>
      <c r="E19" s="5">
        <f>D18*'Input Parameters'!$B$44</f>
        <v>0</v>
      </c>
      <c r="F19" s="5">
        <f>IF(I18+F18=$B$8,0,$B$8/'Input Parameters'!$B$43)</f>
        <v>0</v>
      </c>
      <c r="I19">
        <f t="shared" si="0"/>
        <v>3700000</v>
      </c>
    </row>
    <row r="20" spans="1:9" ht="12.75">
      <c r="A20">
        <f>IF(A19&lt;100,0,IF('Input Parameters'!$B$28=A19,0,A19+1))</f>
        <v>0</v>
      </c>
      <c r="B20" s="5"/>
      <c r="C20" s="5">
        <f>IF(D19=0,0,$D$8/'Input Parameters'!$B$46)</f>
        <v>0</v>
      </c>
      <c r="D20" s="5">
        <f t="shared" si="1"/>
        <v>0</v>
      </c>
      <c r="E20" s="5">
        <f>D19*'Input Parameters'!$B$44</f>
        <v>0</v>
      </c>
      <c r="F20" s="5">
        <f>IF(I19+F19=$B$8,0,$B$8/'Input Parameters'!$B$43)</f>
        <v>0</v>
      </c>
      <c r="I20">
        <f t="shared" si="0"/>
        <v>3700000</v>
      </c>
    </row>
    <row r="21" spans="1:9" ht="12.75">
      <c r="A21">
        <f>IF(A20&lt;100,0,IF('Input Parameters'!$B$28=A20,0,A20+1))</f>
        <v>0</v>
      </c>
      <c r="B21" s="5"/>
      <c r="C21" s="5">
        <f>IF(D20=0,0,$D$8/'Input Parameters'!$B$46)</f>
        <v>0</v>
      </c>
      <c r="D21" s="5">
        <f t="shared" si="1"/>
        <v>0</v>
      </c>
      <c r="E21" s="5">
        <f>D20*'Input Parameters'!$B$44</f>
        <v>0</v>
      </c>
      <c r="F21" s="5">
        <f>IF(I20+F20=$B$8,0,$B$8/'Input Parameters'!$B$43)</f>
        <v>0</v>
      </c>
      <c r="I21">
        <f t="shared" si="0"/>
        <v>3700000</v>
      </c>
    </row>
    <row r="22" spans="1:9" ht="12.75">
      <c r="A22">
        <f>IF(A21&lt;100,0,IF('Input Parameters'!$B$28=A21,0,A21+1))</f>
        <v>0</v>
      </c>
      <c r="B22" s="5"/>
      <c r="C22" s="5">
        <f>IF(D21=0,0,$D$8/'Input Parameters'!$B$46)</f>
        <v>0</v>
      </c>
      <c r="D22" s="5">
        <f t="shared" si="1"/>
        <v>0</v>
      </c>
      <c r="E22" s="5">
        <f>D21*'Input Parameters'!$B$44</f>
        <v>0</v>
      </c>
      <c r="F22" s="5">
        <f>IF(I21+F21=$B$8,0,$B$8/'Input Parameters'!$B$43)</f>
        <v>0</v>
      </c>
      <c r="I22">
        <f t="shared" si="0"/>
        <v>3700000</v>
      </c>
    </row>
    <row r="23" spans="1:9" ht="12.75">
      <c r="A23">
        <f>IF(A22&lt;100,0,IF('Input Parameters'!$B$28=A22,0,A22+1))</f>
        <v>0</v>
      </c>
      <c r="B23" s="5"/>
      <c r="C23" s="5">
        <f>IF(D22=0,0,$D$8/'Input Parameters'!$B$46)</f>
        <v>0</v>
      </c>
      <c r="D23" s="5">
        <f t="shared" si="1"/>
        <v>0</v>
      </c>
      <c r="E23" s="5">
        <f>D22*'Input Parameters'!$B$44</f>
        <v>0</v>
      </c>
      <c r="F23" s="5">
        <f>IF(I22+F22=$B$8,0,$B$8/'Input Parameters'!$B$43)</f>
        <v>0</v>
      </c>
      <c r="I23">
        <f t="shared" si="0"/>
        <v>3700000</v>
      </c>
    </row>
    <row r="24" spans="1:9" ht="12.75">
      <c r="A24">
        <f>IF(A23&lt;100,0,IF('Input Parameters'!$B$28=A23,0,A23+1))</f>
        <v>0</v>
      </c>
      <c r="B24" s="5"/>
      <c r="C24" s="5">
        <f>IF(D23=0,0,$D$8/'Input Parameters'!$B$46)</f>
        <v>0</v>
      </c>
      <c r="D24" s="5">
        <f t="shared" si="1"/>
        <v>0</v>
      </c>
      <c r="E24" s="5">
        <f>D23*'Input Parameters'!$B$44</f>
        <v>0</v>
      </c>
      <c r="F24" s="5">
        <f>IF(I23+F23=$B$8,0,$B$8/'Input Parameters'!$B$43)</f>
        <v>0</v>
      </c>
      <c r="I24">
        <f t="shared" si="0"/>
        <v>3700000</v>
      </c>
    </row>
    <row r="25" spans="1:9" ht="12.75">
      <c r="A25">
        <f>IF(A24&lt;100,0,IF('Input Parameters'!$B$28=A24,0,A24+1))</f>
        <v>0</v>
      </c>
      <c r="B25" s="5"/>
      <c r="C25" s="5">
        <f>IF(D24=0,0,$D$8/'Input Parameters'!$B$46)</f>
        <v>0</v>
      </c>
      <c r="D25" s="5">
        <f t="shared" si="1"/>
        <v>0</v>
      </c>
      <c r="E25" s="5">
        <f>D24*'Input Parameters'!$B$44</f>
        <v>0</v>
      </c>
      <c r="F25" s="5">
        <f>IF(I24+F24=$B$8,0,$B$8/'Input Parameters'!$B$43)</f>
        <v>0</v>
      </c>
      <c r="I25">
        <f t="shared" si="0"/>
        <v>3700000</v>
      </c>
    </row>
    <row r="26" spans="1:9" ht="12.75">
      <c r="A26">
        <f>IF(A25&lt;100,0,IF('Input Parameters'!$B$28=A25,0,A25+1))</f>
        <v>0</v>
      </c>
      <c r="B26" s="5"/>
      <c r="C26" s="5">
        <f>IF(D25=0,0,$D$8/'Input Parameters'!$B$46)</f>
        <v>0</v>
      </c>
      <c r="D26" s="5">
        <f t="shared" si="1"/>
        <v>0</v>
      </c>
      <c r="E26" s="5">
        <f>D25*'Input Parameters'!$B$44</f>
        <v>0</v>
      </c>
      <c r="F26" s="5">
        <f>IF(I25+F25=$B$8,0,$B$8/'Input Parameters'!$B$43)</f>
        <v>0</v>
      </c>
      <c r="I26">
        <f t="shared" si="0"/>
        <v>3700000</v>
      </c>
    </row>
    <row r="27" spans="1:9" ht="12.75">
      <c r="A27">
        <f>IF(A26&lt;100,0,IF('Input Parameters'!$B$28=A26,0,A26+1))</f>
        <v>0</v>
      </c>
      <c r="B27" s="5"/>
      <c r="C27" s="5">
        <f>IF(D26=0,0,$D$8/'Input Parameters'!$B$46)</f>
        <v>0</v>
      </c>
      <c r="D27" s="5">
        <f t="shared" si="1"/>
        <v>0</v>
      </c>
      <c r="E27" s="5">
        <f>D26*'Input Parameters'!$B$44</f>
        <v>0</v>
      </c>
      <c r="F27" s="5">
        <f>IF(I26+F26=$B$8,0,$B$8/'Input Parameters'!$B$43)</f>
        <v>0</v>
      </c>
      <c r="I27">
        <f t="shared" si="0"/>
        <v>3700000</v>
      </c>
    </row>
    <row r="29" spans="3:5" ht="12.75">
      <c r="C29" s="5">
        <f>SUM(C9:C28)</f>
        <v>3700000</v>
      </c>
      <c r="D29" s="5"/>
      <c r="E29" s="5">
        <f>SUM(E9:E28)</f>
        <v>3052500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3:J29"/>
  <sheetViews>
    <sheetView workbookViewId="0" topLeftCell="A1">
      <selection activeCell="H19" sqref="H19"/>
    </sheetView>
  </sheetViews>
  <sheetFormatPr defaultColWidth="11.421875" defaultRowHeight="12.75"/>
  <cols>
    <col min="2" max="2" width="13.140625" style="0" bestFit="1" customWidth="1"/>
    <col min="3" max="3" width="9.7109375" style="0" customWidth="1"/>
    <col min="5" max="5" width="12.57421875" style="0" bestFit="1" customWidth="1"/>
    <col min="7" max="7" width="12.7109375" style="0" bestFit="1" customWidth="1"/>
    <col min="9" max="9" width="12.28125" style="0" bestFit="1" customWidth="1"/>
  </cols>
  <sheetData>
    <row r="3" spans="1:10" ht="12.75">
      <c r="A3" s="6" t="s">
        <v>10</v>
      </c>
      <c r="B3" s="36" t="s">
        <v>33</v>
      </c>
      <c r="C3" s="36" t="s">
        <v>34</v>
      </c>
      <c r="D3" s="36" t="s">
        <v>0</v>
      </c>
      <c r="E3" s="37" t="s">
        <v>26</v>
      </c>
      <c r="F3" s="36" t="s">
        <v>18</v>
      </c>
      <c r="G3" s="6" t="s">
        <v>27</v>
      </c>
      <c r="H3" s="6" t="s">
        <v>31</v>
      </c>
      <c r="I3" s="6" t="s">
        <v>36</v>
      </c>
      <c r="J3" s="6" t="s">
        <v>28</v>
      </c>
    </row>
    <row r="4" spans="1:10" ht="12.75">
      <c r="A4" s="6"/>
      <c r="B4" s="36"/>
      <c r="C4" s="36"/>
      <c r="D4" s="36"/>
      <c r="E4" s="37"/>
      <c r="F4" s="36"/>
      <c r="G4" s="6" t="s">
        <v>35</v>
      </c>
      <c r="H4" s="6" t="s">
        <v>32</v>
      </c>
      <c r="I4" s="6" t="s">
        <v>37</v>
      </c>
      <c r="J4" s="6" t="s">
        <v>29</v>
      </c>
    </row>
    <row r="5" spans="2:6" ht="12.75">
      <c r="B5" s="32"/>
      <c r="C5" s="32"/>
      <c r="D5" s="32"/>
      <c r="E5" s="34"/>
      <c r="F5" s="32"/>
    </row>
    <row r="6" spans="2:6" ht="12.75">
      <c r="B6" s="32"/>
      <c r="C6" s="32"/>
      <c r="D6" s="32"/>
      <c r="E6" s="34"/>
      <c r="F6" s="32"/>
    </row>
    <row r="7" spans="2:6" ht="12.75">
      <c r="B7" s="32"/>
      <c r="C7" s="32"/>
      <c r="D7" s="32"/>
      <c r="E7" s="34"/>
      <c r="F7" s="32"/>
    </row>
    <row r="8" spans="1:10" ht="12.75">
      <c r="A8">
        <f>'Input Parameters'!$B$26</f>
        <v>2007</v>
      </c>
      <c r="B8" s="33">
        <f>Cashflow1!G5+Cashflow1!H5+Cashflow1!I5+Cashflow1!J5</f>
        <v>10000</v>
      </c>
      <c r="C8" s="33">
        <f>Cashflow1!C5</f>
        <v>25000</v>
      </c>
      <c r="D8" s="33">
        <f>Cashflow1!B5</f>
        <v>3700000</v>
      </c>
      <c r="E8" s="35">
        <f>Financing!F8</f>
        <v>0</v>
      </c>
      <c r="F8" s="33">
        <f>Cashflow1!D5</f>
        <v>0</v>
      </c>
      <c r="G8" s="5">
        <f>B8-C8-E8-F8</f>
        <v>-15000</v>
      </c>
      <c r="H8" s="5">
        <f>IF(G8&lt;0,G8,0)</f>
        <v>-15000</v>
      </c>
      <c r="I8" s="5">
        <f aca="true" t="shared" si="0" ref="I8:I18">IF(G8&gt;0,IF(G8+H7&gt;0,G8+H7,0),G8)</f>
        <v>-15000</v>
      </c>
      <c r="J8" s="5">
        <f>IF(I8&gt;0,I8*'Input Parameters'!$B$47,0)</f>
        <v>0</v>
      </c>
    </row>
    <row r="9" spans="1:10" ht="12.75">
      <c r="A9">
        <f>IF(A8&lt;100,0,IF('Input Parameters'!$B$28=A8,0,A8+1))</f>
        <v>2008</v>
      </c>
      <c r="B9" s="33">
        <f>Cashflow1!G6+Cashflow1!H6+Cashflow1!I6+Cashflow1!J6</f>
        <v>668886.0000000001</v>
      </c>
      <c r="C9" s="33">
        <f>Cashflow1!C6</f>
        <v>598550.8500000001</v>
      </c>
      <c r="D9" s="33">
        <f>Cashflow1!B6</f>
        <v>0</v>
      </c>
      <c r="E9" s="35">
        <f>Financing!F9</f>
        <v>370000</v>
      </c>
      <c r="F9" s="33">
        <f>Cashflow1!D6</f>
        <v>555000</v>
      </c>
      <c r="G9" s="5">
        <f>B9-C9-E9-F9</f>
        <v>-854664.85</v>
      </c>
      <c r="H9" s="5">
        <f>IF(H8&lt;=0,IF(G9+H8&lt;0,G9+H8,0),0)</f>
        <v>-869664.85</v>
      </c>
      <c r="I9" s="5">
        <f t="shared" si="0"/>
        <v>-854664.85</v>
      </c>
      <c r="J9" s="5">
        <f>IF(I9&gt;0,I9*'Input Parameters'!$B$47,0)</f>
        <v>0</v>
      </c>
    </row>
    <row r="10" spans="1:10" ht="12.75">
      <c r="A10">
        <f>IF(A9&lt;100,0,IF('Input Parameters'!$B$28=A9,0,A9+1))</f>
        <v>2009</v>
      </c>
      <c r="B10" s="33">
        <f>Cashflow1!G7+Cashflow1!H7+Cashflow1!I7+Cashflow1!J7</f>
        <v>1133679.8520000002</v>
      </c>
      <c r="C10" s="33">
        <f>Cashflow1!C7</f>
        <v>664391.4435</v>
      </c>
      <c r="D10" s="33">
        <f>Cashflow1!B7</f>
        <v>0</v>
      </c>
      <c r="E10" s="35">
        <f>Financing!F10</f>
        <v>370000</v>
      </c>
      <c r="F10" s="33">
        <f>Cashflow1!D7</f>
        <v>499500</v>
      </c>
      <c r="G10" s="5">
        <f aca="true" t="shared" si="1" ref="G10:G18">B10-C10-E10-F10</f>
        <v>-400211.59149999986</v>
      </c>
      <c r="H10" s="5">
        <f aca="true" t="shared" si="2" ref="H10:H18">IF(H9&lt;=0,IF(G10+H9&lt;0,G10+H9,0),0)</f>
        <v>-1269876.4414999997</v>
      </c>
      <c r="I10" s="5">
        <f t="shared" si="0"/>
        <v>-400211.59149999986</v>
      </c>
      <c r="J10" s="5">
        <f>IF(I10&gt;0,I10*'Input Parameters'!$B$47,0)</f>
        <v>0</v>
      </c>
    </row>
    <row r="11" spans="1:10" ht="12.75">
      <c r="A11">
        <f>IF(A10&lt;100,0,IF('Input Parameters'!$B$28=A10,0,A10+1))</f>
        <v>2010</v>
      </c>
      <c r="B11" s="33">
        <f>Cashflow1!G8+Cashflow1!H8+Cashflow1!I8+Cashflow1!J8</f>
        <v>1258384.6357200004</v>
      </c>
      <c r="C11" s="33">
        <f>Cashflow1!C8</f>
        <v>737474.5022850002</v>
      </c>
      <c r="D11" s="33">
        <f>Cashflow1!B8</f>
        <v>0</v>
      </c>
      <c r="E11" s="35">
        <f>Financing!F11</f>
        <v>370000</v>
      </c>
      <c r="F11" s="33">
        <f>Cashflow1!D8</f>
        <v>444000</v>
      </c>
      <c r="G11" s="5">
        <f t="shared" si="1"/>
        <v>-293089.8665649998</v>
      </c>
      <c r="H11" s="5">
        <f t="shared" si="2"/>
        <v>-1562966.3080649995</v>
      </c>
      <c r="I11" s="5">
        <f t="shared" si="0"/>
        <v>-293089.8665649998</v>
      </c>
      <c r="J11" s="5">
        <f>IF(I11&gt;0,I11*'Input Parameters'!$B$47,0)</f>
        <v>0</v>
      </c>
    </row>
    <row r="12" spans="1:10" ht="12.75">
      <c r="A12">
        <f>IF(A11&lt;100,0,IF('Input Parameters'!$B$28=A11,0,A11+1))</f>
        <v>2011</v>
      </c>
      <c r="B12" s="33">
        <f>Cashflow1!G9+Cashflow1!H9+Cashflow1!I9+Cashflow1!J9</f>
        <v>1396806.9456492006</v>
      </c>
      <c r="C12" s="33">
        <f>Cashflow1!C9</f>
        <v>818596.6975363502</v>
      </c>
      <c r="D12" s="33">
        <f>Cashflow1!B9</f>
        <v>0</v>
      </c>
      <c r="E12" s="35">
        <f>Financing!F12</f>
        <v>370000</v>
      </c>
      <c r="F12" s="33">
        <f>Cashflow1!D9</f>
        <v>388500</v>
      </c>
      <c r="G12" s="5">
        <f t="shared" si="1"/>
        <v>-180289.75188714964</v>
      </c>
      <c r="H12" s="5">
        <f t="shared" si="2"/>
        <v>-1743256.0599521492</v>
      </c>
      <c r="I12" s="5">
        <f t="shared" si="0"/>
        <v>-180289.75188714964</v>
      </c>
      <c r="J12" s="5">
        <f>IF(I12&gt;0,I12*'Input Parameters'!$B$47,0)</f>
        <v>0</v>
      </c>
    </row>
    <row r="13" spans="1:10" ht="12.75">
      <c r="A13">
        <f>IF(A12&lt;100,0,IF('Input Parameters'!$B$28=A12,0,A12+1))</f>
        <v>2012</v>
      </c>
      <c r="B13" s="33">
        <f>Cashflow1!G10+Cashflow1!H10+Cashflow1!I10+Cashflow1!J10</f>
        <v>1550455.7096706126</v>
      </c>
      <c r="C13" s="33">
        <f>Cashflow1!C10</f>
        <v>908642.3342653489</v>
      </c>
      <c r="D13" s="33">
        <f>Cashflow1!B10</f>
        <v>0</v>
      </c>
      <c r="E13" s="35">
        <f>Financing!F13</f>
        <v>370000</v>
      </c>
      <c r="F13" s="33">
        <f>Cashflow1!D10</f>
        <v>333000</v>
      </c>
      <c r="G13" s="5">
        <f t="shared" si="1"/>
        <v>-61186.62459473626</v>
      </c>
      <c r="H13" s="5">
        <f t="shared" si="2"/>
        <v>-1804442.6845468855</v>
      </c>
      <c r="I13" s="5">
        <f t="shared" si="0"/>
        <v>-61186.62459473626</v>
      </c>
      <c r="J13" s="5">
        <f>IF(I13&gt;0,I13*'Input Parameters'!$B$47,0)</f>
        <v>0</v>
      </c>
    </row>
    <row r="14" spans="1:10" ht="12.75">
      <c r="A14">
        <f>IF(A13&lt;100,0,IF('Input Parameters'!$B$28=A13,0,A13+1))</f>
        <v>2013</v>
      </c>
      <c r="B14" s="33">
        <f>Cashflow1!G11+Cashflow1!H11+Cashflow1!I11+Cashflow1!J11</f>
        <v>1721005.8377343803</v>
      </c>
      <c r="C14" s="33">
        <f>Cashflow1!C11</f>
        <v>1008592.9910345372</v>
      </c>
      <c r="D14" s="33">
        <f>Cashflow1!B11</f>
        <v>0</v>
      </c>
      <c r="E14" s="35">
        <f>Financing!F14</f>
        <v>370000</v>
      </c>
      <c r="F14" s="33">
        <f>Cashflow1!D11</f>
        <v>277500</v>
      </c>
      <c r="G14" s="5">
        <f t="shared" si="1"/>
        <v>64912.84669984307</v>
      </c>
      <c r="H14" s="5">
        <f t="shared" si="2"/>
        <v>-1739529.8378470424</v>
      </c>
      <c r="I14" s="5">
        <f t="shared" si="0"/>
        <v>0</v>
      </c>
      <c r="J14" s="5">
        <f>IF(I14&gt;0,I14*'Input Parameters'!$B$47,0)</f>
        <v>0</v>
      </c>
    </row>
    <row r="15" spans="1:10" ht="12.75">
      <c r="A15">
        <f>IF(A14&lt;100,0,IF('Input Parameters'!$B$28=A14,0,A14+1))</f>
        <v>2014</v>
      </c>
      <c r="B15" s="33">
        <f>Cashflow1!G12+Cashflow1!H12+Cashflow1!I12+Cashflow1!J12</f>
        <v>1910316.4798851619</v>
      </c>
      <c r="C15" s="33">
        <f>Cashflow1!C12</f>
        <v>1119538.2200483363</v>
      </c>
      <c r="D15" s="33">
        <f>Cashflow1!B12</f>
        <v>0</v>
      </c>
      <c r="E15" s="35">
        <f>Financing!F15</f>
        <v>370000</v>
      </c>
      <c r="F15" s="33">
        <f>Cashflow1!D12</f>
        <v>222000</v>
      </c>
      <c r="G15" s="5">
        <f t="shared" si="1"/>
        <v>198778.25983682554</v>
      </c>
      <c r="H15" s="5">
        <f t="shared" si="2"/>
        <v>-1540751.5780102168</v>
      </c>
      <c r="I15" s="5">
        <f t="shared" si="0"/>
        <v>0</v>
      </c>
      <c r="J15" s="5">
        <f>IF(I15&gt;0,I15*'Input Parameters'!$B$47,0)</f>
        <v>0</v>
      </c>
    </row>
    <row r="16" spans="1:10" ht="12.75">
      <c r="A16">
        <f>IF(A15&lt;100,0,IF('Input Parameters'!$B$28=A15,0,A15+1))</f>
        <v>2015</v>
      </c>
      <c r="B16" s="33">
        <f>Cashflow1!G13+Cashflow1!H13+Cashflow1!I13+Cashflow1!J13</f>
        <v>2120451.2926725303</v>
      </c>
      <c r="C16" s="33">
        <f>Cashflow1!C13</f>
        <v>1242687.4242536535</v>
      </c>
      <c r="D16" s="33">
        <f>Cashflow1!B13</f>
        <v>0</v>
      </c>
      <c r="E16" s="35">
        <f>Financing!F16</f>
        <v>370000</v>
      </c>
      <c r="F16" s="33">
        <f>Cashflow1!D13</f>
        <v>166500</v>
      </c>
      <c r="G16" s="5">
        <f t="shared" si="1"/>
        <v>341263.8684188768</v>
      </c>
      <c r="H16" s="5">
        <f t="shared" si="2"/>
        <v>-1199487.70959134</v>
      </c>
      <c r="I16" s="5">
        <f t="shared" si="0"/>
        <v>0</v>
      </c>
      <c r="J16" s="5">
        <f>IF(I16&gt;0,I16*'Input Parameters'!$B$47,0)</f>
        <v>0</v>
      </c>
    </row>
    <row r="17" spans="1:10" ht="12.75">
      <c r="A17">
        <f>IF(A16&lt;100,0,IF('Input Parameters'!$B$28=A16,0,A16+1))</f>
        <v>2016</v>
      </c>
      <c r="B17" s="33">
        <f>Cashflow1!G14+Cashflow1!H14+Cashflow1!I14+Cashflow1!J14</f>
        <v>2353700.934866509</v>
      </c>
      <c r="C17" s="33">
        <f>Cashflow1!C14</f>
        <v>1379383.0409215556</v>
      </c>
      <c r="D17" s="33">
        <f>Cashflow1!B14</f>
        <v>0</v>
      </c>
      <c r="E17" s="35">
        <f>Financing!F17</f>
        <v>370000</v>
      </c>
      <c r="F17" s="33">
        <f>Cashflow1!D14</f>
        <v>111000</v>
      </c>
      <c r="G17" s="5">
        <f t="shared" si="1"/>
        <v>493317.89394495334</v>
      </c>
      <c r="H17" s="5">
        <f t="shared" si="2"/>
        <v>-706169.8156463867</v>
      </c>
      <c r="I17" s="5">
        <f t="shared" si="0"/>
        <v>0</v>
      </c>
      <c r="J17" s="5">
        <f>IF(I17&gt;0,I17*'Input Parameters'!$B$47,0)</f>
        <v>0</v>
      </c>
    </row>
    <row r="18" spans="1:10" ht="12.75">
      <c r="A18">
        <f>IF(A17&lt;100,0,IF('Input Parameters'!$B$28=A17,0,A17+1))</f>
        <v>2017</v>
      </c>
      <c r="B18" s="33">
        <f>Cashflow1!G15+Cashflow1!H15+Cashflow1!I15+Cashflow1!J15</f>
        <v>2612608.037701825</v>
      </c>
      <c r="C18" s="33">
        <f>Cashflow1!C15</f>
        <v>1531115.175422927</v>
      </c>
      <c r="D18" s="33">
        <f>Cashflow1!B15</f>
        <v>0</v>
      </c>
      <c r="E18" s="35">
        <f>Financing!F18</f>
        <v>370000</v>
      </c>
      <c r="F18" s="33">
        <f>Cashflow1!D15</f>
        <v>55500</v>
      </c>
      <c r="G18" s="5">
        <f t="shared" si="1"/>
        <v>655992.8622788982</v>
      </c>
      <c r="H18" s="5">
        <f t="shared" si="2"/>
        <v>-50176.95336748846</v>
      </c>
      <c r="I18" s="5">
        <f t="shared" si="0"/>
        <v>0</v>
      </c>
      <c r="J18" s="5">
        <f>IF(I18&gt;0,I18*'Input Parameters'!$B$47,0)</f>
        <v>0</v>
      </c>
    </row>
    <row r="19" spans="1:10" ht="12.75">
      <c r="A19">
        <f>IF(A18&lt;100,0,IF('Input Parameters'!$B$28=A18,0,A18+1))</f>
        <v>0</v>
      </c>
      <c r="B19" s="33">
        <f>Cashflow1!G16+Cashflow1!H16+Cashflow1!I16+Cashflow1!J16</f>
        <v>0</v>
      </c>
      <c r="C19" s="33">
        <f>Cashflow1!C16</f>
        <v>0</v>
      </c>
      <c r="D19" s="33">
        <f>Cashflow1!B16</f>
        <v>0</v>
      </c>
      <c r="E19" s="35">
        <f>Financing!F19</f>
        <v>0</v>
      </c>
      <c r="F19" s="33">
        <f>Cashflow1!D16</f>
        <v>0</v>
      </c>
      <c r="G19" s="5">
        <f aca="true" t="shared" si="3" ref="G19:G27">B19-C19-E19-F19</f>
        <v>0</v>
      </c>
      <c r="H19" s="5">
        <f aca="true" t="shared" si="4" ref="H19:H27">IF(H18&lt;=0,IF(G19+H18&lt;0,G19+H18,0),0)</f>
        <v>-50176.95336748846</v>
      </c>
      <c r="I19" s="5">
        <f aca="true" t="shared" si="5" ref="I19:I27">IF(G19&gt;0,IF(G19+H18&gt;0,G19+H18,0),G19)</f>
        <v>0</v>
      </c>
      <c r="J19" s="5">
        <f>IF(I19&gt;0,I19*'Input Parameters'!$B$47,0)</f>
        <v>0</v>
      </c>
    </row>
    <row r="20" spans="1:10" ht="12.75">
      <c r="A20">
        <f>IF(A19&lt;100,0,IF('Input Parameters'!$B$28=A19,0,A19+1))</f>
        <v>0</v>
      </c>
      <c r="B20" s="33">
        <f>Cashflow1!G17+Cashflow1!H17+Cashflow1!I17+Cashflow1!J17</f>
        <v>0</v>
      </c>
      <c r="C20" s="33">
        <f>Cashflow1!C17</f>
        <v>0</v>
      </c>
      <c r="D20" s="33">
        <f>Cashflow1!B17</f>
        <v>0</v>
      </c>
      <c r="E20" s="35">
        <f>Financing!F20</f>
        <v>0</v>
      </c>
      <c r="F20" s="33">
        <f>Cashflow1!D17</f>
        <v>0</v>
      </c>
      <c r="G20" s="5">
        <f t="shared" si="3"/>
        <v>0</v>
      </c>
      <c r="H20" s="5">
        <f t="shared" si="4"/>
        <v>-50176.95336748846</v>
      </c>
      <c r="I20" s="5">
        <f t="shared" si="5"/>
        <v>0</v>
      </c>
      <c r="J20" s="5">
        <f>IF(I20&gt;0,I20*'Input Parameters'!$B$47,0)</f>
        <v>0</v>
      </c>
    </row>
    <row r="21" spans="1:10" ht="12.75">
      <c r="A21">
        <f>IF(A20&lt;100,0,IF('Input Parameters'!$B$28=A20,0,A20+1))</f>
        <v>0</v>
      </c>
      <c r="B21" s="33">
        <f>Cashflow1!G18+Cashflow1!H18+Cashflow1!I18+Cashflow1!J18</f>
        <v>0</v>
      </c>
      <c r="C21" s="33">
        <f>Cashflow1!C18</f>
        <v>0</v>
      </c>
      <c r="D21" s="33">
        <f>Cashflow1!B18</f>
        <v>0</v>
      </c>
      <c r="E21" s="35">
        <f>Financing!F21</f>
        <v>0</v>
      </c>
      <c r="F21" s="33">
        <f>Cashflow1!D18</f>
        <v>0</v>
      </c>
      <c r="G21" s="5">
        <f t="shared" si="3"/>
        <v>0</v>
      </c>
      <c r="H21" s="5">
        <f t="shared" si="4"/>
        <v>-50176.95336748846</v>
      </c>
      <c r="I21" s="5">
        <f t="shared" si="5"/>
        <v>0</v>
      </c>
      <c r="J21" s="5">
        <f>IF(I21&gt;0,I21*'Input Parameters'!$B$47,0)</f>
        <v>0</v>
      </c>
    </row>
    <row r="22" spans="1:10" ht="12.75">
      <c r="A22">
        <f>IF(A21&lt;100,0,IF('Input Parameters'!$B$28=A21,0,A21+1))</f>
        <v>0</v>
      </c>
      <c r="B22" s="33">
        <f>Cashflow1!G19+Cashflow1!H19+Cashflow1!I19+Cashflow1!J19</f>
        <v>0</v>
      </c>
      <c r="C22" s="33">
        <f>Cashflow1!C19</f>
        <v>0</v>
      </c>
      <c r="D22" s="33">
        <f>Cashflow1!B19</f>
        <v>0</v>
      </c>
      <c r="E22" s="35">
        <f>Financing!F22</f>
        <v>0</v>
      </c>
      <c r="F22" s="33">
        <f>Cashflow1!D19</f>
        <v>0</v>
      </c>
      <c r="G22" s="5">
        <f t="shared" si="3"/>
        <v>0</v>
      </c>
      <c r="H22" s="5">
        <f t="shared" si="4"/>
        <v>-50176.95336748846</v>
      </c>
      <c r="I22" s="5">
        <f t="shared" si="5"/>
        <v>0</v>
      </c>
      <c r="J22" s="5">
        <f>IF(I22&gt;0,I22*'Input Parameters'!$B$47,0)</f>
        <v>0</v>
      </c>
    </row>
    <row r="23" spans="1:10" ht="12.75">
      <c r="A23">
        <f>IF(A22&lt;100,0,IF('Input Parameters'!$B$28=A22,0,A22+1))</f>
        <v>0</v>
      </c>
      <c r="B23" s="33">
        <f>Cashflow1!G20+Cashflow1!H20+Cashflow1!I20+Cashflow1!J20</f>
        <v>0</v>
      </c>
      <c r="C23" s="33">
        <f>Cashflow1!C20</f>
        <v>0</v>
      </c>
      <c r="D23" s="33">
        <f>Cashflow1!B20</f>
        <v>0</v>
      </c>
      <c r="E23" s="35">
        <f>Financing!F23</f>
        <v>0</v>
      </c>
      <c r="F23" s="33">
        <f>Cashflow1!D20</f>
        <v>0</v>
      </c>
      <c r="G23" s="5">
        <f t="shared" si="3"/>
        <v>0</v>
      </c>
      <c r="H23" s="5">
        <f t="shared" si="4"/>
        <v>-50176.95336748846</v>
      </c>
      <c r="I23" s="5">
        <f t="shared" si="5"/>
        <v>0</v>
      </c>
      <c r="J23" s="5">
        <f>IF(I23&gt;0,I23*'Input Parameters'!$B$47,0)</f>
        <v>0</v>
      </c>
    </row>
    <row r="24" spans="1:10" ht="12.75">
      <c r="A24">
        <f>IF(A23&lt;100,0,IF('Input Parameters'!$B$28=A23,0,A23+1))</f>
        <v>0</v>
      </c>
      <c r="B24" s="33">
        <f>Cashflow1!G21+Cashflow1!H21+Cashflow1!I21+Cashflow1!J21</f>
        <v>0</v>
      </c>
      <c r="C24" s="33">
        <f>Cashflow1!C21</f>
        <v>0</v>
      </c>
      <c r="D24" s="33">
        <f>Cashflow1!B21</f>
        <v>0</v>
      </c>
      <c r="E24" s="35">
        <f>Financing!F24</f>
        <v>0</v>
      </c>
      <c r="F24" s="33">
        <f>Cashflow1!D21</f>
        <v>0</v>
      </c>
      <c r="G24" s="5">
        <f t="shared" si="3"/>
        <v>0</v>
      </c>
      <c r="H24" s="5">
        <f t="shared" si="4"/>
        <v>-50176.95336748846</v>
      </c>
      <c r="I24" s="5">
        <f t="shared" si="5"/>
        <v>0</v>
      </c>
      <c r="J24" s="5">
        <f>IF(I24&gt;0,I24*'Input Parameters'!$B$47,0)</f>
        <v>0</v>
      </c>
    </row>
    <row r="25" spans="1:10" ht="12.75">
      <c r="A25">
        <f>IF(A24&lt;100,0,IF('Input Parameters'!$B$28=A24,0,A24+1))</f>
        <v>0</v>
      </c>
      <c r="B25" s="33">
        <f>Cashflow1!G22+Cashflow1!H22+Cashflow1!I22+Cashflow1!J22</f>
        <v>0</v>
      </c>
      <c r="C25" s="33">
        <f>Cashflow1!C22</f>
        <v>0</v>
      </c>
      <c r="D25" s="33">
        <f>Cashflow1!B22</f>
        <v>0</v>
      </c>
      <c r="E25" s="35">
        <f>Financing!F25</f>
        <v>0</v>
      </c>
      <c r="F25" s="33">
        <f>Cashflow1!D22</f>
        <v>0</v>
      </c>
      <c r="G25" s="5">
        <f t="shared" si="3"/>
        <v>0</v>
      </c>
      <c r="H25" s="5">
        <f t="shared" si="4"/>
        <v>-50176.95336748846</v>
      </c>
      <c r="I25" s="5">
        <f t="shared" si="5"/>
        <v>0</v>
      </c>
      <c r="J25" s="5">
        <f>IF(I25&gt;0,I25*'Input Parameters'!$B$47,0)</f>
        <v>0</v>
      </c>
    </row>
    <row r="26" spans="1:10" ht="12.75">
      <c r="A26">
        <f>IF(A25&lt;100,0,IF('Input Parameters'!$B$28=A25,0,A25+1))</f>
        <v>0</v>
      </c>
      <c r="B26" s="33">
        <f>Cashflow1!G23+Cashflow1!H23+Cashflow1!I23+Cashflow1!J23</f>
        <v>0</v>
      </c>
      <c r="C26" s="33">
        <f>Cashflow1!C23</f>
        <v>0</v>
      </c>
      <c r="D26" s="33">
        <f>Cashflow1!B23</f>
        <v>0</v>
      </c>
      <c r="E26" s="35">
        <f>Financing!F26</f>
        <v>0</v>
      </c>
      <c r="F26" s="33">
        <f>Cashflow1!D23</f>
        <v>0</v>
      </c>
      <c r="G26" s="5">
        <f t="shared" si="3"/>
        <v>0</v>
      </c>
      <c r="H26" s="5">
        <f t="shared" si="4"/>
        <v>-50176.95336748846</v>
      </c>
      <c r="I26" s="5">
        <f t="shared" si="5"/>
        <v>0</v>
      </c>
      <c r="J26" s="5">
        <f>IF(I26&gt;0,I26*'Input Parameters'!$B$47,0)</f>
        <v>0</v>
      </c>
    </row>
    <row r="27" spans="1:10" ht="12.75">
      <c r="A27">
        <f>IF(A26&lt;100,0,IF('Input Parameters'!$B$28=A26,0,A26+1))</f>
        <v>0</v>
      </c>
      <c r="B27" s="33">
        <f>Cashflow1!G24+Cashflow1!H24+Cashflow1!I24+Cashflow1!J24</f>
        <v>0</v>
      </c>
      <c r="C27" s="33">
        <f>Cashflow1!C24</f>
        <v>0</v>
      </c>
      <c r="D27" s="33">
        <f>Cashflow1!B24</f>
        <v>0</v>
      </c>
      <c r="E27" s="35">
        <f>Financing!F27</f>
        <v>0</v>
      </c>
      <c r="F27" s="33">
        <f>Cashflow1!D24</f>
        <v>0</v>
      </c>
      <c r="G27" s="5">
        <f t="shared" si="3"/>
        <v>0</v>
      </c>
      <c r="H27" s="5">
        <f t="shared" si="4"/>
        <v>-50176.95336748846</v>
      </c>
      <c r="I27" s="5">
        <f t="shared" si="5"/>
        <v>0</v>
      </c>
      <c r="J27" s="5">
        <f>IF(I27&gt;0,I27*'Input Parameters'!$B$47,0)</f>
        <v>0</v>
      </c>
    </row>
    <row r="29" ht="12.75">
      <c r="J29" s="12">
        <f>SUM(J8:J27)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2:M303"/>
  <sheetViews>
    <sheetView workbookViewId="0" topLeftCell="A1">
      <selection activeCell="B15" sqref="B15:D23"/>
    </sheetView>
  </sheetViews>
  <sheetFormatPr defaultColWidth="11.421875" defaultRowHeight="12.75"/>
  <sheetData>
    <row r="2" spans="2:13" ht="12.75">
      <c r="B2" t="s">
        <v>51</v>
      </c>
      <c r="C2" t="s">
        <v>34</v>
      </c>
      <c r="D2" t="s">
        <v>52</v>
      </c>
      <c r="E2" t="s">
        <v>51</v>
      </c>
      <c r="F2" t="s">
        <v>34</v>
      </c>
      <c r="G2" t="s">
        <v>52</v>
      </c>
      <c r="K2" t="s">
        <v>62</v>
      </c>
      <c r="L2" t="s">
        <v>63</v>
      </c>
      <c r="M2" t="s">
        <v>64</v>
      </c>
    </row>
    <row r="3" spans="1:13" ht="12.75">
      <c r="A3">
        <v>-20</v>
      </c>
      <c r="B3">
        <v>12.43</v>
      </c>
      <c r="C3">
        <v>10.42</v>
      </c>
      <c r="D3">
        <v>3.18</v>
      </c>
      <c r="E3">
        <v>21.65</v>
      </c>
      <c r="F3">
        <v>18.06</v>
      </c>
      <c r="G3">
        <v>10.62</v>
      </c>
      <c r="J3">
        <v>-20</v>
      </c>
      <c r="K3">
        <f aca="true" t="shared" si="0" ref="K3:K11">E3-B3</f>
        <v>9.219999999999999</v>
      </c>
      <c r="L3">
        <f aca="true" t="shared" si="1" ref="L3:L11">F3-C3</f>
        <v>7.639999999999999</v>
      </c>
      <c r="M3">
        <f aca="true" t="shared" si="2" ref="M3:M11">G3-D3</f>
        <v>7.4399999999999995</v>
      </c>
    </row>
    <row r="4" spans="1:13" ht="12.75">
      <c r="A4">
        <v>-15</v>
      </c>
      <c r="B4">
        <v>11.01</v>
      </c>
      <c r="C4">
        <v>9.7</v>
      </c>
      <c r="D4">
        <v>4.29</v>
      </c>
      <c r="E4">
        <v>19.88</v>
      </c>
      <c r="F4">
        <v>17.44</v>
      </c>
      <c r="G4">
        <v>11.9</v>
      </c>
      <c r="J4">
        <v>-15</v>
      </c>
      <c r="K4">
        <f t="shared" si="0"/>
        <v>8.87</v>
      </c>
      <c r="L4">
        <f t="shared" si="1"/>
        <v>7.740000000000002</v>
      </c>
      <c r="M4">
        <f t="shared" si="2"/>
        <v>7.61</v>
      </c>
    </row>
    <row r="5" spans="1:13" ht="12.75">
      <c r="A5">
        <v>-10</v>
      </c>
      <c r="B5">
        <v>9.72</v>
      </c>
      <c r="C5">
        <v>8.97</v>
      </c>
      <c r="D5">
        <v>5.37</v>
      </c>
      <c r="E5">
        <v>18.29</v>
      </c>
      <c r="F5">
        <v>16.81</v>
      </c>
      <c r="G5">
        <v>13.15</v>
      </c>
      <c r="J5">
        <v>-10</v>
      </c>
      <c r="K5">
        <f t="shared" si="0"/>
        <v>8.569999999999999</v>
      </c>
      <c r="L5">
        <f t="shared" si="1"/>
        <v>7.839999999999998</v>
      </c>
      <c r="M5">
        <f t="shared" si="2"/>
        <v>7.78</v>
      </c>
    </row>
    <row r="6" spans="1:13" ht="12.75">
      <c r="A6">
        <v>-5</v>
      </c>
      <c r="B6">
        <v>8.54</v>
      </c>
      <c r="C6">
        <v>8.22</v>
      </c>
      <c r="D6">
        <v>6.43</v>
      </c>
      <c r="E6">
        <v>16.85</v>
      </c>
      <c r="F6">
        <v>16.17</v>
      </c>
      <c r="G6">
        <v>14.36</v>
      </c>
      <c r="J6">
        <v>-5</v>
      </c>
      <c r="K6">
        <f t="shared" si="0"/>
        <v>8.310000000000002</v>
      </c>
      <c r="L6">
        <f t="shared" si="1"/>
        <v>7.950000000000001</v>
      </c>
      <c r="M6">
        <f t="shared" si="2"/>
        <v>7.93</v>
      </c>
    </row>
    <row r="7" spans="1:13" ht="12.75">
      <c r="A7">
        <v>0</v>
      </c>
      <c r="B7">
        <v>7.47</v>
      </c>
      <c r="C7">
        <v>7.47</v>
      </c>
      <c r="D7">
        <v>7.47</v>
      </c>
      <c r="E7">
        <v>15.54</v>
      </c>
      <c r="F7">
        <v>15.54</v>
      </c>
      <c r="G7">
        <v>15.54</v>
      </c>
      <c r="J7">
        <v>0</v>
      </c>
      <c r="K7">
        <f t="shared" si="0"/>
        <v>8.07</v>
      </c>
      <c r="L7">
        <f t="shared" si="1"/>
        <v>8.07</v>
      </c>
      <c r="M7">
        <f t="shared" si="2"/>
        <v>8.07</v>
      </c>
    </row>
    <row r="8" spans="1:13" ht="12.75">
      <c r="A8">
        <v>5</v>
      </c>
      <c r="B8">
        <v>6.48</v>
      </c>
      <c r="C8">
        <v>6.7</v>
      </c>
      <c r="D8">
        <v>8.49</v>
      </c>
      <c r="E8">
        <v>14.34</v>
      </c>
      <c r="F8">
        <v>14.89</v>
      </c>
      <c r="G8">
        <v>16.69</v>
      </c>
      <c r="J8">
        <v>5</v>
      </c>
      <c r="K8">
        <f t="shared" si="0"/>
        <v>7.859999999999999</v>
      </c>
      <c r="L8">
        <f t="shared" si="1"/>
        <v>8.190000000000001</v>
      </c>
      <c r="M8">
        <f t="shared" si="2"/>
        <v>8.200000000000001</v>
      </c>
    </row>
    <row r="9" spans="1:13" ht="12.75">
      <c r="A9">
        <v>10</v>
      </c>
      <c r="B9">
        <v>5.56</v>
      </c>
      <c r="C9">
        <v>5.91</v>
      </c>
      <c r="D9">
        <v>9.49</v>
      </c>
      <c r="E9">
        <v>13.23</v>
      </c>
      <c r="F9">
        <v>14.24</v>
      </c>
      <c r="G9">
        <v>17.82</v>
      </c>
      <c r="J9">
        <v>10</v>
      </c>
      <c r="K9">
        <f t="shared" si="0"/>
        <v>7.670000000000001</v>
      </c>
      <c r="L9">
        <f t="shared" si="1"/>
        <v>8.33</v>
      </c>
      <c r="M9">
        <f t="shared" si="2"/>
        <v>8.33</v>
      </c>
    </row>
    <row r="10" spans="1:13" ht="12.75">
      <c r="A10">
        <v>15</v>
      </c>
      <c r="B10">
        <v>4.71</v>
      </c>
      <c r="C10">
        <v>5.11</v>
      </c>
      <c r="D10">
        <v>10.49</v>
      </c>
      <c r="E10">
        <v>12.21</v>
      </c>
      <c r="F10">
        <v>13.59</v>
      </c>
      <c r="G10">
        <v>18.92</v>
      </c>
      <c r="J10">
        <v>15</v>
      </c>
      <c r="K10">
        <f t="shared" si="0"/>
        <v>7.500000000000001</v>
      </c>
      <c r="L10">
        <f t="shared" si="1"/>
        <v>8.48</v>
      </c>
      <c r="M10">
        <f t="shared" si="2"/>
        <v>8.430000000000001</v>
      </c>
    </row>
    <row r="11" spans="1:13" ht="12.75">
      <c r="A11">
        <v>20</v>
      </c>
      <c r="B11">
        <v>3.92</v>
      </c>
      <c r="C11">
        <v>4.29</v>
      </c>
      <c r="D11">
        <v>11.46</v>
      </c>
      <c r="E11">
        <v>11.26</v>
      </c>
      <c r="F11">
        <v>12.93</v>
      </c>
      <c r="G11">
        <v>20.01</v>
      </c>
      <c r="J11">
        <v>20</v>
      </c>
      <c r="K11">
        <f t="shared" si="0"/>
        <v>7.34</v>
      </c>
      <c r="L11">
        <f t="shared" si="1"/>
        <v>8.64</v>
      </c>
      <c r="M11">
        <f t="shared" si="2"/>
        <v>8.55</v>
      </c>
    </row>
    <row r="14" spans="2:13" ht="12.75">
      <c r="B14" s="21" t="s">
        <v>51</v>
      </c>
      <c r="C14" s="21" t="s">
        <v>34</v>
      </c>
      <c r="D14" s="21" t="s">
        <v>52</v>
      </c>
      <c r="E14" s="21" t="s">
        <v>53</v>
      </c>
      <c r="F14" s="21" t="s">
        <v>54</v>
      </c>
      <c r="G14" s="21" t="s">
        <v>55</v>
      </c>
      <c r="K14" t="s">
        <v>62</v>
      </c>
      <c r="L14" t="s">
        <v>63</v>
      </c>
      <c r="M14" t="s">
        <v>64</v>
      </c>
    </row>
    <row r="15" spans="1:13" ht="12.75">
      <c r="A15">
        <v>-20</v>
      </c>
      <c r="B15" s="38">
        <v>15.818369863054091</v>
      </c>
      <c r="C15" s="38">
        <v>14.820833854779295</v>
      </c>
      <c r="D15" s="38">
        <v>5.980487535008084</v>
      </c>
      <c r="E15" s="18">
        <v>36.02664859236543</v>
      </c>
      <c r="F15" s="18">
        <v>39.474886016275775</v>
      </c>
      <c r="G15" s="18">
        <v>26.113095307979183</v>
      </c>
      <c r="J15">
        <v>-20</v>
      </c>
      <c r="K15">
        <f aca="true" t="shared" si="3" ref="K15:K23">E15-B15</f>
        <v>20.208278729311342</v>
      </c>
      <c r="L15" t="e">
        <f aca="true" t="shared" si="4" ref="L15:L23">F25-C15</f>
        <v>#VALUE!</v>
      </c>
      <c r="M15">
        <f aca="true" t="shared" si="5" ref="M15:M23">G15-D15</f>
        <v>20.1326077729711</v>
      </c>
    </row>
    <row r="16" spans="1:13" ht="12.75">
      <c r="A16">
        <v>-15</v>
      </c>
      <c r="B16" s="38">
        <v>14.669351506837813</v>
      </c>
      <c r="C16" s="38">
        <v>13.751428700264176</v>
      </c>
      <c r="D16" s="38">
        <v>7.3279515336168295</v>
      </c>
      <c r="E16" s="18">
        <v>35.19435966176392</v>
      </c>
      <c r="F16" s="18">
        <v>37.532050182018786</v>
      </c>
      <c r="G16" s="18">
        <v>27.825577027978817</v>
      </c>
      <c r="J16">
        <v>-15</v>
      </c>
      <c r="K16">
        <f t="shared" si="3"/>
        <v>20.525008154926105</v>
      </c>
      <c r="L16">
        <f t="shared" si="4"/>
        <v>-13.751428700264176</v>
      </c>
      <c r="M16">
        <f t="shared" si="5"/>
        <v>20.497625494361987</v>
      </c>
    </row>
    <row r="17" spans="1:13" ht="12.75">
      <c r="A17">
        <v>-10</v>
      </c>
      <c r="B17" s="38">
        <v>13.491700214142979</v>
      </c>
      <c r="C17" s="38">
        <v>12.779855194381382</v>
      </c>
      <c r="D17" s="38">
        <v>8.613207647512553</v>
      </c>
      <c r="E17" s="18">
        <v>34.35227254554927</v>
      </c>
      <c r="F17" s="18">
        <v>35.75924531615589</v>
      </c>
      <c r="G17" s="18">
        <v>29.497261301738074</v>
      </c>
      <c r="J17">
        <v>-10</v>
      </c>
      <c r="K17">
        <f t="shared" si="3"/>
        <v>20.86057233140629</v>
      </c>
      <c r="L17">
        <f t="shared" si="4"/>
        <v>-12.779855194381382</v>
      </c>
      <c r="M17">
        <f t="shared" si="5"/>
        <v>20.88405365422552</v>
      </c>
    </row>
    <row r="18" spans="1:13" ht="12.75">
      <c r="A18">
        <v>-5</v>
      </c>
      <c r="B18" s="38">
        <v>12.284291403997564</v>
      </c>
      <c r="C18" s="38">
        <v>11.879271145238825</v>
      </c>
      <c r="D18" s="38">
        <v>9.843824472302156</v>
      </c>
      <c r="E18" s="18">
        <v>33.49963656365594</v>
      </c>
      <c r="F18" s="18">
        <v>34.13341101390519</v>
      </c>
      <c r="G18" s="18">
        <v>31.09093549672727</v>
      </c>
      <c r="J18">
        <v>-5</v>
      </c>
      <c r="K18">
        <f t="shared" si="3"/>
        <v>21.215345159658376</v>
      </c>
      <c r="L18">
        <f t="shared" si="4"/>
        <v>-11.879271145238825</v>
      </c>
      <c r="M18">
        <f t="shared" si="5"/>
        <v>21.247111024425113</v>
      </c>
    </row>
    <row r="19" spans="1:13" ht="12.75">
      <c r="A19">
        <v>0</v>
      </c>
      <c r="B19" s="38">
        <v>11.026033250091729</v>
      </c>
      <c r="C19" s="38">
        <v>11.026033250091729</v>
      </c>
      <c r="D19" s="38">
        <v>11.026033250091729</v>
      </c>
      <c r="E19" s="18">
        <v>32.63562257458872</v>
      </c>
      <c r="F19" s="18">
        <v>32.63562257458872</v>
      </c>
      <c r="G19" s="18">
        <v>32.63562257458872</v>
      </c>
      <c r="J19">
        <v>0</v>
      </c>
      <c r="K19">
        <f t="shared" si="3"/>
        <v>21.609589324496994</v>
      </c>
      <c r="L19">
        <f t="shared" si="4"/>
        <v>-11.026033250091729</v>
      </c>
      <c r="M19">
        <f t="shared" si="5"/>
        <v>21.609589324496994</v>
      </c>
    </row>
    <row r="20" spans="1:13" ht="12.75">
      <c r="A20">
        <v>5</v>
      </c>
      <c r="B20" s="38">
        <v>9.425909435670492</v>
      </c>
      <c r="C20" s="38">
        <v>10.04801852145504</v>
      </c>
      <c r="D20" s="38">
        <v>11.95555618475208</v>
      </c>
      <c r="E20" s="18">
        <v>31.75931126178612</v>
      </c>
      <c r="F20" s="18">
        <v>31.25018598099331</v>
      </c>
      <c r="G20" s="18">
        <v>34.145086085276176</v>
      </c>
      <c r="J20">
        <v>5</v>
      </c>
      <c r="K20">
        <f t="shared" si="3"/>
        <v>22.333401826115626</v>
      </c>
      <c r="L20">
        <f t="shared" si="4"/>
        <v>-10.04801852145504</v>
      </c>
      <c r="M20">
        <f t="shared" si="5"/>
        <v>22.189529900524096</v>
      </c>
    </row>
    <row r="21" spans="1:13" ht="12.75">
      <c r="A21">
        <v>10</v>
      </c>
      <c r="B21" s="38">
        <v>7.7524203574473445</v>
      </c>
      <c r="C21" s="38">
        <v>9.129443678309883</v>
      </c>
      <c r="D21" s="38">
        <v>12.842445285360487</v>
      </c>
      <c r="E21" s="18">
        <v>30.869679094147003</v>
      </c>
      <c r="F21" s="18">
        <v>29.963963352413014</v>
      </c>
      <c r="G21" s="18">
        <v>35.621901749314404</v>
      </c>
      <c r="J21">
        <v>10</v>
      </c>
      <c r="K21">
        <f t="shared" si="3"/>
        <v>23.117258736699657</v>
      </c>
      <c r="L21">
        <f t="shared" si="4"/>
        <v>-9.129443678309883</v>
      </c>
      <c r="M21">
        <f t="shared" si="5"/>
        <v>22.779456463953917</v>
      </c>
    </row>
    <row r="22" spans="1:13" ht="12.75">
      <c r="A22">
        <v>15</v>
      </c>
      <c r="B22" s="38">
        <v>5.992588931375571</v>
      </c>
      <c r="C22" s="38">
        <v>8.263917098655496</v>
      </c>
      <c r="D22" s="38">
        <v>13.700081722230111</v>
      </c>
      <c r="E22" s="18">
        <v>29.965174113359318</v>
      </c>
      <c r="F22" s="18">
        <v>28.73340152714142</v>
      </c>
      <c r="G22" s="18">
        <v>37.06834643175248</v>
      </c>
      <c r="J22">
        <v>15</v>
      </c>
      <c r="K22">
        <f t="shared" si="3"/>
        <v>23.972585181983746</v>
      </c>
      <c r="L22">
        <f t="shared" si="4"/>
        <v>-8.263917098655496</v>
      </c>
      <c r="M22">
        <f t="shared" si="5"/>
        <v>23.36826470952237</v>
      </c>
    </row>
    <row r="23" spans="1:13" ht="12.75">
      <c r="A23">
        <v>20</v>
      </c>
      <c r="B23" s="38">
        <v>4.1296948800246</v>
      </c>
      <c r="C23" s="38">
        <v>7.445987238836355</v>
      </c>
      <c r="D23" s="38">
        <v>14.543159200973857</v>
      </c>
      <c r="E23" s="18">
        <v>29.012429653639714</v>
      </c>
      <c r="F23" s="39">
        <v>27.58272149761687</v>
      </c>
      <c r="G23" s="18">
        <v>38.4864442172816</v>
      </c>
      <c r="J23">
        <v>20</v>
      </c>
      <c r="K23">
        <f t="shared" si="3"/>
        <v>24.882734773615113</v>
      </c>
      <c r="L23">
        <f t="shared" si="4"/>
        <v>-7.445987238836355</v>
      </c>
      <c r="M23">
        <f t="shared" si="5"/>
        <v>23.943285016307744</v>
      </c>
    </row>
    <row r="24" spans="2:7" ht="12.75">
      <c r="B24" s="27" t="s">
        <v>66</v>
      </c>
      <c r="C24" s="40" t="s">
        <v>66</v>
      </c>
      <c r="D24" s="40" t="s">
        <v>66</v>
      </c>
      <c r="E24" s="40" t="s">
        <v>66</v>
      </c>
      <c r="F24" s="40" t="s">
        <v>66</v>
      </c>
      <c r="G24" s="29" t="s">
        <v>66</v>
      </c>
    </row>
    <row r="25" spans="2:7" ht="12.75">
      <c r="B25" s="30" t="s">
        <v>66</v>
      </c>
      <c r="C25" s="28" t="s">
        <v>66</v>
      </c>
      <c r="D25" s="28" t="s">
        <v>66</v>
      </c>
      <c r="E25" s="28" t="s">
        <v>66</v>
      </c>
      <c r="F25" s="28" t="s">
        <v>66</v>
      </c>
      <c r="G25" s="31" t="s">
        <v>66</v>
      </c>
    </row>
    <row r="26" spans="1:7" ht="12.75">
      <c r="A26" s="24" t="s">
        <v>65</v>
      </c>
      <c r="B26" s="41"/>
      <c r="C26" s="25"/>
      <c r="D26" s="25"/>
      <c r="E26" s="25"/>
      <c r="F26" s="25"/>
      <c r="G26" s="26"/>
    </row>
    <row r="27" ht="12.75">
      <c r="G27" s="18"/>
    </row>
    <row r="28" ht="12.75">
      <c r="G28" s="18"/>
    </row>
    <row r="29" ht="12.75">
      <c r="G29" s="18"/>
    </row>
    <row r="30" ht="12.75">
      <c r="G30" s="18"/>
    </row>
    <row r="31" ht="12.75">
      <c r="G31" s="18"/>
    </row>
    <row r="32" ht="12.75">
      <c r="G32" s="18"/>
    </row>
    <row r="33" ht="12.75">
      <c r="G33" s="18"/>
    </row>
    <row r="46" ht="12.75">
      <c r="G46" s="19"/>
    </row>
    <row r="47" ht="12.75">
      <c r="G47" s="20"/>
    </row>
    <row r="48" ht="12.75">
      <c r="G48" s="19"/>
    </row>
    <row r="49" ht="12.75">
      <c r="G49" s="19"/>
    </row>
    <row r="50" ht="12.75">
      <c r="G50" s="19"/>
    </row>
    <row r="51" ht="12.75">
      <c r="G51" s="19"/>
    </row>
    <row r="52" ht="12.75">
      <c r="G52" s="19"/>
    </row>
    <row r="53" ht="12.75">
      <c r="G53" s="19"/>
    </row>
    <row r="54" ht="12.75">
      <c r="G54" s="19"/>
    </row>
    <row r="55" ht="12.75">
      <c r="G55" s="19"/>
    </row>
    <row r="56" ht="12.75">
      <c r="G56" s="19"/>
    </row>
    <row r="57" ht="12.75">
      <c r="G57" s="19"/>
    </row>
    <row r="58" ht="12.75">
      <c r="G58" s="19"/>
    </row>
    <row r="59" ht="12.75">
      <c r="G59" s="19"/>
    </row>
    <row r="60" ht="12.75">
      <c r="G60" s="19"/>
    </row>
    <row r="61" ht="12.75">
      <c r="G61" s="19"/>
    </row>
    <row r="62" ht="12.75">
      <c r="G62" s="19"/>
    </row>
    <row r="63" ht="12.75">
      <c r="G63" s="20"/>
    </row>
    <row r="64" ht="12.75">
      <c r="G64" s="19"/>
    </row>
    <row r="65" ht="12.75">
      <c r="G65" s="19"/>
    </row>
    <row r="66" ht="12.75">
      <c r="G66" s="19"/>
    </row>
    <row r="67" ht="12.75">
      <c r="G67" s="19"/>
    </row>
    <row r="68" ht="12.75">
      <c r="G68" s="19"/>
    </row>
    <row r="69" ht="12.75">
      <c r="G69" s="19"/>
    </row>
    <row r="70" ht="12.75">
      <c r="G70" s="19"/>
    </row>
    <row r="71" ht="12.75">
      <c r="G71" s="19"/>
    </row>
    <row r="72" ht="12.75">
      <c r="G72" s="19"/>
    </row>
    <row r="73" ht="12.75">
      <c r="G73" s="19"/>
    </row>
    <row r="74" ht="12.75">
      <c r="G74" s="19"/>
    </row>
    <row r="75" ht="12.75">
      <c r="G75" s="19"/>
    </row>
    <row r="76" ht="12.75">
      <c r="G76" s="19"/>
    </row>
    <row r="77" ht="12.75">
      <c r="G77" s="19"/>
    </row>
    <row r="78" ht="12.75">
      <c r="G78" s="19"/>
    </row>
    <row r="79" ht="12.75">
      <c r="G79" s="19"/>
    </row>
    <row r="80" ht="12.75">
      <c r="G80" s="20"/>
    </row>
    <row r="81" ht="12.75">
      <c r="G81" s="19"/>
    </row>
    <row r="82" ht="12.75">
      <c r="G82" s="19"/>
    </row>
    <row r="83" ht="12.75">
      <c r="G83" s="19"/>
    </row>
    <row r="84" ht="12.75">
      <c r="G84" s="19"/>
    </row>
    <row r="85" ht="12.75">
      <c r="G85" s="19"/>
    </row>
    <row r="86" ht="12.75">
      <c r="G86" s="19"/>
    </row>
    <row r="87" ht="12.75">
      <c r="G87" s="19"/>
    </row>
    <row r="88" ht="12.75">
      <c r="G88" s="19"/>
    </row>
    <row r="89" ht="12.75">
      <c r="G89" s="19"/>
    </row>
    <row r="90" ht="12.75">
      <c r="G90" s="19"/>
    </row>
    <row r="91" ht="12.75">
      <c r="G91" s="19"/>
    </row>
    <row r="92" ht="12.75">
      <c r="G92" s="19"/>
    </row>
    <row r="93" ht="12.75">
      <c r="G93" s="19"/>
    </row>
    <row r="94" ht="12.75">
      <c r="G94" s="19"/>
    </row>
    <row r="95" ht="12.75">
      <c r="G95" s="19"/>
    </row>
    <row r="96" ht="12.75">
      <c r="G96" s="19"/>
    </row>
    <row r="97" ht="12.75">
      <c r="G97" s="19"/>
    </row>
    <row r="98" ht="12.75">
      <c r="G98" s="20"/>
    </row>
    <row r="99" ht="12.75">
      <c r="G99" s="19"/>
    </row>
    <row r="100" ht="12.75">
      <c r="G100" s="19"/>
    </row>
    <row r="101" ht="12.75">
      <c r="G101" s="19"/>
    </row>
    <row r="102" ht="12.75">
      <c r="G102" s="19"/>
    </row>
    <row r="103" ht="12.75">
      <c r="G103" s="19"/>
    </row>
    <row r="104" ht="12.75">
      <c r="G104" s="19"/>
    </row>
    <row r="105" ht="12.75">
      <c r="G105" s="19"/>
    </row>
    <row r="106" ht="12.75">
      <c r="G106" s="19"/>
    </row>
    <row r="107" ht="12.75">
      <c r="G107" s="19"/>
    </row>
    <row r="108" ht="12.75">
      <c r="G108" s="19"/>
    </row>
    <row r="109" ht="12.75">
      <c r="G109" s="19"/>
    </row>
    <row r="110" ht="12.75">
      <c r="G110" s="19"/>
    </row>
    <row r="111" ht="12.75">
      <c r="G111" s="19"/>
    </row>
    <row r="112" ht="12.75">
      <c r="G112" s="19"/>
    </row>
    <row r="113" ht="12.75">
      <c r="G113" s="19"/>
    </row>
    <row r="114" ht="12.75">
      <c r="G114" s="19"/>
    </row>
    <row r="115" ht="12.75">
      <c r="G115" s="19"/>
    </row>
    <row r="116" ht="12.75">
      <c r="G116" s="19"/>
    </row>
    <row r="117" ht="12.75">
      <c r="G117" s="20"/>
    </row>
    <row r="118" ht="12.75">
      <c r="G118" s="19"/>
    </row>
    <row r="119" ht="12.75">
      <c r="G119" s="19"/>
    </row>
    <row r="120" ht="12.75">
      <c r="G120" s="19"/>
    </row>
    <row r="121" ht="12.75">
      <c r="G121" s="19"/>
    </row>
    <row r="122" ht="12.75">
      <c r="G122" s="19"/>
    </row>
    <row r="123" ht="12.75">
      <c r="G123" s="19"/>
    </row>
    <row r="124" ht="12.75">
      <c r="G124" s="19"/>
    </row>
    <row r="125" ht="12.75">
      <c r="G125" s="19"/>
    </row>
    <row r="126" ht="12.75">
      <c r="G126" s="19"/>
    </row>
    <row r="127" ht="12.75">
      <c r="G127" s="19"/>
    </row>
    <row r="128" ht="12.75">
      <c r="G128" s="19"/>
    </row>
    <row r="129" ht="12.75">
      <c r="G129" s="19"/>
    </row>
    <row r="130" ht="12.75">
      <c r="G130" s="19"/>
    </row>
    <row r="131" ht="12.75">
      <c r="G131" s="19"/>
    </row>
    <row r="132" ht="12.75">
      <c r="G132" s="19"/>
    </row>
    <row r="133" ht="12.75">
      <c r="G133" s="19"/>
    </row>
    <row r="134" ht="12.75">
      <c r="G134" s="19"/>
    </row>
    <row r="135" ht="12.75">
      <c r="G135" s="19"/>
    </row>
    <row r="136" ht="12.75">
      <c r="G136" s="19"/>
    </row>
    <row r="137" ht="12.75">
      <c r="G137" s="20"/>
    </row>
    <row r="138" ht="12.75">
      <c r="G138" s="19"/>
    </row>
    <row r="139" ht="12.75">
      <c r="G139" s="19"/>
    </row>
    <row r="140" ht="12.75">
      <c r="G140" s="19"/>
    </row>
    <row r="141" ht="12.75">
      <c r="G141" s="19"/>
    </row>
    <row r="142" ht="12.75">
      <c r="G142" s="19"/>
    </row>
    <row r="143" ht="12.75">
      <c r="G143" s="19"/>
    </row>
    <row r="144" ht="12.75">
      <c r="G144" s="19"/>
    </row>
    <row r="145" ht="12.75">
      <c r="G145" s="19"/>
    </row>
    <row r="146" ht="12.75">
      <c r="G146" s="19"/>
    </row>
    <row r="147" ht="12.75">
      <c r="G147" s="19"/>
    </row>
    <row r="148" ht="12.75">
      <c r="G148" s="19"/>
    </row>
    <row r="149" ht="12.75">
      <c r="G149" s="19"/>
    </row>
    <row r="150" ht="12.75">
      <c r="G150" s="19"/>
    </row>
    <row r="151" ht="12.75">
      <c r="G151" s="19"/>
    </row>
    <row r="152" ht="12.75">
      <c r="G152" s="19"/>
    </row>
    <row r="153" ht="12.75">
      <c r="G153" s="19"/>
    </row>
    <row r="154" ht="12.75">
      <c r="G154" s="19"/>
    </row>
    <row r="155" ht="12.75">
      <c r="G155" s="19"/>
    </row>
    <row r="156" ht="12.75">
      <c r="G156" s="19"/>
    </row>
    <row r="157" ht="12.75">
      <c r="G157" s="19"/>
    </row>
    <row r="158" ht="12.75">
      <c r="G158" s="20"/>
    </row>
    <row r="159" ht="12.75">
      <c r="G159" s="19"/>
    </row>
    <row r="160" ht="12.75">
      <c r="G160" s="19"/>
    </row>
    <row r="161" ht="12.75">
      <c r="G161" s="19"/>
    </row>
    <row r="162" ht="12.75">
      <c r="G162" s="19"/>
    </row>
    <row r="163" ht="12.75">
      <c r="G163" s="19"/>
    </row>
    <row r="164" ht="12.75">
      <c r="G164" s="19"/>
    </row>
    <row r="165" ht="12.75">
      <c r="G165" s="19"/>
    </row>
    <row r="166" ht="12.75">
      <c r="G166" s="19"/>
    </row>
    <row r="167" ht="12.75">
      <c r="G167" s="19"/>
    </row>
    <row r="168" ht="12.75">
      <c r="G168" s="19"/>
    </row>
    <row r="169" ht="12.75">
      <c r="G169" s="19"/>
    </row>
    <row r="170" ht="12.75">
      <c r="G170" s="19"/>
    </row>
    <row r="171" ht="12.75">
      <c r="G171" s="19"/>
    </row>
    <row r="172" ht="12.75">
      <c r="G172" s="19"/>
    </row>
    <row r="173" ht="12.75">
      <c r="G173" s="19"/>
    </row>
    <row r="174" ht="12.75">
      <c r="G174" s="19"/>
    </row>
    <row r="175" ht="12.75">
      <c r="G175" s="19"/>
    </row>
    <row r="176" ht="12.75">
      <c r="G176" s="19"/>
    </row>
    <row r="177" ht="12.75">
      <c r="G177" s="19"/>
    </row>
    <row r="178" ht="12.75">
      <c r="G178" s="19"/>
    </row>
    <row r="179" ht="12.75">
      <c r="G179" s="19"/>
    </row>
    <row r="180" ht="12.75">
      <c r="G180" s="20"/>
    </row>
    <row r="181" ht="12.75">
      <c r="G181" s="19"/>
    </row>
    <row r="182" ht="12.75">
      <c r="G182" s="19"/>
    </row>
    <row r="183" ht="12.75">
      <c r="G183" s="19"/>
    </row>
    <row r="184" ht="12.75">
      <c r="G184" s="19"/>
    </row>
    <row r="185" ht="12.75">
      <c r="G185" s="19"/>
    </row>
    <row r="186" ht="12.75">
      <c r="G186" s="19"/>
    </row>
    <row r="187" ht="12.75">
      <c r="G187" s="19"/>
    </row>
    <row r="188" ht="12.75">
      <c r="G188" s="19"/>
    </row>
    <row r="189" ht="12.75">
      <c r="G189" s="19"/>
    </row>
    <row r="190" ht="12.75">
      <c r="G190" s="19"/>
    </row>
    <row r="191" ht="12.75">
      <c r="G191" s="19"/>
    </row>
    <row r="192" ht="12.75">
      <c r="G192" s="19"/>
    </row>
    <row r="193" ht="12.75">
      <c r="G193" s="19"/>
    </row>
    <row r="194" ht="12.75">
      <c r="G194" s="19"/>
    </row>
    <row r="195" ht="12.75">
      <c r="G195" s="19"/>
    </row>
    <row r="196" ht="12.75">
      <c r="G196" s="19"/>
    </row>
    <row r="197" ht="12.75">
      <c r="G197" s="19"/>
    </row>
    <row r="198" ht="12.75">
      <c r="G198" s="19"/>
    </row>
    <row r="199" ht="12.75">
      <c r="G199" s="19"/>
    </row>
    <row r="200" ht="12.75">
      <c r="G200" s="19"/>
    </row>
    <row r="201" ht="12.75">
      <c r="G201" s="19"/>
    </row>
    <row r="202" ht="12.75">
      <c r="G202" s="19"/>
    </row>
    <row r="203" ht="12.75">
      <c r="G203" s="20"/>
    </row>
    <row r="204" ht="12.75">
      <c r="G204" s="19"/>
    </row>
    <row r="205" ht="12.75">
      <c r="G205" s="19"/>
    </row>
    <row r="206" ht="12.75">
      <c r="G206" s="19"/>
    </row>
    <row r="207" ht="12.75">
      <c r="G207" s="19"/>
    </row>
    <row r="208" ht="12.75">
      <c r="G208" s="19"/>
    </row>
    <row r="209" ht="12.75">
      <c r="G209" s="19"/>
    </row>
    <row r="210" ht="12.75">
      <c r="G210" s="19"/>
    </row>
    <row r="211" ht="12.75">
      <c r="G211" s="19"/>
    </row>
    <row r="212" ht="12.75">
      <c r="G212" s="19"/>
    </row>
    <row r="213" ht="12.75">
      <c r="G213" s="19"/>
    </row>
    <row r="214" ht="12.75">
      <c r="G214" s="19"/>
    </row>
    <row r="215" ht="12.75">
      <c r="G215" s="19"/>
    </row>
    <row r="216" ht="12.75">
      <c r="G216" s="19"/>
    </row>
    <row r="217" ht="12.75">
      <c r="G217" s="19"/>
    </row>
    <row r="218" ht="12.75">
      <c r="G218" s="19"/>
    </row>
    <row r="219" ht="12.75">
      <c r="G219" s="19"/>
    </row>
    <row r="220" ht="12.75">
      <c r="G220" s="19"/>
    </row>
    <row r="221" ht="12.75">
      <c r="G221" s="19"/>
    </row>
    <row r="222" ht="12.75">
      <c r="G222" s="19"/>
    </row>
    <row r="223" ht="12.75">
      <c r="G223" s="19"/>
    </row>
    <row r="224" ht="12.75">
      <c r="G224" s="19"/>
    </row>
    <row r="225" ht="12.75">
      <c r="G225" s="19"/>
    </row>
    <row r="226" ht="12.75">
      <c r="G226" s="19"/>
    </row>
    <row r="227" ht="12.75">
      <c r="G227" s="19"/>
    </row>
    <row r="228" ht="12.75">
      <c r="G228" s="19"/>
    </row>
    <row r="229" ht="12.75">
      <c r="G229" s="19"/>
    </row>
    <row r="230" ht="12.75">
      <c r="G230" s="19"/>
    </row>
    <row r="231" ht="12.75">
      <c r="G231" s="19"/>
    </row>
    <row r="232" ht="12.75">
      <c r="G232" s="19"/>
    </row>
    <row r="233" ht="12.75">
      <c r="G233" s="19"/>
    </row>
    <row r="234" ht="12.75">
      <c r="G234" s="19"/>
    </row>
    <row r="235" ht="12.75">
      <c r="G235" s="19"/>
    </row>
    <row r="236" ht="12.75">
      <c r="G236" s="19"/>
    </row>
    <row r="237" ht="12.75">
      <c r="G237" s="19"/>
    </row>
    <row r="238" ht="12.75">
      <c r="G238" s="19"/>
    </row>
    <row r="239" ht="12.75">
      <c r="G239" s="19"/>
    </row>
    <row r="240" ht="12.75">
      <c r="G240" s="19"/>
    </row>
    <row r="241" ht="12.75">
      <c r="G241" s="19"/>
    </row>
    <row r="242" ht="12.75">
      <c r="G242" s="19"/>
    </row>
    <row r="243" ht="12.75">
      <c r="G243" s="19"/>
    </row>
    <row r="244" ht="12.75">
      <c r="G244" s="19"/>
    </row>
    <row r="245" ht="12.75">
      <c r="G245" s="19"/>
    </row>
    <row r="246" ht="12.75">
      <c r="G246" s="19"/>
    </row>
    <row r="247" ht="12.75">
      <c r="G247" s="19"/>
    </row>
    <row r="248" ht="12.75">
      <c r="G248" s="19"/>
    </row>
    <row r="249" ht="12.75">
      <c r="G249" s="19"/>
    </row>
    <row r="250" ht="12.75">
      <c r="G250" s="19"/>
    </row>
    <row r="251" ht="12.75">
      <c r="G251" s="19"/>
    </row>
    <row r="252" ht="12.75">
      <c r="G252" s="19"/>
    </row>
    <row r="253" ht="12.75">
      <c r="G253" s="19"/>
    </row>
    <row r="254" ht="12.75">
      <c r="G254" s="19"/>
    </row>
    <row r="255" ht="12.75">
      <c r="G255" s="19"/>
    </row>
    <row r="256" ht="12.75">
      <c r="G256" s="19"/>
    </row>
    <row r="257" ht="12.75">
      <c r="G257" s="19"/>
    </row>
    <row r="258" ht="12.75">
      <c r="G258" s="19"/>
    </row>
    <row r="259" ht="12.75">
      <c r="G259" s="19"/>
    </row>
    <row r="260" ht="12.75">
      <c r="G260" s="19"/>
    </row>
    <row r="261" ht="12.75">
      <c r="G261" s="19"/>
    </row>
    <row r="262" ht="12.75">
      <c r="G262" s="19"/>
    </row>
    <row r="263" ht="12.75">
      <c r="G263" s="19"/>
    </row>
    <row r="264" ht="12.75">
      <c r="G264" s="19"/>
    </row>
    <row r="265" ht="12.75">
      <c r="G265" s="19"/>
    </row>
    <row r="266" ht="12.75">
      <c r="G266" s="19"/>
    </row>
    <row r="267" ht="12.75">
      <c r="G267" s="19"/>
    </row>
    <row r="268" ht="12.75">
      <c r="G268" s="19"/>
    </row>
    <row r="269" ht="12.75">
      <c r="G269" s="19"/>
    </row>
    <row r="270" ht="12.75">
      <c r="G270" s="19"/>
    </row>
    <row r="271" ht="12.75">
      <c r="G271" s="19"/>
    </row>
    <row r="272" ht="12.75">
      <c r="G272" s="19"/>
    </row>
    <row r="273" ht="12.75">
      <c r="G273" s="19"/>
    </row>
    <row r="274" ht="12.75">
      <c r="G274" s="19"/>
    </row>
    <row r="275" ht="12.75">
      <c r="G275" s="19"/>
    </row>
    <row r="276" ht="12.75">
      <c r="G276" s="19"/>
    </row>
    <row r="277" ht="12.75">
      <c r="G277" s="19"/>
    </row>
    <row r="278" ht="12.75">
      <c r="G278" s="19"/>
    </row>
    <row r="279" ht="12.75">
      <c r="G279" s="19"/>
    </row>
    <row r="280" ht="12.75">
      <c r="G280" s="19"/>
    </row>
    <row r="281" ht="12.75">
      <c r="G281" s="19"/>
    </row>
    <row r="282" ht="12.75">
      <c r="G282" s="19"/>
    </row>
    <row r="283" ht="12.75">
      <c r="G283" s="19"/>
    </row>
    <row r="284" ht="12.75">
      <c r="G284" s="19"/>
    </row>
    <row r="285" ht="12.75">
      <c r="G285" s="19"/>
    </row>
    <row r="286" ht="12.75">
      <c r="G286" s="19"/>
    </row>
    <row r="287" ht="12.75">
      <c r="G287" s="19"/>
    </row>
    <row r="288" ht="12.75">
      <c r="G288" s="19"/>
    </row>
    <row r="289" ht="12.75">
      <c r="G289" s="19"/>
    </row>
    <row r="290" ht="12.75">
      <c r="G290" s="19"/>
    </row>
    <row r="291" ht="12.75">
      <c r="G291" s="19"/>
    </row>
    <row r="292" ht="12.75">
      <c r="G292" s="19"/>
    </row>
    <row r="293" ht="12.75">
      <c r="G293" s="19"/>
    </row>
    <row r="294" ht="12.75">
      <c r="G294" s="19"/>
    </row>
    <row r="295" ht="12.75">
      <c r="G295" s="19"/>
    </row>
    <row r="296" ht="12.75">
      <c r="G296" s="19"/>
    </row>
    <row r="297" ht="12.75">
      <c r="G297" s="19"/>
    </row>
    <row r="298" ht="12.75">
      <c r="G298" s="19"/>
    </row>
    <row r="299" ht="12.75">
      <c r="G299" s="19"/>
    </row>
    <row r="300" ht="12.75">
      <c r="G300" s="19"/>
    </row>
    <row r="301" ht="12.75">
      <c r="G301" s="19"/>
    </row>
    <row r="302" ht="12.75">
      <c r="G302" s="19"/>
    </row>
    <row r="303" ht="12.75">
      <c r="G303" s="1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Carbon-TF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Meyer-Version + Hadulla Makro</dc:title>
  <dc:subject>Utilisation of CMM in Donbasskaja</dc:subject>
  <dc:creator>Adam Hadulla</dc:creator>
  <cp:keywords/>
  <dc:description>Formeln überarbeitet am 3.7.2005
</dc:description>
  <cp:lastModifiedBy>Adam Hadulla</cp:lastModifiedBy>
  <cp:lastPrinted>2006-11-16T12:31:54Z</cp:lastPrinted>
  <dcterms:created xsi:type="dcterms:W3CDTF">2001-03-19T15:23:51Z</dcterms:created>
  <dcterms:modified xsi:type="dcterms:W3CDTF">2009-06-26T12:40:05Z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